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285" windowWidth="15195" windowHeight="8265" tabRatio="566"/>
  </bookViews>
  <sheets>
    <sheet name="User information" sheetId="31" r:id="rId1"/>
    <sheet name="Data entry and outputs" sheetId="22" r:id="rId2"/>
    <sheet name="NYCinc" sheetId="28" state="hidden" r:id="rId3"/>
    <sheet name="MSA data" sheetId="24" r:id="rId4"/>
    <sheet name="todo-questions-scraps" sheetId="25" state="hidden" r:id="rId5"/>
    <sheet name="Track mile pop elasticities" sheetId="8" state="hidden" r:id="rId6"/>
    <sheet name="Revenue mile models" sheetId="9" state="hidden" r:id="rId7"/>
    <sheet name="Track miles population" sheetId="7" state="hidden" r:id="rId8"/>
    <sheet name="Track miles psqm" sheetId="2" state="hidden" r:id="rId9"/>
    <sheet name="Productivity model estimates" sheetId="1" state="hidden" r:id="rId10"/>
    <sheet name="tool_trackmileage" sheetId="16" state="hidden" r:id="rId11"/>
    <sheet name="Track mile elasticities" sheetId="4" state="hidden" r:id="rId12"/>
    <sheet name="Track miles total" sheetId="3" state="hidden" r:id="rId13"/>
    <sheet name="Track mile 1% change" sheetId="6" state="hidden" r:id="rId14"/>
    <sheet name="Revenue mile pop models" sheetId="11" state="hidden" r:id="rId15"/>
    <sheet name="Revenue mile elasticities" sheetId="5" state="hidden" r:id="rId16"/>
    <sheet name="Rev mile pop elasticities" sheetId="12" state="hidden" r:id="rId17"/>
    <sheet name="Rev mile 1% change" sheetId="10" state="hidden" r:id="rId18"/>
    <sheet name="Seat capacity per capita" sheetId="13" state="hidden" r:id="rId19"/>
    <sheet name="Seat capacity elasticities" sheetId="14" state="hidden" r:id="rId20"/>
    <sheet name="Seat cap 1% change" sheetId="15" state="hidden" r:id="rId21"/>
    <sheet name="Change regressions" sheetId="17" state="hidden" r:id="rId22"/>
    <sheet name="Elasticity from change reg" sheetId="18" state="hidden" r:id="rId23"/>
    <sheet name="Change reg 1% change" sheetId="19" state="hidden" r:id="rId24"/>
    <sheet name="all wage calcs" sheetId="20" state="hidden" r:id="rId25"/>
    <sheet name="NYCexc" sheetId="29" state="hidden" r:id="rId26"/>
    <sheet name="Agglomeration" sheetId="30" state="hidden" r:id="rId27"/>
  </sheets>
  <definedNames>
    <definedName name="_xlnm._FilterDatabase" localSheetId="3" hidden="1">'MSA data'!$A$1:$BH$342</definedName>
    <definedName name="EDgdpIV">'Data entry and outputs'!$E$53</definedName>
    <definedName name="EDgdpOLS">'Data entry and outputs'!$D$53</definedName>
    <definedName name="EDWageIV">'Data entry and outputs'!$E$52</definedName>
    <definedName name="EDWageOLS">'Data entry and outputs'!$D$52</definedName>
    <definedName name="EmpDen">'Data entry and outputs'!$C$22</definedName>
    <definedName name="GDPpercap">'Data entry and outputs'!$C$19</definedName>
    <definedName name="GrossGDP">'Data entry and outputs'!$C$20</definedName>
    <definedName name="GrossPayroll">'Data entry and outputs'!$C$18</definedName>
    <definedName name="MSAArea">'Data entry and outputs'!$C$24</definedName>
    <definedName name="MSAName">'Data entry and outputs'!$C$10</definedName>
    <definedName name="NewRRevMi">'Data entry and outputs'!$C$12</definedName>
    <definedName name="NewRSeatCap">'Data entry and outputs'!$C$13</definedName>
    <definedName name="NewTrackMileage">'Data entry and outputs'!$C$11</definedName>
    <definedName name="PopGDPiv">'Data entry and outputs'!$E$55</definedName>
    <definedName name="PopGDPols">'Data entry and outputs'!$D$55</definedName>
    <definedName name="Population">'Data entry and outputs'!$C$15</definedName>
    <definedName name="PopWageIV">'Data entry and outputs'!$E$54</definedName>
    <definedName name="PopWageOLS">'Data entry and outputs'!$D$54</definedName>
    <definedName name="UZAArea">'Data entry and outputs'!$C$23</definedName>
    <definedName name="Wage">'Data entry and outputs'!$C$17</definedName>
    <definedName name="Workers">'Data entry and outputs'!$C$16</definedName>
  </definedNames>
  <calcPr calcId="125725"/>
</workbook>
</file>

<file path=xl/calcChain.xml><?xml version="1.0" encoding="utf-8"?>
<calcChain xmlns="http://schemas.openxmlformats.org/spreadsheetml/2006/main">
  <c r="B29" i="22"/>
  <c r="C22" l="1"/>
  <c r="E35" s="1"/>
  <c r="C17"/>
  <c r="C16"/>
  <c r="C15"/>
  <c r="C24"/>
  <c r="C23"/>
  <c r="C19"/>
  <c r="E55"/>
  <c r="E54"/>
  <c r="D55"/>
  <c r="L45" s="1"/>
  <c r="D54"/>
  <c r="I43" s="1"/>
  <c r="E53"/>
  <c r="E52"/>
  <c r="D53"/>
  <c r="L37" s="1"/>
  <c r="D52"/>
  <c r="I39" s="1"/>
  <c r="A33" i="30"/>
  <c r="A32"/>
  <c r="A30"/>
  <c r="A29"/>
  <c r="A27"/>
  <c r="A26"/>
  <c r="A24"/>
  <c r="A23"/>
  <c r="A21"/>
  <c r="A20"/>
  <c r="A18"/>
  <c r="A17"/>
  <c r="A15"/>
  <c r="A14"/>
  <c r="A12"/>
  <c r="A11"/>
  <c r="A9"/>
  <c r="A8"/>
  <c r="A6"/>
  <c r="A5"/>
  <c r="I3"/>
  <c r="H3"/>
  <c r="G3"/>
  <c r="F3"/>
  <c r="E3"/>
  <c r="D3"/>
  <c r="C3"/>
  <c r="B3"/>
  <c r="A3"/>
  <c r="I2"/>
  <c r="H2"/>
  <c r="G2"/>
  <c r="F2"/>
  <c r="E2"/>
  <c r="D2"/>
  <c r="C2"/>
  <c r="B2"/>
  <c r="A2"/>
  <c r="C35" i="22"/>
  <c r="F35" s="1"/>
  <c r="B34" i="25" s="1"/>
  <c r="C37" i="22"/>
  <c r="F37" s="1"/>
  <c r="C39"/>
  <c r="C41"/>
  <c r="P41" s="1"/>
  <c r="C36"/>
  <c r="C38"/>
  <c r="P38" s="1"/>
  <c r="C40"/>
  <c r="C42"/>
  <c r="C43"/>
  <c r="C45"/>
  <c r="P45" s="1"/>
  <c r="C47"/>
  <c r="F47" s="1"/>
  <c r="C44"/>
  <c r="C46"/>
  <c r="C48"/>
  <c r="D48"/>
  <c r="D47"/>
  <c r="D46"/>
  <c r="D45"/>
  <c r="D44"/>
  <c r="D43"/>
  <c r="D42"/>
  <c r="D41"/>
  <c r="D40"/>
  <c r="D39"/>
  <c r="D38"/>
  <c r="D37"/>
  <c r="A92" i="28"/>
  <c r="S90"/>
  <c r="R90"/>
  <c r="Q90"/>
  <c r="P90"/>
  <c r="O90"/>
  <c r="N90"/>
  <c r="M90"/>
  <c r="L90"/>
  <c r="K90"/>
  <c r="J90"/>
  <c r="I90"/>
  <c r="H90"/>
  <c r="G90"/>
  <c r="F90"/>
  <c r="E90"/>
  <c r="D90"/>
  <c r="C90"/>
  <c r="B90"/>
  <c r="A90"/>
  <c r="S89"/>
  <c r="R89"/>
  <c r="Q89"/>
  <c r="P89"/>
  <c r="O89"/>
  <c r="N89"/>
  <c r="M89"/>
  <c r="L89"/>
  <c r="K89"/>
  <c r="J89"/>
  <c r="I89"/>
  <c r="H89"/>
  <c r="G89"/>
  <c r="F89"/>
  <c r="E89"/>
  <c r="D89"/>
  <c r="C89"/>
  <c r="B89"/>
  <c r="A89"/>
  <c r="S88"/>
  <c r="R88"/>
  <c r="Q88"/>
  <c r="P88"/>
  <c r="O88"/>
  <c r="N88"/>
  <c r="M88"/>
  <c r="L88"/>
  <c r="K88"/>
  <c r="J88"/>
  <c r="I88"/>
  <c r="H88"/>
  <c r="G88"/>
  <c r="F88"/>
  <c r="E88"/>
  <c r="D88"/>
  <c r="C88"/>
  <c r="B88"/>
  <c r="A88"/>
  <c r="S87"/>
  <c r="R87"/>
  <c r="Q87"/>
  <c r="P87"/>
  <c r="O87"/>
  <c r="N87"/>
  <c r="M87"/>
  <c r="L87"/>
  <c r="K87"/>
  <c r="J87"/>
  <c r="I87"/>
  <c r="H87"/>
  <c r="G87"/>
  <c r="F87"/>
  <c r="E87"/>
  <c r="D87"/>
  <c r="C87"/>
  <c r="B87"/>
  <c r="A87"/>
  <c r="S86"/>
  <c r="R86"/>
  <c r="Q86"/>
  <c r="P86"/>
  <c r="O86"/>
  <c r="N86"/>
  <c r="M86"/>
  <c r="L86"/>
  <c r="K86"/>
  <c r="J86"/>
  <c r="I86"/>
  <c r="H86"/>
  <c r="G86"/>
  <c r="F86"/>
  <c r="E86"/>
  <c r="D86"/>
  <c r="C86"/>
  <c r="B86"/>
  <c r="A86"/>
  <c r="S84"/>
  <c r="R84"/>
  <c r="Q84"/>
  <c r="P84"/>
  <c r="O84"/>
  <c r="N84"/>
  <c r="M84"/>
  <c r="L84"/>
  <c r="K84"/>
  <c r="J84"/>
  <c r="I84"/>
  <c r="H84"/>
  <c r="G84"/>
  <c r="F84"/>
  <c r="E84"/>
  <c r="D84"/>
  <c r="C84"/>
  <c r="B84"/>
  <c r="A84"/>
  <c r="S83"/>
  <c r="R83"/>
  <c r="Q83"/>
  <c r="P83"/>
  <c r="O83"/>
  <c r="N83"/>
  <c r="M83"/>
  <c r="L83"/>
  <c r="K83"/>
  <c r="J83"/>
  <c r="I83"/>
  <c r="H83"/>
  <c r="G83"/>
  <c r="F83"/>
  <c r="E83"/>
  <c r="D83"/>
  <c r="C83"/>
  <c r="B83"/>
  <c r="A83"/>
  <c r="S81"/>
  <c r="R81"/>
  <c r="Q81"/>
  <c r="P81"/>
  <c r="O81"/>
  <c r="N81"/>
  <c r="M81"/>
  <c r="L81"/>
  <c r="K81"/>
  <c r="J81"/>
  <c r="I81"/>
  <c r="H81"/>
  <c r="G81"/>
  <c r="F81"/>
  <c r="E81"/>
  <c r="D81"/>
  <c r="C81"/>
  <c r="B81"/>
  <c r="A81"/>
  <c r="S80"/>
  <c r="R80"/>
  <c r="Q80"/>
  <c r="P80"/>
  <c r="O80"/>
  <c r="N80"/>
  <c r="M80"/>
  <c r="L80"/>
  <c r="K80"/>
  <c r="J80"/>
  <c r="I80"/>
  <c r="H80"/>
  <c r="G80"/>
  <c r="F80"/>
  <c r="E80"/>
  <c r="D80"/>
  <c r="C80"/>
  <c r="B80"/>
  <c r="A80"/>
  <c r="S78"/>
  <c r="R78"/>
  <c r="Q78"/>
  <c r="P78"/>
  <c r="O78"/>
  <c r="N78"/>
  <c r="M78"/>
  <c r="L78"/>
  <c r="K78"/>
  <c r="J78"/>
  <c r="I78"/>
  <c r="H78"/>
  <c r="G78"/>
  <c r="F78"/>
  <c r="E78"/>
  <c r="D78"/>
  <c r="C78"/>
  <c r="B78"/>
  <c r="A78"/>
  <c r="S77"/>
  <c r="R77"/>
  <c r="Q77"/>
  <c r="P77"/>
  <c r="O77"/>
  <c r="N77"/>
  <c r="M77"/>
  <c r="L77"/>
  <c r="K77"/>
  <c r="J77"/>
  <c r="I77"/>
  <c r="H77"/>
  <c r="G77"/>
  <c r="F77"/>
  <c r="E77"/>
  <c r="D77"/>
  <c r="C77"/>
  <c r="B77"/>
  <c r="A77"/>
  <c r="S75"/>
  <c r="R75"/>
  <c r="Q75"/>
  <c r="P75"/>
  <c r="O75"/>
  <c r="N75"/>
  <c r="M75"/>
  <c r="L75"/>
  <c r="K75"/>
  <c r="J75"/>
  <c r="I75"/>
  <c r="H75"/>
  <c r="G75"/>
  <c r="F75"/>
  <c r="E75"/>
  <c r="D75"/>
  <c r="C75"/>
  <c r="B75"/>
  <c r="A75"/>
  <c r="S74"/>
  <c r="R74"/>
  <c r="Q74"/>
  <c r="P74"/>
  <c r="O74"/>
  <c r="N74"/>
  <c r="M74"/>
  <c r="L74"/>
  <c r="K74"/>
  <c r="J74"/>
  <c r="I74"/>
  <c r="H74"/>
  <c r="G74"/>
  <c r="F74"/>
  <c r="E74"/>
  <c r="D74"/>
  <c r="C74"/>
  <c r="B74"/>
  <c r="A74"/>
  <c r="S72"/>
  <c r="R72"/>
  <c r="Q72"/>
  <c r="P72"/>
  <c r="O72"/>
  <c r="N72"/>
  <c r="M72"/>
  <c r="L72"/>
  <c r="K72"/>
  <c r="J72"/>
  <c r="I72"/>
  <c r="H72"/>
  <c r="G72"/>
  <c r="F72"/>
  <c r="E72"/>
  <c r="D72"/>
  <c r="C72"/>
  <c r="B72"/>
  <c r="A72"/>
  <c r="S71"/>
  <c r="R71"/>
  <c r="Q71"/>
  <c r="P71"/>
  <c r="O71"/>
  <c r="N71"/>
  <c r="M71"/>
  <c r="L71"/>
  <c r="K71"/>
  <c r="J71"/>
  <c r="I71"/>
  <c r="H71"/>
  <c r="G71"/>
  <c r="F71"/>
  <c r="E71"/>
  <c r="D71"/>
  <c r="C71"/>
  <c r="B71"/>
  <c r="A71"/>
  <c r="S69"/>
  <c r="R69"/>
  <c r="Q69"/>
  <c r="P69"/>
  <c r="O69"/>
  <c r="N69"/>
  <c r="M69"/>
  <c r="L69"/>
  <c r="K69"/>
  <c r="J69"/>
  <c r="I69"/>
  <c r="H69"/>
  <c r="G69"/>
  <c r="F69"/>
  <c r="E69"/>
  <c r="D69"/>
  <c r="C69"/>
  <c r="B69"/>
  <c r="A69"/>
  <c r="S68"/>
  <c r="R68"/>
  <c r="Q68"/>
  <c r="P68"/>
  <c r="O68"/>
  <c r="N68"/>
  <c r="M68"/>
  <c r="L68"/>
  <c r="K68"/>
  <c r="J68"/>
  <c r="I68"/>
  <c r="H68"/>
  <c r="G68"/>
  <c r="F68"/>
  <c r="E68"/>
  <c r="D68"/>
  <c r="C68"/>
  <c r="B68"/>
  <c r="A68"/>
  <c r="S66"/>
  <c r="R66"/>
  <c r="Q66"/>
  <c r="P66"/>
  <c r="O66"/>
  <c r="N66"/>
  <c r="M66"/>
  <c r="L66"/>
  <c r="K66"/>
  <c r="J66"/>
  <c r="I66"/>
  <c r="H66"/>
  <c r="G66"/>
  <c r="F66"/>
  <c r="E66"/>
  <c r="D66"/>
  <c r="C66"/>
  <c r="B66"/>
  <c r="A66"/>
  <c r="S65"/>
  <c r="R65"/>
  <c r="Q65"/>
  <c r="P65"/>
  <c r="O65"/>
  <c r="N65"/>
  <c r="M65"/>
  <c r="L65"/>
  <c r="K65"/>
  <c r="J65"/>
  <c r="I65"/>
  <c r="H65"/>
  <c r="G65"/>
  <c r="F65"/>
  <c r="E65"/>
  <c r="D65"/>
  <c r="C65"/>
  <c r="B65"/>
  <c r="A65"/>
  <c r="S63"/>
  <c r="R63"/>
  <c r="Q63"/>
  <c r="P63"/>
  <c r="O63"/>
  <c r="N63"/>
  <c r="M63"/>
  <c r="L63"/>
  <c r="K63"/>
  <c r="J63"/>
  <c r="I63"/>
  <c r="H63"/>
  <c r="G63"/>
  <c r="F63"/>
  <c r="E63"/>
  <c r="D63"/>
  <c r="C63"/>
  <c r="B63"/>
  <c r="A63"/>
  <c r="S62"/>
  <c r="R62"/>
  <c r="Q62"/>
  <c r="P62"/>
  <c r="O62"/>
  <c r="N62"/>
  <c r="M62"/>
  <c r="L62"/>
  <c r="K62"/>
  <c r="J62"/>
  <c r="I62"/>
  <c r="H62"/>
  <c r="G62"/>
  <c r="F62"/>
  <c r="E62"/>
  <c r="D62"/>
  <c r="C62"/>
  <c r="B62"/>
  <c r="A62"/>
  <c r="S60"/>
  <c r="R60"/>
  <c r="Q60"/>
  <c r="P60"/>
  <c r="O60"/>
  <c r="N60"/>
  <c r="M60"/>
  <c r="L60"/>
  <c r="K60"/>
  <c r="J60"/>
  <c r="I60"/>
  <c r="H60"/>
  <c r="G60"/>
  <c r="F60"/>
  <c r="E60"/>
  <c r="D60"/>
  <c r="C60"/>
  <c r="B60"/>
  <c r="A60"/>
  <c r="S59"/>
  <c r="R59"/>
  <c r="Q59"/>
  <c r="P59"/>
  <c r="O59"/>
  <c r="N59"/>
  <c r="M59"/>
  <c r="L59"/>
  <c r="K59"/>
  <c r="J59"/>
  <c r="I59"/>
  <c r="H59"/>
  <c r="G59"/>
  <c r="F59"/>
  <c r="E59"/>
  <c r="D59"/>
  <c r="C59"/>
  <c r="B59"/>
  <c r="A59"/>
  <c r="S57"/>
  <c r="R57"/>
  <c r="Q57"/>
  <c r="P57"/>
  <c r="O57"/>
  <c r="N57"/>
  <c r="M57"/>
  <c r="L57"/>
  <c r="K57"/>
  <c r="J57"/>
  <c r="I57"/>
  <c r="H57"/>
  <c r="G57"/>
  <c r="F57"/>
  <c r="E57"/>
  <c r="D57"/>
  <c r="C57"/>
  <c r="B57"/>
  <c r="A57"/>
  <c r="S56"/>
  <c r="R56"/>
  <c r="Q56"/>
  <c r="P56"/>
  <c r="O56"/>
  <c r="N56"/>
  <c r="M56"/>
  <c r="L56"/>
  <c r="K56"/>
  <c r="J56"/>
  <c r="I56"/>
  <c r="H56"/>
  <c r="G56"/>
  <c r="F56"/>
  <c r="E56"/>
  <c r="D56"/>
  <c r="C56"/>
  <c r="B56"/>
  <c r="A56"/>
  <c r="S54"/>
  <c r="R54"/>
  <c r="Q54"/>
  <c r="P54"/>
  <c r="O54"/>
  <c r="N54"/>
  <c r="M54"/>
  <c r="L54"/>
  <c r="K54"/>
  <c r="J54"/>
  <c r="I54"/>
  <c r="H54"/>
  <c r="G54"/>
  <c r="F54"/>
  <c r="E54"/>
  <c r="D54"/>
  <c r="C54"/>
  <c r="B54"/>
  <c r="A54"/>
  <c r="S53"/>
  <c r="R53"/>
  <c r="Q53"/>
  <c r="P53"/>
  <c r="O53"/>
  <c r="N53"/>
  <c r="M53"/>
  <c r="L53"/>
  <c r="K53"/>
  <c r="J53"/>
  <c r="I53"/>
  <c r="H53"/>
  <c r="G53"/>
  <c r="F53"/>
  <c r="E53"/>
  <c r="D53"/>
  <c r="C53"/>
  <c r="B53"/>
  <c r="A53"/>
  <c r="S51"/>
  <c r="R51"/>
  <c r="Q51"/>
  <c r="P51"/>
  <c r="O51"/>
  <c r="N51"/>
  <c r="M51"/>
  <c r="L51"/>
  <c r="K51"/>
  <c r="J51"/>
  <c r="I51"/>
  <c r="H51"/>
  <c r="G51"/>
  <c r="F51"/>
  <c r="E51"/>
  <c r="D51"/>
  <c r="C51"/>
  <c r="B51"/>
  <c r="A51"/>
  <c r="S50"/>
  <c r="R50"/>
  <c r="Q50"/>
  <c r="P50"/>
  <c r="O50"/>
  <c r="N50"/>
  <c r="M50"/>
  <c r="L50"/>
  <c r="K50"/>
  <c r="J50"/>
  <c r="I50"/>
  <c r="H50"/>
  <c r="G50"/>
  <c r="F50"/>
  <c r="E50"/>
  <c r="D50"/>
  <c r="C50"/>
  <c r="B50"/>
  <c r="A50"/>
  <c r="S48"/>
  <c r="R48"/>
  <c r="Q48"/>
  <c r="P48"/>
  <c r="O48"/>
  <c r="N48"/>
  <c r="M48"/>
  <c r="L48"/>
  <c r="K48"/>
  <c r="J48"/>
  <c r="I48"/>
  <c r="H48"/>
  <c r="G48"/>
  <c r="F48"/>
  <c r="E48"/>
  <c r="D48"/>
  <c r="C48"/>
  <c r="B48"/>
  <c r="A48"/>
  <c r="S47"/>
  <c r="R47"/>
  <c r="Q47"/>
  <c r="P47"/>
  <c r="O47"/>
  <c r="N47"/>
  <c r="M47"/>
  <c r="L47"/>
  <c r="K47"/>
  <c r="J47"/>
  <c r="I47"/>
  <c r="H47"/>
  <c r="G47"/>
  <c r="F47"/>
  <c r="E47"/>
  <c r="D47"/>
  <c r="C47"/>
  <c r="B47"/>
  <c r="A47"/>
  <c r="S45"/>
  <c r="R45"/>
  <c r="Q45"/>
  <c r="P45"/>
  <c r="O45"/>
  <c r="N45"/>
  <c r="M45"/>
  <c r="L45"/>
  <c r="K45"/>
  <c r="J45"/>
  <c r="I45"/>
  <c r="H45"/>
  <c r="G45"/>
  <c r="F45"/>
  <c r="E45"/>
  <c r="D45"/>
  <c r="C45"/>
  <c r="B45"/>
  <c r="A45"/>
  <c r="S44"/>
  <c r="R44"/>
  <c r="Q44"/>
  <c r="P44"/>
  <c r="O44"/>
  <c r="N44"/>
  <c r="M44"/>
  <c r="L44"/>
  <c r="K44"/>
  <c r="J44"/>
  <c r="I44"/>
  <c r="H44"/>
  <c r="G44"/>
  <c r="F44"/>
  <c r="E44"/>
  <c r="D44"/>
  <c r="C44"/>
  <c r="B44"/>
  <c r="A44"/>
  <c r="S42"/>
  <c r="R42"/>
  <c r="Q42"/>
  <c r="P42"/>
  <c r="O42"/>
  <c r="N42"/>
  <c r="M42"/>
  <c r="L42"/>
  <c r="K42"/>
  <c r="J42"/>
  <c r="I42"/>
  <c r="H42"/>
  <c r="G42"/>
  <c r="F42"/>
  <c r="E42"/>
  <c r="D42"/>
  <c r="C42"/>
  <c r="B42"/>
  <c r="A42"/>
  <c r="S41"/>
  <c r="R41"/>
  <c r="Q41"/>
  <c r="P41"/>
  <c r="O41"/>
  <c r="N41"/>
  <c r="M41"/>
  <c r="L41"/>
  <c r="K41"/>
  <c r="J41"/>
  <c r="I41"/>
  <c r="H41"/>
  <c r="G41"/>
  <c r="F41"/>
  <c r="E41"/>
  <c r="D41"/>
  <c r="C41"/>
  <c r="B41"/>
  <c r="A41"/>
  <c r="S39"/>
  <c r="R39"/>
  <c r="Q39"/>
  <c r="P39"/>
  <c r="O39"/>
  <c r="N39"/>
  <c r="M39"/>
  <c r="L39"/>
  <c r="K39"/>
  <c r="J39"/>
  <c r="I39"/>
  <c r="H39"/>
  <c r="G39"/>
  <c r="F39"/>
  <c r="E39"/>
  <c r="D39"/>
  <c r="C39"/>
  <c r="B39"/>
  <c r="A39"/>
  <c r="S38"/>
  <c r="R38"/>
  <c r="Q38"/>
  <c r="P38"/>
  <c r="O38"/>
  <c r="N38"/>
  <c r="M38"/>
  <c r="L38"/>
  <c r="K38"/>
  <c r="J38"/>
  <c r="I38"/>
  <c r="H38"/>
  <c r="G38"/>
  <c r="F38"/>
  <c r="E38"/>
  <c r="D38"/>
  <c r="C38"/>
  <c r="B38"/>
  <c r="A38"/>
  <c r="S36"/>
  <c r="R36"/>
  <c r="Q36"/>
  <c r="P36"/>
  <c r="O36"/>
  <c r="N36"/>
  <c r="M36"/>
  <c r="L36"/>
  <c r="K36"/>
  <c r="J36"/>
  <c r="I36"/>
  <c r="H36"/>
  <c r="G36"/>
  <c r="F36"/>
  <c r="E36"/>
  <c r="D36"/>
  <c r="C36"/>
  <c r="B36"/>
  <c r="A36"/>
  <c r="S35"/>
  <c r="R35"/>
  <c r="Q35"/>
  <c r="P35"/>
  <c r="O35"/>
  <c r="N35"/>
  <c r="M35"/>
  <c r="L35"/>
  <c r="K35"/>
  <c r="J35"/>
  <c r="I35"/>
  <c r="H35"/>
  <c r="G35"/>
  <c r="F35"/>
  <c r="E35"/>
  <c r="D35"/>
  <c r="C35"/>
  <c r="B35"/>
  <c r="A35"/>
  <c r="S33"/>
  <c r="R33"/>
  <c r="Q33"/>
  <c r="P33"/>
  <c r="O33"/>
  <c r="N33"/>
  <c r="M33"/>
  <c r="L33"/>
  <c r="K33"/>
  <c r="J33"/>
  <c r="I33"/>
  <c r="H33"/>
  <c r="G33"/>
  <c r="F33"/>
  <c r="E33"/>
  <c r="D33"/>
  <c r="C33"/>
  <c r="B33"/>
  <c r="A33"/>
  <c r="S32"/>
  <c r="R32"/>
  <c r="Q32"/>
  <c r="P32"/>
  <c r="O32"/>
  <c r="N32"/>
  <c r="M32"/>
  <c r="L32"/>
  <c r="K32"/>
  <c r="J32"/>
  <c r="I32"/>
  <c r="H32"/>
  <c r="G32"/>
  <c r="F32"/>
  <c r="E32"/>
  <c r="D32"/>
  <c r="C32"/>
  <c r="B32"/>
  <c r="A32"/>
  <c r="S30"/>
  <c r="R30"/>
  <c r="Q30"/>
  <c r="P30"/>
  <c r="O30"/>
  <c r="N30"/>
  <c r="M30"/>
  <c r="L30"/>
  <c r="K30"/>
  <c r="J30"/>
  <c r="I30"/>
  <c r="H30"/>
  <c r="G30"/>
  <c r="F30"/>
  <c r="E30"/>
  <c r="D30"/>
  <c r="C30"/>
  <c r="B30"/>
  <c r="A30"/>
  <c r="S29"/>
  <c r="R29"/>
  <c r="Q29"/>
  <c r="P29"/>
  <c r="O29"/>
  <c r="N29"/>
  <c r="M29"/>
  <c r="L29"/>
  <c r="K29"/>
  <c r="J29"/>
  <c r="I29"/>
  <c r="H29"/>
  <c r="G29"/>
  <c r="F29"/>
  <c r="E29"/>
  <c r="D29"/>
  <c r="C29"/>
  <c r="B29"/>
  <c r="A29"/>
  <c r="S27"/>
  <c r="R27"/>
  <c r="Q27"/>
  <c r="P27"/>
  <c r="O27"/>
  <c r="N27"/>
  <c r="M27"/>
  <c r="L27"/>
  <c r="K27"/>
  <c r="J27"/>
  <c r="I27"/>
  <c r="H27"/>
  <c r="G27"/>
  <c r="F27"/>
  <c r="E27"/>
  <c r="D27"/>
  <c r="C27"/>
  <c r="B27"/>
  <c r="A27"/>
  <c r="S26"/>
  <c r="R26"/>
  <c r="Q26"/>
  <c r="P26"/>
  <c r="O26"/>
  <c r="N26"/>
  <c r="M26"/>
  <c r="L26"/>
  <c r="K26"/>
  <c r="J26"/>
  <c r="I26"/>
  <c r="H26"/>
  <c r="G26"/>
  <c r="F26"/>
  <c r="E26"/>
  <c r="D26"/>
  <c r="C26"/>
  <c r="B26"/>
  <c r="A26"/>
  <c r="S24"/>
  <c r="R24"/>
  <c r="Q24"/>
  <c r="P24"/>
  <c r="O24"/>
  <c r="N24"/>
  <c r="M24"/>
  <c r="L24"/>
  <c r="K24"/>
  <c r="J24"/>
  <c r="I24"/>
  <c r="H24"/>
  <c r="G24"/>
  <c r="F24"/>
  <c r="E24"/>
  <c r="D24"/>
  <c r="C24"/>
  <c r="B24"/>
  <c r="A24"/>
  <c r="S23"/>
  <c r="R23"/>
  <c r="Q23"/>
  <c r="P23"/>
  <c r="O23"/>
  <c r="N23"/>
  <c r="M23"/>
  <c r="L23"/>
  <c r="K23"/>
  <c r="J23"/>
  <c r="I23"/>
  <c r="H23"/>
  <c r="G23"/>
  <c r="F23"/>
  <c r="E23"/>
  <c r="D23"/>
  <c r="C23"/>
  <c r="B23"/>
  <c r="A23"/>
  <c r="S21"/>
  <c r="R21"/>
  <c r="Q21"/>
  <c r="P21"/>
  <c r="O21"/>
  <c r="N21"/>
  <c r="M21"/>
  <c r="L21"/>
  <c r="K21"/>
  <c r="J21"/>
  <c r="I21"/>
  <c r="H21"/>
  <c r="G21"/>
  <c r="F21"/>
  <c r="E21"/>
  <c r="D21"/>
  <c r="C21"/>
  <c r="B21"/>
  <c r="A21"/>
  <c r="S20"/>
  <c r="R20"/>
  <c r="Q20"/>
  <c r="P20"/>
  <c r="O20"/>
  <c r="N20"/>
  <c r="M20"/>
  <c r="L20"/>
  <c r="K20"/>
  <c r="J20"/>
  <c r="I20"/>
  <c r="H20"/>
  <c r="G20"/>
  <c r="F20"/>
  <c r="E20"/>
  <c r="D20"/>
  <c r="C20"/>
  <c r="B20"/>
  <c r="A20"/>
  <c r="S18"/>
  <c r="R18"/>
  <c r="Q18"/>
  <c r="P18"/>
  <c r="O18"/>
  <c r="N18"/>
  <c r="M18"/>
  <c r="L18"/>
  <c r="K18"/>
  <c r="J18"/>
  <c r="I18"/>
  <c r="H18"/>
  <c r="G18"/>
  <c r="F18"/>
  <c r="E18"/>
  <c r="D18"/>
  <c r="C18"/>
  <c r="B18"/>
  <c r="A18"/>
  <c r="S17"/>
  <c r="R17"/>
  <c r="Q17"/>
  <c r="P17"/>
  <c r="O17"/>
  <c r="N17"/>
  <c r="M17"/>
  <c r="L17"/>
  <c r="K17"/>
  <c r="J17"/>
  <c r="I17"/>
  <c r="H17"/>
  <c r="G17"/>
  <c r="F17"/>
  <c r="E17"/>
  <c r="D17"/>
  <c r="C17"/>
  <c r="B17"/>
  <c r="A17"/>
  <c r="S15"/>
  <c r="R15"/>
  <c r="Q15"/>
  <c r="P15"/>
  <c r="O15"/>
  <c r="N15"/>
  <c r="M15"/>
  <c r="L15"/>
  <c r="K15"/>
  <c r="J15"/>
  <c r="I15"/>
  <c r="H15"/>
  <c r="G15"/>
  <c r="F15"/>
  <c r="E15"/>
  <c r="D15"/>
  <c r="C15"/>
  <c r="B15"/>
  <c r="A15"/>
  <c r="S14"/>
  <c r="R14"/>
  <c r="Q14"/>
  <c r="P14"/>
  <c r="O14"/>
  <c r="N14"/>
  <c r="M14"/>
  <c r="L14"/>
  <c r="K14"/>
  <c r="J14"/>
  <c r="I14"/>
  <c r="H14"/>
  <c r="G14"/>
  <c r="F14"/>
  <c r="E14"/>
  <c r="D14"/>
  <c r="C14"/>
  <c r="B14"/>
  <c r="A14"/>
  <c r="S12"/>
  <c r="R12"/>
  <c r="Q12"/>
  <c r="P12"/>
  <c r="O12"/>
  <c r="N12"/>
  <c r="M12"/>
  <c r="L12"/>
  <c r="K12"/>
  <c r="J12"/>
  <c r="I12"/>
  <c r="H12"/>
  <c r="G12"/>
  <c r="F12"/>
  <c r="E12"/>
  <c r="D12"/>
  <c r="C12"/>
  <c r="B12"/>
  <c r="A12"/>
  <c r="S11"/>
  <c r="R11"/>
  <c r="Q11"/>
  <c r="P11"/>
  <c r="O11"/>
  <c r="N11"/>
  <c r="M11"/>
  <c r="L11"/>
  <c r="K11"/>
  <c r="J11"/>
  <c r="I11"/>
  <c r="H11"/>
  <c r="G11"/>
  <c r="F11"/>
  <c r="E11"/>
  <c r="D11"/>
  <c r="C11"/>
  <c r="B11"/>
  <c r="A11"/>
  <c r="S9"/>
  <c r="R9"/>
  <c r="Q9"/>
  <c r="P9"/>
  <c r="O9"/>
  <c r="N9"/>
  <c r="M9"/>
  <c r="L9"/>
  <c r="K9"/>
  <c r="J9"/>
  <c r="I9"/>
  <c r="H9"/>
  <c r="G9"/>
  <c r="F9"/>
  <c r="E9"/>
  <c r="D9"/>
  <c r="C9"/>
  <c r="B9"/>
  <c r="A9"/>
  <c r="S8"/>
  <c r="R8"/>
  <c r="Q8"/>
  <c r="P8"/>
  <c r="O8"/>
  <c r="N8"/>
  <c r="M8"/>
  <c r="L8"/>
  <c r="K8"/>
  <c r="J8"/>
  <c r="I8"/>
  <c r="H8"/>
  <c r="G8"/>
  <c r="F8"/>
  <c r="E8"/>
  <c r="D8"/>
  <c r="C8"/>
  <c r="B8"/>
  <c r="A8"/>
  <c r="S6"/>
  <c r="R6"/>
  <c r="Q6"/>
  <c r="P6"/>
  <c r="O6"/>
  <c r="N6"/>
  <c r="M6"/>
  <c r="L6"/>
  <c r="K6"/>
  <c r="J6"/>
  <c r="I6"/>
  <c r="H6"/>
  <c r="G6"/>
  <c r="F6"/>
  <c r="E6"/>
  <c r="D6"/>
  <c r="C6"/>
  <c r="B6"/>
  <c r="A6"/>
  <c r="S5"/>
  <c r="R5"/>
  <c r="Q5"/>
  <c r="P5"/>
  <c r="O5"/>
  <c r="N5"/>
  <c r="M5"/>
  <c r="L5"/>
  <c r="K5"/>
  <c r="J5"/>
  <c r="I5"/>
  <c r="H5"/>
  <c r="G5"/>
  <c r="F5"/>
  <c r="E5"/>
  <c r="D5"/>
  <c r="C5"/>
  <c r="B5"/>
  <c r="A5"/>
  <c r="S3"/>
  <c r="R3"/>
  <c r="Q3"/>
  <c r="P3"/>
  <c r="O3"/>
  <c r="N3"/>
  <c r="M3"/>
  <c r="L3"/>
  <c r="K3"/>
  <c r="J3"/>
  <c r="I3"/>
  <c r="H3"/>
  <c r="G3"/>
  <c r="F3"/>
  <c r="E3"/>
  <c r="D3"/>
  <c r="C3"/>
  <c r="B3"/>
  <c r="A3"/>
  <c r="S2"/>
  <c r="R2"/>
  <c r="Q2"/>
  <c r="P2"/>
  <c r="O2"/>
  <c r="N2"/>
  <c r="M2"/>
  <c r="L2"/>
  <c r="K2"/>
  <c r="J2"/>
  <c r="I2"/>
  <c r="H2"/>
  <c r="G2"/>
  <c r="F2"/>
  <c r="E2"/>
  <c r="D2"/>
  <c r="C2"/>
  <c r="B2"/>
  <c r="A2"/>
  <c r="A92" i="29"/>
  <c r="S90"/>
  <c r="R90"/>
  <c r="Q90"/>
  <c r="P90"/>
  <c r="O90"/>
  <c r="N90"/>
  <c r="M90"/>
  <c r="L90"/>
  <c r="K90"/>
  <c r="J90"/>
  <c r="I90"/>
  <c r="H90"/>
  <c r="G90"/>
  <c r="F90"/>
  <c r="E90"/>
  <c r="D90"/>
  <c r="C90"/>
  <c r="B90"/>
  <c r="A90"/>
  <c r="S89"/>
  <c r="R89"/>
  <c r="Q89"/>
  <c r="P89"/>
  <c r="O89"/>
  <c r="N89"/>
  <c r="M89"/>
  <c r="L89"/>
  <c r="K89"/>
  <c r="J89"/>
  <c r="I89"/>
  <c r="H89"/>
  <c r="G89"/>
  <c r="F89"/>
  <c r="E89"/>
  <c r="D89"/>
  <c r="C89"/>
  <c r="B89"/>
  <c r="A89"/>
  <c r="S88"/>
  <c r="R88"/>
  <c r="Q88"/>
  <c r="P88"/>
  <c r="O88"/>
  <c r="N88"/>
  <c r="M88"/>
  <c r="L88"/>
  <c r="K88"/>
  <c r="J88"/>
  <c r="I88"/>
  <c r="H88"/>
  <c r="G88"/>
  <c r="F88"/>
  <c r="E88"/>
  <c r="D88"/>
  <c r="C88"/>
  <c r="B88"/>
  <c r="A88"/>
  <c r="S87"/>
  <c r="R87"/>
  <c r="Q87"/>
  <c r="P87"/>
  <c r="O87"/>
  <c r="N87"/>
  <c r="M87"/>
  <c r="L87"/>
  <c r="K87"/>
  <c r="J87"/>
  <c r="I87"/>
  <c r="H87"/>
  <c r="G87"/>
  <c r="F87"/>
  <c r="E87"/>
  <c r="D87"/>
  <c r="C87"/>
  <c r="B87"/>
  <c r="A87"/>
  <c r="S86"/>
  <c r="R86"/>
  <c r="Q86"/>
  <c r="P86"/>
  <c r="O86"/>
  <c r="N86"/>
  <c r="M86"/>
  <c r="L86"/>
  <c r="K86"/>
  <c r="J86"/>
  <c r="I86"/>
  <c r="H86"/>
  <c r="G86"/>
  <c r="F86"/>
  <c r="E86"/>
  <c r="D86"/>
  <c r="C86"/>
  <c r="B86"/>
  <c r="A86"/>
  <c r="S84"/>
  <c r="R84"/>
  <c r="Q84"/>
  <c r="P84"/>
  <c r="O84"/>
  <c r="N84"/>
  <c r="M84"/>
  <c r="L84"/>
  <c r="K84"/>
  <c r="J84"/>
  <c r="I84"/>
  <c r="H84"/>
  <c r="G84"/>
  <c r="F84"/>
  <c r="E84"/>
  <c r="D84"/>
  <c r="C84"/>
  <c r="B84"/>
  <c r="A84"/>
  <c r="S83"/>
  <c r="R83"/>
  <c r="Q83"/>
  <c r="P83"/>
  <c r="O83"/>
  <c r="N83"/>
  <c r="M83"/>
  <c r="L83"/>
  <c r="K83"/>
  <c r="J83"/>
  <c r="I83"/>
  <c r="H83"/>
  <c r="G83"/>
  <c r="F83"/>
  <c r="E83"/>
  <c r="D83"/>
  <c r="C83"/>
  <c r="B83"/>
  <c r="A83"/>
  <c r="S81"/>
  <c r="R81"/>
  <c r="Q81"/>
  <c r="P81"/>
  <c r="O81"/>
  <c r="N81"/>
  <c r="M81"/>
  <c r="L81"/>
  <c r="K81"/>
  <c r="J81"/>
  <c r="I81"/>
  <c r="H81"/>
  <c r="G81"/>
  <c r="F81"/>
  <c r="E81"/>
  <c r="D81"/>
  <c r="C81"/>
  <c r="B81"/>
  <c r="A81"/>
  <c r="S80"/>
  <c r="R80"/>
  <c r="Q80"/>
  <c r="P80"/>
  <c r="O80"/>
  <c r="N80"/>
  <c r="M80"/>
  <c r="L80"/>
  <c r="K80"/>
  <c r="J80"/>
  <c r="I80"/>
  <c r="H80"/>
  <c r="G80"/>
  <c r="F80"/>
  <c r="E80"/>
  <c r="D80"/>
  <c r="C80"/>
  <c r="B80"/>
  <c r="A80"/>
  <c r="S78"/>
  <c r="R78"/>
  <c r="Q78"/>
  <c r="P78"/>
  <c r="O78"/>
  <c r="N78"/>
  <c r="M78"/>
  <c r="L78"/>
  <c r="K78"/>
  <c r="J78"/>
  <c r="I78"/>
  <c r="H78"/>
  <c r="G78"/>
  <c r="F78"/>
  <c r="E78"/>
  <c r="D78"/>
  <c r="C78"/>
  <c r="B78"/>
  <c r="A78"/>
  <c r="S77"/>
  <c r="R77"/>
  <c r="Q77"/>
  <c r="P77"/>
  <c r="O77"/>
  <c r="N77"/>
  <c r="M77"/>
  <c r="L77"/>
  <c r="K77"/>
  <c r="J77"/>
  <c r="I77"/>
  <c r="H77"/>
  <c r="G77"/>
  <c r="F77"/>
  <c r="E77"/>
  <c r="D77"/>
  <c r="C77"/>
  <c r="B77"/>
  <c r="A77"/>
  <c r="S75"/>
  <c r="R75"/>
  <c r="Q75"/>
  <c r="P75"/>
  <c r="O75"/>
  <c r="N75"/>
  <c r="M75"/>
  <c r="L75"/>
  <c r="K75"/>
  <c r="J75"/>
  <c r="I75"/>
  <c r="H75"/>
  <c r="G75"/>
  <c r="F75"/>
  <c r="E75"/>
  <c r="D75"/>
  <c r="C75"/>
  <c r="B75"/>
  <c r="A75"/>
  <c r="S74"/>
  <c r="R74"/>
  <c r="Q74"/>
  <c r="P74"/>
  <c r="O74"/>
  <c r="N74"/>
  <c r="M74"/>
  <c r="L74"/>
  <c r="K74"/>
  <c r="J74"/>
  <c r="I74"/>
  <c r="H74"/>
  <c r="G74"/>
  <c r="F74"/>
  <c r="E74"/>
  <c r="D74"/>
  <c r="C74"/>
  <c r="B74"/>
  <c r="A74"/>
  <c r="S72"/>
  <c r="R72"/>
  <c r="Q72"/>
  <c r="P72"/>
  <c r="O72"/>
  <c r="N72"/>
  <c r="M72"/>
  <c r="L72"/>
  <c r="K72"/>
  <c r="J72"/>
  <c r="I72"/>
  <c r="H72"/>
  <c r="G72"/>
  <c r="F72"/>
  <c r="E72"/>
  <c r="D72"/>
  <c r="C72"/>
  <c r="B72"/>
  <c r="A72"/>
  <c r="S71"/>
  <c r="R71"/>
  <c r="Q71"/>
  <c r="P71"/>
  <c r="O71"/>
  <c r="N71"/>
  <c r="M71"/>
  <c r="L71"/>
  <c r="K71"/>
  <c r="J71"/>
  <c r="I71"/>
  <c r="H71"/>
  <c r="G71"/>
  <c r="F71"/>
  <c r="E71"/>
  <c r="D71"/>
  <c r="C71"/>
  <c r="B71"/>
  <c r="A71"/>
  <c r="S69"/>
  <c r="R69"/>
  <c r="Q69"/>
  <c r="P69"/>
  <c r="O69"/>
  <c r="N69"/>
  <c r="M69"/>
  <c r="L69"/>
  <c r="K69"/>
  <c r="J69"/>
  <c r="I69"/>
  <c r="H69"/>
  <c r="G69"/>
  <c r="F69"/>
  <c r="E69"/>
  <c r="D69"/>
  <c r="C69"/>
  <c r="B69"/>
  <c r="A69"/>
  <c r="S68"/>
  <c r="R68"/>
  <c r="Q68"/>
  <c r="P68"/>
  <c r="O68"/>
  <c r="N68"/>
  <c r="M68"/>
  <c r="L68"/>
  <c r="K68"/>
  <c r="J68"/>
  <c r="I68"/>
  <c r="H68"/>
  <c r="G68"/>
  <c r="F68"/>
  <c r="E68"/>
  <c r="D68"/>
  <c r="C68"/>
  <c r="B68"/>
  <c r="A68"/>
  <c r="S66"/>
  <c r="R66"/>
  <c r="Q66"/>
  <c r="P66"/>
  <c r="O66"/>
  <c r="N66"/>
  <c r="M66"/>
  <c r="L66"/>
  <c r="K66"/>
  <c r="J66"/>
  <c r="I66"/>
  <c r="H66"/>
  <c r="G66"/>
  <c r="F66"/>
  <c r="E66"/>
  <c r="D66"/>
  <c r="C66"/>
  <c r="B66"/>
  <c r="A66"/>
  <c r="S65"/>
  <c r="R65"/>
  <c r="Q65"/>
  <c r="P65"/>
  <c r="O65"/>
  <c r="N65"/>
  <c r="M65"/>
  <c r="L65"/>
  <c r="K65"/>
  <c r="J65"/>
  <c r="I65"/>
  <c r="H65"/>
  <c r="G65"/>
  <c r="F65"/>
  <c r="E65"/>
  <c r="D65"/>
  <c r="C65"/>
  <c r="B65"/>
  <c r="A65"/>
  <c r="S63"/>
  <c r="R63"/>
  <c r="Q63"/>
  <c r="P63"/>
  <c r="O63"/>
  <c r="N63"/>
  <c r="M63"/>
  <c r="L63"/>
  <c r="K63"/>
  <c r="J63"/>
  <c r="I63"/>
  <c r="H63"/>
  <c r="G63"/>
  <c r="F63"/>
  <c r="E63"/>
  <c r="D63"/>
  <c r="C63"/>
  <c r="B63"/>
  <c r="A63"/>
  <c r="S62"/>
  <c r="R62"/>
  <c r="Q62"/>
  <c r="P62"/>
  <c r="O62"/>
  <c r="N62"/>
  <c r="M62"/>
  <c r="L62"/>
  <c r="K62"/>
  <c r="J62"/>
  <c r="I62"/>
  <c r="H62"/>
  <c r="G62"/>
  <c r="F62"/>
  <c r="E62"/>
  <c r="D62"/>
  <c r="C62"/>
  <c r="B62"/>
  <c r="A62"/>
  <c r="S60"/>
  <c r="R60"/>
  <c r="Q60"/>
  <c r="P60"/>
  <c r="O60"/>
  <c r="N60"/>
  <c r="M60"/>
  <c r="L60"/>
  <c r="K60"/>
  <c r="J60"/>
  <c r="I60"/>
  <c r="H60"/>
  <c r="G60"/>
  <c r="F60"/>
  <c r="E60"/>
  <c r="D60"/>
  <c r="C60"/>
  <c r="B60"/>
  <c r="A60"/>
  <c r="S59"/>
  <c r="R59"/>
  <c r="Q59"/>
  <c r="P59"/>
  <c r="O59"/>
  <c r="N59"/>
  <c r="M59"/>
  <c r="L59"/>
  <c r="K59"/>
  <c r="J59"/>
  <c r="I59"/>
  <c r="H59"/>
  <c r="G59"/>
  <c r="F59"/>
  <c r="E59"/>
  <c r="D59"/>
  <c r="C59"/>
  <c r="B59"/>
  <c r="A59"/>
  <c r="S57"/>
  <c r="R57"/>
  <c r="Q57"/>
  <c r="P57"/>
  <c r="O57"/>
  <c r="N57"/>
  <c r="M57"/>
  <c r="L57"/>
  <c r="K57"/>
  <c r="J57"/>
  <c r="I57"/>
  <c r="H57"/>
  <c r="G57"/>
  <c r="F57"/>
  <c r="E57"/>
  <c r="D57"/>
  <c r="C57"/>
  <c r="B57"/>
  <c r="A57"/>
  <c r="S56"/>
  <c r="R56"/>
  <c r="Q56"/>
  <c r="P56"/>
  <c r="O56"/>
  <c r="N56"/>
  <c r="M56"/>
  <c r="L56"/>
  <c r="K56"/>
  <c r="J56"/>
  <c r="I56"/>
  <c r="H56"/>
  <c r="G56"/>
  <c r="F56"/>
  <c r="E56"/>
  <c r="D56"/>
  <c r="C56"/>
  <c r="B56"/>
  <c r="A56"/>
  <c r="S54"/>
  <c r="R54"/>
  <c r="Q54"/>
  <c r="P54"/>
  <c r="O54"/>
  <c r="N54"/>
  <c r="M54"/>
  <c r="L54"/>
  <c r="K54"/>
  <c r="J54"/>
  <c r="I54"/>
  <c r="H54"/>
  <c r="G54"/>
  <c r="F54"/>
  <c r="E54"/>
  <c r="D54"/>
  <c r="C54"/>
  <c r="B54"/>
  <c r="A54"/>
  <c r="S53"/>
  <c r="R53"/>
  <c r="Q53"/>
  <c r="P53"/>
  <c r="O53"/>
  <c r="N53"/>
  <c r="M53"/>
  <c r="L53"/>
  <c r="K53"/>
  <c r="J53"/>
  <c r="I53"/>
  <c r="H53"/>
  <c r="G53"/>
  <c r="F53"/>
  <c r="E53"/>
  <c r="D53"/>
  <c r="C53"/>
  <c r="B53"/>
  <c r="A53"/>
  <c r="S51"/>
  <c r="R51"/>
  <c r="Q51"/>
  <c r="P51"/>
  <c r="O51"/>
  <c r="N51"/>
  <c r="M51"/>
  <c r="L51"/>
  <c r="K51"/>
  <c r="J51"/>
  <c r="I51"/>
  <c r="H51"/>
  <c r="G51"/>
  <c r="F51"/>
  <c r="E51"/>
  <c r="D51"/>
  <c r="C51"/>
  <c r="B51"/>
  <c r="A51"/>
  <c r="S50"/>
  <c r="R50"/>
  <c r="Q50"/>
  <c r="P50"/>
  <c r="O50"/>
  <c r="N50"/>
  <c r="M50"/>
  <c r="L50"/>
  <c r="K50"/>
  <c r="J50"/>
  <c r="I50"/>
  <c r="H50"/>
  <c r="G50"/>
  <c r="F50"/>
  <c r="E50"/>
  <c r="D50"/>
  <c r="C50"/>
  <c r="B50"/>
  <c r="A50"/>
  <c r="S48"/>
  <c r="R48"/>
  <c r="Q48"/>
  <c r="P48"/>
  <c r="O48"/>
  <c r="N48"/>
  <c r="M48"/>
  <c r="L48"/>
  <c r="K48"/>
  <c r="J48"/>
  <c r="I48"/>
  <c r="H48"/>
  <c r="G48"/>
  <c r="F48"/>
  <c r="E48"/>
  <c r="D48"/>
  <c r="C48"/>
  <c r="B48"/>
  <c r="A48"/>
  <c r="S47"/>
  <c r="R47"/>
  <c r="Q47"/>
  <c r="P47"/>
  <c r="O47"/>
  <c r="N47"/>
  <c r="M47"/>
  <c r="L47"/>
  <c r="K47"/>
  <c r="J47"/>
  <c r="I47"/>
  <c r="H47"/>
  <c r="G47"/>
  <c r="F47"/>
  <c r="E47"/>
  <c r="D47"/>
  <c r="C47"/>
  <c r="B47"/>
  <c r="A47"/>
  <c r="S45"/>
  <c r="R45"/>
  <c r="Q45"/>
  <c r="P45"/>
  <c r="O45"/>
  <c r="N45"/>
  <c r="M45"/>
  <c r="L45"/>
  <c r="K45"/>
  <c r="J45"/>
  <c r="I45"/>
  <c r="H45"/>
  <c r="G45"/>
  <c r="F45"/>
  <c r="E45"/>
  <c r="D45"/>
  <c r="C45"/>
  <c r="B45"/>
  <c r="A45"/>
  <c r="S44"/>
  <c r="R44"/>
  <c r="Q44"/>
  <c r="P44"/>
  <c r="O44"/>
  <c r="N44"/>
  <c r="M44"/>
  <c r="L44"/>
  <c r="K44"/>
  <c r="J44"/>
  <c r="I44"/>
  <c r="H44"/>
  <c r="G44"/>
  <c r="F44"/>
  <c r="E44"/>
  <c r="D44"/>
  <c r="C44"/>
  <c r="B44"/>
  <c r="A44"/>
  <c r="S42"/>
  <c r="R42"/>
  <c r="Q42"/>
  <c r="P42"/>
  <c r="O42"/>
  <c r="N42"/>
  <c r="M42"/>
  <c r="L42"/>
  <c r="K42"/>
  <c r="J42"/>
  <c r="I42"/>
  <c r="H42"/>
  <c r="G42"/>
  <c r="F42"/>
  <c r="E42"/>
  <c r="D42"/>
  <c r="C42"/>
  <c r="B42"/>
  <c r="A42"/>
  <c r="S41"/>
  <c r="R41"/>
  <c r="Q41"/>
  <c r="P41"/>
  <c r="O41"/>
  <c r="N41"/>
  <c r="M41"/>
  <c r="L41"/>
  <c r="K41"/>
  <c r="J41"/>
  <c r="I41"/>
  <c r="H41"/>
  <c r="G41"/>
  <c r="F41"/>
  <c r="E41"/>
  <c r="D41"/>
  <c r="C41"/>
  <c r="B41"/>
  <c r="A41"/>
  <c r="S39"/>
  <c r="R39"/>
  <c r="Q39"/>
  <c r="P39"/>
  <c r="O39"/>
  <c r="N39"/>
  <c r="M39"/>
  <c r="L39"/>
  <c r="K39"/>
  <c r="J39"/>
  <c r="I39"/>
  <c r="H39"/>
  <c r="G39"/>
  <c r="F39"/>
  <c r="E39"/>
  <c r="D39"/>
  <c r="C39"/>
  <c r="B39"/>
  <c r="A39"/>
  <c r="S38"/>
  <c r="R38"/>
  <c r="Q38"/>
  <c r="P38"/>
  <c r="O38"/>
  <c r="N38"/>
  <c r="M38"/>
  <c r="L38"/>
  <c r="K38"/>
  <c r="J38"/>
  <c r="I38"/>
  <c r="H38"/>
  <c r="G38"/>
  <c r="F38"/>
  <c r="E38"/>
  <c r="D38"/>
  <c r="C38"/>
  <c r="B38"/>
  <c r="A38"/>
  <c r="S36"/>
  <c r="R36"/>
  <c r="Q36"/>
  <c r="P36"/>
  <c r="O36"/>
  <c r="N36"/>
  <c r="M36"/>
  <c r="L36"/>
  <c r="K36"/>
  <c r="J36"/>
  <c r="I36"/>
  <c r="H36"/>
  <c r="G36"/>
  <c r="F36"/>
  <c r="E36"/>
  <c r="D36"/>
  <c r="C36"/>
  <c r="B36"/>
  <c r="A36"/>
  <c r="S35"/>
  <c r="R35"/>
  <c r="Q35"/>
  <c r="P35"/>
  <c r="O35"/>
  <c r="N35"/>
  <c r="M35"/>
  <c r="L35"/>
  <c r="K35"/>
  <c r="J35"/>
  <c r="I35"/>
  <c r="H35"/>
  <c r="G35"/>
  <c r="F35"/>
  <c r="E35"/>
  <c r="D35"/>
  <c r="C35"/>
  <c r="B35"/>
  <c r="A35"/>
  <c r="S33"/>
  <c r="R33"/>
  <c r="Q33"/>
  <c r="P33"/>
  <c r="O33"/>
  <c r="N33"/>
  <c r="M33"/>
  <c r="L33"/>
  <c r="K33"/>
  <c r="J33"/>
  <c r="I33"/>
  <c r="H33"/>
  <c r="G33"/>
  <c r="F33"/>
  <c r="E33"/>
  <c r="D33"/>
  <c r="C33"/>
  <c r="B33"/>
  <c r="A33"/>
  <c r="S32"/>
  <c r="R32"/>
  <c r="Q32"/>
  <c r="P32"/>
  <c r="O32"/>
  <c r="N32"/>
  <c r="M32"/>
  <c r="L32"/>
  <c r="K32"/>
  <c r="J32"/>
  <c r="I32"/>
  <c r="H32"/>
  <c r="G32"/>
  <c r="F32"/>
  <c r="E32"/>
  <c r="D32"/>
  <c r="C32"/>
  <c r="B32"/>
  <c r="A32"/>
  <c r="S30"/>
  <c r="R30"/>
  <c r="Q30"/>
  <c r="P30"/>
  <c r="O30"/>
  <c r="N30"/>
  <c r="M30"/>
  <c r="L30"/>
  <c r="K30"/>
  <c r="J30"/>
  <c r="I30"/>
  <c r="H30"/>
  <c r="G30"/>
  <c r="F30"/>
  <c r="E30"/>
  <c r="D30"/>
  <c r="C30"/>
  <c r="B30"/>
  <c r="A30"/>
  <c r="S29"/>
  <c r="R29"/>
  <c r="Q29"/>
  <c r="P29"/>
  <c r="O29"/>
  <c r="N29"/>
  <c r="M29"/>
  <c r="L29"/>
  <c r="K29"/>
  <c r="J29"/>
  <c r="I29"/>
  <c r="H29"/>
  <c r="G29"/>
  <c r="F29"/>
  <c r="E29"/>
  <c r="D29"/>
  <c r="C29"/>
  <c r="B29"/>
  <c r="A29"/>
  <c r="S27"/>
  <c r="R27"/>
  <c r="Q27"/>
  <c r="P27"/>
  <c r="O27"/>
  <c r="N27"/>
  <c r="M27"/>
  <c r="L27"/>
  <c r="K27"/>
  <c r="J27"/>
  <c r="I27"/>
  <c r="H27"/>
  <c r="G27"/>
  <c r="F27"/>
  <c r="E27"/>
  <c r="D27"/>
  <c r="C27"/>
  <c r="B27"/>
  <c r="A27"/>
  <c r="S26"/>
  <c r="R26"/>
  <c r="Q26"/>
  <c r="P26"/>
  <c r="O26"/>
  <c r="N26"/>
  <c r="M26"/>
  <c r="L26"/>
  <c r="K26"/>
  <c r="J26"/>
  <c r="I26"/>
  <c r="H26"/>
  <c r="G26"/>
  <c r="F26"/>
  <c r="E26"/>
  <c r="D26"/>
  <c r="C26"/>
  <c r="B26"/>
  <c r="A26"/>
  <c r="S24"/>
  <c r="R24"/>
  <c r="Q24"/>
  <c r="P24"/>
  <c r="O24"/>
  <c r="N24"/>
  <c r="M24"/>
  <c r="L24"/>
  <c r="K24"/>
  <c r="J24"/>
  <c r="I24"/>
  <c r="H24"/>
  <c r="G24"/>
  <c r="F24"/>
  <c r="E24"/>
  <c r="D24"/>
  <c r="C24"/>
  <c r="B24"/>
  <c r="A24"/>
  <c r="S23"/>
  <c r="R23"/>
  <c r="Q23"/>
  <c r="P23"/>
  <c r="O23"/>
  <c r="N23"/>
  <c r="M23"/>
  <c r="L23"/>
  <c r="K23"/>
  <c r="J23"/>
  <c r="I23"/>
  <c r="H23"/>
  <c r="G23"/>
  <c r="F23"/>
  <c r="E23"/>
  <c r="D23"/>
  <c r="C23"/>
  <c r="B23"/>
  <c r="A23"/>
  <c r="S21"/>
  <c r="R21"/>
  <c r="Q21"/>
  <c r="P21"/>
  <c r="O21"/>
  <c r="N21"/>
  <c r="M21"/>
  <c r="L21"/>
  <c r="K21"/>
  <c r="J21"/>
  <c r="I21"/>
  <c r="H21"/>
  <c r="G21"/>
  <c r="F21"/>
  <c r="E21"/>
  <c r="D21"/>
  <c r="C21"/>
  <c r="B21"/>
  <c r="A21"/>
  <c r="S20"/>
  <c r="R20"/>
  <c r="Q20"/>
  <c r="P20"/>
  <c r="O20"/>
  <c r="N20"/>
  <c r="M20"/>
  <c r="L20"/>
  <c r="K20"/>
  <c r="J20"/>
  <c r="I20"/>
  <c r="H20"/>
  <c r="G20"/>
  <c r="F20"/>
  <c r="E20"/>
  <c r="D20"/>
  <c r="C20"/>
  <c r="B20"/>
  <c r="A20"/>
  <c r="S18"/>
  <c r="R18"/>
  <c r="Q18"/>
  <c r="P18"/>
  <c r="O18"/>
  <c r="N18"/>
  <c r="M18"/>
  <c r="L18"/>
  <c r="K18"/>
  <c r="J18"/>
  <c r="I18"/>
  <c r="H18"/>
  <c r="G18"/>
  <c r="F18"/>
  <c r="E18"/>
  <c r="D18"/>
  <c r="C18"/>
  <c r="B18"/>
  <c r="A18"/>
  <c r="S17"/>
  <c r="R17"/>
  <c r="Q17"/>
  <c r="P17"/>
  <c r="O17"/>
  <c r="N17"/>
  <c r="M17"/>
  <c r="L17"/>
  <c r="K17"/>
  <c r="J17"/>
  <c r="I17"/>
  <c r="H17"/>
  <c r="G17"/>
  <c r="F17"/>
  <c r="E17"/>
  <c r="D17"/>
  <c r="C17"/>
  <c r="B17"/>
  <c r="A17"/>
  <c r="S15"/>
  <c r="R15"/>
  <c r="Q15"/>
  <c r="P15"/>
  <c r="O15"/>
  <c r="N15"/>
  <c r="M15"/>
  <c r="L15"/>
  <c r="K15"/>
  <c r="J15"/>
  <c r="I15"/>
  <c r="H15"/>
  <c r="G15"/>
  <c r="F15"/>
  <c r="E15"/>
  <c r="D15"/>
  <c r="C15"/>
  <c r="B15"/>
  <c r="A15"/>
  <c r="S14"/>
  <c r="R14"/>
  <c r="Q14"/>
  <c r="P14"/>
  <c r="O14"/>
  <c r="N14"/>
  <c r="M14"/>
  <c r="L14"/>
  <c r="K14"/>
  <c r="J14"/>
  <c r="I14"/>
  <c r="H14"/>
  <c r="G14"/>
  <c r="F14"/>
  <c r="E14"/>
  <c r="D14"/>
  <c r="C14"/>
  <c r="B14"/>
  <c r="A14"/>
  <c r="S12"/>
  <c r="R12"/>
  <c r="Q12"/>
  <c r="P12"/>
  <c r="O12"/>
  <c r="N12"/>
  <c r="M12"/>
  <c r="L12"/>
  <c r="K12"/>
  <c r="J12"/>
  <c r="I12"/>
  <c r="H12"/>
  <c r="G12"/>
  <c r="F12"/>
  <c r="E12"/>
  <c r="D12"/>
  <c r="C12"/>
  <c r="B12"/>
  <c r="A12"/>
  <c r="S11"/>
  <c r="R11"/>
  <c r="Q11"/>
  <c r="P11"/>
  <c r="O11"/>
  <c r="N11"/>
  <c r="M11"/>
  <c r="L11"/>
  <c r="K11"/>
  <c r="J11"/>
  <c r="I11"/>
  <c r="H11"/>
  <c r="G11"/>
  <c r="F11"/>
  <c r="E11"/>
  <c r="D11"/>
  <c r="C11"/>
  <c r="B11"/>
  <c r="A11"/>
  <c r="S9"/>
  <c r="R9"/>
  <c r="Q9"/>
  <c r="P9"/>
  <c r="O9"/>
  <c r="N9"/>
  <c r="M9"/>
  <c r="L9"/>
  <c r="K9"/>
  <c r="J9"/>
  <c r="I9"/>
  <c r="H9"/>
  <c r="G9"/>
  <c r="F9"/>
  <c r="E9"/>
  <c r="D9"/>
  <c r="C9"/>
  <c r="B9"/>
  <c r="A9"/>
  <c r="S8"/>
  <c r="R8"/>
  <c r="Q8"/>
  <c r="P8"/>
  <c r="O8"/>
  <c r="N8"/>
  <c r="M8"/>
  <c r="L8"/>
  <c r="K8"/>
  <c r="J8"/>
  <c r="I8"/>
  <c r="H8"/>
  <c r="G8"/>
  <c r="F8"/>
  <c r="E8"/>
  <c r="D8"/>
  <c r="C8"/>
  <c r="B8"/>
  <c r="A8"/>
  <c r="S6"/>
  <c r="R6"/>
  <c r="Q6"/>
  <c r="P6"/>
  <c r="O6"/>
  <c r="N6"/>
  <c r="M6"/>
  <c r="L6"/>
  <c r="K6"/>
  <c r="J6"/>
  <c r="I6"/>
  <c r="H6"/>
  <c r="G6"/>
  <c r="F6"/>
  <c r="E6"/>
  <c r="D6"/>
  <c r="C6"/>
  <c r="B6"/>
  <c r="A6"/>
  <c r="S5"/>
  <c r="R5"/>
  <c r="Q5"/>
  <c r="P5"/>
  <c r="O5"/>
  <c r="N5"/>
  <c r="M5"/>
  <c r="L5"/>
  <c r="K5"/>
  <c r="J5"/>
  <c r="I5"/>
  <c r="H5"/>
  <c r="G5"/>
  <c r="F5"/>
  <c r="E5"/>
  <c r="D5"/>
  <c r="C5"/>
  <c r="B5"/>
  <c r="A5"/>
  <c r="S3"/>
  <c r="R3"/>
  <c r="Q3"/>
  <c r="P3"/>
  <c r="O3"/>
  <c r="N3"/>
  <c r="M3"/>
  <c r="L3"/>
  <c r="K3"/>
  <c r="J3"/>
  <c r="I3"/>
  <c r="H3"/>
  <c r="G3"/>
  <c r="F3"/>
  <c r="E3"/>
  <c r="D3"/>
  <c r="C3"/>
  <c r="B3"/>
  <c r="A3"/>
  <c r="S2"/>
  <c r="R2"/>
  <c r="Q2"/>
  <c r="P2"/>
  <c r="O2"/>
  <c r="N2"/>
  <c r="M2"/>
  <c r="L2"/>
  <c r="K2"/>
  <c r="J2"/>
  <c r="I2"/>
  <c r="H2"/>
  <c r="G2"/>
  <c r="F2"/>
  <c r="E2"/>
  <c r="D2"/>
  <c r="C2"/>
  <c r="B2"/>
  <c r="A2"/>
  <c r="D36" i="22"/>
  <c r="D35"/>
  <c r="P35"/>
  <c r="P48"/>
  <c r="P47"/>
  <c r="P46"/>
  <c r="P44"/>
  <c r="P43"/>
  <c r="P42"/>
  <c r="P40"/>
  <c r="P39"/>
  <c r="P36"/>
  <c r="C9" i="9"/>
  <c r="E9"/>
  <c r="C21" i="22"/>
  <c r="C18"/>
  <c r="BB342" i="24"/>
  <c r="BB341"/>
  <c r="BB340"/>
  <c r="BB339"/>
  <c r="BB338"/>
  <c r="BB337"/>
  <c r="BB336"/>
  <c r="BB335"/>
  <c r="BB334"/>
  <c r="BB333"/>
  <c r="BB332"/>
  <c r="BB331"/>
  <c r="BB330"/>
  <c r="BB329"/>
  <c r="BB328"/>
  <c r="BB327"/>
  <c r="BB326"/>
  <c r="BB325"/>
  <c r="BB324"/>
  <c r="BB323"/>
  <c r="BB322"/>
  <c r="BB321"/>
  <c r="BB320"/>
  <c r="BB319"/>
  <c r="BB318"/>
  <c r="BB317"/>
  <c r="BB316"/>
  <c r="BB315"/>
  <c r="BB314"/>
  <c r="BB313"/>
  <c r="BB312"/>
  <c r="BB311"/>
  <c r="BB310"/>
  <c r="BB309"/>
  <c r="BB308"/>
  <c r="BB307"/>
  <c r="BB306"/>
  <c r="BB305"/>
  <c r="BB304"/>
  <c r="BB303"/>
  <c r="BB302"/>
  <c r="BB301"/>
  <c r="BB300"/>
  <c r="BB299"/>
  <c r="BB298"/>
  <c r="BB297"/>
  <c r="BB296"/>
  <c r="BB295"/>
  <c r="BB294"/>
  <c r="BB293"/>
  <c r="BB292"/>
  <c r="BB291"/>
  <c r="BB290"/>
  <c r="BB289"/>
  <c r="BB288"/>
  <c r="BB287"/>
  <c r="BB286"/>
  <c r="BB285"/>
  <c r="BB284"/>
  <c r="BB283"/>
  <c r="BB282"/>
  <c r="BB281"/>
  <c r="BB280"/>
  <c r="BB279"/>
  <c r="BB278"/>
  <c r="BB277"/>
  <c r="BB276"/>
  <c r="BB275"/>
  <c r="BB274"/>
  <c r="BB273"/>
  <c r="BB272"/>
  <c r="BB271"/>
  <c r="BB270"/>
  <c r="BB269"/>
  <c r="BB268"/>
  <c r="BB267"/>
  <c r="BB266"/>
  <c r="BB265"/>
  <c r="BB264"/>
  <c r="BB263"/>
  <c r="BB262"/>
  <c r="BB261"/>
  <c r="BB260"/>
  <c r="BB259"/>
  <c r="BB258"/>
  <c r="BB257"/>
  <c r="BB256"/>
  <c r="BB255"/>
  <c r="BB254"/>
  <c r="BB253"/>
  <c r="BB252"/>
  <c r="BB251"/>
  <c r="BB250"/>
  <c r="BB249"/>
  <c r="BB248"/>
  <c r="BB247"/>
  <c r="BB246"/>
  <c r="BB245"/>
  <c r="BB244"/>
  <c r="BB243"/>
  <c r="BB242"/>
  <c r="BB241"/>
  <c r="BB240"/>
  <c r="BB239"/>
  <c r="BB238"/>
  <c r="BB237"/>
  <c r="BB236"/>
  <c r="BB235"/>
  <c r="BB234"/>
  <c r="BB233"/>
  <c r="BB232"/>
  <c r="BB231"/>
  <c r="BB230"/>
  <c r="BB229"/>
  <c r="BB228"/>
  <c r="BB227"/>
  <c r="BB226"/>
  <c r="BB225"/>
  <c r="BB224"/>
  <c r="BB223"/>
  <c r="BB222"/>
  <c r="BB221"/>
  <c r="BB220"/>
  <c r="BB219"/>
  <c r="BB218"/>
  <c r="BB217"/>
  <c r="BB216"/>
  <c r="BB215"/>
  <c r="BB214"/>
  <c r="BB213"/>
  <c r="BB212"/>
  <c r="BB211"/>
  <c r="BB210"/>
  <c r="BB209"/>
  <c r="BB208"/>
  <c r="BB207"/>
  <c r="BB206"/>
  <c r="BB205"/>
  <c r="BB204"/>
  <c r="BB203"/>
  <c r="BB202"/>
  <c r="BB201"/>
  <c r="BB200"/>
  <c r="BB199"/>
  <c r="BB198"/>
  <c r="BB197"/>
  <c r="BB196"/>
  <c r="BB195"/>
  <c r="BB194"/>
  <c r="BB193"/>
  <c r="BB192"/>
  <c r="BB191"/>
  <c r="BB190"/>
  <c r="BB189"/>
  <c r="BB188"/>
  <c r="BB187"/>
  <c r="BB186"/>
  <c r="BB185"/>
  <c r="BB184"/>
  <c r="BB183"/>
  <c r="BB182"/>
  <c r="BB181"/>
  <c r="BB180"/>
  <c r="BB179"/>
  <c r="BB178"/>
  <c r="BB177"/>
  <c r="BB176"/>
  <c r="BB175"/>
  <c r="BB174"/>
  <c r="BB173"/>
  <c r="BB172"/>
  <c r="BB171"/>
  <c r="BB170"/>
  <c r="BB169"/>
  <c r="BB168"/>
  <c r="BB167"/>
  <c r="BB166"/>
  <c r="BB165"/>
  <c r="BB164"/>
  <c r="BB163"/>
  <c r="BB162"/>
  <c r="BB161"/>
  <c r="BB160"/>
  <c r="BB159"/>
  <c r="BB158"/>
  <c r="BB157"/>
  <c r="BB156"/>
  <c r="BB155"/>
  <c r="BB154"/>
  <c r="BB153"/>
  <c r="BB152"/>
  <c r="BB151"/>
  <c r="BB150"/>
  <c r="BB149"/>
  <c r="BB148"/>
  <c r="BB147"/>
  <c r="BB146"/>
  <c r="BB145"/>
  <c r="BB144"/>
  <c r="BB143"/>
  <c r="BB142"/>
  <c r="BB141"/>
  <c r="BB140"/>
  <c r="BB139"/>
  <c r="BB138"/>
  <c r="BB137"/>
  <c r="BB136"/>
  <c r="BB135"/>
  <c r="BB134"/>
  <c r="BB133"/>
  <c r="BB132"/>
  <c r="BB131"/>
  <c r="BB130"/>
  <c r="BB129"/>
  <c r="BB128"/>
  <c r="BB127"/>
  <c r="BB126"/>
  <c r="BB125"/>
  <c r="BB124"/>
  <c r="BB123"/>
  <c r="BB122"/>
  <c r="BB121"/>
  <c r="BB120"/>
  <c r="BB119"/>
  <c r="BB118"/>
  <c r="BB117"/>
  <c r="BB116"/>
  <c r="BB115"/>
  <c r="BB114"/>
  <c r="BB113"/>
  <c r="BB112"/>
  <c r="BB111"/>
  <c r="BB110"/>
  <c r="BB109"/>
  <c r="BB108"/>
  <c r="BB107"/>
  <c r="BB106"/>
  <c r="BB105"/>
  <c r="BB104"/>
  <c r="BB103"/>
  <c r="BB102"/>
  <c r="BB101"/>
  <c r="BB100"/>
  <c r="BB99"/>
  <c r="BB98"/>
  <c r="BB97"/>
  <c r="BB96"/>
  <c r="BB95"/>
  <c r="BB94"/>
  <c r="BB93"/>
  <c r="BB92"/>
  <c r="BB91"/>
  <c r="BB90"/>
  <c r="BB89"/>
  <c r="BB88"/>
  <c r="BB87"/>
  <c r="BB86"/>
  <c r="BB85"/>
  <c r="BB84"/>
  <c r="BB83"/>
  <c r="BB82"/>
  <c r="BB81"/>
  <c r="BB80"/>
  <c r="BB79"/>
  <c r="BB78"/>
  <c r="BB77"/>
  <c r="BB76"/>
  <c r="BB75"/>
  <c r="BB74"/>
  <c r="BB73"/>
  <c r="BB72"/>
  <c r="BB71"/>
  <c r="BB70"/>
  <c r="BB69"/>
  <c r="BB68"/>
  <c r="BB67"/>
  <c r="BB66"/>
  <c r="BB65"/>
  <c r="BB64"/>
  <c r="BB63"/>
  <c r="BB62"/>
  <c r="BB61"/>
  <c r="BB60"/>
  <c r="BB59"/>
  <c r="BB58"/>
  <c r="BB57"/>
  <c r="BB56"/>
  <c r="BB55"/>
  <c r="BB54"/>
  <c r="BB53"/>
  <c r="BB52"/>
  <c r="BB51"/>
  <c r="BB50"/>
  <c r="BB49"/>
  <c r="BB48"/>
  <c r="BB47"/>
  <c r="BB46"/>
  <c r="BB45"/>
  <c r="BB44"/>
  <c r="BB43"/>
  <c r="BB42"/>
  <c r="BB41"/>
  <c r="BB40"/>
  <c r="BB39"/>
  <c r="BB38"/>
  <c r="BB37"/>
  <c r="BB36"/>
  <c r="BB35"/>
  <c r="BB34"/>
  <c r="BB33"/>
  <c r="BB32"/>
  <c r="BB31"/>
  <c r="BB30"/>
  <c r="BB29"/>
  <c r="BB28"/>
  <c r="BB27"/>
  <c r="BB26"/>
  <c r="BB25"/>
  <c r="BB24"/>
  <c r="BB23"/>
  <c r="BB22"/>
  <c r="BB21"/>
  <c r="BB20"/>
  <c r="BB19"/>
  <c r="BB18"/>
  <c r="BB17"/>
  <c r="BB16"/>
  <c r="BB15"/>
  <c r="BB14"/>
  <c r="BB13"/>
  <c r="BB12"/>
  <c r="BB11"/>
  <c r="BB10"/>
  <c r="BB9"/>
  <c r="BB8"/>
  <c r="BB7"/>
  <c r="BB6"/>
  <c r="BB5"/>
  <c r="BB4"/>
  <c r="BB3"/>
  <c r="BB2"/>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G4"/>
  <c r="G3"/>
  <c r="G2"/>
  <c r="H342"/>
  <c r="H341"/>
  <c r="H340"/>
  <c r="H339"/>
  <c r="H338"/>
  <c r="H337"/>
  <c r="H336"/>
  <c r="H335"/>
  <c r="H334"/>
  <c r="H333"/>
  <c r="H332"/>
  <c r="H331"/>
  <c r="H330"/>
  <c r="H329"/>
  <c r="H328"/>
  <c r="H327"/>
  <c r="H326"/>
  <c r="H325"/>
  <c r="H324"/>
  <c r="H323"/>
  <c r="H322"/>
  <c r="H321"/>
  <c r="H320"/>
  <c r="H319"/>
  <c r="H318"/>
  <c r="H317"/>
  <c r="H316"/>
  <c r="H315"/>
  <c r="H314"/>
  <c r="H313"/>
  <c r="H312"/>
  <c r="H311"/>
  <c r="H310"/>
  <c r="H309"/>
  <c r="H308"/>
  <c r="H307"/>
  <c r="H306"/>
  <c r="H305"/>
  <c r="H304"/>
  <c r="H303"/>
  <c r="H302"/>
  <c r="H301"/>
  <c r="H300"/>
  <c r="H299"/>
  <c r="H298"/>
  <c r="H297"/>
  <c r="H296"/>
  <c r="H295"/>
  <c r="H294"/>
  <c r="H293"/>
  <c r="H292"/>
  <c r="H291"/>
  <c r="H290"/>
  <c r="H289"/>
  <c r="H288"/>
  <c r="H287"/>
  <c r="H286"/>
  <c r="H285"/>
  <c r="H284"/>
  <c r="H283"/>
  <c r="H282"/>
  <c r="H281"/>
  <c r="H280"/>
  <c r="H279"/>
  <c r="H278"/>
  <c r="H277"/>
  <c r="H276"/>
  <c r="H275"/>
  <c r="H274"/>
  <c r="H273"/>
  <c r="H272"/>
  <c r="H271"/>
  <c r="H270"/>
  <c r="H269"/>
  <c r="H268"/>
  <c r="H267"/>
  <c r="H266"/>
  <c r="H265"/>
  <c r="H264"/>
  <c r="H263"/>
  <c r="H262"/>
  <c r="H261"/>
  <c r="H260"/>
  <c r="H259"/>
  <c r="H258"/>
  <c r="H257"/>
  <c r="H256"/>
  <c r="H255"/>
  <c r="H254"/>
  <c r="H253"/>
  <c r="H252"/>
  <c r="H251"/>
  <c r="H250"/>
  <c r="H249"/>
  <c r="H248"/>
  <c r="H247"/>
  <c r="H246"/>
  <c r="H245"/>
  <c r="H244"/>
  <c r="H243"/>
  <c r="H242"/>
  <c r="H241"/>
  <c r="H240"/>
  <c r="H239"/>
  <c r="H238"/>
  <c r="H237"/>
  <c r="H236"/>
  <c r="H235"/>
  <c r="H234"/>
  <c r="H233"/>
  <c r="H232"/>
  <c r="H231"/>
  <c r="H230"/>
  <c r="H229"/>
  <c r="H228"/>
  <c r="H227"/>
  <c r="H226"/>
  <c r="H225"/>
  <c r="H224"/>
  <c r="H223"/>
  <c r="H222"/>
  <c r="H221"/>
  <c r="H220"/>
  <c r="H219"/>
  <c r="H218"/>
  <c r="H217"/>
  <c r="H216"/>
  <c r="H215"/>
  <c r="H214"/>
  <c r="H213"/>
  <c r="H212"/>
  <c r="H211"/>
  <c r="H210"/>
  <c r="H209"/>
  <c r="H208"/>
  <c r="H207"/>
  <c r="H206"/>
  <c r="H205"/>
  <c r="H204"/>
  <c r="H203"/>
  <c r="H202"/>
  <c r="H201"/>
  <c r="H200"/>
  <c r="H199"/>
  <c r="H198"/>
  <c r="H197"/>
  <c r="H196"/>
  <c r="H195"/>
  <c r="H194"/>
  <c r="H193"/>
  <c r="H192"/>
  <c r="H191"/>
  <c r="H190"/>
  <c r="H189"/>
  <c r="H188"/>
  <c r="H187"/>
  <c r="H186"/>
  <c r="H185"/>
  <c r="H184"/>
  <c r="H183"/>
  <c r="H182"/>
  <c r="H181"/>
  <c r="H180"/>
  <c r="H179"/>
  <c r="H178"/>
  <c r="H177"/>
  <c r="H176"/>
  <c r="H175"/>
  <c r="H174"/>
  <c r="H173"/>
  <c r="H172"/>
  <c r="H171"/>
  <c r="H170"/>
  <c r="H169"/>
  <c r="H168"/>
  <c r="H167"/>
  <c r="H166"/>
  <c r="H165"/>
  <c r="H164"/>
  <c r="H163"/>
  <c r="H162"/>
  <c r="H161"/>
  <c r="H160"/>
  <c r="H159"/>
  <c r="H158"/>
  <c r="H157"/>
  <c r="H156"/>
  <c r="H155"/>
  <c r="H154"/>
  <c r="H153"/>
  <c r="H152"/>
  <c r="H151"/>
  <c r="H150"/>
  <c r="H149"/>
  <c r="H148"/>
  <c r="H147"/>
  <c r="H146"/>
  <c r="H145"/>
  <c r="H144"/>
  <c r="H143"/>
  <c r="H142"/>
  <c r="H141"/>
  <c r="H140"/>
  <c r="H139"/>
  <c r="H138"/>
  <c r="H137"/>
  <c r="H136"/>
  <c r="H135"/>
  <c r="H134"/>
  <c r="H133"/>
  <c r="H132"/>
  <c r="H131"/>
  <c r="H130"/>
  <c r="H129"/>
  <c r="H128"/>
  <c r="H127"/>
  <c r="H126"/>
  <c r="H125"/>
  <c r="H124"/>
  <c r="H123"/>
  <c r="H122"/>
  <c r="H121"/>
  <c r="H120"/>
  <c r="H119"/>
  <c r="H118"/>
  <c r="H117"/>
  <c r="H116"/>
  <c r="H115"/>
  <c r="H114"/>
  <c r="H113"/>
  <c r="H112"/>
  <c r="H111"/>
  <c r="H110"/>
  <c r="H109"/>
  <c r="H108"/>
  <c r="H107"/>
  <c r="H106"/>
  <c r="H105"/>
  <c r="H104"/>
  <c r="H103"/>
  <c r="H102"/>
  <c r="H101"/>
  <c r="H100"/>
  <c r="H99"/>
  <c r="H98"/>
  <c r="H97"/>
  <c r="H96"/>
  <c r="H95"/>
  <c r="H94"/>
  <c r="H93"/>
  <c r="H92"/>
  <c r="H91"/>
  <c r="H90"/>
  <c r="H89"/>
  <c r="H88"/>
  <c r="H87"/>
  <c r="H86"/>
  <c r="H85"/>
  <c r="H84"/>
  <c r="H83"/>
  <c r="H82"/>
  <c r="H81"/>
  <c r="H80"/>
  <c r="H79"/>
  <c r="H78"/>
  <c r="H77"/>
  <c r="H76"/>
  <c r="H75"/>
  <c r="H74"/>
  <c r="H73"/>
  <c r="H72"/>
  <c r="H71"/>
  <c r="H70"/>
  <c r="H69"/>
  <c r="H68"/>
  <c r="H67"/>
  <c r="H66"/>
  <c r="H65"/>
  <c r="H64"/>
  <c r="H63"/>
  <c r="H62"/>
  <c r="H61"/>
  <c r="H60"/>
  <c r="H59"/>
  <c r="H58"/>
  <c r="H57"/>
  <c r="H56"/>
  <c r="H55"/>
  <c r="H54"/>
  <c r="H53"/>
  <c r="H52"/>
  <c r="H51"/>
  <c r="H50"/>
  <c r="H49"/>
  <c r="H48"/>
  <c r="H47"/>
  <c r="H46"/>
  <c r="H45"/>
  <c r="H44"/>
  <c r="H43"/>
  <c r="H42"/>
  <c r="H41"/>
  <c r="H40"/>
  <c r="H39"/>
  <c r="H38"/>
  <c r="H37"/>
  <c r="H36"/>
  <c r="H35"/>
  <c r="H34"/>
  <c r="H33"/>
  <c r="H32"/>
  <c r="H31"/>
  <c r="H30"/>
  <c r="H29"/>
  <c r="H28"/>
  <c r="H27"/>
  <c r="H26"/>
  <c r="H25"/>
  <c r="H24"/>
  <c r="H23"/>
  <c r="H22"/>
  <c r="H21"/>
  <c r="H20"/>
  <c r="H19"/>
  <c r="H18"/>
  <c r="H17"/>
  <c r="H16"/>
  <c r="H15"/>
  <c r="H14"/>
  <c r="H13"/>
  <c r="H12"/>
  <c r="H11"/>
  <c r="H10"/>
  <c r="H9"/>
  <c r="H8"/>
  <c r="H7"/>
  <c r="H6"/>
  <c r="H5"/>
  <c r="H4"/>
  <c r="H3"/>
  <c r="H2"/>
  <c r="I28" i="25"/>
  <c r="A3" i="16"/>
  <c r="C1"/>
  <c r="I33" s="1"/>
  <c r="E2" i="20"/>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330"/>
  <c r="G329"/>
  <c r="G328"/>
  <c r="G327"/>
  <c r="G326"/>
  <c r="G325"/>
  <c r="G324"/>
  <c r="G323"/>
  <c r="G322"/>
  <c r="G321"/>
  <c r="G320"/>
  <c r="G319"/>
  <c r="G318"/>
  <c r="G317"/>
  <c r="G316"/>
  <c r="G315"/>
  <c r="G314"/>
  <c r="G313"/>
  <c r="G312"/>
  <c r="G311"/>
  <c r="G310"/>
  <c r="G309"/>
  <c r="G308"/>
  <c r="G307"/>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B2"/>
  <c r="D368"/>
  <c r="D367"/>
  <c r="D366"/>
  <c r="D365"/>
  <c r="D364"/>
  <c r="D363"/>
  <c r="D362"/>
  <c r="D361"/>
  <c r="D360"/>
  <c r="D359"/>
  <c r="D358"/>
  <c r="D357"/>
  <c r="D356"/>
  <c r="D355"/>
  <c r="D354"/>
  <c r="D353"/>
  <c r="D352"/>
  <c r="D351"/>
  <c r="D350"/>
  <c r="D349"/>
  <c r="D348"/>
  <c r="D347"/>
  <c r="D346"/>
  <c r="D345"/>
  <c r="D344"/>
  <c r="D343"/>
  <c r="D342"/>
  <c r="D341"/>
  <c r="D340"/>
  <c r="D339"/>
  <c r="D338"/>
  <c r="D337"/>
  <c r="D336"/>
  <c r="D335"/>
  <c r="D334"/>
  <c r="D333"/>
  <c r="D332"/>
  <c r="D331"/>
  <c r="D330"/>
  <c r="D329"/>
  <c r="D328"/>
  <c r="D327"/>
  <c r="D326"/>
  <c r="D325"/>
  <c r="D324"/>
  <c r="D323"/>
  <c r="D322"/>
  <c r="D321"/>
  <c r="D320"/>
  <c r="D319"/>
  <c r="D318"/>
  <c r="D317"/>
  <c r="D316"/>
  <c r="D315"/>
  <c r="D314"/>
  <c r="D313"/>
  <c r="D312"/>
  <c r="D311"/>
  <c r="D310"/>
  <c r="D309"/>
  <c r="D308"/>
  <c r="D307"/>
  <c r="D306"/>
  <c r="D305"/>
  <c r="D304"/>
  <c r="D303"/>
  <c r="D302"/>
  <c r="D301"/>
  <c r="D300"/>
  <c r="D299"/>
  <c r="D298"/>
  <c r="D297"/>
  <c r="D296"/>
  <c r="D295"/>
  <c r="D294"/>
  <c r="D293"/>
  <c r="D292"/>
  <c r="D291"/>
  <c r="D290"/>
  <c r="D289"/>
  <c r="D288"/>
  <c r="D287"/>
  <c r="D286"/>
  <c r="D285"/>
  <c r="D284"/>
  <c r="D283"/>
  <c r="D282"/>
  <c r="D281"/>
  <c r="D280"/>
  <c r="D279"/>
  <c r="D278"/>
  <c r="D277"/>
  <c r="D276"/>
  <c r="D275"/>
  <c r="D274"/>
  <c r="D273"/>
  <c r="D272"/>
  <c r="D271"/>
  <c r="D270"/>
  <c r="D269"/>
  <c r="D268"/>
  <c r="D267"/>
  <c r="D266"/>
  <c r="D265"/>
  <c r="D264"/>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D200"/>
  <c r="D199"/>
  <c r="D198"/>
  <c r="D197"/>
  <c r="D196"/>
  <c r="D195"/>
  <c r="D194"/>
  <c r="D193"/>
  <c r="D192"/>
  <c r="D191"/>
  <c r="D190"/>
  <c r="D189"/>
  <c r="D188"/>
  <c r="D187"/>
  <c r="D186"/>
  <c r="D185"/>
  <c r="D184"/>
  <c r="D183"/>
  <c r="D182"/>
  <c r="D181"/>
  <c r="D180"/>
  <c r="D179"/>
  <c r="D178"/>
  <c r="D177"/>
  <c r="D176"/>
  <c r="D175"/>
  <c r="D174"/>
  <c r="D173"/>
  <c r="D172"/>
  <c r="D171"/>
  <c r="D170"/>
  <c r="D169"/>
  <c r="D168"/>
  <c r="D167"/>
  <c r="D166"/>
  <c r="D165"/>
  <c r="D164"/>
  <c r="D163"/>
  <c r="D162"/>
  <c r="D161"/>
  <c r="D160"/>
  <c r="D159"/>
  <c r="D158"/>
  <c r="D157"/>
  <c r="D156"/>
  <c r="D155"/>
  <c r="D154"/>
  <c r="D153"/>
  <c r="D152"/>
  <c r="D151"/>
  <c r="D150"/>
  <c r="D149"/>
  <c r="D148"/>
  <c r="D147"/>
  <c r="D146"/>
  <c r="D145"/>
  <c r="D144"/>
  <c r="D143"/>
  <c r="D142"/>
  <c r="D141"/>
  <c r="D140"/>
  <c r="D139"/>
  <c r="D138"/>
  <c r="D137"/>
  <c r="D136"/>
  <c r="D135"/>
  <c r="D134"/>
  <c r="D133"/>
  <c r="D132"/>
  <c r="D131"/>
  <c r="D130"/>
  <c r="D129"/>
  <c r="D128"/>
  <c r="D127"/>
  <c r="D126"/>
  <c r="D125"/>
  <c r="D124"/>
  <c r="D123"/>
  <c r="D122"/>
  <c r="D121"/>
  <c r="D120"/>
  <c r="D119"/>
  <c r="D118"/>
  <c r="D117"/>
  <c r="D116"/>
  <c r="D115"/>
  <c r="D114"/>
  <c r="D113"/>
  <c r="D112"/>
  <c r="D111"/>
  <c r="D110"/>
  <c r="D109"/>
  <c r="D108"/>
  <c r="D107"/>
  <c r="D106"/>
  <c r="D105"/>
  <c r="D104"/>
  <c r="D103"/>
  <c r="D102"/>
  <c r="D101"/>
  <c r="D100"/>
  <c r="D99"/>
  <c r="D98"/>
  <c r="D97"/>
  <c r="D96"/>
  <c r="D95"/>
  <c r="D94"/>
  <c r="D93"/>
  <c r="D92"/>
  <c r="D91"/>
  <c r="D90"/>
  <c r="D89"/>
  <c r="D88"/>
  <c r="D87"/>
  <c r="D86"/>
  <c r="D85"/>
  <c r="D84"/>
  <c r="D83"/>
  <c r="D82"/>
  <c r="D81"/>
  <c r="D80"/>
  <c r="D79"/>
  <c r="D78"/>
  <c r="D77"/>
  <c r="D76"/>
  <c r="D75"/>
  <c r="D74"/>
  <c r="D73"/>
  <c r="D72"/>
  <c r="D71"/>
  <c r="D70"/>
  <c r="D69"/>
  <c r="D68"/>
  <c r="D67"/>
  <c r="D66"/>
  <c r="D65"/>
  <c r="D64"/>
  <c r="D63"/>
  <c r="D62"/>
  <c r="D61"/>
  <c r="D60"/>
  <c r="D59"/>
  <c r="D58"/>
  <c r="D57"/>
  <c r="D56"/>
  <c r="D55"/>
  <c r="D54"/>
  <c r="D53"/>
  <c r="D52"/>
  <c r="D51"/>
  <c r="D50"/>
  <c r="D49"/>
  <c r="D48"/>
  <c r="D47"/>
  <c r="D46"/>
  <c r="D45"/>
  <c r="D44"/>
  <c r="D43"/>
  <c r="D42"/>
  <c r="D41"/>
  <c r="D40"/>
  <c r="D39"/>
  <c r="D38"/>
  <c r="D37"/>
  <c r="D36"/>
  <c r="D35"/>
  <c r="D34"/>
  <c r="D33"/>
  <c r="D32"/>
  <c r="D31"/>
  <c r="D30"/>
  <c r="D29"/>
  <c r="D28"/>
  <c r="D27"/>
  <c r="D26"/>
  <c r="D25"/>
  <c r="D24"/>
  <c r="D23"/>
  <c r="D22"/>
  <c r="D21"/>
  <c r="D20"/>
  <c r="D19"/>
  <c r="D18"/>
  <c r="D17"/>
  <c r="D16"/>
  <c r="D15"/>
  <c r="D14"/>
  <c r="D13"/>
  <c r="D12"/>
  <c r="D11"/>
  <c r="D10"/>
  <c r="D9"/>
  <c r="D8"/>
  <c r="D7"/>
  <c r="D6"/>
  <c r="D5"/>
  <c r="I35" i="19"/>
  <c r="G35"/>
  <c r="E35"/>
  <c r="I34"/>
  <c r="G34"/>
  <c r="E34"/>
  <c r="I33"/>
  <c r="G33"/>
  <c r="E33"/>
  <c r="I32"/>
  <c r="G32"/>
  <c r="E32"/>
  <c r="I31"/>
  <c r="G31"/>
  <c r="E31"/>
  <c r="I30"/>
  <c r="G30"/>
  <c r="E30"/>
  <c r="I29"/>
  <c r="G29"/>
  <c r="E29"/>
  <c r="I28"/>
  <c r="G28"/>
  <c r="E28"/>
  <c r="I27"/>
  <c r="G27"/>
  <c r="E27"/>
  <c r="I26"/>
  <c r="G26"/>
  <c r="E26"/>
  <c r="I25"/>
  <c r="G25"/>
  <c r="E25"/>
  <c r="I24"/>
  <c r="G24"/>
  <c r="E24"/>
  <c r="I23"/>
  <c r="G23"/>
  <c r="E23"/>
  <c r="I22"/>
  <c r="G22"/>
  <c r="E22"/>
  <c r="I21"/>
  <c r="G21"/>
  <c r="E21"/>
  <c r="I20"/>
  <c r="G20"/>
  <c r="E20"/>
  <c r="I19"/>
  <c r="G19"/>
  <c r="E19"/>
  <c r="I18"/>
  <c r="G18"/>
  <c r="E18"/>
  <c r="I17"/>
  <c r="G17"/>
  <c r="E17"/>
  <c r="I16"/>
  <c r="G16"/>
  <c r="E16"/>
  <c r="I15"/>
  <c r="G15"/>
  <c r="E15"/>
  <c r="I14"/>
  <c r="G14"/>
  <c r="E14"/>
  <c r="I13"/>
  <c r="G13"/>
  <c r="E13"/>
  <c r="I12"/>
  <c r="G12"/>
  <c r="E12"/>
  <c r="I11"/>
  <c r="G11"/>
  <c r="E11"/>
  <c r="I10"/>
  <c r="G10"/>
  <c r="E10"/>
  <c r="I9"/>
  <c r="G9"/>
  <c r="E9"/>
  <c r="I8"/>
  <c r="G8"/>
  <c r="E8"/>
  <c r="I7"/>
  <c r="G7"/>
  <c r="E7"/>
  <c r="I6"/>
  <c r="G6"/>
  <c r="E6"/>
  <c r="I5"/>
  <c r="G5"/>
  <c r="E5"/>
  <c r="I4"/>
  <c r="G4"/>
  <c r="E4"/>
  <c r="C16" i="18"/>
  <c r="E51" s="1"/>
  <c r="C23"/>
  <c r="M48" s="1"/>
  <c r="E12"/>
  <c r="D12"/>
  <c r="C12"/>
  <c r="B12"/>
  <c r="E10"/>
  <c r="D10"/>
  <c r="C10"/>
  <c r="B10"/>
  <c r="I31" i="16"/>
  <c r="I26"/>
  <c r="I15"/>
  <c r="I10"/>
  <c r="G36"/>
  <c r="E36"/>
  <c r="G35"/>
  <c r="E35"/>
  <c r="G34"/>
  <c r="E34"/>
  <c r="G33"/>
  <c r="E33"/>
  <c r="G32"/>
  <c r="E32"/>
  <c r="G31"/>
  <c r="E31"/>
  <c r="G30"/>
  <c r="E30"/>
  <c r="G29"/>
  <c r="E29"/>
  <c r="G28"/>
  <c r="E28"/>
  <c r="G27"/>
  <c r="E27"/>
  <c r="G26"/>
  <c r="E26"/>
  <c r="G25"/>
  <c r="E25"/>
  <c r="G24"/>
  <c r="E24"/>
  <c r="G23"/>
  <c r="E23"/>
  <c r="G22"/>
  <c r="E22"/>
  <c r="G21"/>
  <c r="E21"/>
  <c r="G20"/>
  <c r="E20"/>
  <c r="G19"/>
  <c r="E19"/>
  <c r="G18"/>
  <c r="E18"/>
  <c r="G17"/>
  <c r="E17"/>
  <c r="G16"/>
  <c r="E16"/>
  <c r="G15"/>
  <c r="E15"/>
  <c r="G14"/>
  <c r="E14"/>
  <c r="G13"/>
  <c r="E13"/>
  <c r="G12"/>
  <c r="E12"/>
  <c r="G11"/>
  <c r="E11"/>
  <c r="G10"/>
  <c r="E10"/>
  <c r="G9"/>
  <c r="E9"/>
  <c r="G8"/>
  <c r="E8"/>
  <c r="G7"/>
  <c r="E7"/>
  <c r="G6"/>
  <c r="E6"/>
  <c r="G5"/>
  <c r="E5"/>
  <c r="CA306" i="15"/>
  <c r="BY306"/>
  <c r="BW306"/>
  <c r="BD306"/>
  <c r="BB306"/>
  <c r="AZ306"/>
  <c r="CA305"/>
  <c r="BY305"/>
  <c r="BW305"/>
  <c r="BD305"/>
  <c r="BB305"/>
  <c r="AZ305"/>
  <c r="CA304"/>
  <c r="BY304"/>
  <c r="BW304"/>
  <c r="BD304"/>
  <c r="BB304"/>
  <c r="AZ304"/>
  <c r="CA303"/>
  <c r="BY303"/>
  <c r="BW303"/>
  <c r="BD303"/>
  <c r="BB303"/>
  <c r="AZ303"/>
  <c r="CA302"/>
  <c r="BY302"/>
  <c r="BW302"/>
  <c r="BD302"/>
  <c r="BB302"/>
  <c r="AZ302"/>
  <c r="CA301"/>
  <c r="BY301"/>
  <c r="BW301"/>
  <c r="BD301"/>
  <c r="BB301"/>
  <c r="AZ301"/>
  <c r="CA300"/>
  <c r="BY300"/>
  <c r="BW300"/>
  <c r="BD300"/>
  <c r="BB300"/>
  <c r="AZ300"/>
  <c r="CA299"/>
  <c r="BY299"/>
  <c r="BW299"/>
  <c r="BD299"/>
  <c r="BB299"/>
  <c r="AZ299"/>
  <c r="CA298"/>
  <c r="BY298"/>
  <c r="BW298"/>
  <c r="BD298"/>
  <c r="BB298"/>
  <c r="AZ298"/>
  <c r="CA297"/>
  <c r="BY297"/>
  <c r="BW297"/>
  <c r="BD297"/>
  <c r="BB297"/>
  <c r="AZ297"/>
  <c r="CA296"/>
  <c r="BY296"/>
  <c r="BW296"/>
  <c r="BD296"/>
  <c r="BB296"/>
  <c r="AZ296"/>
  <c r="CA295"/>
  <c r="BY295"/>
  <c r="BW295"/>
  <c r="BD295"/>
  <c r="BB295"/>
  <c r="AZ295"/>
  <c r="CA294"/>
  <c r="BY294"/>
  <c r="BW294"/>
  <c r="BD294"/>
  <c r="BB294"/>
  <c r="AZ294"/>
  <c r="CA293"/>
  <c r="BY293"/>
  <c r="BW293"/>
  <c r="BD293"/>
  <c r="BB293"/>
  <c r="AZ293"/>
  <c r="CA292"/>
  <c r="BY292"/>
  <c r="BW292"/>
  <c r="BD292"/>
  <c r="BB292"/>
  <c r="AZ292"/>
  <c r="CA291"/>
  <c r="BY291"/>
  <c r="BW291"/>
  <c r="BD291"/>
  <c r="BB291"/>
  <c r="AZ291"/>
  <c r="CA290"/>
  <c r="BY290"/>
  <c r="BW290"/>
  <c r="BD290"/>
  <c r="BB290"/>
  <c r="AZ290"/>
  <c r="CA289"/>
  <c r="BY289"/>
  <c r="BW289"/>
  <c r="BD289"/>
  <c r="BB289"/>
  <c r="AZ289"/>
  <c r="CA288"/>
  <c r="BY288"/>
  <c r="BW288"/>
  <c r="BD288"/>
  <c r="BB288"/>
  <c r="AZ288"/>
  <c r="CA287"/>
  <c r="BY287"/>
  <c r="BW287"/>
  <c r="BD287"/>
  <c r="BB287"/>
  <c r="AZ287"/>
  <c r="CA286"/>
  <c r="BY286"/>
  <c r="BW286"/>
  <c r="BD286"/>
  <c r="BB286"/>
  <c r="AZ286"/>
  <c r="CA285"/>
  <c r="BY285"/>
  <c r="BW285"/>
  <c r="BD285"/>
  <c r="BB285"/>
  <c r="AZ285"/>
  <c r="CA284"/>
  <c r="BY284"/>
  <c r="BW284"/>
  <c r="BD284"/>
  <c r="BB284"/>
  <c r="AZ284"/>
  <c r="CA283"/>
  <c r="BY283"/>
  <c r="BW283"/>
  <c r="BD283"/>
  <c r="BB283"/>
  <c r="AZ283"/>
  <c r="CA282"/>
  <c r="BY282"/>
  <c r="BW282"/>
  <c r="BD282"/>
  <c r="BB282"/>
  <c r="AZ282"/>
  <c r="CA281"/>
  <c r="BY281"/>
  <c r="BW281"/>
  <c r="BD281"/>
  <c r="BB281"/>
  <c r="AZ281"/>
  <c r="CA280"/>
  <c r="BY280"/>
  <c r="BW280"/>
  <c r="BD280"/>
  <c r="BB280"/>
  <c r="AZ280"/>
  <c r="CA279"/>
  <c r="BY279"/>
  <c r="BW279"/>
  <c r="BD279"/>
  <c r="BB279"/>
  <c r="AZ279"/>
  <c r="CA278"/>
  <c r="BY278"/>
  <c r="BW278"/>
  <c r="BD278"/>
  <c r="BB278"/>
  <c r="AZ278"/>
  <c r="CA277"/>
  <c r="BY277"/>
  <c r="BW277"/>
  <c r="BD277"/>
  <c r="BB277"/>
  <c r="AZ277"/>
  <c r="CA276"/>
  <c r="BY276"/>
  <c r="BW276"/>
  <c r="BD276"/>
  <c r="BB276"/>
  <c r="AZ276"/>
  <c r="CA275"/>
  <c r="BY275"/>
  <c r="BW275"/>
  <c r="BD275"/>
  <c r="BB275"/>
  <c r="AZ275"/>
  <c r="CA274"/>
  <c r="BY274"/>
  <c r="BW274"/>
  <c r="BD274"/>
  <c r="BB274"/>
  <c r="AZ274"/>
  <c r="CA273"/>
  <c r="BY273"/>
  <c r="BW273"/>
  <c r="BD273"/>
  <c r="BB273"/>
  <c r="AZ273"/>
  <c r="CA272"/>
  <c r="BY272"/>
  <c r="BW272"/>
  <c r="BD272"/>
  <c r="BB272"/>
  <c r="AZ272"/>
  <c r="CA271"/>
  <c r="BY271"/>
  <c r="BW271"/>
  <c r="BD271"/>
  <c r="BB271"/>
  <c r="AZ271"/>
  <c r="CA270"/>
  <c r="BY270"/>
  <c r="BW270"/>
  <c r="BD270"/>
  <c r="BB270"/>
  <c r="AZ270"/>
  <c r="CA269"/>
  <c r="BY269"/>
  <c r="BW269"/>
  <c r="BD269"/>
  <c r="BB269"/>
  <c r="AZ269"/>
  <c r="CA268"/>
  <c r="BY268"/>
  <c r="BW268"/>
  <c r="BD268"/>
  <c r="BB268"/>
  <c r="AZ268"/>
  <c r="CA267"/>
  <c r="BY267"/>
  <c r="BW267"/>
  <c r="BD267"/>
  <c r="BB267"/>
  <c r="AZ267"/>
  <c r="CA266"/>
  <c r="BY266"/>
  <c r="BW266"/>
  <c r="BD266"/>
  <c r="BB266"/>
  <c r="AZ266"/>
  <c r="CA265"/>
  <c r="BY265"/>
  <c r="BW265"/>
  <c r="BD265"/>
  <c r="BB265"/>
  <c r="AZ265"/>
  <c r="CA264"/>
  <c r="BY264"/>
  <c r="BW264"/>
  <c r="BD264"/>
  <c r="BB264"/>
  <c r="AZ264"/>
  <c r="CA263"/>
  <c r="BY263"/>
  <c r="BW263"/>
  <c r="BD263"/>
  <c r="BB263"/>
  <c r="AZ263"/>
  <c r="CA262"/>
  <c r="BY262"/>
  <c r="BW262"/>
  <c r="BD262"/>
  <c r="BB262"/>
  <c r="AZ262"/>
  <c r="CA261"/>
  <c r="BY261"/>
  <c r="BW261"/>
  <c r="BD261"/>
  <c r="BB261"/>
  <c r="AZ261"/>
  <c r="CA260"/>
  <c r="BY260"/>
  <c r="BW260"/>
  <c r="BD260"/>
  <c r="BB260"/>
  <c r="AZ260"/>
  <c r="CA259"/>
  <c r="BY259"/>
  <c r="BW259"/>
  <c r="BD259"/>
  <c r="BB259"/>
  <c r="AZ259"/>
  <c r="CA258"/>
  <c r="BY258"/>
  <c r="BW258"/>
  <c r="BD258"/>
  <c r="BB258"/>
  <c r="AZ258"/>
  <c r="CA257"/>
  <c r="BY257"/>
  <c r="BW257"/>
  <c r="BD257"/>
  <c r="BB257"/>
  <c r="AZ257"/>
  <c r="CA256"/>
  <c r="BY256"/>
  <c r="BW256"/>
  <c r="BD256"/>
  <c r="BB256"/>
  <c r="AZ256"/>
  <c r="CA255"/>
  <c r="BY255"/>
  <c r="BW255"/>
  <c r="BD255"/>
  <c r="BB255"/>
  <c r="AZ255"/>
  <c r="CA254"/>
  <c r="BY254"/>
  <c r="BW254"/>
  <c r="BD254"/>
  <c r="BB254"/>
  <c r="AZ254"/>
  <c r="CA253"/>
  <c r="BY253"/>
  <c r="BW253"/>
  <c r="BD253"/>
  <c r="BB253"/>
  <c r="AZ253"/>
  <c r="CA252"/>
  <c r="BY252"/>
  <c r="BW252"/>
  <c r="BD252"/>
  <c r="BB252"/>
  <c r="AZ252"/>
  <c r="CA251"/>
  <c r="BY251"/>
  <c r="BW251"/>
  <c r="BD251"/>
  <c r="BB251"/>
  <c r="AZ251"/>
  <c r="CA250"/>
  <c r="BY250"/>
  <c r="BW250"/>
  <c r="BD250"/>
  <c r="BB250"/>
  <c r="AZ250"/>
  <c r="CA249"/>
  <c r="BY249"/>
  <c r="BW249"/>
  <c r="BD249"/>
  <c r="BB249"/>
  <c r="AZ249"/>
  <c r="CA248"/>
  <c r="BY248"/>
  <c r="BW248"/>
  <c r="BD248"/>
  <c r="BB248"/>
  <c r="AZ248"/>
  <c r="CA247"/>
  <c r="BY247"/>
  <c r="BW247"/>
  <c r="BD247"/>
  <c r="BB247"/>
  <c r="AZ247"/>
  <c r="CA246"/>
  <c r="BY246"/>
  <c r="BW246"/>
  <c r="BD246"/>
  <c r="BB246"/>
  <c r="AZ246"/>
  <c r="CA245"/>
  <c r="BY245"/>
  <c r="BW245"/>
  <c r="BD245"/>
  <c r="BB245"/>
  <c r="AZ245"/>
  <c r="CA244"/>
  <c r="BY244"/>
  <c r="BW244"/>
  <c r="BD244"/>
  <c r="BB244"/>
  <c r="AZ244"/>
  <c r="CA243"/>
  <c r="BY243"/>
  <c r="BW243"/>
  <c r="BD243"/>
  <c r="BB243"/>
  <c r="AZ243"/>
  <c r="CA242"/>
  <c r="BY242"/>
  <c r="BW242"/>
  <c r="BD242"/>
  <c r="BB242"/>
  <c r="AZ242"/>
  <c r="CA241"/>
  <c r="BY241"/>
  <c r="BW241"/>
  <c r="BD241"/>
  <c r="BB241"/>
  <c r="AZ241"/>
  <c r="CA240"/>
  <c r="BY240"/>
  <c r="BW240"/>
  <c r="BD240"/>
  <c r="BB240"/>
  <c r="AZ240"/>
  <c r="CA239"/>
  <c r="BY239"/>
  <c r="BW239"/>
  <c r="BD239"/>
  <c r="BB239"/>
  <c r="AZ239"/>
  <c r="CA238"/>
  <c r="BY238"/>
  <c r="BW238"/>
  <c r="BD238"/>
  <c r="BB238"/>
  <c r="AZ238"/>
  <c r="CA237"/>
  <c r="BY237"/>
  <c r="BW237"/>
  <c r="BD237"/>
  <c r="BB237"/>
  <c r="AZ237"/>
  <c r="CA236"/>
  <c r="BY236"/>
  <c r="BW236"/>
  <c r="BD236"/>
  <c r="BB236"/>
  <c r="AZ236"/>
  <c r="CA235"/>
  <c r="BY235"/>
  <c r="BW235"/>
  <c r="BD235"/>
  <c r="BB235"/>
  <c r="AZ235"/>
  <c r="CA234"/>
  <c r="BY234"/>
  <c r="BW234"/>
  <c r="BD234"/>
  <c r="BB234"/>
  <c r="AZ234"/>
  <c r="CA233"/>
  <c r="BY233"/>
  <c r="BW233"/>
  <c r="BD233"/>
  <c r="BB233"/>
  <c r="AZ233"/>
  <c r="CA232"/>
  <c r="BY232"/>
  <c r="BW232"/>
  <c r="BD232"/>
  <c r="BB232"/>
  <c r="AZ232"/>
  <c r="CA231"/>
  <c r="BY231"/>
  <c r="BW231"/>
  <c r="BD231"/>
  <c r="BB231"/>
  <c r="AZ231"/>
  <c r="CA230"/>
  <c r="BY230"/>
  <c r="BW230"/>
  <c r="BD230"/>
  <c r="BB230"/>
  <c r="AZ230"/>
  <c r="CA229"/>
  <c r="BY229"/>
  <c r="BW229"/>
  <c r="BD229"/>
  <c r="BB229"/>
  <c r="AZ229"/>
  <c r="CA228"/>
  <c r="BY228"/>
  <c r="BW228"/>
  <c r="BD228"/>
  <c r="BB228"/>
  <c r="AZ228"/>
  <c r="CA227"/>
  <c r="BY227"/>
  <c r="BW227"/>
  <c r="BD227"/>
  <c r="BB227"/>
  <c r="AZ227"/>
  <c r="CA226"/>
  <c r="BY226"/>
  <c r="BW226"/>
  <c r="BD226"/>
  <c r="BB226"/>
  <c r="AZ226"/>
  <c r="CA225"/>
  <c r="BY225"/>
  <c r="BW225"/>
  <c r="BD225"/>
  <c r="BB225"/>
  <c r="AZ225"/>
  <c r="CA224"/>
  <c r="BY224"/>
  <c r="BW224"/>
  <c r="BD224"/>
  <c r="BB224"/>
  <c r="AZ224"/>
  <c r="CA223"/>
  <c r="BY223"/>
  <c r="BW223"/>
  <c r="BD223"/>
  <c r="BB223"/>
  <c r="AZ223"/>
  <c r="CA222"/>
  <c r="BY222"/>
  <c r="BW222"/>
  <c r="BD222"/>
  <c r="BB222"/>
  <c r="AZ222"/>
  <c r="CA221"/>
  <c r="BY221"/>
  <c r="BW221"/>
  <c r="BD221"/>
  <c r="BB221"/>
  <c r="AZ221"/>
  <c r="CA220"/>
  <c r="BY220"/>
  <c r="BW220"/>
  <c r="BD220"/>
  <c r="BB220"/>
  <c r="AZ220"/>
  <c r="CA219"/>
  <c r="BY219"/>
  <c r="BW219"/>
  <c r="BD219"/>
  <c r="BB219"/>
  <c r="AZ219"/>
  <c r="CA218"/>
  <c r="BY218"/>
  <c r="BW218"/>
  <c r="BD218"/>
  <c r="BB218"/>
  <c r="AZ218"/>
  <c r="CA217"/>
  <c r="BY217"/>
  <c r="BW217"/>
  <c r="BD217"/>
  <c r="BB217"/>
  <c r="AZ217"/>
  <c r="CA216"/>
  <c r="BY216"/>
  <c r="BW216"/>
  <c r="BD216"/>
  <c r="BB216"/>
  <c r="AZ216"/>
  <c r="CA215"/>
  <c r="BY215"/>
  <c r="BW215"/>
  <c r="BD215"/>
  <c r="BB215"/>
  <c r="AZ215"/>
  <c r="CA214"/>
  <c r="BY214"/>
  <c r="BW214"/>
  <c r="BD214"/>
  <c r="BB214"/>
  <c r="AZ214"/>
  <c r="CA213"/>
  <c r="BY213"/>
  <c r="BW213"/>
  <c r="BD213"/>
  <c r="BB213"/>
  <c r="AZ213"/>
  <c r="CA212"/>
  <c r="BY212"/>
  <c r="BW212"/>
  <c r="BD212"/>
  <c r="BB212"/>
  <c r="AZ212"/>
  <c r="CA211"/>
  <c r="BY211"/>
  <c r="BW211"/>
  <c r="BD211"/>
  <c r="BB211"/>
  <c r="AZ211"/>
  <c r="CA210"/>
  <c r="BY210"/>
  <c r="BW210"/>
  <c r="BD210"/>
  <c r="BB210"/>
  <c r="AZ210"/>
  <c r="CA209"/>
  <c r="BY209"/>
  <c r="BW209"/>
  <c r="BD209"/>
  <c r="BB209"/>
  <c r="AZ209"/>
  <c r="CA208"/>
  <c r="BY208"/>
  <c r="BW208"/>
  <c r="BD208"/>
  <c r="BB208"/>
  <c r="AZ208"/>
  <c r="CA207"/>
  <c r="BY207"/>
  <c r="BW207"/>
  <c r="BD207"/>
  <c r="BB207"/>
  <c r="AZ207"/>
  <c r="CA206"/>
  <c r="BY206"/>
  <c r="BW206"/>
  <c r="BD206"/>
  <c r="BB206"/>
  <c r="AZ206"/>
  <c r="CA205"/>
  <c r="BY205"/>
  <c r="BW205"/>
  <c r="BD205"/>
  <c r="BB205"/>
  <c r="AZ205"/>
  <c r="CA204"/>
  <c r="BY204"/>
  <c r="BW204"/>
  <c r="BD204"/>
  <c r="BB204"/>
  <c r="AZ204"/>
  <c r="CA203"/>
  <c r="BY203"/>
  <c r="BW203"/>
  <c r="BD203"/>
  <c r="BB203"/>
  <c r="AZ203"/>
  <c r="CA202"/>
  <c r="BY202"/>
  <c r="BW202"/>
  <c r="BD202"/>
  <c r="BB202"/>
  <c r="AZ202"/>
  <c r="CA201"/>
  <c r="BY201"/>
  <c r="BW201"/>
  <c r="BD201"/>
  <c r="BB201"/>
  <c r="AZ201"/>
  <c r="CA200"/>
  <c r="BY200"/>
  <c r="BW200"/>
  <c r="BD200"/>
  <c r="BB200"/>
  <c r="AZ200"/>
  <c r="CA199"/>
  <c r="BY199"/>
  <c r="BW199"/>
  <c r="BD199"/>
  <c r="BB199"/>
  <c r="AZ199"/>
  <c r="CA198"/>
  <c r="BY198"/>
  <c r="BW198"/>
  <c r="BD198"/>
  <c r="BB198"/>
  <c r="AZ198"/>
  <c r="CA197"/>
  <c r="BY197"/>
  <c r="BW197"/>
  <c r="BD197"/>
  <c r="BB197"/>
  <c r="AZ197"/>
  <c r="CA196"/>
  <c r="BY196"/>
  <c r="BW196"/>
  <c r="BD196"/>
  <c r="BB196"/>
  <c r="AZ196"/>
  <c r="CA195"/>
  <c r="BY195"/>
  <c r="BW195"/>
  <c r="BD195"/>
  <c r="BB195"/>
  <c r="AZ195"/>
  <c r="CA194"/>
  <c r="BY194"/>
  <c r="BW194"/>
  <c r="BD194"/>
  <c r="BB194"/>
  <c r="AZ194"/>
  <c r="CA193"/>
  <c r="BY193"/>
  <c r="BW193"/>
  <c r="BD193"/>
  <c r="BB193"/>
  <c r="AZ193"/>
  <c r="CA192"/>
  <c r="BY192"/>
  <c r="BW192"/>
  <c r="BD192"/>
  <c r="BB192"/>
  <c r="AZ192"/>
  <c r="CA191"/>
  <c r="BY191"/>
  <c r="BW191"/>
  <c r="BD191"/>
  <c r="BB191"/>
  <c r="AZ191"/>
  <c r="CA190"/>
  <c r="BY190"/>
  <c r="BW190"/>
  <c r="BD190"/>
  <c r="BB190"/>
  <c r="AZ190"/>
  <c r="CA189"/>
  <c r="BY189"/>
  <c r="BW189"/>
  <c r="BD189"/>
  <c r="BB189"/>
  <c r="AZ189"/>
  <c r="CA188"/>
  <c r="BY188"/>
  <c r="BW188"/>
  <c r="BD188"/>
  <c r="BB188"/>
  <c r="AZ188"/>
  <c r="CA187"/>
  <c r="BY187"/>
  <c r="BW187"/>
  <c r="BD187"/>
  <c r="BB187"/>
  <c r="AZ187"/>
  <c r="CA186"/>
  <c r="BY186"/>
  <c r="BW186"/>
  <c r="BD186"/>
  <c r="BB186"/>
  <c r="AZ186"/>
  <c r="CA185"/>
  <c r="BY185"/>
  <c r="BW185"/>
  <c r="BD185"/>
  <c r="BB185"/>
  <c r="AZ185"/>
  <c r="CA184"/>
  <c r="BY184"/>
  <c r="BW184"/>
  <c r="BD184"/>
  <c r="BB184"/>
  <c r="AZ184"/>
  <c r="CA183"/>
  <c r="BY183"/>
  <c r="BW183"/>
  <c r="BD183"/>
  <c r="BB183"/>
  <c r="AZ183"/>
  <c r="CA182"/>
  <c r="BY182"/>
  <c r="BW182"/>
  <c r="BD182"/>
  <c r="BB182"/>
  <c r="AZ182"/>
  <c r="CA181"/>
  <c r="BY181"/>
  <c r="BW181"/>
  <c r="BD181"/>
  <c r="BB181"/>
  <c r="AZ181"/>
  <c r="CA180"/>
  <c r="BY180"/>
  <c r="BW180"/>
  <c r="BD180"/>
  <c r="BB180"/>
  <c r="AZ180"/>
  <c r="CA179"/>
  <c r="BY179"/>
  <c r="BW179"/>
  <c r="BD179"/>
  <c r="BB179"/>
  <c r="AZ179"/>
  <c r="CA178"/>
  <c r="BY178"/>
  <c r="BW178"/>
  <c r="BD178"/>
  <c r="BB178"/>
  <c r="AZ178"/>
  <c r="CA177"/>
  <c r="BY177"/>
  <c r="BW177"/>
  <c r="BD177"/>
  <c r="BB177"/>
  <c r="AZ177"/>
  <c r="CA176"/>
  <c r="BY176"/>
  <c r="BW176"/>
  <c r="BD176"/>
  <c r="BB176"/>
  <c r="AZ176"/>
  <c r="CA175"/>
  <c r="BY175"/>
  <c r="BW175"/>
  <c r="BD175"/>
  <c r="BB175"/>
  <c r="AZ175"/>
  <c r="CA174"/>
  <c r="BY174"/>
  <c r="BW174"/>
  <c r="BD174"/>
  <c r="BB174"/>
  <c r="AZ174"/>
  <c r="CA173"/>
  <c r="BY173"/>
  <c r="BW173"/>
  <c r="BD173"/>
  <c r="BB173"/>
  <c r="AZ173"/>
  <c r="CA172"/>
  <c r="BY172"/>
  <c r="BW172"/>
  <c r="BD172"/>
  <c r="BB172"/>
  <c r="AZ172"/>
  <c r="CA171"/>
  <c r="BY171"/>
  <c r="BW171"/>
  <c r="BD171"/>
  <c r="BB171"/>
  <c r="AZ171"/>
  <c r="CA170"/>
  <c r="BY170"/>
  <c r="BW170"/>
  <c r="BD170"/>
  <c r="BB170"/>
  <c r="AZ170"/>
  <c r="CA169"/>
  <c r="BY169"/>
  <c r="BW169"/>
  <c r="BD169"/>
  <c r="BB169"/>
  <c r="AZ169"/>
  <c r="CA168"/>
  <c r="BY168"/>
  <c r="BW168"/>
  <c r="BD168"/>
  <c r="BB168"/>
  <c r="AZ168"/>
  <c r="CA167"/>
  <c r="BY167"/>
  <c r="BW167"/>
  <c r="BD167"/>
  <c r="BB167"/>
  <c r="AZ167"/>
  <c r="CA166"/>
  <c r="BY166"/>
  <c r="BW166"/>
  <c r="BD166"/>
  <c r="BB166"/>
  <c r="AZ166"/>
  <c r="CA165"/>
  <c r="BY165"/>
  <c r="BW165"/>
  <c r="BD165"/>
  <c r="BB165"/>
  <c r="AZ165"/>
  <c r="CA164"/>
  <c r="BY164"/>
  <c r="BW164"/>
  <c r="BD164"/>
  <c r="BB164"/>
  <c r="AZ164"/>
  <c r="CA163"/>
  <c r="BY163"/>
  <c r="BW163"/>
  <c r="BD163"/>
  <c r="BB163"/>
  <c r="AZ163"/>
  <c r="CA162"/>
  <c r="BY162"/>
  <c r="BW162"/>
  <c r="BD162"/>
  <c r="BB162"/>
  <c r="AZ162"/>
  <c r="CA161"/>
  <c r="BY161"/>
  <c r="BW161"/>
  <c r="BD161"/>
  <c r="BB161"/>
  <c r="AZ161"/>
  <c r="CA160"/>
  <c r="BY160"/>
  <c r="BW160"/>
  <c r="BD160"/>
  <c r="BB160"/>
  <c r="AZ160"/>
  <c r="CA159"/>
  <c r="BY159"/>
  <c r="BW159"/>
  <c r="BD159"/>
  <c r="BB159"/>
  <c r="AZ159"/>
  <c r="CA158"/>
  <c r="BY158"/>
  <c r="BW158"/>
  <c r="BD158"/>
  <c r="BB158"/>
  <c r="AZ158"/>
  <c r="CA157"/>
  <c r="BY157"/>
  <c r="BW157"/>
  <c r="BD157"/>
  <c r="BB157"/>
  <c r="AZ157"/>
  <c r="CA156"/>
  <c r="BY156"/>
  <c r="BW156"/>
  <c r="BD156"/>
  <c r="BB156"/>
  <c r="AZ156"/>
  <c r="CA155"/>
  <c r="BY155"/>
  <c r="BW155"/>
  <c r="BD155"/>
  <c r="BB155"/>
  <c r="AZ155"/>
  <c r="CA154"/>
  <c r="BY154"/>
  <c r="BW154"/>
  <c r="BD154"/>
  <c r="BB154"/>
  <c r="AZ154"/>
  <c r="CA153"/>
  <c r="BY153"/>
  <c r="BW153"/>
  <c r="BD153"/>
  <c r="BB153"/>
  <c r="AZ153"/>
  <c r="CA152"/>
  <c r="BY152"/>
  <c r="BW152"/>
  <c r="BD152"/>
  <c r="BB152"/>
  <c r="AZ152"/>
  <c r="CA151"/>
  <c r="BY151"/>
  <c r="BW151"/>
  <c r="BD151"/>
  <c r="BB151"/>
  <c r="AZ151"/>
  <c r="CA150"/>
  <c r="BY150"/>
  <c r="BW150"/>
  <c r="BD150"/>
  <c r="BB150"/>
  <c r="AZ150"/>
  <c r="CA149"/>
  <c r="BY149"/>
  <c r="BW149"/>
  <c r="BD149"/>
  <c r="BB149"/>
  <c r="AZ149"/>
  <c r="CA148"/>
  <c r="BY148"/>
  <c r="BW148"/>
  <c r="BD148"/>
  <c r="BB148"/>
  <c r="AZ148"/>
  <c r="CA147"/>
  <c r="BY147"/>
  <c r="BW147"/>
  <c r="BD147"/>
  <c r="BB147"/>
  <c r="AZ147"/>
  <c r="CA146"/>
  <c r="BY146"/>
  <c r="BW146"/>
  <c r="BD146"/>
  <c r="BB146"/>
  <c r="AZ146"/>
  <c r="CA145"/>
  <c r="BY145"/>
  <c r="BW145"/>
  <c r="BD145"/>
  <c r="BB145"/>
  <c r="AZ145"/>
  <c r="CA144"/>
  <c r="BY144"/>
  <c r="BW144"/>
  <c r="BD144"/>
  <c r="BB144"/>
  <c r="AZ144"/>
  <c r="CA143"/>
  <c r="BY143"/>
  <c r="BW143"/>
  <c r="BD143"/>
  <c r="BB143"/>
  <c r="AZ143"/>
  <c r="CA142"/>
  <c r="BY142"/>
  <c r="BW142"/>
  <c r="BD142"/>
  <c r="BB142"/>
  <c r="AZ142"/>
  <c r="CA141"/>
  <c r="BY141"/>
  <c r="BW141"/>
  <c r="BD141"/>
  <c r="BB141"/>
  <c r="AZ141"/>
  <c r="CA140"/>
  <c r="BY140"/>
  <c r="BW140"/>
  <c r="BD140"/>
  <c r="BB140"/>
  <c r="AZ140"/>
  <c r="CA139"/>
  <c r="BY139"/>
  <c r="BW139"/>
  <c r="BD139"/>
  <c r="BB139"/>
  <c r="AZ139"/>
  <c r="CA138"/>
  <c r="BY138"/>
  <c r="BW138"/>
  <c r="BD138"/>
  <c r="BB138"/>
  <c r="AZ138"/>
  <c r="CA137"/>
  <c r="BY137"/>
  <c r="BW137"/>
  <c r="BD137"/>
  <c r="BB137"/>
  <c r="AZ137"/>
  <c r="CA136"/>
  <c r="BY136"/>
  <c r="BW136"/>
  <c r="BD136"/>
  <c r="BB136"/>
  <c r="AZ136"/>
  <c r="CA135"/>
  <c r="BY135"/>
  <c r="BW135"/>
  <c r="BD135"/>
  <c r="BB135"/>
  <c r="AZ135"/>
  <c r="CA134"/>
  <c r="BY134"/>
  <c r="BW134"/>
  <c r="BD134"/>
  <c r="BB134"/>
  <c r="AZ134"/>
  <c r="CA133"/>
  <c r="BY133"/>
  <c r="BW133"/>
  <c r="BD133"/>
  <c r="BB133"/>
  <c r="AZ133"/>
  <c r="CA132"/>
  <c r="BY132"/>
  <c r="BW132"/>
  <c r="BD132"/>
  <c r="BB132"/>
  <c r="AZ132"/>
  <c r="CA131"/>
  <c r="BY131"/>
  <c r="BW131"/>
  <c r="BD131"/>
  <c r="BB131"/>
  <c r="AZ131"/>
  <c r="CA130"/>
  <c r="BY130"/>
  <c r="BW130"/>
  <c r="BD130"/>
  <c r="BB130"/>
  <c r="AZ130"/>
  <c r="CA129"/>
  <c r="BY129"/>
  <c r="BW129"/>
  <c r="BD129"/>
  <c r="BB129"/>
  <c r="AZ129"/>
  <c r="CA128"/>
  <c r="BY128"/>
  <c r="BW128"/>
  <c r="BD128"/>
  <c r="BB128"/>
  <c r="AZ128"/>
  <c r="CA127"/>
  <c r="BY127"/>
  <c r="BW127"/>
  <c r="BD127"/>
  <c r="BB127"/>
  <c r="AZ127"/>
  <c r="CA126"/>
  <c r="BY126"/>
  <c r="BW126"/>
  <c r="BD126"/>
  <c r="BB126"/>
  <c r="AZ126"/>
  <c r="CA125"/>
  <c r="BY125"/>
  <c r="BW125"/>
  <c r="BD125"/>
  <c r="BB125"/>
  <c r="AZ125"/>
  <c r="CA124"/>
  <c r="BY124"/>
  <c r="BW124"/>
  <c r="BD124"/>
  <c r="BB124"/>
  <c r="AZ124"/>
  <c r="CA123"/>
  <c r="BY123"/>
  <c r="BW123"/>
  <c r="BD123"/>
  <c r="BB123"/>
  <c r="AZ123"/>
  <c r="CA122"/>
  <c r="BY122"/>
  <c r="BW122"/>
  <c r="BD122"/>
  <c r="BB122"/>
  <c r="AZ122"/>
  <c r="CA121"/>
  <c r="BY121"/>
  <c r="BW121"/>
  <c r="BD121"/>
  <c r="BB121"/>
  <c r="AZ121"/>
  <c r="CA120"/>
  <c r="BY120"/>
  <c r="BW120"/>
  <c r="BD120"/>
  <c r="BB120"/>
  <c r="AZ120"/>
  <c r="CA119"/>
  <c r="BY119"/>
  <c r="BW119"/>
  <c r="BD119"/>
  <c r="BB119"/>
  <c r="AZ119"/>
  <c r="CA118"/>
  <c r="BY118"/>
  <c r="BW118"/>
  <c r="BD118"/>
  <c r="BB118"/>
  <c r="AZ118"/>
  <c r="CA117"/>
  <c r="BY117"/>
  <c r="BW117"/>
  <c r="BD117"/>
  <c r="BB117"/>
  <c r="AZ117"/>
  <c r="CA116"/>
  <c r="BY116"/>
  <c r="BW116"/>
  <c r="BD116"/>
  <c r="BB116"/>
  <c r="AZ116"/>
  <c r="CA115"/>
  <c r="BY115"/>
  <c r="BW115"/>
  <c r="BD115"/>
  <c r="BB115"/>
  <c r="AZ115"/>
  <c r="CA114"/>
  <c r="BY114"/>
  <c r="BW114"/>
  <c r="BD114"/>
  <c r="BB114"/>
  <c r="AZ114"/>
  <c r="CA113"/>
  <c r="BY113"/>
  <c r="BW113"/>
  <c r="BD113"/>
  <c r="BB113"/>
  <c r="AZ113"/>
  <c r="CA112"/>
  <c r="BY112"/>
  <c r="BW112"/>
  <c r="BD112"/>
  <c r="BB112"/>
  <c r="AZ112"/>
  <c r="CA111"/>
  <c r="BY111"/>
  <c r="BW111"/>
  <c r="BD111"/>
  <c r="BB111"/>
  <c r="AZ111"/>
  <c r="CA110"/>
  <c r="BY110"/>
  <c r="BW110"/>
  <c r="BD110"/>
  <c r="BB110"/>
  <c r="AZ110"/>
  <c r="CA109"/>
  <c r="BY109"/>
  <c r="BW109"/>
  <c r="BD109"/>
  <c r="BB109"/>
  <c r="AZ109"/>
  <c r="CA108"/>
  <c r="BY108"/>
  <c r="BW108"/>
  <c r="BD108"/>
  <c r="BB108"/>
  <c r="AZ108"/>
  <c r="CA107"/>
  <c r="BY107"/>
  <c r="BW107"/>
  <c r="BD107"/>
  <c r="BB107"/>
  <c r="AZ107"/>
  <c r="CA106"/>
  <c r="BY106"/>
  <c r="BW106"/>
  <c r="BD106"/>
  <c r="BB106"/>
  <c r="AZ106"/>
  <c r="CA105"/>
  <c r="BY105"/>
  <c r="BW105"/>
  <c r="BD105"/>
  <c r="BB105"/>
  <c r="AZ105"/>
  <c r="CA104"/>
  <c r="BY104"/>
  <c r="BW104"/>
  <c r="BD104"/>
  <c r="BB104"/>
  <c r="AZ104"/>
  <c r="CA103"/>
  <c r="BY103"/>
  <c r="BW103"/>
  <c r="BD103"/>
  <c r="BB103"/>
  <c r="AZ103"/>
  <c r="CA102"/>
  <c r="BY102"/>
  <c r="BW102"/>
  <c r="BD102"/>
  <c r="BB102"/>
  <c r="AZ102"/>
  <c r="CA101"/>
  <c r="BY101"/>
  <c r="BW101"/>
  <c r="BD101"/>
  <c r="BB101"/>
  <c r="AZ101"/>
  <c r="CA100"/>
  <c r="BY100"/>
  <c r="BW100"/>
  <c r="BD100"/>
  <c r="BB100"/>
  <c r="AZ100"/>
  <c r="CA99"/>
  <c r="BY99"/>
  <c r="BW99"/>
  <c r="BD99"/>
  <c r="BB99"/>
  <c r="AZ99"/>
  <c r="CA98"/>
  <c r="BY98"/>
  <c r="BW98"/>
  <c r="BD98"/>
  <c r="BB98"/>
  <c r="AZ98"/>
  <c r="CA97"/>
  <c r="BY97"/>
  <c r="BW97"/>
  <c r="BD97"/>
  <c r="BB97"/>
  <c r="AZ97"/>
  <c r="CA96"/>
  <c r="BY96"/>
  <c r="BW96"/>
  <c r="BD96"/>
  <c r="BB96"/>
  <c r="AZ96"/>
  <c r="CA95"/>
  <c r="BY95"/>
  <c r="BW95"/>
  <c r="BD95"/>
  <c r="BB95"/>
  <c r="AZ95"/>
  <c r="CA94"/>
  <c r="BY94"/>
  <c r="BW94"/>
  <c r="BD94"/>
  <c r="BB94"/>
  <c r="AZ94"/>
  <c r="CA93"/>
  <c r="BY93"/>
  <c r="BW93"/>
  <c r="BD93"/>
  <c r="BB93"/>
  <c r="AZ93"/>
  <c r="CA92"/>
  <c r="BY92"/>
  <c r="BW92"/>
  <c r="BD92"/>
  <c r="BB92"/>
  <c r="AZ92"/>
  <c r="CA91"/>
  <c r="BY91"/>
  <c r="BW91"/>
  <c r="BD91"/>
  <c r="BB91"/>
  <c r="AZ91"/>
  <c r="CA90"/>
  <c r="BY90"/>
  <c r="BW90"/>
  <c r="BD90"/>
  <c r="BB90"/>
  <c r="AZ90"/>
  <c r="CA89"/>
  <c r="BY89"/>
  <c r="BW89"/>
  <c r="BD89"/>
  <c r="BB89"/>
  <c r="AZ89"/>
  <c r="CA88"/>
  <c r="BY88"/>
  <c r="BW88"/>
  <c r="BD88"/>
  <c r="BB88"/>
  <c r="AZ88"/>
  <c r="CA87"/>
  <c r="BY87"/>
  <c r="BW87"/>
  <c r="BD87"/>
  <c r="BB87"/>
  <c r="AZ87"/>
  <c r="CA86"/>
  <c r="BY86"/>
  <c r="BW86"/>
  <c r="BD86"/>
  <c r="BB86"/>
  <c r="AZ86"/>
  <c r="CA85"/>
  <c r="BY85"/>
  <c r="BW85"/>
  <c r="BD85"/>
  <c r="BB85"/>
  <c r="AZ85"/>
  <c r="CA84"/>
  <c r="BY84"/>
  <c r="BW84"/>
  <c r="BD84"/>
  <c r="BB84"/>
  <c r="AZ84"/>
  <c r="CA83"/>
  <c r="BY83"/>
  <c r="BW83"/>
  <c r="BD83"/>
  <c r="BB83"/>
  <c r="AZ83"/>
  <c r="CA82"/>
  <c r="BY82"/>
  <c r="BW82"/>
  <c r="BD82"/>
  <c r="BB82"/>
  <c r="AZ82"/>
  <c r="CA81"/>
  <c r="BY81"/>
  <c r="BW81"/>
  <c r="BD81"/>
  <c r="BB81"/>
  <c r="AZ81"/>
  <c r="CA80"/>
  <c r="BY80"/>
  <c r="BW80"/>
  <c r="BD80"/>
  <c r="BB80"/>
  <c r="AZ80"/>
  <c r="CA79"/>
  <c r="BY79"/>
  <c r="BW79"/>
  <c r="BD79"/>
  <c r="BB79"/>
  <c r="AZ79"/>
  <c r="CA78"/>
  <c r="BY78"/>
  <c r="BW78"/>
  <c r="BD78"/>
  <c r="BB78"/>
  <c r="AZ78"/>
  <c r="CA77"/>
  <c r="BY77"/>
  <c r="BW77"/>
  <c r="BD77"/>
  <c r="BB77"/>
  <c r="AZ77"/>
  <c r="CA76"/>
  <c r="BY76"/>
  <c r="BW76"/>
  <c r="BD76"/>
  <c r="BB76"/>
  <c r="AZ76"/>
  <c r="CA75"/>
  <c r="BY75"/>
  <c r="BW75"/>
  <c r="BD75"/>
  <c r="BB75"/>
  <c r="AZ75"/>
  <c r="CA74"/>
  <c r="BY74"/>
  <c r="BW74"/>
  <c r="BD74"/>
  <c r="BB74"/>
  <c r="AZ74"/>
  <c r="CA73"/>
  <c r="BY73"/>
  <c r="BW73"/>
  <c r="BD73"/>
  <c r="BB73"/>
  <c r="AZ73"/>
  <c r="CA72"/>
  <c r="BY72"/>
  <c r="BW72"/>
  <c r="BD72"/>
  <c r="BB72"/>
  <c r="AZ72"/>
  <c r="CA71"/>
  <c r="BY71"/>
  <c r="BW71"/>
  <c r="BD71"/>
  <c r="BB71"/>
  <c r="AZ71"/>
  <c r="CA70"/>
  <c r="BY70"/>
  <c r="BW70"/>
  <c r="BD70"/>
  <c r="BB70"/>
  <c r="AZ70"/>
  <c r="CA69"/>
  <c r="BY69"/>
  <c r="BW69"/>
  <c r="BD69"/>
  <c r="BB69"/>
  <c r="AZ69"/>
  <c r="CA68"/>
  <c r="BY68"/>
  <c r="BW68"/>
  <c r="BD68"/>
  <c r="BB68"/>
  <c r="AZ68"/>
  <c r="CA67"/>
  <c r="BY67"/>
  <c r="BW67"/>
  <c r="BD67"/>
  <c r="BB67"/>
  <c r="AZ67"/>
  <c r="CA66"/>
  <c r="BY66"/>
  <c r="BW66"/>
  <c r="BD66"/>
  <c r="BB66"/>
  <c r="AZ66"/>
  <c r="CA65"/>
  <c r="BY65"/>
  <c r="BW65"/>
  <c r="BD65"/>
  <c r="BB65"/>
  <c r="AZ65"/>
  <c r="CA64"/>
  <c r="BY64"/>
  <c r="BW64"/>
  <c r="BD64"/>
  <c r="BB64"/>
  <c r="AZ64"/>
  <c r="CA63"/>
  <c r="BY63"/>
  <c r="BW63"/>
  <c r="BD63"/>
  <c r="BB63"/>
  <c r="AZ63"/>
  <c r="CA62"/>
  <c r="BY62"/>
  <c r="BW62"/>
  <c r="BD62"/>
  <c r="BB62"/>
  <c r="AZ62"/>
  <c r="CA61"/>
  <c r="BY61"/>
  <c r="BW61"/>
  <c r="BD61"/>
  <c r="BB61"/>
  <c r="AZ61"/>
  <c r="CA60"/>
  <c r="BY60"/>
  <c r="BW60"/>
  <c r="BD60"/>
  <c r="BB60"/>
  <c r="AZ60"/>
  <c r="CA59"/>
  <c r="BY59"/>
  <c r="BW59"/>
  <c r="BD59"/>
  <c r="BB59"/>
  <c r="AZ59"/>
  <c r="CA58"/>
  <c r="BY58"/>
  <c r="BW58"/>
  <c r="BD58"/>
  <c r="BB58"/>
  <c r="AZ58"/>
  <c r="CA57"/>
  <c r="BY57"/>
  <c r="BW57"/>
  <c r="BD57"/>
  <c r="BB57"/>
  <c r="AZ57"/>
  <c r="CA56"/>
  <c r="BY56"/>
  <c r="BW56"/>
  <c r="BD56"/>
  <c r="BB56"/>
  <c r="AZ56"/>
  <c r="CA55"/>
  <c r="BY55"/>
  <c r="BW55"/>
  <c r="BD55"/>
  <c r="BB55"/>
  <c r="AZ55"/>
  <c r="CA54"/>
  <c r="BY54"/>
  <c r="BW54"/>
  <c r="BD54"/>
  <c r="BB54"/>
  <c r="AZ54"/>
  <c r="CA53"/>
  <c r="BY53"/>
  <c r="BW53"/>
  <c r="BD53"/>
  <c r="BB53"/>
  <c r="AZ53"/>
  <c r="CA52"/>
  <c r="BY52"/>
  <c r="BW52"/>
  <c r="BD52"/>
  <c r="BB52"/>
  <c r="AZ52"/>
  <c r="CA51"/>
  <c r="BY51"/>
  <c r="BW51"/>
  <c r="BD51"/>
  <c r="BB51"/>
  <c r="AZ51"/>
  <c r="CA50"/>
  <c r="BY50"/>
  <c r="BW50"/>
  <c r="BD50"/>
  <c r="BB50"/>
  <c r="AZ50"/>
  <c r="CA49"/>
  <c r="BY49"/>
  <c r="BW49"/>
  <c r="BD49"/>
  <c r="BB49"/>
  <c r="AZ49"/>
  <c r="CA48"/>
  <c r="BY48"/>
  <c r="BW48"/>
  <c r="BD48"/>
  <c r="BB48"/>
  <c r="AZ48"/>
  <c r="CA47"/>
  <c r="BY47"/>
  <c r="BW47"/>
  <c r="BD47"/>
  <c r="BB47"/>
  <c r="AZ47"/>
  <c r="CA46"/>
  <c r="BY46"/>
  <c r="BW46"/>
  <c r="BD46"/>
  <c r="BB46"/>
  <c r="AZ46"/>
  <c r="CA45"/>
  <c r="BY45"/>
  <c r="BW45"/>
  <c r="BD45"/>
  <c r="BB45"/>
  <c r="AZ45"/>
  <c r="CA44"/>
  <c r="BY44"/>
  <c r="BW44"/>
  <c r="BD44"/>
  <c r="BB44"/>
  <c r="AZ44"/>
  <c r="CA43"/>
  <c r="BY43"/>
  <c r="BW43"/>
  <c r="BD43"/>
  <c r="BB43"/>
  <c r="AZ43"/>
  <c r="CA42"/>
  <c r="BY42"/>
  <c r="BW42"/>
  <c r="BD42"/>
  <c r="BB42"/>
  <c r="AZ42"/>
  <c r="CA41"/>
  <c r="BY41"/>
  <c r="BW41"/>
  <c r="BD41"/>
  <c r="BB41"/>
  <c r="AZ41"/>
  <c r="CA40"/>
  <c r="BY40"/>
  <c r="BW40"/>
  <c r="BD40"/>
  <c r="BB40"/>
  <c r="AZ40"/>
  <c r="CA39"/>
  <c r="BY39"/>
  <c r="BW39"/>
  <c r="BD39"/>
  <c r="BB39"/>
  <c r="AZ39"/>
  <c r="CA38"/>
  <c r="BY38"/>
  <c r="BW38"/>
  <c r="BD38"/>
  <c r="BB38"/>
  <c r="AZ38"/>
  <c r="CA37"/>
  <c r="BY37"/>
  <c r="BW37"/>
  <c r="BD37"/>
  <c r="BB37"/>
  <c r="AZ37"/>
  <c r="CA36"/>
  <c r="BY36"/>
  <c r="BW36"/>
  <c r="BD36"/>
  <c r="BB36"/>
  <c r="AZ36"/>
  <c r="CA35"/>
  <c r="BY35"/>
  <c r="BW35"/>
  <c r="BD35"/>
  <c r="BB35"/>
  <c r="AZ35"/>
  <c r="CA34"/>
  <c r="BY34"/>
  <c r="BW34"/>
  <c r="BD34"/>
  <c r="BB34"/>
  <c r="AZ34"/>
  <c r="CA33"/>
  <c r="BY33"/>
  <c r="BW33"/>
  <c r="BD33"/>
  <c r="BB33"/>
  <c r="AZ33"/>
  <c r="CA32"/>
  <c r="BY32"/>
  <c r="BW32"/>
  <c r="BD32"/>
  <c r="BB32"/>
  <c r="AZ32"/>
  <c r="CA31"/>
  <c r="BY31"/>
  <c r="BW31"/>
  <c r="BD31"/>
  <c r="BB31"/>
  <c r="AZ31"/>
  <c r="CA30"/>
  <c r="BY30"/>
  <c r="BW30"/>
  <c r="BD30"/>
  <c r="BB30"/>
  <c r="AZ30"/>
  <c r="CA29"/>
  <c r="BY29"/>
  <c r="BW29"/>
  <c r="BD29"/>
  <c r="BB29"/>
  <c r="AZ29"/>
  <c r="CA28"/>
  <c r="BY28"/>
  <c r="BW28"/>
  <c r="BD28"/>
  <c r="BB28"/>
  <c r="AZ28"/>
  <c r="CA27"/>
  <c r="BY27"/>
  <c r="BW27"/>
  <c r="BD27"/>
  <c r="BB27"/>
  <c r="AZ27"/>
  <c r="CA26"/>
  <c r="BY26"/>
  <c r="BW26"/>
  <c r="BD26"/>
  <c r="BB26"/>
  <c r="AZ26"/>
  <c r="CA25"/>
  <c r="BY25"/>
  <c r="BW25"/>
  <c r="BD25"/>
  <c r="BB25"/>
  <c r="AZ25"/>
  <c r="CA24"/>
  <c r="BY24"/>
  <c r="BW24"/>
  <c r="BD24"/>
  <c r="BB24"/>
  <c r="AZ24"/>
  <c r="CA23"/>
  <c r="BY23"/>
  <c r="BW23"/>
  <c r="BD23"/>
  <c r="BB23"/>
  <c r="AZ23"/>
  <c r="CA22"/>
  <c r="BY22"/>
  <c r="BW22"/>
  <c r="BD22"/>
  <c r="BB22"/>
  <c r="AZ22"/>
  <c r="CA21"/>
  <c r="BY21"/>
  <c r="BW21"/>
  <c r="BD21"/>
  <c r="BB21"/>
  <c r="AZ21"/>
  <c r="CA20"/>
  <c r="BY20"/>
  <c r="BW20"/>
  <c r="BD20"/>
  <c r="BB20"/>
  <c r="AZ20"/>
  <c r="CA19"/>
  <c r="BY19"/>
  <c r="BW19"/>
  <c r="BD19"/>
  <c r="BB19"/>
  <c r="AZ19"/>
  <c r="CA18"/>
  <c r="BY18"/>
  <c r="BW18"/>
  <c r="BD18"/>
  <c r="BB18"/>
  <c r="AZ18"/>
  <c r="CA17"/>
  <c r="BY17"/>
  <c r="BW17"/>
  <c r="BD17"/>
  <c r="BB17"/>
  <c r="AZ17"/>
  <c r="CA16"/>
  <c r="BY16"/>
  <c r="BW16"/>
  <c r="BD16"/>
  <c r="BB16"/>
  <c r="AZ16"/>
  <c r="CA15"/>
  <c r="BY15"/>
  <c r="BW15"/>
  <c r="BD15"/>
  <c r="BB15"/>
  <c r="AZ15"/>
  <c r="CA14"/>
  <c r="BY14"/>
  <c r="BW14"/>
  <c r="BD14"/>
  <c r="BB14"/>
  <c r="AZ14"/>
  <c r="CA13"/>
  <c r="BY13"/>
  <c r="BW13"/>
  <c r="BD13"/>
  <c r="BB13"/>
  <c r="AZ13"/>
  <c r="CA12"/>
  <c r="BY12"/>
  <c r="BW12"/>
  <c r="BD12"/>
  <c r="BB12"/>
  <c r="AZ12"/>
  <c r="CA11"/>
  <c r="BY11"/>
  <c r="BW11"/>
  <c r="BD11"/>
  <c r="BB11"/>
  <c r="AZ11"/>
  <c r="CA10"/>
  <c r="BY10"/>
  <c r="BW10"/>
  <c r="BD10"/>
  <c r="BB10"/>
  <c r="AZ10"/>
  <c r="CA9"/>
  <c r="BY9"/>
  <c r="BW9"/>
  <c r="BD9"/>
  <c r="BB9"/>
  <c r="AZ9"/>
  <c r="CA8"/>
  <c r="BY8"/>
  <c r="BW8"/>
  <c r="BD8"/>
  <c r="BB8"/>
  <c r="AZ8"/>
  <c r="CA7"/>
  <c r="BY7"/>
  <c r="BW7"/>
  <c r="BD7"/>
  <c r="BB7"/>
  <c r="AZ7"/>
  <c r="CA6"/>
  <c r="BY6"/>
  <c r="BW6"/>
  <c r="BD6"/>
  <c r="BB6"/>
  <c r="AZ6"/>
  <c r="CA5"/>
  <c r="BY5"/>
  <c r="BW5"/>
  <c r="BD5"/>
  <c r="BB5"/>
  <c r="AZ5"/>
  <c r="CA4"/>
  <c r="BY4"/>
  <c r="BW4"/>
  <c r="BD4"/>
  <c r="BB4"/>
  <c r="AZ4"/>
  <c r="AF306"/>
  <c r="AD306"/>
  <c r="AB306"/>
  <c r="AF305"/>
  <c r="AD305"/>
  <c r="AB305"/>
  <c r="AF304"/>
  <c r="AD304"/>
  <c r="AB304"/>
  <c r="AF303"/>
  <c r="AD303"/>
  <c r="AB303"/>
  <c r="AF302"/>
  <c r="AD302"/>
  <c r="AB302"/>
  <c r="AF301"/>
  <c r="AD301"/>
  <c r="AB301"/>
  <c r="AF300"/>
  <c r="AD300"/>
  <c r="AB300"/>
  <c r="AF299"/>
  <c r="AD299"/>
  <c r="AB299"/>
  <c r="AF298"/>
  <c r="AD298"/>
  <c r="AB298"/>
  <c r="AF297"/>
  <c r="AD297"/>
  <c r="AB297"/>
  <c r="AF296"/>
  <c r="AD296"/>
  <c r="AB296"/>
  <c r="AF295"/>
  <c r="AD295"/>
  <c r="AB295"/>
  <c r="AF294"/>
  <c r="AD294"/>
  <c r="AB294"/>
  <c r="AF293"/>
  <c r="AD293"/>
  <c r="AB293"/>
  <c r="AF292"/>
  <c r="AD292"/>
  <c r="AB292"/>
  <c r="AF291"/>
  <c r="AD291"/>
  <c r="AB291"/>
  <c r="AF290"/>
  <c r="AD290"/>
  <c r="AB290"/>
  <c r="AF289"/>
  <c r="AD289"/>
  <c r="AB289"/>
  <c r="AF288"/>
  <c r="AD288"/>
  <c r="AB288"/>
  <c r="AF287"/>
  <c r="AD287"/>
  <c r="AB287"/>
  <c r="AF286"/>
  <c r="AD286"/>
  <c r="AB286"/>
  <c r="AF285"/>
  <c r="AD285"/>
  <c r="AB285"/>
  <c r="AF284"/>
  <c r="AD284"/>
  <c r="AB284"/>
  <c r="AF283"/>
  <c r="AD283"/>
  <c r="AB283"/>
  <c r="AF282"/>
  <c r="AD282"/>
  <c r="AB282"/>
  <c r="AF281"/>
  <c r="AD281"/>
  <c r="AB281"/>
  <c r="AF280"/>
  <c r="AD280"/>
  <c r="AB280"/>
  <c r="AF279"/>
  <c r="AD279"/>
  <c r="AB279"/>
  <c r="AF278"/>
  <c r="AD278"/>
  <c r="AB278"/>
  <c r="AF277"/>
  <c r="AD277"/>
  <c r="AB277"/>
  <c r="AF276"/>
  <c r="AD276"/>
  <c r="AB276"/>
  <c r="AF275"/>
  <c r="AD275"/>
  <c r="AB275"/>
  <c r="AF274"/>
  <c r="AD274"/>
  <c r="AB274"/>
  <c r="AF273"/>
  <c r="AD273"/>
  <c r="AB273"/>
  <c r="AF272"/>
  <c r="AD272"/>
  <c r="AB272"/>
  <c r="AF271"/>
  <c r="AD271"/>
  <c r="AB271"/>
  <c r="AF270"/>
  <c r="AD270"/>
  <c r="AB270"/>
  <c r="AF269"/>
  <c r="AD269"/>
  <c r="AB269"/>
  <c r="AF268"/>
  <c r="AD268"/>
  <c r="AB268"/>
  <c r="AF267"/>
  <c r="AD267"/>
  <c r="AB267"/>
  <c r="AF266"/>
  <c r="AD266"/>
  <c r="AB266"/>
  <c r="AF265"/>
  <c r="AD265"/>
  <c r="AB265"/>
  <c r="AF264"/>
  <c r="AD264"/>
  <c r="AB264"/>
  <c r="AF263"/>
  <c r="AD263"/>
  <c r="AB263"/>
  <c r="AF262"/>
  <c r="AD262"/>
  <c r="AB262"/>
  <c r="AF261"/>
  <c r="AD261"/>
  <c r="AB261"/>
  <c r="AF260"/>
  <c r="AD260"/>
  <c r="AB260"/>
  <c r="AF259"/>
  <c r="AD259"/>
  <c r="AB259"/>
  <c r="AF258"/>
  <c r="AD258"/>
  <c r="AB258"/>
  <c r="AF257"/>
  <c r="AD257"/>
  <c r="AB257"/>
  <c r="AF256"/>
  <c r="AD256"/>
  <c r="AB256"/>
  <c r="AF255"/>
  <c r="AD255"/>
  <c r="AB255"/>
  <c r="AF254"/>
  <c r="AD254"/>
  <c r="AB254"/>
  <c r="AF253"/>
  <c r="AD253"/>
  <c r="AB253"/>
  <c r="AF252"/>
  <c r="AD252"/>
  <c r="AB252"/>
  <c r="AF251"/>
  <c r="AD251"/>
  <c r="AB251"/>
  <c r="AF250"/>
  <c r="AD250"/>
  <c r="AB250"/>
  <c r="AF249"/>
  <c r="AD249"/>
  <c r="AB249"/>
  <c r="AF248"/>
  <c r="AD248"/>
  <c r="AB248"/>
  <c r="AF247"/>
  <c r="AD247"/>
  <c r="AB247"/>
  <c r="AF246"/>
  <c r="AD246"/>
  <c r="AB246"/>
  <c r="AF245"/>
  <c r="AD245"/>
  <c r="AB245"/>
  <c r="AF244"/>
  <c r="AD244"/>
  <c r="AB244"/>
  <c r="AF243"/>
  <c r="AD243"/>
  <c r="AB243"/>
  <c r="AF242"/>
  <c r="AD242"/>
  <c r="AB242"/>
  <c r="AF241"/>
  <c r="AD241"/>
  <c r="AB241"/>
  <c r="AF240"/>
  <c r="AD240"/>
  <c r="AB240"/>
  <c r="AF239"/>
  <c r="AD239"/>
  <c r="AB239"/>
  <c r="AF238"/>
  <c r="AD238"/>
  <c r="AB238"/>
  <c r="AF237"/>
  <c r="AD237"/>
  <c r="AB237"/>
  <c r="AF236"/>
  <c r="AD236"/>
  <c r="AB236"/>
  <c r="AF235"/>
  <c r="AD235"/>
  <c r="AB235"/>
  <c r="AF234"/>
  <c r="AD234"/>
  <c r="AB234"/>
  <c r="AF233"/>
  <c r="AD233"/>
  <c r="AB233"/>
  <c r="AF232"/>
  <c r="AD232"/>
  <c r="AB232"/>
  <c r="AF231"/>
  <c r="AD231"/>
  <c r="AB231"/>
  <c r="AF230"/>
  <c r="AD230"/>
  <c r="AB230"/>
  <c r="AF229"/>
  <c r="AD229"/>
  <c r="AB229"/>
  <c r="AF228"/>
  <c r="AD228"/>
  <c r="AB228"/>
  <c r="AF227"/>
  <c r="AD227"/>
  <c r="AB227"/>
  <c r="AF226"/>
  <c r="AD226"/>
  <c r="AB226"/>
  <c r="AF225"/>
  <c r="AD225"/>
  <c r="AB225"/>
  <c r="AF224"/>
  <c r="AD224"/>
  <c r="AB224"/>
  <c r="AF223"/>
  <c r="AD223"/>
  <c r="AB223"/>
  <c r="AF222"/>
  <c r="AD222"/>
  <c r="AB222"/>
  <c r="AF221"/>
  <c r="AD221"/>
  <c r="AB221"/>
  <c r="AF220"/>
  <c r="AD220"/>
  <c r="AB220"/>
  <c r="AF219"/>
  <c r="AD219"/>
  <c r="AB219"/>
  <c r="AF218"/>
  <c r="AD218"/>
  <c r="AB218"/>
  <c r="AF217"/>
  <c r="AD217"/>
  <c r="AB217"/>
  <c r="AF216"/>
  <c r="AD216"/>
  <c r="AB216"/>
  <c r="AF215"/>
  <c r="AD215"/>
  <c r="AB215"/>
  <c r="AF214"/>
  <c r="AD214"/>
  <c r="AB214"/>
  <c r="AF213"/>
  <c r="AD213"/>
  <c r="AB213"/>
  <c r="AF212"/>
  <c r="AD212"/>
  <c r="AB212"/>
  <c r="AF211"/>
  <c r="AD211"/>
  <c r="AB211"/>
  <c r="AF210"/>
  <c r="AD210"/>
  <c r="AB210"/>
  <c r="AF209"/>
  <c r="AD209"/>
  <c r="AB209"/>
  <c r="AF208"/>
  <c r="AD208"/>
  <c r="AB208"/>
  <c r="AF207"/>
  <c r="AD207"/>
  <c r="AB207"/>
  <c r="AF206"/>
  <c r="AD206"/>
  <c r="AB206"/>
  <c r="AF205"/>
  <c r="AD205"/>
  <c r="AB205"/>
  <c r="AF204"/>
  <c r="AD204"/>
  <c r="AB204"/>
  <c r="AF203"/>
  <c r="AD203"/>
  <c r="AB203"/>
  <c r="AF202"/>
  <c r="AD202"/>
  <c r="AB202"/>
  <c r="AF201"/>
  <c r="AD201"/>
  <c r="AB201"/>
  <c r="AF200"/>
  <c r="AD200"/>
  <c r="AB200"/>
  <c r="AF199"/>
  <c r="AD199"/>
  <c r="AB199"/>
  <c r="AF198"/>
  <c r="AD198"/>
  <c r="AB198"/>
  <c r="AF197"/>
  <c r="AD197"/>
  <c r="AB197"/>
  <c r="AF196"/>
  <c r="AD196"/>
  <c r="AB196"/>
  <c r="AF195"/>
  <c r="AD195"/>
  <c r="AB195"/>
  <c r="AF194"/>
  <c r="AD194"/>
  <c r="AB194"/>
  <c r="AF193"/>
  <c r="AD193"/>
  <c r="AB193"/>
  <c r="AF192"/>
  <c r="AD192"/>
  <c r="AB192"/>
  <c r="AF191"/>
  <c r="AD191"/>
  <c r="AB191"/>
  <c r="AF190"/>
  <c r="AD190"/>
  <c r="AB190"/>
  <c r="AF189"/>
  <c r="AD189"/>
  <c r="AB189"/>
  <c r="AF188"/>
  <c r="AD188"/>
  <c r="AB188"/>
  <c r="AF187"/>
  <c r="AD187"/>
  <c r="AB187"/>
  <c r="AF186"/>
  <c r="AD186"/>
  <c r="AB186"/>
  <c r="AF185"/>
  <c r="AD185"/>
  <c r="AB185"/>
  <c r="AF184"/>
  <c r="AD184"/>
  <c r="AB184"/>
  <c r="AF183"/>
  <c r="AD183"/>
  <c r="AB183"/>
  <c r="AF182"/>
  <c r="AD182"/>
  <c r="AB182"/>
  <c r="AF181"/>
  <c r="AD181"/>
  <c r="AB181"/>
  <c r="AF180"/>
  <c r="AD180"/>
  <c r="AB180"/>
  <c r="AF179"/>
  <c r="AD179"/>
  <c r="AB179"/>
  <c r="AF178"/>
  <c r="AD178"/>
  <c r="AB178"/>
  <c r="AF177"/>
  <c r="AD177"/>
  <c r="AB177"/>
  <c r="AF176"/>
  <c r="AD176"/>
  <c r="AB176"/>
  <c r="AF175"/>
  <c r="AD175"/>
  <c r="AB175"/>
  <c r="AF174"/>
  <c r="AD174"/>
  <c r="AB174"/>
  <c r="AF173"/>
  <c r="AD173"/>
  <c r="AB173"/>
  <c r="AF172"/>
  <c r="AD172"/>
  <c r="AB172"/>
  <c r="AF171"/>
  <c r="AD171"/>
  <c r="AB171"/>
  <c r="AF170"/>
  <c r="AD170"/>
  <c r="AB170"/>
  <c r="AF169"/>
  <c r="AD169"/>
  <c r="AB169"/>
  <c r="AF168"/>
  <c r="AD168"/>
  <c r="AB168"/>
  <c r="AF167"/>
  <c r="AD167"/>
  <c r="AB167"/>
  <c r="AF166"/>
  <c r="AD166"/>
  <c r="AB166"/>
  <c r="AF165"/>
  <c r="AD165"/>
  <c r="AB165"/>
  <c r="AF164"/>
  <c r="AD164"/>
  <c r="AB164"/>
  <c r="AF163"/>
  <c r="AD163"/>
  <c r="AB163"/>
  <c r="AF162"/>
  <c r="AD162"/>
  <c r="AB162"/>
  <c r="AF161"/>
  <c r="AD161"/>
  <c r="AB161"/>
  <c r="AF160"/>
  <c r="AD160"/>
  <c r="AB160"/>
  <c r="AF159"/>
  <c r="AD159"/>
  <c r="AB159"/>
  <c r="AF158"/>
  <c r="AD158"/>
  <c r="AB158"/>
  <c r="AF157"/>
  <c r="AD157"/>
  <c r="AB157"/>
  <c r="AF156"/>
  <c r="AD156"/>
  <c r="AB156"/>
  <c r="AF155"/>
  <c r="AD155"/>
  <c r="AB155"/>
  <c r="AF154"/>
  <c r="AD154"/>
  <c r="AB154"/>
  <c r="AF153"/>
  <c r="AD153"/>
  <c r="AB153"/>
  <c r="AF152"/>
  <c r="AD152"/>
  <c r="AB152"/>
  <c r="AF151"/>
  <c r="AD151"/>
  <c r="AB151"/>
  <c r="AF150"/>
  <c r="AD150"/>
  <c r="AB150"/>
  <c r="AF149"/>
  <c r="AD149"/>
  <c r="AB149"/>
  <c r="AF148"/>
  <c r="AD148"/>
  <c r="AB148"/>
  <c r="AF147"/>
  <c r="AD147"/>
  <c r="AB147"/>
  <c r="AF146"/>
  <c r="AD146"/>
  <c r="AB146"/>
  <c r="AF145"/>
  <c r="AD145"/>
  <c r="AB145"/>
  <c r="AF144"/>
  <c r="AD144"/>
  <c r="AB144"/>
  <c r="AF143"/>
  <c r="AD143"/>
  <c r="AB143"/>
  <c r="AF142"/>
  <c r="AD142"/>
  <c r="AB142"/>
  <c r="AF141"/>
  <c r="AD141"/>
  <c r="AB141"/>
  <c r="AF140"/>
  <c r="AD140"/>
  <c r="AB140"/>
  <c r="AF139"/>
  <c r="AD139"/>
  <c r="AB139"/>
  <c r="AF138"/>
  <c r="AD138"/>
  <c r="AB138"/>
  <c r="AF137"/>
  <c r="AD137"/>
  <c r="AB137"/>
  <c r="AF136"/>
  <c r="AD136"/>
  <c r="AB136"/>
  <c r="AF135"/>
  <c r="AD135"/>
  <c r="AB135"/>
  <c r="AF134"/>
  <c r="AD134"/>
  <c r="AB134"/>
  <c r="AF133"/>
  <c r="AD133"/>
  <c r="AB133"/>
  <c r="AF132"/>
  <c r="AD132"/>
  <c r="AB132"/>
  <c r="AF131"/>
  <c r="AD131"/>
  <c r="AB131"/>
  <c r="AF130"/>
  <c r="AD130"/>
  <c r="AB130"/>
  <c r="AF129"/>
  <c r="AD129"/>
  <c r="AB129"/>
  <c r="AF128"/>
  <c r="AD128"/>
  <c r="AB128"/>
  <c r="AF127"/>
  <c r="AD127"/>
  <c r="AB127"/>
  <c r="AF126"/>
  <c r="AD126"/>
  <c r="AB126"/>
  <c r="AF125"/>
  <c r="AD125"/>
  <c r="AB125"/>
  <c r="AF124"/>
  <c r="AD124"/>
  <c r="AB124"/>
  <c r="AF123"/>
  <c r="AD123"/>
  <c r="AB123"/>
  <c r="AF122"/>
  <c r="AD122"/>
  <c r="AB122"/>
  <c r="AF121"/>
  <c r="AD121"/>
  <c r="AB121"/>
  <c r="AF120"/>
  <c r="AD120"/>
  <c r="AB120"/>
  <c r="AF119"/>
  <c r="AD119"/>
  <c r="AB119"/>
  <c r="AF118"/>
  <c r="AD118"/>
  <c r="AB118"/>
  <c r="AF117"/>
  <c r="AD117"/>
  <c r="AB117"/>
  <c r="AF116"/>
  <c r="AD116"/>
  <c r="AB116"/>
  <c r="AF115"/>
  <c r="AD115"/>
  <c r="AB115"/>
  <c r="AF114"/>
  <c r="AD114"/>
  <c r="AB114"/>
  <c r="AF113"/>
  <c r="AD113"/>
  <c r="AB113"/>
  <c r="AF112"/>
  <c r="AD112"/>
  <c r="AB112"/>
  <c r="AF111"/>
  <c r="AD111"/>
  <c r="AB111"/>
  <c r="AF110"/>
  <c r="AD110"/>
  <c r="AB110"/>
  <c r="AF109"/>
  <c r="AD109"/>
  <c r="AB109"/>
  <c r="AF108"/>
  <c r="AD108"/>
  <c r="AB108"/>
  <c r="AF107"/>
  <c r="AD107"/>
  <c r="AB107"/>
  <c r="AF106"/>
  <c r="AD106"/>
  <c r="AB106"/>
  <c r="AF105"/>
  <c r="AD105"/>
  <c r="AB105"/>
  <c r="AF104"/>
  <c r="AD104"/>
  <c r="AB104"/>
  <c r="AF103"/>
  <c r="AD103"/>
  <c r="AB103"/>
  <c r="AF102"/>
  <c r="AD102"/>
  <c r="AB102"/>
  <c r="AF101"/>
  <c r="AD101"/>
  <c r="AB101"/>
  <c r="AF100"/>
  <c r="AD100"/>
  <c r="AB100"/>
  <c r="AF99"/>
  <c r="AD99"/>
  <c r="AB99"/>
  <c r="AF98"/>
  <c r="AD98"/>
  <c r="AB98"/>
  <c r="AF97"/>
  <c r="AD97"/>
  <c r="AB97"/>
  <c r="AF96"/>
  <c r="AD96"/>
  <c r="AB96"/>
  <c r="AF95"/>
  <c r="AD95"/>
  <c r="AB95"/>
  <c r="AF94"/>
  <c r="AD94"/>
  <c r="AB94"/>
  <c r="AF93"/>
  <c r="AD93"/>
  <c r="AB93"/>
  <c r="AF92"/>
  <c r="AD92"/>
  <c r="AB92"/>
  <c r="AF91"/>
  <c r="AD91"/>
  <c r="AB91"/>
  <c r="AF90"/>
  <c r="AD90"/>
  <c r="AB90"/>
  <c r="AF89"/>
  <c r="AD89"/>
  <c r="AB89"/>
  <c r="AF88"/>
  <c r="AD88"/>
  <c r="AB88"/>
  <c r="AF87"/>
  <c r="AD87"/>
  <c r="AB87"/>
  <c r="AF86"/>
  <c r="AD86"/>
  <c r="AB86"/>
  <c r="AF85"/>
  <c r="AD85"/>
  <c r="AB85"/>
  <c r="AF84"/>
  <c r="AD84"/>
  <c r="AB84"/>
  <c r="AF83"/>
  <c r="AD83"/>
  <c r="AB83"/>
  <c r="AF82"/>
  <c r="AD82"/>
  <c r="AB82"/>
  <c r="AF81"/>
  <c r="AD81"/>
  <c r="AB81"/>
  <c r="AF80"/>
  <c r="AD80"/>
  <c r="AB80"/>
  <c r="AF79"/>
  <c r="AD79"/>
  <c r="AB79"/>
  <c r="AF78"/>
  <c r="AD78"/>
  <c r="AB78"/>
  <c r="AF77"/>
  <c r="AD77"/>
  <c r="AB77"/>
  <c r="AF76"/>
  <c r="AD76"/>
  <c r="AB76"/>
  <c r="AF75"/>
  <c r="AD75"/>
  <c r="AB75"/>
  <c r="AF74"/>
  <c r="AD74"/>
  <c r="AB74"/>
  <c r="AF73"/>
  <c r="AD73"/>
  <c r="AB73"/>
  <c r="AF72"/>
  <c r="AD72"/>
  <c r="AB72"/>
  <c r="AF71"/>
  <c r="AD71"/>
  <c r="AB71"/>
  <c r="AF70"/>
  <c r="AD70"/>
  <c r="AB70"/>
  <c r="AF69"/>
  <c r="AD69"/>
  <c r="AB69"/>
  <c r="AF68"/>
  <c r="AD68"/>
  <c r="AB68"/>
  <c r="AF67"/>
  <c r="AD67"/>
  <c r="AB67"/>
  <c r="AF66"/>
  <c r="AD66"/>
  <c r="AB66"/>
  <c r="AF65"/>
  <c r="AD65"/>
  <c r="AB65"/>
  <c r="AF64"/>
  <c r="AD64"/>
  <c r="AB64"/>
  <c r="AF63"/>
  <c r="AD63"/>
  <c r="AB63"/>
  <c r="AF62"/>
  <c r="AD62"/>
  <c r="AB62"/>
  <c r="AF61"/>
  <c r="AD61"/>
  <c r="AB61"/>
  <c r="AF60"/>
  <c r="AD60"/>
  <c r="AB60"/>
  <c r="AF59"/>
  <c r="AD59"/>
  <c r="AB59"/>
  <c r="AF58"/>
  <c r="AD58"/>
  <c r="AB58"/>
  <c r="AF57"/>
  <c r="AD57"/>
  <c r="AB57"/>
  <c r="AF56"/>
  <c r="AD56"/>
  <c r="AB56"/>
  <c r="AF55"/>
  <c r="AD55"/>
  <c r="AB55"/>
  <c r="AF54"/>
  <c r="AD54"/>
  <c r="AB54"/>
  <c r="AF53"/>
  <c r="AD53"/>
  <c r="AB53"/>
  <c r="AF52"/>
  <c r="AD52"/>
  <c r="AB52"/>
  <c r="AF51"/>
  <c r="AD51"/>
  <c r="AB51"/>
  <c r="AF50"/>
  <c r="AD50"/>
  <c r="AB50"/>
  <c r="AF49"/>
  <c r="AD49"/>
  <c r="AB49"/>
  <c r="AF48"/>
  <c r="AD48"/>
  <c r="AB48"/>
  <c r="AF47"/>
  <c r="AD47"/>
  <c r="AB47"/>
  <c r="AF46"/>
  <c r="AD46"/>
  <c r="AB46"/>
  <c r="AF45"/>
  <c r="AD45"/>
  <c r="AB45"/>
  <c r="AF44"/>
  <c r="AD44"/>
  <c r="AB44"/>
  <c r="AF43"/>
  <c r="AD43"/>
  <c r="AB43"/>
  <c r="AF42"/>
  <c r="AD42"/>
  <c r="AB42"/>
  <c r="AF41"/>
  <c r="AD41"/>
  <c r="AB41"/>
  <c r="AF40"/>
  <c r="AD40"/>
  <c r="AB40"/>
  <c r="AF39"/>
  <c r="AD39"/>
  <c r="AB39"/>
  <c r="AF38"/>
  <c r="AD38"/>
  <c r="AB38"/>
  <c r="AF37"/>
  <c r="AD37"/>
  <c r="AB37"/>
  <c r="AF36"/>
  <c r="AD36"/>
  <c r="AB36"/>
  <c r="AF35"/>
  <c r="AD35"/>
  <c r="AB35"/>
  <c r="AF34"/>
  <c r="AD34"/>
  <c r="AB34"/>
  <c r="AF33"/>
  <c r="AD33"/>
  <c r="AB33"/>
  <c r="AF32"/>
  <c r="AD32"/>
  <c r="AB32"/>
  <c r="AF31"/>
  <c r="AD31"/>
  <c r="AB31"/>
  <c r="AF30"/>
  <c r="AD30"/>
  <c r="AB30"/>
  <c r="AF29"/>
  <c r="AD29"/>
  <c r="AB29"/>
  <c r="AF28"/>
  <c r="AD28"/>
  <c r="AB28"/>
  <c r="AF27"/>
  <c r="AD27"/>
  <c r="AB27"/>
  <c r="AF26"/>
  <c r="AD26"/>
  <c r="AB26"/>
  <c r="AF25"/>
  <c r="AD25"/>
  <c r="AB25"/>
  <c r="AF24"/>
  <c r="AD24"/>
  <c r="AB24"/>
  <c r="AF23"/>
  <c r="AD23"/>
  <c r="AB23"/>
  <c r="AF22"/>
  <c r="AD22"/>
  <c r="AB22"/>
  <c r="AF21"/>
  <c r="AD21"/>
  <c r="AB21"/>
  <c r="AF20"/>
  <c r="AD20"/>
  <c r="AB20"/>
  <c r="AF19"/>
  <c r="AD19"/>
  <c r="AB19"/>
  <c r="AF18"/>
  <c r="AD18"/>
  <c r="AB18"/>
  <c r="AF17"/>
  <c r="AD17"/>
  <c r="AB17"/>
  <c r="AF16"/>
  <c r="AD16"/>
  <c r="AB16"/>
  <c r="AF15"/>
  <c r="AD15"/>
  <c r="AB15"/>
  <c r="AF14"/>
  <c r="AD14"/>
  <c r="AB14"/>
  <c r="AF13"/>
  <c r="AD13"/>
  <c r="AB13"/>
  <c r="AF12"/>
  <c r="AD12"/>
  <c r="AB12"/>
  <c r="AF11"/>
  <c r="AD11"/>
  <c r="AB11"/>
  <c r="AF10"/>
  <c r="AD10"/>
  <c r="AB10"/>
  <c r="AF9"/>
  <c r="AD9"/>
  <c r="AB9"/>
  <c r="AF8"/>
  <c r="AD8"/>
  <c r="AB8"/>
  <c r="AF7"/>
  <c r="AD7"/>
  <c r="AB7"/>
  <c r="AF6"/>
  <c r="AD6"/>
  <c r="AB6"/>
  <c r="AF5"/>
  <c r="AD5"/>
  <c r="AB5"/>
  <c r="AF4"/>
  <c r="AD4"/>
  <c r="AB4"/>
  <c r="I306"/>
  <c r="I305"/>
  <c r="I304"/>
  <c r="I303"/>
  <c r="I302"/>
  <c r="I301"/>
  <c r="I300"/>
  <c r="I299"/>
  <c r="I298"/>
  <c r="I297"/>
  <c r="I296"/>
  <c r="I295"/>
  <c r="I294"/>
  <c r="I293"/>
  <c r="I292"/>
  <c r="I291"/>
  <c r="I290"/>
  <c r="I289"/>
  <c r="I288"/>
  <c r="I287"/>
  <c r="I286"/>
  <c r="I285"/>
  <c r="I284"/>
  <c r="I283"/>
  <c r="I282"/>
  <c r="I281"/>
  <c r="I280"/>
  <c r="I279"/>
  <c r="I278"/>
  <c r="I277"/>
  <c r="I276"/>
  <c r="I275"/>
  <c r="I274"/>
  <c r="I273"/>
  <c r="I272"/>
  <c r="I271"/>
  <c r="I270"/>
  <c r="I269"/>
  <c r="G306"/>
  <c r="G305"/>
  <c r="G304"/>
  <c r="G303"/>
  <c r="G302"/>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13"/>
  <c r="G12"/>
  <c r="G11"/>
  <c r="G10"/>
  <c r="G9"/>
  <c r="G8"/>
  <c r="G7"/>
  <c r="G6"/>
  <c r="G5"/>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I222"/>
  <c r="I221"/>
  <c r="I220"/>
  <c r="I218"/>
  <c r="I217"/>
  <c r="I216"/>
  <c r="I214"/>
  <c r="I213"/>
  <c r="I212"/>
  <c r="I210"/>
  <c r="I209"/>
  <c r="I208"/>
  <c r="I206"/>
  <c r="I205"/>
  <c r="I190"/>
  <c r="I169"/>
  <c r="I166"/>
  <c r="I160"/>
  <c r="I156"/>
  <c r="I144"/>
  <c r="I140"/>
  <c r="I139"/>
  <c r="I136"/>
  <c r="I135"/>
  <c r="I132"/>
  <c r="I131"/>
  <c r="I128"/>
  <c r="I124"/>
  <c r="I123"/>
  <c r="I120"/>
  <c r="I119"/>
  <c r="I118"/>
  <c r="I114"/>
  <c r="I110"/>
  <c r="I109"/>
  <c r="I108"/>
  <c r="I105"/>
  <c r="I103"/>
  <c r="I97"/>
  <c r="I90"/>
  <c r="I87"/>
  <c r="I75"/>
  <c r="I72"/>
  <c r="I46"/>
  <c r="I43"/>
  <c r="I41"/>
  <c r="I31"/>
  <c r="I29"/>
  <c r="I28"/>
  <c r="I26"/>
  <c r="I24"/>
  <c r="I23"/>
  <c r="I22"/>
  <c r="I20"/>
  <c r="I18"/>
  <c r="I16"/>
  <c r="I15"/>
  <c r="I14"/>
  <c r="I13"/>
  <c r="I12"/>
  <c r="I10"/>
  <c r="I9"/>
  <c r="I8"/>
  <c r="I7"/>
  <c r="I6"/>
  <c r="I4"/>
  <c r="G4"/>
  <c r="E4"/>
  <c r="F25" i="14"/>
  <c r="E17"/>
  <c r="W81" s="1"/>
  <c r="Y81" s="1"/>
  <c r="BE51" i="15" s="1"/>
  <c r="E25" i="14"/>
  <c r="AD96"/>
  <c r="F17"/>
  <c r="X100" s="1"/>
  <c r="B7"/>
  <c r="C25"/>
  <c r="C26" s="1"/>
  <c r="B25"/>
  <c r="B26"/>
  <c r="C17"/>
  <c r="C18" s="1"/>
  <c r="B17"/>
  <c r="B18"/>
  <c r="E12"/>
  <c r="D12"/>
  <c r="C12"/>
  <c r="B12"/>
  <c r="E10"/>
  <c r="D10"/>
  <c r="C10"/>
  <c r="B10"/>
  <c r="M46" i="18"/>
  <c r="M54"/>
  <c r="F2" i="20"/>
  <c r="G2"/>
  <c r="J59" i="14"/>
  <c r="N59" s="1"/>
  <c r="M29" i="15" s="1"/>
  <c r="T29" s="1"/>
  <c r="M32" i="18"/>
  <c r="C24"/>
  <c r="C26" s="1"/>
  <c r="J79" i="14"/>
  <c r="N79"/>
  <c r="M49" i="15" s="1"/>
  <c r="T49" s="1"/>
  <c r="J47" i="14"/>
  <c r="N47"/>
  <c r="M17" i="15" s="1"/>
  <c r="T17" s="1"/>
  <c r="J51" i="14"/>
  <c r="L51"/>
  <c r="K21" i="15" s="1"/>
  <c r="P21" s="1"/>
  <c r="J55" i="14"/>
  <c r="N55" s="1"/>
  <c r="M25" i="15" s="1"/>
  <c r="T25" s="1"/>
  <c r="M63" i="18"/>
  <c r="M56"/>
  <c r="C2" i="20"/>
  <c r="D2"/>
  <c r="J43" i="14"/>
  <c r="N43" s="1"/>
  <c r="M13" i="15" s="1"/>
  <c r="T13" s="1"/>
  <c r="J75" i="14"/>
  <c r="N75" s="1"/>
  <c r="M45" i="15" s="1"/>
  <c r="T45" s="1"/>
  <c r="J39" i="14"/>
  <c r="N39" s="1"/>
  <c r="M9" i="15" s="1"/>
  <c r="J71" i="14"/>
  <c r="N71"/>
  <c r="M41" i="15" s="1"/>
  <c r="T41" s="1"/>
  <c r="J35" i="14"/>
  <c r="N35"/>
  <c r="M5" i="15" s="1"/>
  <c r="J67" i="14"/>
  <c r="N67"/>
  <c r="M37" i="15"/>
  <c r="T37" s="1"/>
  <c r="J34" i="14"/>
  <c r="N34"/>
  <c r="M4" i="15"/>
  <c r="T4" s="1"/>
  <c r="J63" i="14"/>
  <c r="N63" s="1"/>
  <c r="M33" i="15" s="1"/>
  <c r="AF96" i="14"/>
  <c r="CB66" i="15"/>
  <c r="AH96" i="14"/>
  <c r="CD66" i="15"/>
  <c r="CJ66" s="1"/>
  <c r="AE336" i="14"/>
  <c r="AE335"/>
  <c r="AE333"/>
  <c r="AE331"/>
  <c r="AE330"/>
  <c r="AG330" s="1"/>
  <c r="CC300" i="15" s="1"/>
  <c r="AE329" i="14"/>
  <c r="AG329" s="1"/>
  <c r="CC299" i="15" s="1"/>
  <c r="CH299" s="1"/>
  <c r="AE326" i="14"/>
  <c r="AE324"/>
  <c r="AE320"/>
  <c r="AE319"/>
  <c r="AE317"/>
  <c r="AE315"/>
  <c r="AE314"/>
  <c r="AG314" s="1"/>
  <c r="CC284" i="15" s="1"/>
  <c r="AE313" i="14"/>
  <c r="AG313" s="1"/>
  <c r="CC283" i="15" s="1"/>
  <c r="CH283" s="1"/>
  <c r="AE310" i="14"/>
  <c r="AE308"/>
  <c r="AE304"/>
  <c r="AE303"/>
  <c r="AE301"/>
  <c r="AE299"/>
  <c r="AE298"/>
  <c r="AG298" s="1"/>
  <c r="CC268" i="15" s="1"/>
  <c r="AE297" i="14"/>
  <c r="AG297" s="1"/>
  <c r="CC267" i="15" s="1"/>
  <c r="AE294" i="14"/>
  <c r="AE292"/>
  <c r="AE288"/>
  <c r="AE287"/>
  <c r="AE285"/>
  <c r="AE283"/>
  <c r="AE282"/>
  <c r="AG282" s="1"/>
  <c r="CC252" i="15" s="1"/>
  <c r="AE281" i="14"/>
  <c r="AG281" s="1"/>
  <c r="CC251" i="15" s="1"/>
  <c r="AE278" i="14"/>
  <c r="AE276"/>
  <c r="AE272"/>
  <c r="AE271"/>
  <c r="AE269"/>
  <c r="AE267"/>
  <c r="AE266"/>
  <c r="AG266" s="1"/>
  <c r="CC236" i="15" s="1"/>
  <c r="AE265" i="14"/>
  <c r="AG265" s="1"/>
  <c r="CC235" i="15" s="1"/>
  <c r="AE262" i="14"/>
  <c r="AE260"/>
  <c r="AE256"/>
  <c r="AE255"/>
  <c r="AE253"/>
  <c r="AE251"/>
  <c r="AE250"/>
  <c r="AG250" s="1"/>
  <c r="CC220" i="15" s="1"/>
  <c r="AE249" i="14"/>
  <c r="AG249" s="1"/>
  <c r="CC219" i="15" s="1"/>
  <c r="CH219" s="1"/>
  <c r="AE246" i="14"/>
  <c r="AE244"/>
  <c r="AE240"/>
  <c r="AE239"/>
  <c r="AE237"/>
  <c r="AE235"/>
  <c r="AE234"/>
  <c r="AG234" s="1"/>
  <c r="CC204" i="15" s="1"/>
  <c r="AE233" i="14"/>
  <c r="AG233" s="1"/>
  <c r="CC203" i="15" s="1"/>
  <c r="CH203" s="1"/>
  <c r="AE230" i="14"/>
  <c r="AE228"/>
  <c r="AE224"/>
  <c r="AE223"/>
  <c r="AE221"/>
  <c r="AE219"/>
  <c r="AE217"/>
  <c r="AG217"/>
  <c r="CC187" i="15" s="1"/>
  <c r="AE215" i="14"/>
  <c r="AE213"/>
  <c r="AE212"/>
  <c r="AG212" s="1"/>
  <c r="CC182" i="15" s="1"/>
  <c r="CH182" s="1"/>
  <c r="AE211" i="14"/>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E148"/>
  <c r="AE147"/>
  <c r="AE146"/>
  <c r="AE145"/>
  <c r="AE144"/>
  <c r="AE143"/>
  <c r="AE142"/>
  <c r="AE141"/>
  <c r="AE140"/>
  <c r="AE138"/>
  <c r="AG138" s="1"/>
  <c r="CC108" i="15" s="1"/>
  <c r="CH108" s="1"/>
  <c r="AE135" i="14"/>
  <c r="AG135" s="1"/>
  <c r="CC105" i="15" s="1"/>
  <c r="CH105" s="1"/>
  <c r="AE134" i="14"/>
  <c r="AE133"/>
  <c r="AE132"/>
  <c r="AE130"/>
  <c r="AG130"/>
  <c r="CC100" i="15" s="1"/>
  <c r="CH100" s="1"/>
  <c r="AE127" i="14"/>
  <c r="AG127" s="1"/>
  <c r="CC97" i="15" s="1"/>
  <c r="CH97" s="1"/>
  <c r="AE126" i="14"/>
  <c r="AE125"/>
  <c r="AE124"/>
  <c r="AE122"/>
  <c r="AG122"/>
  <c r="CC92" i="15" s="1"/>
  <c r="AE119" i="14"/>
  <c r="AG119" s="1"/>
  <c r="CC89" i="15" s="1"/>
  <c r="CH89" s="1"/>
  <c r="AE118" i="14"/>
  <c r="AE117"/>
  <c r="AE116"/>
  <c r="AE114"/>
  <c r="AG114"/>
  <c r="CC84" i="15" s="1"/>
  <c r="CH84" s="1"/>
  <c r="AE111" i="14"/>
  <c r="AG111"/>
  <c r="CC81" i="15" s="1"/>
  <c r="AE110" i="14"/>
  <c r="AE109"/>
  <c r="AE108"/>
  <c r="AE106"/>
  <c r="AG106"/>
  <c r="CC76" i="15" s="1"/>
  <c r="AE103" i="14"/>
  <c r="AG103" s="1"/>
  <c r="CC73" i="15" s="1"/>
  <c r="CH73" s="1"/>
  <c r="AE102" i="14"/>
  <c r="AE101"/>
  <c r="AE334"/>
  <c r="AE332"/>
  <c r="AE328"/>
  <c r="AE327"/>
  <c r="AE325"/>
  <c r="AE323"/>
  <c r="AE322"/>
  <c r="AG322" s="1"/>
  <c r="CC292" i="15" s="1"/>
  <c r="CH292" s="1"/>
  <c r="AE321" i="14"/>
  <c r="AG321" s="1"/>
  <c r="CC291" i="15" s="1"/>
  <c r="CH291" s="1"/>
  <c r="AE318" i="14"/>
  <c r="AE316"/>
  <c r="AE312"/>
  <c r="AE311"/>
  <c r="AE309"/>
  <c r="AE307"/>
  <c r="AE306"/>
  <c r="AG306" s="1"/>
  <c r="CC276" i="15" s="1"/>
  <c r="CH276" s="1"/>
  <c r="AE305" i="14"/>
  <c r="AG305" s="1"/>
  <c r="CC275" i="15" s="1"/>
  <c r="CH275" s="1"/>
  <c r="AE302" i="14"/>
  <c r="AE300"/>
  <c r="AE296"/>
  <c r="AE295"/>
  <c r="AE293"/>
  <c r="AE291"/>
  <c r="AE290"/>
  <c r="AG290" s="1"/>
  <c r="CC260" i="15" s="1"/>
  <c r="CH260" s="1"/>
  <c r="AE289" i="14"/>
  <c r="AG289" s="1"/>
  <c r="CC259" i="15" s="1"/>
  <c r="AE286" i="14"/>
  <c r="AE284"/>
  <c r="AE280"/>
  <c r="AE279"/>
  <c r="AE277"/>
  <c r="AE275"/>
  <c r="AE274"/>
  <c r="AG274" s="1"/>
  <c r="CC244" i="15" s="1"/>
  <c r="CH244" s="1"/>
  <c r="AE273" i="14"/>
  <c r="AG273" s="1"/>
  <c r="CC243" i="15" s="1"/>
  <c r="CH243" s="1"/>
  <c r="AE270" i="14"/>
  <c r="AE268"/>
  <c r="AE264"/>
  <c r="AE263"/>
  <c r="AE261"/>
  <c r="AE259"/>
  <c r="AE258"/>
  <c r="AG258" s="1"/>
  <c r="CC228" i="15" s="1"/>
  <c r="AE257" i="14"/>
  <c r="AG257" s="1"/>
  <c r="CC227" i="15" s="1"/>
  <c r="AE254" i="14"/>
  <c r="AE252"/>
  <c r="AE248"/>
  <c r="AE247"/>
  <c r="AE245"/>
  <c r="AE243"/>
  <c r="AE242"/>
  <c r="AG242" s="1"/>
  <c r="CC212" i="15" s="1"/>
  <c r="CH212" s="1"/>
  <c r="AE241" i="14"/>
  <c r="AG241" s="1"/>
  <c r="CC211" i="15" s="1"/>
  <c r="CH211" s="1"/>
  <c r="AE238" i="14"/>
  <c r="AE236"/>
  <c r="AE232"/>
  <c r="AE231"/>
  <c r="AE229"/>
  <c r="AE227"/>
  <c r="AE226"/>
  <c r="AG226" s="1"/>
  <c r="CC196" i="15" s="1"/>
  <c r="CH196" s="1"/>
  <c r="AE225" i="14"/>
  <c r="AG225" s="1"/>
  <c r="CC195" i="15" s="1"/>
  <c r="CH195" s="1"/>
  <c r="AE222" i="14"/>
  <c r="AE220"/>
  <c r="AE218"/>
  <c r="AG218" s="1"/>
  <c r="CC188" i="15" s="1"/>
  <c r="AE216" i="14"/>
  <c r="AE214"/>
  <c r="AE139"/>
  <c r="AE137"/>
  <c r="AE136"/>
  <c r="AE131"/>
  <c r="AE129"/>
  <c r="AE128"/>
  <c r="AE123"/>
  <c r="AE121"/>
  <c r="AE120"/>
  <c r="AE115"/>
  <c r="AE113"/>
  <c r="AE112"/>
  <c r="AE107"/>
  <c r="AE105"/>
  <c r="AE104"/>
  <c r="AE99"/>
  <c r="AE97"/>
  <c r="AE96"/>
  <c r="AE91"/>
  <c r="AE89"/>
  <c r="AE88"/>
  <c r="AE83"/>
  <c r="AE81"/>
  <c r="AE80"/>
  <c r="AE79"/>
  <c r="AE78"/>
  <c r="AE77"/>
  <c r="AE76"/>
  <c r="L34"/>
  <c r="K4" i="15"/>
  <c r="P4"/>
  <c r="I37" i="14"/>
  <c r="I48"/>
  <c r="K48" s="1"/>
  <c r="J18" i="15" s="1"/>
  <c r="I50" i="14"/>
  <c r="I52"/>
  <c r="K52" s="1"/>
  <c r="J22" i="15" s="1"/>
  <c r="N22" s="1"/>
  <c r="I53" i="14"/>
  <c r="I54"/>
  <c r="I60"/>
  <c r="K60"/>
  <c r="J30" i="15" s="1"/>
  <c r="N30" s="1"/>
  <c r="I61" i="14"/>
  <c r="I62"/>
  <c r="I68"/>
  <c r="K68" s="1"/>
  <c r="J38" i="15" s="1"/>
  <c r="N38" s="1"/>
  <c r="I70" i="14"/>
  <c r="I73"/>
  <c r="I76"/>
  <c r="K76"/>
  <c r="J46" i="15" s="1"/>
  <c r="I77" i="14"/>
  <c r="I78"/>
  <c r="I80"/>
  <c r="K80" s="1"/>
  <c r="J50" i="15" s="1"/>
  <c r="N50" s="1"/>
  <c r="I81" i="14"/>
  <c r="I82"/>
  <c r="J83"/>
  <c r="I84"/>
  <c r="K84" s="1"/>
  <c r="J54" i="15" s="1"/>
  <c r="I85" i="14"/>
  <c r="I86"/>
  <c r="J87"/>
  <c r="I88"/>
  <c r="K88"/>
  <c r="J58" i="15" s="1"/>
  <c r="N58" s="1"/>
  <c r="I89" i="14"/>
  <c r="I90"/>
  <c r="J91"/>
  <c r="I92"/>
  <c r="K92" s="1"/>
  <c r="J62" i="15" s="1"/>
  <c r="I93" i="14"/>
  <c r="I94"/>
  <c r="J95"/>
  <c r="I96"/>
  <c r="K96" s="1"/>
  <c r="J66" i="15" s="1"/>
  <c r="N66" s="1"/>
  <c r="I97" i="14"/>
  <c r="I98"/>
  <c r="J99"/>
  <c r="I100"/>
  <c r="K100" s="1"/>
  <c r="J70" i="15" s="1"/>
  <c r="I101" i="14"/>
  <c r="I102"/>
  <c r="J103"/>
  <c r="I104"/>
  <c r="K104" s="1"/>
  <c r="J74" i="15" s="1"/>
  <c r="N74" s="1"/>
  <c r="I105" i="14"/>
  <c r="I106"/>
  <c r="J107"/>
  <c r="I108"/>
  <c r="K108" s="1"/>
  <c r="J78" i="15" s="1"/>
  <c r="I109" i="14"/>
  <c r="I110"/>
  <c r="J111"/>
  <c r="I112"/>
  <c r="K112"/>
  <c r="J82" i="15" s="1"/>
  <c r="N82" s="1"/>
  <c r="I113" i="14"/>
  <c r="I114"/>
  <c r="J115"/>
  <c r="I116"/>
  <c r="K116" s="1"/>
  <c r="J86" i="15" s="1"/>
  <c r="I117" i="14"/>
  <c r="I118"/>
  <c r="J119"/>
  <c r="I120"/>
  <c r="M120" s="1"/>
  <c r="L90" i="15" s="1"/>
  <c r="I121" i="14"/>
  <c r="I122"/>
  <c r="J123"/>
  <c r="I124"/>
  <c r="K124" s="1"/>
  <c r="J94" i="15" s="1"/>
  <c r="I125" i="14"/>
  <c r="I126"/>
  <c r="J127"/>
  <c r="I128"/>
  <c r="M128"/>
  <c r="L98" i="15" s="1"/>
  <c r="I129" i="14"/>
  <c r="I130"/>
  <c r="J131"/>
  <c r="I132"/>
  <c r="M132"/>
  <c r="L102" i="15" s="1"/>
  <c r="I133" i="14"/>
  <c r="I134"/>
  <c r="J135"/>
  <c r="I136"/>
  <c r="K136"/>
  <c r="J106" i="15" s="1"/>
  <c r="N106" s="1"/>
  <c r="I137" i="14"/>
  <c r="I138"/>
  <c r="J139"/>
  <c r="I140"/>
  <c r="K140" s="1"/>
  <c r="J110" i="15" s="1"/>
  <c r="I141" i="14"/>
  <c r="I142"/>
  <c r="J143"/>
  <c r="I144"/>
  <c r="K144" s="1"/>
  <c r="J114" i="15" s="1"/>
  <c r="N114" s="1"/>
  <c r="I145" i="14"/>
  <c r="I146"/>
  <c r="J147"/>
  <c r="I148"/>
  <c r="K148"/>
  <c r="J118" i="15" s="1"/>
  <c r="I149" i="14"/>
  <c r="I150"/>
  <c r="J151"/>
  <c r="I152"/>
  <c r="M152"/>
  <c r="L122" i="15" s="1"/>
  <c r="R122" s="1"/>
  <c r="I153" i="14"/>
  <c r="I154"/>
  <c r="J155"/>
  <c r="I156"/>
  <c r="K156" s="1"/>
  <c r="J126" i="15" s="1"/>
  <c r="I157" i="14"/>
  <c r="I158"/>
  <c r="J159"/>
  <c r="I160"/>
  <c r="M160" s="1"/>
  <c r="L130" i="15" s="1"/>
  <c r="R130" s="1"/>
  <c r="I161" i="14"/>
  <c r="I162"/>
  <c r="J163"/>
  <c r="I164"/>
  <c r="K164"/>
  <c r="J134" i="15" s="1"/>
  <c r="I165" i="14"/>
  <c r="I166"/>
  <c r="J167"/>
  <c r="I168"/>
  <c r="K168"/>
  <c r="J138" i="15" s="1"/>
  <c r="N138" s="1"/>
  <c r="I169" i="14"/>
  <c r="I170"/>
  <c r="J171"/>
  <c r="I172"/>
  <c r="M172" s="1"/>
  <c r="L142" i="15" s="1"/>
  <c r="I173" i="14"/>
  <c r="I174"/>
  <c r="J175"/>
  <c r="I176"/>
  <c r="K176" s="1"/>
  <c r="J146" i="15" s="1"/>
  <c r="N146" s="1"/>
  <c r="I177" i="14"/>
  <c r="I178"/>
  <c r="J179"/>
  <c r="I180"/>
  <c r="K180" s="1"/>
  <c r="J150" i="15" s="1"/>
  <c r="I181" i="14"/>
  <c r="I182"/>
  <c r="J183"/>
  <c r="I184"/>
  <c r="K184"/>
  <c r="J154" i="15" s="1"/>
  <c r="I185" i="14"/>
  <c r="I186"/>
  <c r="J187"/>
  <c r="I188"/>
  <c r="K188" s="1"/>
  <c r="J158" i="15" s="1"/>
  <c r="I189" i="14"/>
  <c r="I190"/>
  <c r="J191"/>
  <c r="I192"/>
  <c r="K192"/>
  <c r="J162" i="15" s="1"/>
  <c r="N162" s="1"/>
  <c r="I193" i="14"/>
  <c r="I194"/>
  <c r="J195"/>
  <c r="I196"/>
  <c r="M196" s="1"/>
  <c r="L166" i="15" s="1"/>
  <c r="R166" s="1"/>
  <c r="I197" i="14"/>
  <c r="I198"/>
  <c r="J199"/>
  <c r="I200"/>
  <c r="K200"/>
  <c r="J170" i="15" s="1"/>
  <c r="N170" s="1"/>
  <c r="I201" i="14"/>
  <c r="I202"/>
  <c r="J203"/>
  <c r="I204"/>
  <c r="K204" s="1"/>
  <c r="J174" i="15" s="1"/>
  <c r="N174" s="1"/>
  <c r="I205" i="14"/>
  <c r="I206"/>
  <c r="J207"/>
  <c r="I208"/>
  <c r="M208" s="1"/>
  <c r="L178" i="15" s="1"/>
  <c r="R178" s="1"/>
  <c r="I209" i="14"/>
  <c r="I210"/>
  <c r="J211"/>
  <c r="I212"/>
  <c r="K212" s="1"/>
  <c r="J182" i="15" s="1"/>
  <c r="I213" i="14"/>
  <c r="I214"/>
  <c r="J215"/>
  <c r="I216"/>
  <c r="K216" s="1"/>
  <c r="J186" i="15" s="1"/>
  <c r="N186" s="1"/>
  <c r="I217" i="14"/>
  <c r="I218"/>
  <c r="J219"/>
  <c r="I220"/>
  <c r="M220" s="1"/>
  <c r="L190" i="15" s="1"/>
  <c r="I221" i="14"/>
  <c r="I222"/>
  <c r="J223"/>
  <c r="I224"/>
  <c r="K224" s="1"/>
  <c r="J194" i="15" s="1"/>
  <c r="I225" i="14"/>
  <c r="I226"/>
  <c r="J227"/>
  <c r="I228"/>
  <c r="M228"/>
  <c r="L198" i="15" s="1"/>
  <c r="I229" i="14"/>
  <c r="I230"/>
  <c r="J231"/>
  <c r="I232"/>
  <c r="K232" s="1"/>
  <c r="J202" i="15" s="1"/>
  <c r="I233" i="14"/>
  <c r="I234"/>
  <c r="J235"/>
  <c r="I236"/>
  <c r="K236"/>
  <c r="J206" i="15" s="1"/>
  <c r="I237" i="14"/>
  <c r="I238"/>
  <c r="J239"/>
  <c r="I240"/>
  <c r="K240" s="1"/>
  <c r="J210" i="15" s="1"/>
  <c r="I241" i="14"/>
  <c r="I242"/>
  <c r="J243"/>
  <c r="I244"/>
  <c r="M244"/>
  <c r="L214" i="15" s="1"/>
  <c r="I245" i="14"/>
  <c r="I246"/>
  <c r="J247"/>
  <c r="I248"/>
  <c r="K248" s="1"/>
  <c r="J218" i="15" s="1"/>
  <c r="N218" s="1"/>
  <c r="I249" i="14"/>
  <c r="I250"/>
  <c r="J251"/>
  <c r="I252"/>
  <c r="K252" s="1"/>
  <c r="J222" i="15" s="1"/>
  <c r="I253" i="14"/>
  <c r="I254"/>
  <c r="J255"/>
  <c r="I256"/>
  <c r="M256" s="1"/>
  <c r="L226" i="15" s="1"/>
  <c r="R226" s="1"/>
  <c r="I257" i="14"/>
  <c r="I258"/>
  <c r="J259"/>
  <c r="I260"/>
  <c r="K260" s="1"/>
  <c r="J230" i="15" s="1"/>
  <c r="I261" i="14"/>
  <c r="I262"/>
  <c r="J263"/>
  <c r="I264"/>
  <c r="K264"/>
  <c r="J234" i="15" s="1"/>
  <c r="N234" s="1"/>
  <c r="I265" i="14"/>
  <c r="I266"/>
  <c r="J267"/>
  <c r="I268"/>
  <c r="M268" s="1"/>
  <c r="L238" i="15" s="1"/>
  <c r="I269" i="14"/>
  <c r="I270"/>
  <c r="J271"/>
  <c r="I272"/>
  <c r="K272" s="1"/>
  <c r="J242" i="15" s="1"/>
  <c r="N242" s="1"/>
  <c r="I273" i="14"/>
  <c r="I274"/>
  <c r="J275"/>
  <c r="I276"/>
  <c r="K276" s="1"/>
  <c r="J246" i="15" s="1"/>
  <c r="N246" s="1"/>
  <c r="I277" i="14"/>
  <c r="I278"/>
  <c r="J279"/>
  <c r="I280"/>
  <c r="M280"/>
  <c r="L250" i="15" s="1"/>
  <c r="R250" s="1"/>
  <c r="I281" i="14"/>
  <c r="I282"/>
  <c r="J283"/>
  <c r="I284"/>
  <c r="K284" s="1"/>
  <c r="J254" i="15" s="1"/>
  <c r="I285" i="14"/>
  <c r="I286"/>
  <c r="J287"/>
  <c r="I288"/>
  <c r="M288" s="1"/>
  <c r="L258" i="15" s="1"/>
  <c r="R258" s="1"/>
  <c r="I289" i="14"/>
  <c r="I290"/>
  <c r="J291"/>
  <c r="I292"/>
  <c r="K292"/>
  <c r="J262" i="15" s="1"/>
  <c r="I293" i="14"/>
  <c r="I294"/>
  <c r="J295"/>
  <c r="I296"/>
  <c r="M296"/>
  <c r="L266" i="15" s="1"/>
  <c r="R266" s="1"/>
  <c r="I297" i="14"/>
  <c r="I298"/>
  <c r="J299"/>
  <c r="I300"/>
  <c r="K300" s="1"/>
  <c r="J270" i="15" s="1"/>
  <c r="I301" i="14"/>
  <c r="I302"/>
  <c r="J303"/>
  <c r="I304"/>
  <c r="M304" s="1"/>
  <c r="L274" i="15" s="1"/>
  <c r="R274" s="1"/>
  <c r="I305" i="14"/>
  <c r="I306"/>
  <c r="J307"/>
  <c r="I308"/>
  <c r="K308" s="1"/>
  <c r="J278" i="15" s="1"/>
  <c r="I309" i="14"/>
  <c r="I310"/>
  <c r="J311"/>
  <c r="I312"/>
  <c r="K312" s="1"/>
  <c r="J282" i="15" s="1"/>
  <c r="N282" s="1"/>
  <c r="I313" i="14"/>
  <c r="I314"/>
  <c r="J315"/>
  <c r="I316"/>
  <c r="M316" s="1"/>
  <c r="L286" i="15" s="1"/>
  <c r="I317" i="14"/>
  <c r="I318"/>
  <c r="J319"/>
  <c r="I320"/>
  <c r="K320" s="1"/>
  <c r="J290" i="15" s="1"/>
  <c r="N290" s="1"/>
  <c r="I321" i="14"/>
  <c r="I322"/>
  <c r="J323"/>
  <c r="I324"/>
  <c r="K324" s="1"/>
  <c r="J294" i="15" s="1"/>
  <c r="N294" s="1"/>
  <c r="I325" i="14"/>
  <c r="I326"/>
  <c r="J327"/>
  <c r="I328"/>
  <c r="K328" s="1"/>
  <c r="J298" i="15" s="1"/>
  <c r="N298" s="1"/>
  <c r="I329" i="14"/>
  <c r="I330"/>
  <c r="J331"/>
  <c r="I332"/>
  <c r="K332"/>
  <c r="J302" i="15" s="1"/>
  <c r="I333" i="14"/>
  <c r="I334"/>
  <c r="J335"/>
  <c r="I336"/>
  <c r="K336" s="1"/>
  <c r="J306" i="15" s="1"/>
  <c r="N306" s="1"/>
  <c r="P34" i="14"/>
  <c r="P35"/>
  <c r="Q36"/>
  <c r="Q37"/>
  <c r="P38"/>
  <c r="R38" s="1"/>
  <c r="AG8" i="15" s="1"/>
  <c r="P39" i="14"/>
  <c r="Q40"/>
  <c r="Q41"/>
  <c r="P42"/>
  <c r="R42"/>
  <c r="AG12" i="15" s="1"/>
  <c r="AK12" s="1"/>
  <c r="P43" i="14"/>
  <c r="Q44"/>
  <c r="Q45"/>
  <c r="P46"/>
  <c r="R46" s="1"/>
  <c r="AG16" i="15" s="1"/>
  <c r="P47" i="14"/>
  <c r="Q48"/>
  <c r="Q49"/>
  <c r="P50"/>
  <c r="R50"/>
  <c r="AG20" i="15" s="1"/>
  <c r="AK20" s="1"/>
  <c r="P51" i="14"/>
  <c r="Q52"/>
  <c r="Q53"/>
  <c r="P54"/>
  <c r="R54" s="1"/>
  <c r="AG24" i="15" s="1"/>
  <c r="P55" i="14"/>
  <c r="Q56"/>
  <c r="Q57"/>
  <c r="P58"/>
  <c r="R58" s="1"/>
  <c r="AG28" i="15" s="1"/>
  <c r="AK28" s="1"/>
  <c r="P59" i="14"/>
  <c r="Q60"/>
  <c r="Q61"/>
  <c r="P62"/>
  <c r="R62"/>
  <c r="AG32" i="15" s="1"/>
  <c r="P63" i="14"/>
  <c r="Q64"/>
  <c r="Q65"/>
  <c r="P66"/>
  <c r="R66"/>
  <c r="AG36" i="15" s="1"/>
  <c r="AK36" s="1"/>
  <c r="P67" i="14"/>
  <c r="Q68"/>
  <c r="Q69"/>
  <c r="P70"/>
  <c r="R70" s="1"/>
  <c r="AG40" i="15" s="1"/>
  <c r="P71" i="14"/>
  <c r="Q72"/>
  <c r="Q73"/>
  <c r="P74"/>
  <c r="R74" s="1"/>
  <c r="AG44" i="15" s="1"/>
  <c r="P75" i="14"/>
  <c r="Q76"/>
  <c r="Q77"/>
  <c r="P78"/>
  <c r="R78" s="1"/>
  <c r="AG48" i="15" s="1"/>
  <c r="P79" i="14"/>
  <c r="Q80"/>
  <c r="Q81"/>
  <c r="P82"/>
  <c r="R82" s="1"/>
  <c r="AG52" i="15" s="1"/>
  <c r="AK52" s="1"/>
  <c r="P83" i="14"/>
  <c r="Q84"/>
  <c r="Q85"/>
  <c r="P86"/>
  <c r="R86" s="1"/>
  <c r="AG56" i="15" s="1"/>
  <c r="P87" i="14"/>
  <c r="Q88"/>
  <c r="Q89"/>
  <c r="P90"/>
  <c r="R90" s="1"/>
  <c r="AG60" i="15" s="1"/>
  <c r="P91" i="14"/>
  <c r="Q92"/>
  <c r="Q93"/>
  <c r="P94"/>
  <c r="R94"/>
  <c r="AG64" i="15" s="1"/>
  <c r="P95" i="14"/>
  <c r="Q96"/>
  <c r="Q97"/>
  <c r="P98"/>
  <c r="R98"/>
  <c r="AG68" i="15" s="1"/>
  <c r="P99" i="14"/>
  <c r="Q100"/>
  <c r="Q101"/>
  <c r="P102"/>
  <c r="R102"/>
  <c r="AG72" i="15" s="1"/>
  <c r="P103" i="14"/>
  <c r="Q104"/>
  <c r="Q105"/>
  <c r="P106"/>
  <c r="R106"/>
  <c r="AG76" i="15" s="1"/>
  <c r="AK76" s="1"/>
  <c r="P107" i="14"/>
  <c r="Q108"/>
  <c r="Q109"/>
  <c r="P110"/>
  <c r="R110" s="1"/>
  <c r="AG80" i="15" s="1"/>
  <c r="P111" i="14"/>
  <c r="Q112"/>
  <c r="Q113"/>
  <c r="P114"/>
  <c r="R114" s="1"/>
  <c r="AG84" i="15" s="1"/>
  <c r="AK84" s="1"/>
  <c r="P115" i="14"/>
  <c r="Q116"/>
  <c r="Q117"/>
  <c r="P118"/>
  <c r="R118"/>
  <c r="AG88" i="15" s="1"/>
  <c r="P119" i="14"/>
  <c r="Q120"/>
  <c r="Q121"/>
  <c r="P122"/>
  <c r="R122"/>
  <c r="AG92" i="15" s="1"/>
  <c r="P123" i="14"/>
  <c r="Q124"/>
  <c r="Q125"/>
  <c r="P126"/>
  <c r="R126"/>
  <c r="AG96" i="15" s="1"/>
  <c r="P127" i="14"/>
  <c r="Q128"/>
  <c r="Q129"/>
  <c r="P130"/>
  <c r="R130"/>
  <c r="AG100" i="15" s="1"/>
  <c r="P131" i="14"/>
  <c r="Q132"/>
  <c r="Q133"/>
  <c r="P134"/>
  <c r="R134"/>
  <c r="AG104" i="15" s="1"/>
  <c r="P135" i="14"/>
  <c r="Q136"/>
  <c r="Q137"/>
  <c r="P138"/>
  <c r="R138"/>
  <c r="AG108" i="15" s="1"/>
  <c r="P139" i="14"/>
  <c r="Q140"/>
  <c r="Q141"/>
  <c r="P142"/>
  <c r="R142"/>
  <c r="AG112" i="15" s="1"/>
  <c r="P143" i="14"/>
  <c r="Q144"/>
  <c r="Q145"/>
  <c r="P146"/>
  <c r="R146"/>
  <c r="AG116" i="15" s="1"/>
  <c r="AK116" s="1"/>
  <c r="P147" i="14"/>
  <c r="Q148"/>
  <c r="Q149"/>
  <c r="P150"/>
  <c r="R150" s="1"/>
  <c r="AG120" i="15" s="1"/>
  <c r="P151" i="14"/>
  <c r="Q152"/>
  <c r="Q153"/>
  <c r="P154"/>
  <c r="R154" s="1"/>
  <c r="AG124" i="15" s="1"/>
  <c r="AK124" s="1"/>
  <c r="P155" i="14"/>
  <c r="Q156"/>
  <c r="Q157"/>
  <c r="P158"/>
  <c r="R158"/>
  <c r="AG128" i="15" s="1"/>
  <c r="P159" i="14"/>
  <c r="Q160"/>
  <c r="Q161"/>
  <c r="P162"/>
  <c r="R162"/>
  <c r="AG132" i="15" s="1"/>
  <c r="AK132" s="1"/>
  <c r="P163" i="14"/>
  <c r="Q164"/>
  <c r="Q165"/>
  <c r="P166"/>
  <c r="R166" s="1"/>
  <c r="AG136" i="15" s="1"/>
  <c r="P167" i="14"/>
  <c r="Q168"/>
  <c r="Q169"/>
  <c r="P170"/>
  <c r="R170" s="1"/>
  <c r="AG140" i="15" s="1"/>
  <c r="AK140" s="1"/>
  <c r="P171" i="14"/>
  <c r="Q172"/>
  <c r="Q173"/>
  <c r="P174"/>
  <c r="R174"/>
  <c r="AG144" i="15" s="1"/>
  <c r="P175" i="14"/>
  <c r="Q176"/>
  <c r="Q177"/>
  <c r="P178"/>
  <c r="R178"/>
  <c r="AG148" i="15" s="1"/>
  <c r="AK148" s="1"/>
  <c r="P179" i="14"/>
  <c r="Q180"/>
  <c r="Q181"/>
  <c r="P182"/>
  <c r="R182" s="1"/>
  <c r="AG152" i="15" s="1"/>
  <c r="P183" i="14"/>
  <c r="Q184"/>
  <c r="Q185"/>
  <c r="P186"/>
  <c r="R186" s="1"/>
  <c r="AG156" i="15" s="1"/>
  <c r="AK156" s="1"/>
  <c r="P187" i="14"/>
  <c r="Q188"/>
  <c r="Q189"/>
  <c r="P190"/>
  <c r="R190"/>
  <c r="AG160" i="15" s="1"/>
  <c r="P191" i="14"/>
  <c r="Q192"/>
  <c r="Q193"/>
  <c r="P194"/>
  <c r="R194"/>
  <c r="AG164" i="15" s="1"/>
  <c r="P195" i="14"/>
  <c r="Q196"/>
  <c r="Q197"/>
  <c r="P198"/>
  <c r="R198"/>
  <c r="AG168" i="15" s="1"/>
  <c r="P199" i="14"/>
  <c r="Q200"/>
  <c r="Q201"/>
  <c r="P202"/>
  <c r="R202"/>
  <c r="AG172" i="15" s="1"/>
  <c r="AK172" s="1"/>
  <c r="P203" i="14"/>
  <c r="Q204"/>
  <c r="Q205"/>
  <c r="P206"/>
  <c r="R206" s="1"/>
  <c r="AG176" i="15" s="1"/>
  <c r="P207" i="14"/>
  <c r="Q208"/>
  <c r="Q209"/>
  <c r="P210"/>
  <c r="R210" s="1"/>
  <c r="AG180" i="15" s="1"/>
  <c r="AK180" s="1"/>
  <c r="P211" i="14"/>
  <c r="Q212"/>
  <c r="Q213"/>
  <c r="P214"/>
  <c r="R214"/>
  <c r="AG184" i="15" s="1"/>
  <c r="P215" i="14"/>
  <c r="Q216"/>
  <c r="Q217"/>
  <c r="P218"/>
  <c r="R218"/>
  <c r="AG188" i="15" s="1"/>
  <c r="AK188" s="1"/>
  <c r="P219" i="14"/>
  <c r="Q220"/>
  <c r="Q221"/>
  <c r="P222"/>
  <c r="R222" s="1"/>
  <c r="AG192" i="15" s="1"/>
  <c r="P223" i="14"/>
  <c r="Q224"/>
  <c r="Q225"/>
  <c r="P226"/>
  <c r="R226" s="1"/>
  <c r="AG196" i="15" s="1"/>
  <c r="AK196" s="1"/>
  <c r="P227" i="14"/>
  <c r="Q228"/>
  <c r="Q229"/>
  <c r="P230"/>
  <c r="R230"/>
  <c r="AG200" i="15" s="1"/>
  <c r="P231" i="14"/>
  <c r="Q232"/>
  <c r="Q233"/>
  <c r="P234"/>
  <c r="R234"/>
  <c r="AG204" i="15" s="1"/>
  <c r="AK204" s="1"/>
  <c r="P235" i="14"/>
  <c r="Q236"/>
  <c r="P237"/>
  <c r="Q238"/>
  <c r="S238" s="1"/>
  <c r="AH208" i="15" s="1"/>
  <c r="Q239" i="14"/>
  <c r="U239"/>
  <c r="AJ209" i="15" s="1"/>
  <c r="P240" i="14"/>
  <c r="Q241"/>
  <c r="P242"/>
  <c r="R242" s="1"/>
  <c r="AG212" i="15" s="1"/>
  <c r="AK212" s="1"/>
  <c r="P243" i="14"/>
  <c r="Q244"/>
  <c r="P245"/>
  <c r="Q246"/>
  <c r="S246"/>
  <c r="AH216" i="15" s="1"/>
  <c r="Q247" i="14"/>
  <c r="U247" s="1"/>
  <c r="AJ217" i="15" s="1"/>
  <c r="P248" i="14"/>
  <c r="Q249"/>
  <c r="P250"/>
  <c r="R250" s="1"/>
  <c r="AG220" i="15" s="1"/>
  <c r="P251" i="14"/>
  <c r="Q252"/>
  <c r="P253"/>
  <c r="Q254"/>
  <c r="S254"/>
  <c r="AH224" i="15" s="1"/>
  <c r="Q255" i="14"/>
  <c r="U255" s="1"/>
  <c r="AJ225" i="15" s="1"/>
  <c r="P256" i="14"/>
  <c r="Q257"/>
  <c r="P258"/>
  <c r="R258" s="1"/>
  <c r="AG228" i="15" s="1"/>
  <c r="AK228" s="1"/>
  <c r="P259" i="14"/>
  <c r="Q260"/>
  <c r="P261"/>
  <c r="Q262"/>
  <c r="S262" s="1"/>
  <c r="AH232" i="15" s="1"/>
  <c r="Q263" i="14"/>
  <c r="U263" s="1"/>
  <c r="AJ233" i="15" s="1"/>
  <c r="P264" i="14"/>
  <c r="Q265"/>
  <c r="P266"/>
  <c r="R266" s="1"/>
  <c r="AG236" i="15" s="1"/>
  <c r="AK236" s="1"/>
  <c r="P267" i="14"/>
  <c r="Q268"/>
  <c r="P269"/>
  <c r="Q270"/>
  <c r="S270" s="1"/>
  <c r="AH240" i="15" s="1"/>
  <c r="Q271" i="14"/>
  <c r="U271"/>
  <c r="AJ241" i="15" s="1"/>
  <c r="P272" i="14"/>
  <c r="Q273"/>
  <c r="P274"/>
  <c r="R274" s="1"/>
  <c r="AG244" i="15" s="1"/>
  <c r="AK244" s="1"/>
  <c r="P275" i="14"/>
  <c r="Q276"/>
  <c r="P277"/>
  <c r="Q278"/>
  <c r="S278"/>
  <c r="AH248" i="15" s="1"/>
  <c r="Q279" i="14"/>
  <c r="U279" s="1"/>
  <c r="AJ249" i="15" s="1"/>
  <c r="P280" i="14"/>
  <c r="Q281"/>
  <c r="P282"/>
  <c r="R282" s="1"/>
  <c r="AG252" i="15" s="1"/>
  <c r="AK252" s="1"/>
  <c r="P283" i="14"/>
  <c r="Q284"/>
  <c r="P285"/>
  <c r="Q286"/>
  <c r="S286"/>
  <c r="AH256" i="15" s="1"/>
  <c r="Q287" i="14"/>
  <c r="U287" s="1"/>
  <c r="AJ257" i="15" s="1"/>
  <c r="P288" i="14"/>
  <c r="Q289"/>
  <c r="P290"/>
  <c r="R290"/>
  <c r="AG260" i="15" s="1"/>
  <c r="AK260" s="1"/>
  <c r="P291" i="14"/>
  <c r="Q292"/>
  <c r="P293"/>
  <c r="Q294"/>
  <c r="S294" s="1"/>
  <c r="AH264" i="15" s="1"/>
  <c r="Q295" i="14"/>
  <c r="U295" s="1"/>
  <c r="AJ265" i="15" s="1"/>
  <c r="P296" i="14"/>
  <c r="Q297"/>
  <c r="P298"/>
  <c r="R298" s="1"/>
  <c r="AG268" i="15" s="1"/>
  <c r="AK268" s="1"/>
  <c r="P299" i="14"/>
  <c r="Q300"/>
  <c r="P301"/>
  <c r="Q302"/>
  <c r="S302" s="1"/>
  <c r="AH272" i="15" s="1"/>
  <c r="Q303" i="14"/>
  <c r="U303" s="1"/>
  <c r="AJ273" i="15" s="1"/>
  <c r="P304" i="14"/>
  <c r="Q305"/>
  <c r="P306"/>
  <c r="R306" s="1"/>
  <c r="AG276" i="15" s="1"/>
  <c r="AK276" s="1"/>
  <c r="P307" i="14"/>
  <c r="Q308"/>
  <c r="P309"/>
  <c r="Q310"/>
  <c r="S310" s="1"/>
  <c r="AH280" i="15" s="1"/>
  <c r="Q311" i="14"/>
  <c r="U311"/>
  <c r="AJ281" i="15" s="1"/>
  <c r="P312" i="14"/>
  <c r="Q313"/>
  <c r="P314"/>
  <c r="R314" s="1"/>
  <c r="AG284" i="15" s="1"/>
  <c r="AK284" s="1"/>
  <c r="P315" i="14"/>
  <c r="Q316"/>
  <c r="P317"/>
  <c r="Q318"/>
  <c r="S318"/>
  <c r="AH288" i="15" s="1"/>
  <c r="Q319" i="14"/>
  <c r="U319" s="1"/>
  <c r="AJ289" i="15" s="1"/>
  <c r="P320" i="14"/>
  <c r="Q321"/>
  <c r="P322"/>
  <c r="R322"/>
  <c r="AG292" i="15" s="1"/>
  <c r="AK292" s="1"/>
  <c r="P323" i="14"/>
  <c r="Q324"/>
  <c r="P325"/>
  <c r="Q326"/>
  <c r="S326" s="1"/>
  <c r="AH296" i="15" s="1"/>
  <c r="Q327" i="14"/>
  <c r="U327" s="1"/>
  <c r="AJ297" i="15" s="1"/>
  <c r="P328" i="14"/>
  <c r="Q329"/>
  <c r="P330"/>
  <c r="R330" s="1"/>
  <c r="AG300" i="15" s="1"/>
  <c r="AK300" s="1"/>
  <c r="P331" i="14"/>
  <c r="Q332"/>
  <c r="P333"/>
  <c r="Q334"/>
  <c r="S334"/>
  <c r="AH304" i="15" s="1"/>
  <c r="Q335" i="14"/>
  <c r="U335" s="1"/>
  <c r="AJ305" i="15" s="1"/>
  <c r="P336" i="14"/>
  <c r="X34"/>
  <c r="Z34" s="1"/>
  <c r="BF4" i="15" s="1"/>
  <c r="BK4" s="1"/>
  <c r="AE34" i="14"/>
  <c r="AG34" s="1"/>
  <c r="CC4" i="15" s="1"/>
  <c r="CH4" s="1"/>
  <c r="X35" i="14"/>
  <c r="Z35" s="1"/>
  <c r="BF5" i="15" s="1"/>
  <c r="AE35" i="14"/>
  <c r="X36"/>
  <c r="AE36"/>
  <c r="X37"/>
  <c r="Z37" s="1"/>
  <c r="BF7" i="15" s="1"/>
  <c r="AE37" i="14"/>
  <c r="X38"/>
  <c r="AE38"/>
  <c r="X39"/>
  <c r="Z39" s="1"/>
  <c r="BF9" i="15" s="1"/>
  <c r="BK9" s="1"/>
  <c r="AE39" i="14"/>
  <c r="X40"/>
  <c r="AE40"/>
  <c r="X41"/>
  <c r="Z41"/>
  <c r="BF11" i="15" s="1"/>
  <c r="AE41" i="14"/>
  <c r="X42"/>
  <c r="AE42"/>
  <c r="X43"/>
  <c r="Z43"/>
  <c r="BF13" i="15" s="1"/>
  <c r="AE43" i="14"/>
  <c r="X44"/>
  <c r="AE44"/>
  <c r="X45"/>
  <c r="Z45"/>
  <c r="BF15" i="15" s="1"/>
  <c r="AE45" i="14"/>
  <c r="X46"/>
  <c r="AE46"/>
  <c r="X47"/>
  <c r="Z47"/>
  <c r="BF17" i="15" s="1"/>
  <c r="BK17" s="1"/>
  <c r="AE47" i="14"/>
  <c r="X48"/>
  <c r="AE48"/>
  <c r="X49"/>
  <c r="Z49" s="1"/>
  <c r="BF19" i="15" s="1"/>
  <c r="AE49" i="14"/>
  <c r="X50"/>
  <c r="AE50"/>
  <c r="X51"/>
  <c r="Z51" s="1"/>
  <c r="BF21" i="15" s="1"/>
  <c r="AE51" i="14"/>
  <c r="X52"/>
  <c r="AE52"/>
  <c r="X53"/>
  <c r="Z53" s="1"/>
  <c r="BF23" i="15" s="1"/>
  <c r="AE53" i="14"/>
  <c r="X54"/>
  <c r="AE54"/>
  <c r="X55"/>
  <c r="Z55" s="1"/>
  <c r="BF25" i="15" s="1"/>
  <c r="AE55" i="14"/>
  <c r="X56"/>
  <c r="AE56"/>
  <c r="X57"/>
  <c r="Z57" s="1"/>
  <c r="BF27" i="15" s="1"/>
  <c r="AE57" i="14"/>
  <c r="X58"/>
  <c r="AE58"/>
  <c r="X59"/>
  <c r="Z59" s="1"/>
  <c r="BF29" i="15" s="1"/>
  <c r="BK29" s="1"/>
  <c r="AE59" i="14"/>
  <c r="X60"/>
  <c r="AE60"/>
  <c r="X61"/>
  <c r="Z61"/>
  <c r="BF31" i="15" s="1"/>
  <c r="AE61" i="14"/>
  <c r="X62"/>
  <c r="AE62"/>
  <c r="X63"/>
  <c r="Z63"/>
  <c r="BF33" i="15" s="1"/>
  <c r="BK33" s="1"/>
  <c r="AE63" i="14"/>
  <c r="X64"/>
  <c r="AE64"/>
  <c r="X65"/>
  <c r="Z65" s="1"/>
  <c r="BF35" i="15" s="1"/>
  <c r="AE65" i="14"/>
  <c r="X66"/>
  <c r="AE66"/>
  <c r="X67"/>
  <c r="Z67" s="1"/>
  <c r="BF37" i="15" s="1"/>
  <c r="BK37" s="1"/>
  <c r="AE67" i="14"/>
  <c r="X68"/>
  <c r="AE68"/>
  <c r="X69"/>
  <c r="Z69"/>
  <c r="BF39" i="15" s="1"/>
  <c r="AE69" i="14"/>
  <c r="X70"/>
  <c r="AE70"/>
  <c r="X71"/>
  <c r="Z71"/>
  <c r="BF41" i="15" s="1"/>
  <c r="BK41" s="1"/>
  <c r="AE71" i="14"/>
  <c r="X72"/>
  <c r="AE72"/>
  <c r="X73"/>
  <c r="Z73" s="1"/>
  <c r="BF43" i="15" s="1"/>
  <c r="AE73" i="14"/>
  <c r="X74"/>
  <c r="AE74"/>
  <c r="X75"/>
  <c r="Z75" s="1"/>
  <c r="BF45" i="15" s="1"/>
  <c r="AE75" i="14"/>
  <c r="W76"/>
  <c r="W77"/>
  <c r="Y77" s="1"/>
  <c r="BE47" i="15" s="1"/>
  <c r="AD78" i="14"/>
  <c r="AD79"/>
  <c r="W80"/>
  <c r="AE82"/>
  <c r="AG82"/>
  <c r="CC52" i="15" s="1"/>
  <c r="X84" i="14"/>
  <c r="AE84"/>
  <c r="X85"/>
  <c r="X87"/>
  <c r="X88"/>
  <c r="AD88"/>
  <c r="AE90"/>
  <c r="AG90" s="1"/>
  <c r="CC60" i="15" s="1"/>
  <c r="CH60" s="1"/>
  <c r="X92" i="14"/>
  <c r="AE92"/>
  <c r="X93"/>
  <c r="X95"/>
  <c r="X96"/>
  <c r="AE98"/>
  <c r="AG98" s="1"/>
  <c r="CC68" i="15" s="1"/>
  <c r="AE100" i="14"/>
  <c r="AD334"/>
  <c r="AD332"/>
  <c r="AD328"/>
  <c r="AD327"/>
  <c r="AF327" s="1"/>
  <c r="CB297" i="15" s="1"/>
  <c r="CF297" s="1"/>
  <c r="AD325" i="14"/>
  <c r="AD323"/>
  <c r="AD322"/>
  <c r="AD321"/>
  <c r="AH321"/>
  <c r="CD291" i="15" s="1"/>
  <c r="CJ291" s="1"/>
  <c r="AD318" i="14"/>
  <c r="AD316"/>
  <c r="AD312"/>
  <c r="AD311"/>
  <c r="AF311" s="1"/>
  <c r="CB281" i="15" s="1"/>
  <c r="CF281" s="1"/>
  <c r="AD309" i="14"/>
  <c r="AD307"/>
  <c r="AD306"/>
  <c r="AD305"/>
  <c r="AF305"/>
  <c r="CB275" i="15" s="1"/>
  <c r="CF275" s="1"/>
  <c r="AD302" i="14"/>
  <c r="AD300"/>
  <c r="AD296"/>
  <c r="AD295"/>
  <c r="AH295" s="1"/>
  <c r="CD265" i="15" s="1"/>
  <c r="CJ265" s="1"/>
  <c r="AD293" i="14"/>
  <c r="AD291"/>
  <c r="AD290"/>
  <c r="AD289"/>
  <c r="AH289"/>
  <c r="CD259" i="15" s="1"/>
  <c r="CJ259" s="1"/>
  <c r="AD286" i="14"/>
  <c r="AD284"/>
  <c r="AD280"/>
  <c r="AD279"/>
  <c r="AH279" s="1"/>
  <c r="CD249" i="15" s="1"/>
  <c r="CJ249" s="1"/>
  <c r="AD277" i="14"/>
  <c r="AD275"/>
  <c r="AD274"/>
  <c r="AD273"/>
  <c r="AH273"/>
  <c r="CD243" i="15" s="1"/>
  <c r="CJ243" s="1"/>
  <c r="AD270" i="14"/>
  <c r="AD268"/>
  <c r="AD264"/>
  <c r="AD263"/>
  <c r="AF263" s="1"/>
  <c r="CB233" i="15" s="1"/>
  <c r="CF233" s="1"/>
  <c r="AD261" i="14"/>
  <c r="AD259"/>
  <c r="AD258"/>
  <c r="AD257"/>
  <c r="AH257"/>
  <c r="CD227" i="15" s="1"/>
  <c r="CJ227" s="1"/>
  <c r="AD254" i="14"/>
  <c r="AD252"/>
  <c r="AD248"/>
  <c r="AD247"/>
  <c r="AF247" s="1"/>
  <c r="CB217" i="15" s="1"/>
  <c r="CF217" s="1"/>
  <c r="AD245" i="14"/>
  <c r="AD243"/>
  <c r="AD242"/>
  <c r="AD241"/>
  <c r="AF241"/>
  <c r="CB211" i="15" s="1"/>
  <c r="CF211" s="1"/>
  <c r="AD238" i="14"/>
  <c r="AD236"/>
  <c r="AD232"/>
  <c r="AD231"/>
  <c r="AH231" s="1"/>
  <c r="CD201" i="15" s="1"/>
  <c r="CJ201" s="1"/>
  <c r="AD229" i="14"/>
  <c r="AD227"/>
  <c r="AD226"/>
  <c r="AD225"/>
  <c r="AF225"/>
  <c r="CB195" i="15" s="1"/>
  <c r="CF195" s="1"/>
  <c r="AD222" i="14"/>
  <c r="AD220"/>
  <c r="AD218"/>
  <c r="AD216"/>
  <c r="AD214"/>
  <c r="AF214"/>
  <c r="CB184" i="15" s="1"/>
  <c r="CF184" s="1"/>
  <c r="AD139" i="14"/>
  <c r="AD137"/>
  <c r="AD136"/>
  <c r="AD131"/>
  <c r="AD129"/>
  <c r="AD128"/>
  <c r="AD123"/>
  <c r="AD121"/>
  <c r="AD120"/>
  <c r="AD115"/>
  <c r="AD113"/>
  <c r="AD112"/>
  <c r="AD107"/>
  <c r="AD105"/>
  <c r="AD104"/>
  <c r="AD336"/>
  <c r="AD335"/>
  <c r="AD333"/>
  <c r="AD331"/>
  <c r="AH331"/>
  <c r="CD301" i="15" s="1"/>
  <c r="CJ301" s="1"/>
  <c r="AD330" i="14"/>
  <c r="AD329"/>
  <c r="AD326"/>
  <c r="AD324"/>
  <c r="AD320"/>
  <c r="AD319"/>
  <c r="AD317"/>
  <c r="AD315"/>
  <c r="AH315" s="1"/>
  <c r="CD285" i="15" s="1"/>
  <c r="CJ285" s="1"/>
  <c r="AD314" i="14"/>
  <c r="AD313"/>
  <c r="AH313"/>
  <c r="CD283" i="15" s="1"/>
  <c r="CJ283" s="1"/>
  <c r="AD310" i="14"/>
  <c r="AD308"/>
  <c r="AD304"/>
  <c r="AD303"/>
  <c r="AD301"/>
  <c r="AD299"/>
  <c r="AH299" s="1"/>
  <c r="CD269" i="15" s="1"/>
  <c r="CJ269" s="1"/>
  <c r="AD298" i="14"/>
  <c r="AD297"/>
  <c r="AH297"/>
  <c r="CD267" i="15" s="1"/>
  <c r="CJ267" s="1"/>
  <c r="AD294" i="14"/>
  <c r="AD292"/>
  <c r="AD288"/>
  <c r="AD287"/>
  <c r="AD285"/>
  <c r="AD283"/>
  <c r="AH283" s="1"/>
  <c r="CD253" i="15" s="1"/>
  <c r="CJ253" s="1"/>
  <c r="AD282" i="14"/>
  <c r="AD281"/>
  <c r="AF281"/>
  <c r="CB251" i="15" s="1"/>
  <c r="CF251" s="1"/>
  <c r="AD278" i="14"/>
  <c r="AD276"/>
  <c r="AD272"/>
  <c r="AD271"/>
  <c r="AD269"/>
  <c r="AD267"/>
  <c r="AH267" s="1"/>
  <c r="CD237" i="15" s="1"/>
  <c r="CJ237" s="1"/>
  <c r="AD266" i="14"/>
  <c r="AD265"/>
  <c r="AD262"/>
  <c r="AD260"/>
  <c r="AD256"/>
  <c r="AD255"/>
  <c r="AD253"/>
  <c r="AD251"/>
  <c r="AH251"/>
  <c r="CD221" i="15" s="1"/>
  <c r="CJ221" s="1"/>
  <c r="AD250" i="14"/>
  <c r="AD249"/>
  <c r="AF249" s="1"/>
  <c r="CB219" i="15" s="1"/>
  <c r="CF219" s="1"/>
  <c r="AD246" i="14"/>
  <c r="AD244"/>
  <c r="AD240"/>
  <c r="AD239"/>
  <c r="AD237"/>
  <c r="AD235"/>
  <c r="AH235"/>
  <c r="CD205" i="15" s="1"/>
  <c r="CJ205" s="1"/>
  <c r="AD234" i="14"/>
  <c r="AD233"/>
  <c r="AD230"/>
  <c r="AD228"/>
  <c r="AD224"/>
  <c r="AD223"/>
  <c r="AD221"/>
  <c r="AD219"/>
  <c r="AH219" s="1"/>
  <c r="CD189" i="15" s="1"/>
  <c r="CJ189" s="1"/>
  <c r="AD217" i="14"/>
  <c r="AD215"/>
  <c r="AD213"/>
  <c r="AF213" s="1"/>
  <c r="CB183" i="15" s="1"/>
  <c r="AD212" i="14"/>
  <c r="AD211"/>
  <c r="AD210"/>
  <c r="AD209"/>
  <c r="AD208"/>
  <c r="AD207"/>
  <c r="AD206"/>
  <c r="AD205"/>
  <c r="AD204"/>
  <c r="AD203"/>
  <c r="AD202"/>
  <c r="AD201"/>
  <c r="AD200"/>
  <c r="AD199"/>
  <c r="AD198"/>
  <c r="AD197"/>
  <c r="AD196"/>
  <c r="AD195"/>
  <c r="AD194"/>
  <c r="AD193"/>
  <c r="AD192"/>
  <c r="AD191"/>
  <c r="AD190"/>
  <c r="AD189"/>
  <c r="AD188"/>
  <c r="AD187"/>
  <c r="AD186"/>
  <c r="AD185"/>
  <c r="AD184"/>
  <c r="AD183"/>
  <c r="AD182"/>
  <c r="AD181"/>
  <c r="AD180"/>
  <c r="AD179"/>
  <c r="AD178"/>
  <c r="AD177"/>
  <c r="AD176"/>
  <c r="AD175"/>
  <c r="AD174"/>
  <c r="AD173"/>
  <c r="AD172"/>
  <c r="AD171"/>
  <c r="AD170"/>
  <c r="AD169"/>
  <c r="AD168"/>
  <c r="AD167"/>
  <c r="AD166"/>
  <c r="AD165"/>
  <c r="AD164"/>
  <c r="AD163"/>
  <c r="AD162"/>
  <c r="AD161"/>
  <c r="AD160"/>
  <c r="AD159"/>
  <c r="AD158"/>
  <c r="AD157"/>
  <c r="AD156"/>
  <c r="AD155"/>
  <c r="AD154"/>
  <c r="AD153"/>
  <c r="AD152"/>
  <c r="AD151"/>
  <c r="AD150"/>
  <c r="AD149"/>
  <c r="AD148"/>
  <c r="AD147"/>
  <c r="AD146"/>
  <c r="AD145"/>
  <c r="AD144"/>
  <c r="AD143"/>
  <c r="AD142"/>
  <c r="AD141"/>
  <c r="AD140"/>
  <c r="AD138"/>
  <c r="AF138" s="1"/>
  <c r="CB108" i="15" s="1"/>
  <c r="CF108" s="1"/>
  <c r="AD135" i="14"/>
  <c r="AF135" s="1"/>
  <c r="CB105" i="15" s="1"/>
  <c r="CF105" s="1"/>
  <c r="AD134" i="14"/>
  <c r="AD133"/>
  <c r="AD132"/>
  <c r="AD130"/>
  <c r="AF130"/>
  <c r="CB100" i="15" s="1"/>
  <c r="CF100" s="1"/>
  <c r="AD127" i="14"/>
  <c r="AF127"/>
  <c r="CB97" i="15" s="1"/>
  <c r="CF97" s="1"/>
  <c r="AD126" i="14"/>
  <c r="AD125"/>
  <c r="AD124"/>
  <c r="AD122"/>
  <c r="AF122" s="1"/>
  <c r="CB92" i="15" s="1"/>
  <c r="AD119" i="14"/>
  <c r="AF119"/>
  <c r="CB89" i="15" s="1"/>
  <c r="CF89" s="1"/>
  <c r="AD118" i="14"/>
  <c r="AD117"/>
  <c r="AD116"/>
  <c r="AD114"/>
  <c r="AF114" s="1"/>
  <c r="CB84" i="15" s="1"/>
  <c r="CF84" s="1"/>
  <c r="AD111" i="14"/>
  <c r="AF111" s="1"/>
  <c r="CB81" i="15" s="1"/>
  <c r="AD110" i="14"/>
  <c r="AD109"/>
  <c r="AD108"/>
  <c r="AD106"/>
  <c r="AF106" s="1"/>
  <c r="CB76" i="15" s="1"/>
  <c r="CF76" s="1"/>
  <c r="AD103" i="14"/>
  <c r="AF103" s="1"/>
  <c r="CB73" i="15" s="1"/>
  <c r="CF73" s="1"/>
  <c r="AD102" i="14"/>
  <c r="AD101"/>
  <c r="AD100"/>
  <c r="AD98"/>
  <c r="AF98"/>
  <c r="CB68" i="15" s="1"/>
  <c r="AD95" i="14"/>
  <c r="AF95" s="1"/>
  <c r="CB65" i="15" s="1"/>
  <c r="AD94" i="14"/>
  <c r="AD93"/>
  <c r="AD92"/>
  <c r="AD90"/>
  <c r="AF90" s="1"/>
  <c r="CB60" i="15" s="1"/>
  <c r="AD87" i="14"/>
  <c r="AF87"/>
  <c r="CB57" i="15" s="1"/>
  <c r="CF57" s="1"/>
  <c r="AD86" i="14"/>
  <c r="AD85"/>
  <c r="AD84"/>
  <c r="AD82"/>
  <c r="AF82" s="1"/>
  <c r="CB52" i="15" s="1"/>
  <c r="CF52" s="1"/>
  <c r="X335" i="14"/>
  <c r="X333"/>
  <c r="X331"/>
  <c r="X330"/>
  <c r="X329"/>
  <c r="X328"/>
  <c r="X326"/>
  <c r="X324"/>
  <c r="X319"/>
  <c r="X317"/>
  <c r="X315"/>
  <c r="X314"/>
  <c r="X313"/>
  <c r="X312"/>
  <c r="X310"/>
  <c r="X308"/>
  <c r="X303"/>
  <c r="X301"/>
  <c r="X299"/>
  <c r="X298"/>
  <c r="X297"/>
  <c r="X296"/>
  <c r="X294"/>
  <c r="X292"/>
  <c r="X287"/>
  <c r="X285"/>
  <c r="X283"/>
  <c r="X282"/>
  <c r="X281"/>
  <c r="X280"/>
  <c r="X278"/>
  <c r="X276"/>
  <c r="X271"/>
  <c r="X269"/>
  <c r="X267"/>
  <c r="X266"/>
  <c r="X265"/>
  <c r="X264"/>
  <c r="X262"/>
  <c r="X260"/>
  <c r="X255"/>
  <c r="X253"/>
  <c r="X251"/>
  <c r="X250"/>
  <c r="X249"/>
  <c r="X248"/>
  <c r="X246"/>
  <c r="X244"/>
  <c r="X239"/>
  <c r="X237"/>
  <c r="X235"/>
  <c r="X234"/>
  <c r="X233"/>
  <c r="X232"/>
  <c r="X230"/>
  <c r="X228"/>
  <c r="X223"/>
  <c r="X221"/>
  <c r="X219"/>
  <c r="X217"/>
  <c r="X216"/>
  <c r="X215"/>
  <c r="X213"/>
  <c r="X212"/>
  <c r="X211"/>
  <c r="X210"/>
  <c r="X209"/>
  <c r="X208"/>
  <c r="X207"/>
  <c r="X206"/>
  <c r="X205"/>
  <c r="X204"/>
  <c r="X203"/>
  <c r="X202"/>
  <c r="X201"/>
  <c r="X200"/>
  <c r="X199"/>
  <c r="X198"/>
  <c r="X197"/>
  <c r="X196"/>
  <c r="X195"/>
  <c r="X194"/>
  <c r="X193"/>
  <c r="X192"/>
  <c r="X191"/>
  <c r="X190"/>
  <c r="X189"/>
  <c r="X188"/>
  <c r="X187"/>
  <c r="X186"/>
  <c r="X185"/>
  <c r="X184"/>
  <c r="X183"/>
  <c r="X182"/>
  <c r="X181"/>
  <c r="X180"/>
  <c r="X179"/>
  <c r="X178"/>
  <c r="X177"/>
  <c r="X176"/>
  <c r="X175"/>
  <c r="X174"/>
  <c r="X173"/>
  <c r="X172"/>
  <c r="X171"/>
  <c r="X170"/>
  <c r="X169"/>
  <c r="X168"/>
  <c r="X167"/>
  <c r="X166"/>
  <c r="X165"/>
  <c r="X164"/>
  <c r="X163"/>
  <c r="X162"/>
  <c r="X161"/>
  <c r="X160"/>
  <c r="X159"/>
  <c r="X158"/>
  <c r="X157"/>
  <c r="X156"/>
  <c r="X155"/>
  <c r="X154"/>
  <c r="X153"/>
  <c r="X152"/>
  <c r="X151"/>
  <c r="X150"/>
  <c r="X149"/>
  <c r="X148"/>
  <c r="X147"/>
  <c r="X146"/>
  <c r="X145"/>
  <c r="X144"/>
  <c r="X143"/>
  <c r="X142"/>
  <c r="X141"/>
  <c r="X140"/>
  <c r="X139"/>
  <c r="X136"/>
  <c r="X135"/>
  <c r="X133"/>
  <c r="X132"/>
  <c r="X131"/>
  <c r="X128"/>
  <c r="X127"/>
  <c r="X125"/>
  <c r="X124"/>
  <c r="X123"/>
  <c r="X120"/>
  <c r="X119"/>
  <c r="X117"/>
  <c r="X116"/>
  <c r="X115"/>
  <c r="X112"/>
  <c r="X111"/>
  <c r="X109"/>
  <c r="X108"/>
  <c r="X107"/>
  <c r="X104"/>
  <c r="X103"/>
  <c r="X101"/>
  <c r="X336"/>
  <c r="X334"/>
  <c r="X332"/>
  <c r="X327"/>
  <c r="X325"/>
  <c r="X323"/>
  <c r="X322"/>
  <c r="X321"/>
  <c r="X320"/>
  <c r="X318"/>
  <c r="X316"/>
  <c r="X311"/>
  <c r="X309"/>
  <c r="X307"/>
  <c r="X306"/>
  <c r="X305"/>
  <c r="X304"/>
  <c r="X302"/>
  <c r="X300"/>
  <c r="X295"/>
  <c r="X293"/>
  <c r="X291"/>
  <c r="X290"/>
  <c r="X289"/>
  <c r="X288"/>
  <c r="X286"/>
  <c r="X284"/>
  <c r="X279"/>
  <c r="X277"/>
  <c r="X275"/>
  <c r="X274"/>
  <c r="X273"/>
  <c r="X272"/>
  <c r="X270"/>
  <c r="X268"/>
  <c r="X263"/>
  <c r="X261"/>
  <c r="X259"/>
  <c r="X258"/>
  <c r="X257"/>
  <c r="X256"/>
  <c r="X254"/>
  <c r="X252"/>
  <c r="X247"/>
  <c r="X245"/>
  <c r="X243"/>
  <c r="X242"/>
  <c r="X241"/>
  <c r="X240"/>
  <c r="X238"/>
  <c r="X236"/>
  <c r="X231"/>
  <c r="X229"/>
  <c r="X227"/>
  <c r="X226"/>
  <c r="X225"/>
  <c r="X224"/>
  <c r="X222"/>
  <c r="X220"/>
  <c r="X218"/>
  <c r="X214"/>
  <c r="X138"/>
  <c r="X137"/>
  <c r="Z137" s="1"/>
  <c r="BF107" i="15" s="1"/>
  <c r="X134" i="14"/>
  <c r="Z134"/>
  <c r="BF104" i="15" s="1"/>
  <c r="BK104" s="1"/>
  <c r="X130" i="14"/>
  <c r="X129"/>
  <c r="Z129" s="1"/>
  <c r="BF99" i="15" s="1"/>
  <c r="X126" i="14"/>
  <c r="Z126"/>
  <c r="BF96" i="15" s="1"/>
  <c r="X122" i="14"/>
  <c r="X121"/>
  <c r="Z121"/>
  <c r="BF91" i="15" s="1"/>
  <c r="BK91" s="1"/>
  <c r="X118" i="14"/>
  <c r="Z118"/>
  <c r="BF88" i="15" s="1"/>
  <c r="BK88" s="1"/>
  <c r="X114" i="14"/>
  <c r="X113"/>
  <c r="Z113" s="1"/>
  <c r="BF83" i="15" s="1"/>
  <c r="BK83" s="1"/>
  <c r="X110" i="14"/>
  <c r="Z110" s="1"/>
  <c r="BF80" i="15" s="1"/>
  <c r="BK80" s="1"/>
  <c r="X106" i="14"/>
  <c r="X105"/>
  <c r="Z105"/>
  <c r="BF75" i="15" s="1"/>
  <c r="BK75" s="1"/>
  <c r="X102" i="14"/>
  <c r="Z102"/>
  <c r="BF72" i="15" s="1"/>
  <c r="BK72" s="1"/>
  <c r="X98" i="14"/>
  <c r="X97"/>
  <c r="Z97" s="1"/>
  <c r="BF67" i="15" s="1"/>
  <c r="X94" i="14"/>
  <c r="Z94"/>
  <c r="BF64" i="15" s="1"/>
  <c r="X90" i="14"/>
  <c r="X89"/>
  <c r="Z89"/>
  <c r="BF59" i="15" s="1"/>
  <c r="BK59" s="1"/>
  <c r="X86" i="14"/>
  <c r="Z86"/>
  <c r="BF56" i="15" s="1"/>
  <c r="BK56" s="1"/>
  <c r="X82" i="14"/>
  <c r="X81"/>
  <c r="Z81" s="1"/>
  <c r="BF51" i="15" s="1"/>
  <c r="BK51" s="1"/>
  <c r="X80" i="14"/>
  <c r="X79"/>
  <c r="Z79"/>
  <c r="BF49" i="15" s="1"/>
  <c r="X78" i="14"/>
  <c r="X77"/>
  <c r="Z77"/>
  <c r="BF47" i="15" s="1"/>
  <c r="BK47" s="1"/>
  <c r="X76" i="14"/>
  <c r="W336"/>
  <c r="AA336" s="1"/>
  <c r="BG306" i="15" s="1"/>
  <c r="BM306" s="1"/>
  <c r="W334" i="14"/>
  <c r="W332"/>
  <c r="W327"/>
  <c r="W325"/>
  <c r="W323"/>
  <c r="W322"/>
  <c r="W321"/>
  <c r="W320"/>
  <c r="AA320"/>
  <c r="BG290" i="15" s="1"/>
  <c r="BM290" s="1"/>
  <c r="W318" i="14"/>
  <c r="W316"/>
  <c r="W311"/>
  <c r="W309"/>
  <c r="W307"/>
  <c r="W306"/>
  <c r="W305"/>
  <c r="W304"/>
  <c r="AA304" s="1"/>
  <c r="BG274" i="15" s="1"/>
  <c r="BM274" s="1"/>
  <c r="W302" i="14"/>
  <c r="W300"/>
  <c r="W295"/>
  <c r="W293"/>
  <c r="W291"/>
  <c r="W290"/>
  <c r="W289"/>
  <c r="W288"/>
  <c r="AA288"/>
  <c r="BG258" i="15" s="1"/>
  <c r="W286" i="14"/>
  <c r="W284"/>
  <c r="W279"/>
  <c r="W277"/>
  <c r="W275"/>
  <c r="W274"/>
  <c r="W273"/>
  <c r="W272"/>
  <c r="AA272"/>
  <c r="BG242" i="15" s="1"/>
  <c r="BM242" s="1"/>
  <c r="W270" i="14"/>
  <c r="W268"/>
  <c r="W263"/>
  <c r="W261"/>
  <c r="W259"/>
  <c r="W258"/>
  <c r="W257"/>
  <c r="W256"/>
  <c r="AA256" s="1"/>
  <c r="BG226" i="15" s="1"/>
  <c r="W254" i="14"/>
  <c r="W252"/>
  <c r="W247"/>
  <c r="W245"/>
  <c r="W243"/>
  <c r="W242"/>
  <c r="W241"/>
  <c r="W240"/>
  <c r="AA240" s="1"/>
  <c r="BG210" i="15" s="1"/>
  <c r="BM210" s="1"/>
  <c r="W238" i="14"/>
  <c r="W236"/>
  <c r="W231"/>
  <c r="W229"/>
  <c r="W227"/>
  <c r="W226"/>
  <c r="W225"/>
  <c r="W224"/>
  <c r="AA224"/>
  <c r="BG194" i="15" s="1"/>
  <c r="BM194" s="1"/>
  <c r="W222" i="14"/>
  <c r="W220"/>
  <c r="W218"/>
  <c r="W214"/>
  <c r="W138"/>
  <c r="W137"/>
  <c r="W134"/>
  <c r="W130"/>
  <c r="W129"/>
  <c r="W126"/>
  <c r="W122"/>
  <c r="W121"/>
  <c r="W118"/>
  <c r="W114"/>
  <c r="W113"/>
  <c r="W110"/>
  <c r="W106"/>
  <c r="W105"/>
  <c r="W102"/>
  <c r="W335"/>
  <c r="W333"/>
  <c r="W331"/>
  <c r="W330"/>
  <c r="W329"/>
  <c r="W328"/>
  <c r="AA328"/>
  <c r="BG298" i="15" s="1"/>
  <c r="W326" i="14"/>
  <c r="W324"/>
  <c r="W319"/>
  <c r="W317"/>
  <c r="W315"/>
  <c r="W314"/>
  <c r="W313"/>
  <c r="W312"/>
  <c r="AA312"/>
  <c r="BG282" i="15" s="1"/>
  <c r="BM282" s="1"/>
  <c r="W310" i="14"/>
  <c r="W308"/>
  <c r="W303"/>
  <c r="W301"/>
  <c r="W299"/>
  <c r="W298"/>
  <c r="W297"/>
  <c r="W296"/>
  <c r="AA296" s="1"/>
  <c r="BG266" i="15" s="1"/>
  <c r="W294" i="14"/>
  <c r="W292"/>
  <c r="W287"/>
  <c r="W285"/>
  <c r="W283"/>
  <c r="W282"/>
  <c r="W281"/>
  <c r="W280"/>
  <c r="AA280" s="1"/>
  <c r="BG250" i="15" s="1"/>
  <c r="W278" i="14"/>
  <c r="W276"/>
  <c r="W271"/>
  <c r="W269"/>
  <c r="W267"/>
  <c r="W266"/>
  <c r="W265"/>
  <c r="W264"/>
  <c r="AA264" s="1"/>
  <c r="BG234" i="15" s="1"/>
  <c r="W262" i="14"/>
  <c r="W260"/>
  <c r="W255"/>
  <c r="W253"/>
  <c r="W251"/>
  <c r="W250"/>
  <c r="W249"/>
  <c r="W248"/>
  <c r="AA248" s="1"/>
  <c r="BG218" i="15" s="1"/>
  <c r="W246" i="14"/>
  <c r="W244"/>
  <c r="W239"/>
  <c r="W237"/>
  <c r="W235"/>
  <c r="W234"/>
  <c r="W233"/>
  <c r="W232"/>
  <c r="AA232" s="1"/>
  <c r="BG202" i="15" s="1"/>
  <c r="BM202" s="1"/>
  <c r="W230" i="14"/>
  <c r="W228"/>
  <c r="W223"/>
  <c r="W221"/>
  <c r="W219"/>
  <c r="W217"/>
  <c r="W216"/>
  <c r="AA216" s="1"/>
  <c r="BG186" i="15" s="1"/>
  <c r="BM186" s="1"/>
  <c r="W215" i="14"/>
  <c r="W213"/>
  <c r="W212"/>
  <c r="W211"/>
  <c r="W210"/>
  <c r="W209"/>
  <c r="W208"/>
  <c r="W207"/>
  <c r="W206"/>
  <c r="W205"/>
  <c r="W204"/>
  <c r="W203"/>
  <c r="W202"/>
  <c r="W201"/>
  <c r="W200"/>
  <c r="W199"/>
  <c r="W198"/>
  <c r="W197"/>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W145"/>
  <c r="W144"/>
  <c r="W143"/>
  <c r="W142"/>
  <c r="W141"/>
  <c r="W140"/>
  <c r="AA140" s="1"/>
  <c r="BG110" i="15" s="1"/>
  <c r="BM110" s="1"/>
  <c r="W139" i="14"/>
  <c r="W136"/>
  <c r="W135"/>
  <c r="W133"/>
  <c r="W132"/>
  <c r="AA132" s="1"/>
  <c r="BG102" i="15" s="1"/>
  <c r="BM102" s="1"/>
  <c r="W131" i="14"/>
  <c r="W128"/>
  <c r="W127"/>
  <c r="W125"/>
  <c r="W124"/>
  <c r="AA124" s="1"/>
  <c r="BG94" i="15" s="1"/>
  <c r="BM94" s="1"/>
  <c r="W123" i="14"/>
  <c r="W120"/>
  <c r="W119"/>
  <c r="W117"/>
  <c r="W116"/>
  <c r="AA116" s="1"/>
  <c r="BG86" i="15" s="1"/>
  <c r="BM86" s="1"/>
  <c r="W115" i="14"/>
  <c r="W112"/>
  <c r="W111"/>
  <c r="W109"/>
  <c r="W108"/>
  <c r="AA108" s="1"/>
  <c r="BG78" i="15" s="1"/>
  <c r="BM78" s="1"/>
  <c r="W107" i="14"/>
  <c r="W104"/>
  <c r="W103"/>
  <c r="W101"/>
  <c r="W100"/>
  <c r="AA100" s="1"/>
  <c r="BG70" i="15" s="1"/>
  <c r="W99" i="14"/>
  <c r="W96"/>
  <c r="W95"/>
  <c r="W93"/>
  <c r="W92"/>
  <c r="AA92"/>
  <c r="BG62" i="15" s="1"/>
  <c r="W91" i="14"/>
  <c r="W88"/>
  <c r="W87"/>
  <c r="W85"/>
  <c r="W84"/>
  <c r="AA84" s="1"/>
  <c r="BG54" i="15" s="1"/>
  <c r="BM54" s="1"/>
  <c r="W83" i="14"/>
  <c r="I36"/>
  <c r="K36"/>
  <c r="J6" i="15" s="1"/>
  <c r="I38" i="14"/>
  <c r="I40"/>
  <c r="K40"/>
  <c r="J10" i="15" s="1"/>
  <c r="N10" s="1"/>
  <c r="I41" i="14"/>
  <c r="I42"/>
  <c r="I44"/>
  <c r="K44"/>
  <c r="J14" i="15" s="1"/>
  <c r="N14" s="1"/>
  <c r="I45" i="14"/>
  <c r="I46"/>
  <c r="I49"/>
  <c r="L55"/>
  <c r="K25" i="15" s="1"/>
  <c r="P25" s="1"/>
  <c r="I56" i="14"/>
  <c r="K56"/>
  <c r="J26" i="15" s="1"/>
  <c r="N26" s="1"/>
  <c r="I57" i="14"/>
  <c r="I58"/>
  <c r="L59"/>
  <c r="K29" i="15"/>
  <c r="P29" s="1"/>
  <c r="I64" i="14"/>
  <c r="K64" s="1"/>
  <c r="J34" i="15" s="1"/>
  <c r="N34" s="1"/>
  <c r="I65" i="14"/>
  <c r="I66"/>
  <c r="I69"/>
  <c r="I72"/>
  <c r="K72"/>
  <c r="J42" i="15" s="1"/>
  <c r="N42" s="1"/>
  <c r="I74" i="14"/>
  <c r="I34"/>
  <c r="I35"/>
  <c r="J36"/>
  <c r="J37"/>
  <c r="L37"/>
  <c r="K7" i="15" s="1"/>
  <c r="J38" i="14"/>
  <c r="L38" s="1"/>
  <c r="K8" i="15" s="1"/>
  <c r="P8" s="1"/>
  <c r="I39" i="14"/>
  <c r="J40"/>
  <c r="J41"/>
  <c r="L41" s="1"/>
  <c r="K11" i="15" s="1"/>
  <c r="P11" s="1"/>
  <c r="J42" i="14"/>
  <c r="L42" s="1"/>
  <c r="K12" i="15" s="1"/>
  <c r="P12" s="1"/>
  <c r="I43" i="14"/>
  <c r="J44"/>
  <c r="J45"/>
  <c r="L45" s="1"/>
  <c r="K15" i="15" s="1"/>
  <c r="J46" i="14"/>
  <c r="L46"/>
  <c r="K16" i="15" s="1"/>
  <c r="P16" s="1"/>
  <c r="I47" i="14"/>
  <c r="J48"/>
  <c r="J49"/>
  <c r="L49"/>
  <c r="K19" i="15" s="1"/>
  <c r="J50" i="14"/>
  <c r="L50" s="1"/>
  <c r="K20" i="15" s="1"/>
  <c r="P20" s="1"/>
  <c r="I51" i="14"/>
  <c r="J52"/>
  <c r="J53"/>
  <c r="L53" s="1"/>
  <c r="K23" i="15" s="1"/>
  <c r="P23" s="1"/>
  <c r="J54" i="14"/>
  <c r="L54" s="1"/>
  <c r="K24" i="15" s="1"/>
  <c r="I55" i="14"/>
  <c r="J56"/>
  <c r="J57"/>
  <c r="L57"/>
  <c r="K27" i="15" s="1"/>
  <c r="J58" i="14"/>
  <c r="L58" s="1"/>
  <c r="K28" i="15" s="1"/>
  <c r="P28" s="1"/>
  <c r="I59" i="14"/>
  <c r="J60"/>
  <c r="J61"/>
  <c r="L61" s="1"/>
  <c r="K31" i="15" s="1"/>
  <c r="J62" i="14"/>
  <c r="L62"/>
  <c r="K32" i="15" s="1"/>
  <c r="I63" i="14"/>
  <c r="J64"/>
  <c r="J65"/>
  <c r="L65" s="1"/>
  <c r="K35" i="15" s="1"/>
  <c r="P35" s="1"/>
  <c r="J66" i="14"/>
  <c r="L66" s="1"/>
  <c r="K36" i="15" s="1"/>
  <c r="P36" s="1"/>
  <c r="I67" i="14"/>
  <c r="J68"/>
  <c r="J69"/>
  <c r="L69" s="1"/>
  <c r="K39" i="15" s="1"/>
  <c r="J70" i="14"/>
  <c r="L70"/>
  <c r="K40" i="15" s="1"/>
  <c r="P40" s="1"/>
  <c r="I71" i="14"/>
  <c r="J72"/>
  <c r="J73"/>
  <c r="L73"/>
  <c r="K43" i="15" s="1"/>
  <c r="P43" s="1"/>
  <c r="J74" i="14"/>
  <c r="L74"/>
  <c r="K44" i="15" s="1"/>
  <c r="P44" s="1"/>
  <c r="I75" i="14"/>
  <c r="J76"/>
  <c r="J77"/>
  <c r="L77"/>
  <c r="K47" i="15" s="1"/>
  <c r="P47" s="1"/>
  <c r="J78" i="14"/>
  <c r="L78"/>
  <c r="K48" i="15" s="1"/>
  <c r="P48" s="1"/>
  <c r="I79" i="14"/>
  <c r="J80"/>
  <c r="J81"/>
  <c r="L81"/>
  <c r="K51" i="15" s="1"/>
  <c r="P51" s="1"/>
  <c r="J82" i="14"/>
  <c r="L82"/>
  <c r="K52" i="15" s="1"/>
  <c r="P52" s="1"/>
  <c r="I83" i="14"/>
  <c r="J84"/>
  <c r="J85"/>
  <c r="L85"/>
  <c r="K55" i="15" s="1"/>
  <c r="J86" i="14"/>
  <c r="L86" s="1"/>
  <c r="K56" i="15" s="1"/>
  <c r="P56" s="1"/>
  <c r="I87" i="14"/>
  <c r="J88"/>
  <c r="J89"/>
  <c r="L89" s="1"/>
  <c r="K59" i="15" s="1"/>
  <c r="P59" s="1"/>
  <c r="J90" i="14"/>
  <c r="L90" s="1"/>
  <c r="K60" i="15" s="1"/>
  <c r="P60" s="1"/>
  <c r="I91" i="14"/>
  <c r="J92"/>
  <c r="J93"/>
  <c r="L93" s="1"/>
  <c r="K63" i="15" s="1"/>
  <c r="J94" i="14"/>
  <c r="L94"/>
  <c r="K64" i="15" s="1"/>
  <c r="P64" s="1"/>
  <c r="I95" i="14"/>
  <c r="J96"/>
  <c r="J97"/>
  <c r="L97"/>
  <c r="K67" i="15" s="1"/>
  <c r="P67" s="1"/>
  <c r="J98" i="14"/>
  <c r="L98"/>
  <c r="K68" i="15" s="1"/>
  <c r="P68" s="1"/>
  <c r="I99" i="14"/>
  <c r="J100"/>
  <c r="J101"/>
  <c r="L101"/>
  <c r="K71" i="15" s="1"/>
  <c r="J102" i="14"/>
  <c r="L102" s="1"/>
  <c r="K72" i="15" s="1"/>
  <c r="P72" s="1"/>
  <c r="I103" i="14"/>
  <c r="J104"/>
  <c r="J105"/>
  <c r="L105" s="1"/>
  <c r="K75" i="15" s="1"/>
  <c r="P75" s="1"/>
  <c r="J106" i="14"/>
  <c r="L106" s="1"/>
  <c r="K76" i="15" s="1"/>
  <c r="P76" s="1"/>
  <c r="I107" i="14"/>
  <c r="J108"/>
  <c r="J109"/>
  <c r="L109" s="1"/>
  <c r="K79" i="15" s="1"/>
  <c r="P79" s="1"/>
  <c r="J110" i="14"/>
  <c r="L110" s="1"/>
  <c r="K80" i="15" s="1"/>
  <c r="I111" i="14"/>
  <c r="J112"/>
  <c r="J113"/>
  <c r="L113"/>
  <c r="K83" i="15" s="1"/>
  <c r="P83" s="1"/>
  <c r="J114" i="14"/>
  <c r="L114"/>
  <c r="K84" i="15" s="1"/>
  <c r="P84" s="1"/>
  <c r="I115" i="14"/>
  <c r="J116"/>
  <c r="J117"/>
  <c r="L117"/>
  <c r="K87" i="15" s="1"/>
  <c r="J118" i="14"/>
  <c r="L118" s="1"/>
  <c r="K88" i="15" s="1"/>
  <c r="I119" i="14"/>
  <c r="J120"/>
  <c r="J121"/>
  <c r="L121"/>
  <c r="K91" i="15" s="1"/>
  <c r="P91" s="1"/>
  <c r="J122" i="14"/>
  <c r="L122"/>
  <c r="K92" i="15" s="1"/>
  <c r="P92" s="1"/>
  <c r="I123" i="14"/>
  <c r="J124"/>
  <c r="J125"/>
  <c r="L125"/>
  <c r="K95" i="15" s="1"/>
  <c r="J126" i="14"/>
  <c r="L126" s="1"/>
  <c r="K96" i="15" s="1"/>
  <c r="P96" s="1"/>
  <c r="I127" i="14"/>
  <c r="J128"/>
  <c r="J129"/>
  <c r="L129" s="1"/>
  <c r="K99" i="15" s="1"/>
  <c r="P99" s="1"/>
  <c r="J130" i="14"/>
  <c r="L130" s="1"/>
  <c r="K100" i="15" s="1"/>
  <c r="P100" s="1"/>
  <c r="I131" i="14"/>
  <c r="J132"/>
  <c r="J133"/>
  <c r="L133" s="1"/>
  <c r="K103" i="15" s="1"/>
  <c r="P103" s="1"/>
  <c r="J134" i="14"/>
  <c r="L134" s="1"/>
  <c r="K104" i="15" s="1"/>
  <c r="P104" s="1"/>
  <c r="I135" i="14"/>
  <c r="J136"/>
  <c r="J137"/>
  <c r="L137" s="1"/>
  <c r="K107" i="15" s="1"/>
  <c r="P107" s="1"/>
  <c r="J138" i="14"/>
  <c r="L138" s="1"/>
  <c r="K108" i="15" s="1"/>
  <c r="P108" s="1"/>
  <c r="I139" i="14"/>
  <c r="J140"/>
  <c r="J141"/>
  <c r="L141" s="1"/>
  <c r="K111" i="15" s="1"/>
  <c r="J142" i="14"/>
  <c r="L142"/>
  <c r="K112" i="15" s="1"/>
  <c r="P112" s="1"/>
  <c r="I143" i="14"/>
  <c r="J144"/>
  <c r="J145"/>
  <c r="L145"/>
  <c r="K115" i="15" s="1"/>
  <c r="J146" i="14"/>
  <c r="L146" s="1"/>
  <c r="K116" i="15" s="1"/>
  <c r="P116" s="1"/>
  <c r="I147" i="14"/>
  <c r="J148"/>
  <c r="J149"/>
  <c r="L149" s="1"/>
  <c r="K119" i="15" s="1"/>
  <c r="J150" i="14"/>
  <c r="L150"/>
  <c r="K120" i="15" s="1"/>
  <c r="P120" s="1"/>
  <c r="I151" i="14"/>
  <c r="J152"/>
  <c r="J153"/>
  <c r="L153"/>
  <c r="K123" i="15" s="1"/>
  <c r="P123" s="1"/>
  <c r="J154" i="14"/>
  <c r="L154"/>
  <c r="K124" i="15" s="1"/>
  <c r="P124" s="1"/>
  <c r="I155" i="14"/>
  <c r="J156"/>
  <c r="J157"/>
  <c r="L157"/>
  <c r="K127" i="15" s="1"/>
  <c r="J158" i="14"/>
  <c r="L158" s="1"/>
  <c r="K128" i="15" s="1"/>
  <c r="P128" s="1"/>
  <c r="I159" i="14"/>
  <c r="J160"/>
  <c r="J161"/>
  <c r="L161" s="1"/>
  <c r="K131" i="15" s="1"/>
  <c r="J162" i="14"/>
  <c r="L162"/>
  <c r="K132" i="15" s="1"/>
  <c r="P132" s="1"/>
  <c r="I163" i="14"/>
  <c r="J164"/>
  <c r="J165"/>
  <c r="L165"/>
  <c r="K135" i="15" s="1"/>
  <c r="P135" s="1"/>
  <c r="J166" i="14"/>
  <c r="L166"/>
  <c r="K136" i="15" s="1"/>
  <c r="P136" s="1"/>
  <c r="I167" i="14"/>
  <c r="J168"/>
  <c r="J169"/>
  <c r="L169"/>
  <c r="K139" i="15" s="1"/>
  <c r="P139" s="1"/>
  <c r="J170" i="14"/>
  <c r="L170"/>
  <c r="K140" i="15" s="1"/>
  <c r="P140"/>
  <c r="I171" i="14"/>
  <c r="J172"/>
  <c r="J173"/>
  <c r="L173"/>
  <c r="K143" i="15" s="1"/>
  <c r="J174" i="14"/>
  <c r="L174" s="1"/>
  <c r="K144" i="15" s="1"/>
  <c r="P144" s="1"/>
  <c r="I175" i="14"/>
  <c r="J176"/>
  <c r="J177"/>
  <c r="L177" s="1"/>
  <c r="K147" i="15" s="1"/>
  <c r="P147" s="1"/>
  <c r="J178" i="14"/>
  <c r="L178"/>
  <c r="K148" i="15" s="1"/>
  <c r="P148"/>
  <c r="I179" i="14"/>
  <c r="J180"/>
  <c r="J181"/>
  <c r="L181"/>
  <c r="K151" i="15" s="1"/>
  <c r="J182" i="14"/>
  <c r="L182" s="1"/>
  <c r="K152" i="15" s="1"/>
  <c r="P152" s="1"/>
  <c r="I183" i="14"/>
  <c r="J184"/>
  <c r="J185"/>
  <c r="L185" s="1"/>
  <c r="K155" i="15" s="1"/>
  <c r="P155" s="1"/>
  <c r="J186" i="14"/>
  <c r="L186" s="1"/>
  <c r="K156" i="15" s="1"/>
  <c r="P156" s="1"/>
  <c r="I187" i="14"/>
  <c r="J188"/>
  <c r="J189"/>
  <c r="L189" s="1"/>
  <c r="K159" i="15" s="1"/>
  <c r="P159" s="1"/>
  <c r="J190" i="14"/>
  <c r="L190"/>
  <c r="K160" i="15" s="1"/>
  <c r="P160" s="1"/>
  <c r="I191" i="14"/>
  <c r="J192"/>
  <c r="J193"/>
  <c r="L193" s="1"/>
  <c r="K163" i="15" s="1"/>
  <c r="P163" s="1"/>
  <c r="J194" i="14"/>
  <c r="L194"/>
  <c r="K164" i="15" s="1"/>
  <c r="P164" s="1"/>
  <c r="I195" i="14"/>
  <c r="J196"/>
  <c r="J197"/>
  <c r="L197" s="1"/>
  <c r="K167" i="15" s="1"/>
  <c r="P167" s="1"/>
  <c r="J198" i="14"/>
  <c r="L198" s="1"/>
  <c r="K168" i="15" s="1"/>
  <c r="P168" s="1"/>
  <c r="I199" i="14"/>
  <c r="J200"/>
  <c r="J201"/>
  <c r="L201" s="1"/>
  <c r="K171" i="15" s="1"/>
  <c r="P171" s="1"/>
  <c r="J202" i="14"/>
  <c r="L202" s="1"/>
  <c r="K172" i="15" s="1"/>
  <c r="P172" s="1"/>
  <c r="I203" i="14"/>
  <c r="J204"/>
  <c r="J205"/>
  <c r="L205" s="1"/>
  <c r="K175" i="15" s="1"/>
  <c r="P175" s="1"/>
  <c r="J206" i="14"/>
  <c r="L206"/>
  <c r="K176" i="15" s="1"/>
  <c r="P176" s="1"/>
  <c r="I207" i="14"/>
  <c r="J208"/>
  <c r="J209"/>
  <c r="L209" s="1"/>
  <c r="K179" i="15" s="1"/>
  <c r="P179" s="1"/>
  <c r="J210" i="14"/>
  <c r="L210" s="1"/>
  <c r="K180" i="15" s="1"/>
  <c r="P180" s="1"/>
  <c r="I211" i="14"/>
  <c r="J212"/>
  <c r="J213"/>
  <c r="L213" s="1"/>
  <c r="K183" i="15" s="1"/>
  <c r="P183" s="1"/>
  <c r="J214" i="14"/>
  <c r="L214" s="1"/>
  <c r="K184" i="15" s="1"/>
  <c r="P184" s="1"/>
  <c r="I215" i="14"/>
  <c r="J216"/>
  <c r="J217"/>
  <c r="L217" s="1"/>
  <c r="K187" i="15" s="1"/>
  <c r="P187" s="1"/>
  <c r="J218" i="14"/>
  <c r="L218" s="1"/>
  <c r="K188" i="15" s="1"/>
  <c r="P188" s="1"/>
  <c r="I219" i="14"/>
  <c r="J220"/>
  <c r="J221"/>
  <c r="L221"/>
  <c r="K191" i="15" s="1"/>
  <c r="P191" s="1"/>
  <c r="J222" i="14"/>
  <c r="L222"/>
  <c r="K192" i="15" s="1"/>
  <c r="P192" s="1"/>
  <c r="I223" i="14"/>
  <c r="J224"/>
  <c r="J225"/>
  <c r="L225" s="1"/>
  <c r="K195" i="15" s="1"/>
  <c r="P195" s="1"/>
  <c r="J226" i="14"/>
  <c r="L226" s="1"/>
  <c r="K196" i="15" s="1"/>
  <c r="P196" s="1"/>
  <c r="I227" i="14"/>
  <c r="J228"/>
  <c r="J229"/>
  <c r="L229"/>
  <c r="K199" i="15" s="1"/>
  <c r="P199" s="1"/>
  <c r="J230" i="14"/>
  <c r="L230" s="1"/>
  <c r="K200" i="15" s="1"/>
  <c r="P200" s="1"/>
  <c r="I231" i="14"/>
  <c r="J232"/>
  <c r="J233"/>
  <c r="L233" s="1"/>
  <c r="K203" i="15" s="1"/>
  <c r="P203" s="1"/>
  <c r="J234" i="14"/>
  <c r="L234" s="1"/>
  <c r="K204" i="15" s="1"/>
  <c r="P204" s="1"/>
  <c r="I235" i="14"/>
  <c r="J236"/>
  <c r="J237"/>
  <c r="L237" s="1"/>
  <c r="K207" i="15" s="1"/>
  <c r="P207" s="1"/>
  <c r="J238" i="14"/>
  <c r="L238" s="1"/>
  <c r="K208" i="15" s="1"/>
  <c r="P208" s="1"/>
  <c r="I239" i="14"/>
  <c r="J240"/>
  <c r="J241"/>
  <c r="L241"/>
  <c r="K211" i="15" s="1"/>
  <c r="P211" s="1"/>
  <c r="J242" i="14"/>
  <c r="L242"/>
  <c r="K212" i="15" s="1"/>
  <c r="P212" s="1"/>
  <c r="I243" i="14"/>
  <c r="J244"/>
  <c r="J245"/>
  <c r="L245" s="1"/>
  <c r="K215" i="15" s="1"/>
  <c r="P215" s="1"/>
  <c r="J246" i="14"/>
  <c r="L246" s="1"/>
  <c r="K216" i="15" s="1"/>
  <c r="P216" s="1"/>
  <c r="I247" i="14"/>
  <c r="J248"/>
  <c r="J249"/>
  <c r="L249"/>
  <c r="K219" i="15" s="1"/>
  <c r="P219" s="1"/>
  <c r="J250" i="14"/>
  <c r="L250"/>
  <c r="K220" i="15" s="1"/>
  <c r="P220" s="1"/>
  <c r="I251" i="14"/>
  <c r="J252"/>
  <c r="J253"/>
  <c r="L253" s="1"/>
  <c r="K223" i="15" s="1"/>
  <c r="P223" s="1"/>
  <c r="J254" i="14"/>
  <c r="L254" s="1"/>
  <c r="K224" i="15" s="1"/>
  <c r="P224" s="1"/>
  <c r="I255" i="14"/>
  <c r="J256"/>
  <c r="J257"/>
  <c r="L257" s="1"/>
  <c r="K227" i="15" s="1"/>
  <c r="P227" s="1"/>
  <c r="J258" i="14"/>
  <c r="L258" s="1"/>
  <c r="K228" i="15" s="1"/>
  <c r="P228" s="1"/>
  <c r="I259" i="14"/>
  <c r="J260"/>
  <c r="J261"/>
  <c r="L261"/>
  <c r="K231" i="15" s="1"/>
  <c r="P231" s="1"/>
  <c r="J262" i="14"/>
  <c r="L262" s="1"/>
  <c r="K232" i="15" s="1"/>
  <c r="P232" s="1"/>
  <c r="I263" i="14"/>
  <c r="J264"/>
  <c r="J265"/>
  <c r="L265" s="1"/>
  <c r="K235" i="15" s="1"/>
  <c r="P235" s="1"/>
  <c r="J266" i="14"/>
  <c r="L266" s="1"/>
  <c r="K236" i="15" s="1"/>
  <c r="P236" s="1"/>
  <c r="I267" i="14"/>
  <c r="J268"/>
  <c r="J269"/>
  <c r="L269" s="1"/>
  <c r="K239" i="15" s="1"/>
  <c r="P239" s="1"/>
  <c r="J270" i="14"/>
  <c r="L270" s="1"/>
  <c r="K240" i="15" s="1"/>
  <c r="P240" s="1"/>
  <c r="I271" i="14"/>
  <c r="J272"/>
  <c r="J273"/>
  <c r="L273" s="1"/>
  <c r="K243" i="15" s="1"/>
  <c r="P243" s="1"/>
  <c r="J274" i="14"/>
  <c r="L274" s="1"/>
  <c r="K244" i="15" s="1"/>
  <c r="P244" s="1"/>
  <c r="I275" i="14"/>
  <c r="J276"/>
  <c r="J277"/>
  <c r="L277" s="1"/>
  <c r="K247" i="15" s="1"/>
  <c r="P247" s="1"/>
  <c r="J278" i="14"/>
  <c r="L278"/>
  <c r="K248" i="15" s="1"/>
  <c r="P248" s="1"/>
  <c r="I279" i="14"/>
  <c r="J280"/>
  <c r="J281"/>
  <c r="L281" s="1"/>
  <c r="K251" i="15" s="1"/>
  <c r="P251" s="1"/>
  <c r="J282" i="14"/>
  <c r="L282" s="1"/>
  <c r="K252" i="15" s="1"/>
  <c r="P252" s="1"/>
  <c r="I283" i="14"/>
  <c r="J284"/>
  <c r="J285"/>
  <c r="L285"/>
  <c r="K255" i="15" s="1"/>
  <c r="P255" s="1"/>
  <c r="J286" i="14"/>
  <c r="L286" s="1"/>
  <c r="K256" i="15" s="1"/>
  <c r="P256" s="1"/>
  <c r="I287" i="14"/>
  <c r="J288"/>
  <c r="J289"/>
  <c r="L289" s="1"/>
  <c r="K259" i="15" s="1"/>
  <c r="P259" s="1"/>
  <c r="J290" i="14"/>
  <c r="L290" s="1"/>
  <c r="K260" i="15" s="1"/>
  <c r="P260" s="1"/>
  <c r="I291" i="14"/>
  <c r="J292"/>
  <c r="J293"/>
  <c r="L293" s="1"/>
  <c r="K263" i="15" s="1"/>
  <c r="P263" s="1"/>
  <c r="J294" i="14"/>
  <c r="L294" s="1"/>
  <c r="K264" i="15" s="1"/>
  <c r="P264" s="1"/>
  <c r="I295" i="14"/>
  <c r="J296"/>
  <c r="J297"/>
  <c r="L297"/>
  <c r="K267" i="15" s="1"/>
  <c r="P267" s="1"/>
  <c r="J298" i="14"/>
  <c r="L298"/>
  <c r="K268" i="15" s="1"/>
  <c r="P268" s="1"/>
  <c r="I299" i="14"/>
  <c r="J300"/>
  <c r="J301"/>
  <c r="L301" s="1"/>
  <c r="K271" i="15" s="1"/>
  <c r="P271" s="1"/>
  <c r="J302" i="14"/>
  <c r="L302" s="1"/>
  <c r="K272" i="15" s="1"/>
  <c r="P272" s="1"/>
  <c r="I303" i="14"/>
  <c r="J304"/>
  <c r="J305"/>
  <c r="L305"/>
  <c r="K275" i="15" s="1"/>
  <c r="P275" s="1"/>
  <c r="J306" i="14"/>
  <c r="L306"/>
  <c r="K276" i="15" s="1"/>
  <c r="P276" s="1"/>
  <c r="I307" i="14"/>
  <c r="J308"/>
  <c r="J309"/>
  <c r="L309" s="1"/>
  <c r="K279" i="15" s="1"/>
  <c r="P279" s="1"/>
  <c r="J310" i="14"/>
  <c r="L310"/>
  <c r="K280" i="15" s="1"/>
  <c r="P280" s="1"/>
  <c r="I311" i="14"/>
  <c r="J312"/>
  <c r="J313"/>
  <c r="L313" s="1"/>
  <c r="K283" i="15" s="1"/>
  <c r="P283" s="1"/>
  <c r="J314" i="14"/>
  <c r="L314" s="1"/>
  <c r="K284" i="15" s="1"/>
  <c r="P284" s="1"/>
  <c r="I315" i="14"/>
  <c r="J316"/>
  <c r="J317"/>
  <c r="L317"/>
  <c r="K287" i="15" s="1"/>
  <c r="P287" s="1"/>
  <c r="J318" i="14"/>
  <c r="L318" s="1"/>
  <c r="K288" i="15" s="1"/>
  <c r="P288" s="1"/>
  <c r="I319" i="14"/>
  <c r="J320"/>
  <c r="J321"/>
  <c r="L321" s="1"/>
  <c r="K291" i="15" s="1"/>
  <c r="P291" s="1"/>
  <c r="J322" i="14"/>
  <c r="L322" s="1"/>
  <c r="K292" i="15" s="1"/>
  <c r="P292" s="1"/>
  <c r="I323" i="14"/>
  <c r="J324"/>
  <c r="J325"/>
  <c r="L325" s="1"/>
  <c r="K295" i="15" s="1"/>
  <c r="P295" s="1"/>
  <c r="J326" i="14"/>
  <c r="L326" s="1"/>
  <c r="K296" i="15" s="1"/>
  <c r="P296" s="1"/>
  <c r="I327" i="14"/>
  <c r="J328"/>
  <c r="J329"/>
  <c r="L329" s="1"/>
  <c r="K299" i="15" s="1"/>
  <c r="P299" s="1"/>
  <c r="J330" i="14"/>
  <c r="L330" s="1"/>
  <c r="K300" i="15" s="1"/>
  <c r="P300" s="1"/>
  <c r="I331" i="14"/>
  <c r="J332"/>
  <c r="J333"/>
  <c r="L333" s="1"/>
  <c r="K303" i="15" s="1"/>
  <c r="P303" s="1"/>
  <c r="J334" i="14"/>
  <c r="L334" s="1"/>
  <c r="K304" i="15" s="1"/>
  <c r="P304" s="1"/>
  <c r="I335" i="14"/>
  <c r="J336"/>
  <c r="Q34"/>
  <c r="Q35"/>
  <c r="U35" s="1"/>
  <c r="AJ5" i="15" s="1"/>
  <c r="AQ5" s="1"/>
  <c r="P36" i="14"/>
  <c r="P37"/>
  <c r="Q38"/>
  <c r="S38" s="1"/>
  <c r="AH8" i="15" s="1"/>
  <c r="AM8" s="1"/>
  <c r="Q39" i="14"/>
  <c r="U39" s="1"/>
  <c r="AJ9" i="15" s="1"/>
  <c r="AQ9" s="1"/>
  <c r="P40" i="14"/>
  <c r="P41"/>
  <c r="Q42"/>
  <c r="S42"/>
  <c r="AH12" i="15"/>
  <c r="AM12" s="1"/>
  <c r="Q43" i="14"/>
  <c r="U43"/>
  <c r="AJ13" i="15" s="1"/>
  <c r="AQ13" s="1"/>
  <c r="P44" i="14"/>
  <c r="P45"/>
  <c r="Q46"/>
  <c r="S46" s="1"/>
  <c r="AH16" i="15" s="1"/>
  <c r="AM16" s="1"/>
  <c r="Q47" i="14"/>
  <c r="U47" s="1"/>
  <c r="AJ17" i="15" s="1"/>
  <c r="AQ17" s="1"/>
  <c r="P48" i="14"/>
  <c r="P49"/>
  <c r="Q50"/>
  <c r="S50"/>
  <c r="AH20" i="15"/>
  <c r="AM20" s="1"/>
  <c r="Q51" i="14"/>
  <c r="U51"/>
  <c r="AJ21" i="15" s="1"/>
  <c r="AQ21" s="1"/>
  <c r="P52" i="14"/>
  <c r="P53"/>
  <c r="Q54"/>
  <c r="S54" s="1"/>
  <c r="AH24" i="15" s="1"/>
  <c r="AM24" s="1"/>
  <c r="Q55" i="14"/>
  <c r="U55" s="1"/>
  <c r="AJ25" i="15" s="1"/>
  <c r="AQ25" s="1"/>
  <c r="P56" i="14"/>
  <c r="P57"/>
  <c r="Q58"/>
  <c r="S58"/>
  <c r="AH28" i="15" s="1"/>
  <c r="AM28" s="1"/>
  <c r="Q59" i="14"/>
  <c r="U59"/>
  <c r="AJ29" i="15" s="1"/>
  <c r="AQ29" s="1"/>
  <c r="P60" i="14"/>
  <c r="P61"/>
  <c r="Q62"/>
  <c r="S62" s="1"/>
  <c r="AH32" i="15" s="1"/>
  <c r="AM32" s="1"/>
  <c r="Q63" i="14"/>
  <c r="U63" s="1"/>
  <c r="AJ33" i="15" s="1"/>
  <c r="AQ33" s="1"/>
  <c r="P64" i="14"/>
  <c r="P65"/>
  <c r="Q66"/>
  <c r="S66"/>
  <c r="AH36" i="15" s="1"/>
  <c r="AM36" s="1"/>
  <c r="Q67" i="14"/>
  <c r="U67"/>
  <c r="AJ37" i="15" s="1"/>
  <c r="AQ37" s="1"/>
  <c r="P68" i="14"/>
  <c r="P69"/>
  <c r="Q70"/>
  <c r="S70" s="1"/>
  <c r="AH40" i="15" s="1"/>
  <c r="AM40" s="1"/>
  <c r="Q71" i="14"/>
  <c r="U71" s="1"/>
  <c r="AJ41" i="15" s="1"/>
  <c r="AQ41" s="1"/>
  <c r="P72" i="14"/>
  <c r="P73"/>
  <c r="Q74"/>
  <c r="S74"/>
  <c r="AH44" i="15"/>
  <c r="AM44" s="1"/>
  <c r="Q75" i="14"/>
  <c r="U75"/>
  <c r="AJ45" i="15"/>
  <c r="AQ45" s="1"/>
  <c r="P76" i="14"/>
  <c r="P77"/>
  <c r="Q78"/>
  <c r="S78" s="1"/>
  <c r="AH48" i="15" s="1"/>
  <c r="AM48" s="1"/>
  <c r="Q79" i="14"/>
  <c r="U79" s="1"/>
  <c r="AJ49" i="15" s="1"/>
  <c r="AQ49" s="1"/>
  <c r="P80" i="14"/>
  <c r="P81"/>
  <c r="Q82"/>
  <c r="S82" s="1"/>
  <c r="AH52" i="15" s="1"/>
  <c r="AM52" s="1"/>
  <c r="Q83" i="14"/>
  <c r="U83" s="1"/>
  <c r="AJ53" i="15" s="1"/>
  <c r="AQ53" s="1"/>
  <c r="P84" i="14"/>
  <c r="P85"/>
  <c r="Q86"/>
  <c r="S86" s="1"/>
  <c r="AH56" i="15" s="1"/>
  <c r="AM56" s="1"/>
  <c r="Q87" i="14"/>
  <c r="U87" s="1"/>
  <c r="AJ57" i="15" s="1"/>
  <c r="AQ57" s="1"/>
  <c r="P88" i="14"/>
  <c r="P89"/>
  <c r="Q90"/>
  <c r="S90" s="1"/>
  <c r="AH60" i="15" s="1"/>
  <c r="AM60" s="1"/>
  <c r="Q91" i="14"/>
  <c r="U91" s="1"/>
  <c r="AJ61" i="15" s="1"/>
  <c r="AQ61" s="1"/>
  <c r="P92" i="14"/>
  <c r="P93"/>
  <c r="Q94"/>
  <c r="S94" s="1"/>
  <c r="AH64" i="15" s="1"/>
  <c r="AM64" s="1"/>
  <c r="Q95" i="14"/>
  <c r="U95" s="1"/>
  <c r="AJ65" i="15" s="1"/>
  <c r="AQ65" s="1"/>
  <c r="P96" i="14"/>
  <c r="P97"/>
  <c r="Q98"/>
  <c r="S98" s="1"/>
  <c r="AH68" i="15" s="1"/>
  <c r="AM68" s="1"/>
  <c r="Q99" i="14"/>
  <c r="U99" s="1"/>
  <c r="AJ69" i="15" s="1"/>
  <c r="AQ69" s="1"/>
  <c r="P100" i="14"/>
  <c r="P101"/>
  <c r="Q102"/>
  <c r="S102" s="1"/>
  <c r="AH72" i="15" s="1"/>
  <c r="AM72" s="1"/>
  <c r="Q103" i="14"/>
  <c r="U103" s="1"/>
  <c r="AJ73" i="15" s="1"/>
  <c r="AQ73" s="1"/>
  <c r="P104" i="14"/>
  <c r="P105"/>
  <c r="Q106"/>
  <c r="S106" s="1"/>
  <c r="AH76" i="15" s="1"/>
  <c r="AM76" s="1"/>
  <c r="Q107" i="14"/>
  <c r="U107" s="1"/>
  <c r="AJ77" i="15" s="1"/>
  <c r="AQ77" s="1"/>
  <c r="P108" i="14"/>
  <c r="P109"/>
  <c r="Q110"/>
  <c r="S110" s="1"/>
  <c r="AH80" i="15" s="1"/>
  <c r="AM80" s="1"/>
  <c r="Q111" i="14"/>
  <c r="U111" s="1"/>
  <c r="AJ81" i="15" s="1"/>
  <c r="AQ81" s="1"/>
  <c r="P112" i="14"/>
  <c r="P113"/>
  <c r="Q114"/>
  <c r="S114" s="1"/>
  <c r="AH84" i="15" s="1"/>
  <c r="AM84" s="1"/>
  <c r="Q115" i="14"/>
  <c r="U115" s="1"/>
  <c r="AJ85" i="15" s="1"/>
  <c r="AQ85" s="1"/>
  <c r="P116" i="14"/>
  <c r="P117"/>
  <c r="Q118"/>
  <c r="S118" s="1"/>
  <c r="AH88" i="15" s="1"/>
  <c r="AM88" s="1"/>
  <c r="Q119" i="14"/>
  <c r="U119" s="1"/>
  <c r="AJ89" i="15" s="1"/>
  <c r="AQ89" s="1"/>
  <c r="P120" i="14"/>
  <c r="P121"/>
  <c r="Q122"/>
  <c r="S122" s="1"/>
  <c r="AH92" i="15" s="1"/>
  <c r="AM92" s="1"/>
  <c r="Q123" i="14"/>
  <c r="U123" s="1"/>
  <c r="AJ93" i="15" s="1"/>
  <c r="AQ93" s="1"/>
  <c r="P124" i="14"/>
  <c r="P125"/>
  <c r="Q126"/>
  <c r="S126" s="1"/>
  <c r="AH96" i="15" s="1"/>
  <c r="AM96" s="1"/>
  <c r="Q127" i="14"/>
  <c r="U127" s="1"/>
  <c r="AJ97" i="15" s="1"/>
  <c r="AQ97" s="1"/>
  <c r="P128" i="14"/>
  <c r="P129"/>
  <c r="Q130"/>
  <c r="S130"/>
  <c r="AH100" i="15" s="1"/>
  <c r="AM100" s="1"/>
  <c r="Q131" i="14"/>
  <c r="U131"/>
  <c r="AJ101" i="15" s="1"/>
  <c r="AQ101" s="1"/>
  <c r="P132" i="14"/>
  <c r="P133"/>
  <c r="Q134"/>
  <c r="S134" s="1"/>
  <c r="AH104" i="15" s="1"/>
  <c r="AM104" s="1"/>
  <c r="Q135" i="14"/>
  <c r="U135" s="1"/>
  <c r="AJ105" i="15" s="1"/>
  <c r="AQ105" s="1"/>
  <c r="P136" i="14"/>
  <c r="P137"/>
  <c r="Q138"/>
  <c r="S138"/>
  <c r="AH108" i="15" s="1"/>
  <c r="AM108" s="1"/>
  <c r="Q139" i="14"/>
  <c r="U139"/>
  <c r="AJ109" i="15" s="1"/>
  <c r="AQ109" s="1"/>
  <c r="P140" i="14"/>
  <c r="P141"/>
  <c r="Q142"/>
  <c r="S142" s="1"/>
  <c r="AH112" i="15" s="1"/>
  <c r="AM112" s="1"/>
  <c r="Q143" i="14"/>
  <c r="U143" s="1"/>
  <c r="AJ113" i="15" s="1"/>
  <c r="AQ113" s="1"/>
  <c r="P144" i="14"/>
  <c r="P145"/>
  <c r="Q146"/>
  <c r="S146" s="1"/>
  <c r="AH116" i="15" s="1"/>
  <c r="AM116" s="1"/>
  <c r="Q147" i="14"/>
  <c r="U147" s="1"/>
  <c r="AJ117" i="15" s="1"/>
  <c r="AQ117" s="1"/>
  <c r="P148" i="14"/>
  <c r="P149"/>
  <c r="Q150"/>
  <c r="S150" s="1"/>
  <c r="AH120" i="15" s="1"/>
  <c r="AM120" s="1"/>
  <c r="Q151" i="14"/>
  <c r="U151"/>
  <c r="AJ121" i="15" s="1"/>
  <c r="AQ121" s="1"/>
  <c r="P152" i="14"/>
  <c r="P153"/>
  <c r="Q154"/>
  <c r="S154" s="1"/>
  <c r="AH124" i="15" s="1"/>
  <c r="AM124" s="1"/>
  <c r="Q155" i="14"/>
  <c r="U155" s="1"/>
  <c r="AJ125" i="15" s="1"/>
  <c r="AQ125" s="1"/>
  <c r="P156" i="14"/>
  <c r="P157"/>
  <c r="Q158"/>
  <c r="S158"/>
  <c r="AH128" i="15" s="1"/>
  <c r="AM128" s="1"/>
  <c r="Q159" i="14"/>
  <c r="U159"/>
  <c r="AJ129" i="15" s="1"/>
  <c r="AQ129" s="1"/>
  <c r="P160" i="14"/>
  <c r="P161"/>
  <c r="Q162"/>
  <c r="S162" s="1"/>
  <c r="AH132" i="15" s="1"/>
  <c r="AM132" s="1"/>
  <c r="Q163" i="14"/>
  <c r="U163" s="1"/>
  <c r="AJ133" i="15" s="1"/>
  <c r="AQ133" s="1"/>
  <c r="P164" i="14"/>
  <c r="P165"/>
  <c r="Q166"/>
  <c r="S166"/>
  <c r="AH136" i="15" s="1"/>
  <c r="AM136" s="1"/>
  <c r="Q167" i="14"/>
  <c r="U167"/>
  <c r="AJ137" i="15" s="1"/>
  <c r="AQ137" s="1"/>
  <c r="P168" i="14"/>
  <c r="P169"/>
  <c r="Q170"/>
  <c r="S170" s="1"/>
  <c r="AH140" i="15" s="1"/>
  <c r="AM140" s="1"/>
  <c r="Q171" i="14"/>
  <c r="U171" s="1"/>
  <c r="AJ141" i="15" s="1"/>
  <c r="AQ141" s="1"/>
  <c r="P172" i="14"/>
  <c r="P173"/>
  <c r="Q174"/>
  <c r="S174"/>
  <c r="AH144" i="15" s="1"/>
  <c r="AM144" s="1"/>
  <c r="Q175" i="14"/>
  <c r="U175"/>
  <c r="AJ145" i="15" s="1"/>
  <c r="AQ145" s="1"/>
  <c r="P176" i="14"/>
  <c r="P177"/>
  <c r="Q178"/>
  <c r="S178" s="1"/>
  <c r="AH148" i="15" s="1"/>
  <c r="AM148" s="1"/>
  <c r="Q179" i="14"/>
  <c r="U179" s="1"/>
  <c r="AJ149" i="15" s="1"/>
  <c r="AQ149" s="1"/>
  <c r="P180" i="14"/>
  <c r="P181"/>
  <c r="Q182"/>
  <c r="S182" s="1"/>
  <c r="AH152" i="15" s="1"/>
  <c r="AM152" s="1"/>
  <c r="Q183" i="14"/>
  <c r="U183" s="1"/>
  <c r="AJ153" i="15" s="1"/>
  <c r="AQ153" s="1"/>
  <c r="P184" i="14"/>
  <c r="P185"/>
  <c r="Q186"/>
  <c r="S186" s="1"/>
  <c r="AH156" i="15" s="1"/>
  <c r="AM156" s="1"/>
  <c r="Q187" i="14"/>
  <c r="U187" s="1"/>
  <c r="AJ157" i="15" s="1"/>
  <c r="AQ157" s="1"/>
  <c r="P188" i="14"/>
  <c r="P189"/>
  <c r="Q190"/>
  <c r="S190" s="1"/>
  <c r="AH160" i="15" s="1"/>
  <c r="AM160" s="1"/>
  <c r="Q191" i="14"/>
  <c r="U191" s="1"/>
  <c r="AJ161" i="15" s="1"/>
  <c r="AQ161" s="1"/>
  <c r="P192" i="14"/>
  <c r="P193"/>
  <c r="Q194"/>
  <c r="S194" s="1"/>
  <c r="AH164" i="15" s="1"/>
  <c r="AM164" s="1"/>
  <c r="Q195" i="14"/>
  <c r="U195" s="1"/>
  <c r="AJ165" i="15" s="1"/>
  <c r="AQ165" s="1"/>
  <c r="P196" i="14"/>
  <c r="P197"/>
  <c r="Q198"/>
  <c r="S198" s="1"/>
  <c r="AH168" i="15" s="1"/>
  <c r="AM168" s="1"/>
  <c r="Q199" i="14"/>
  <c r="U199" s="1"/>
  <c r="AJ169" i="15" s="1"/>
  <c r="AQ169" s="1"/>
  <c r="P200" i="14"/>
  <c r="P201"/>
  <c r="Q202"/>
  <c r="S202" s="1"/>
  <c r="AH172" i="15" s="1"/>
  <c r="AM172" s="1"/>
  <c r="Q203" i="14"/>
  <c r="U203" s="1"/>
  <c r="AJ173" i="15" s="1"/>
  <c r="AQ173" s="1"/>
  <c r="P204" i="14"/>
  <c r="P205"/>
  <c r="Q206"/>
  <c r="S206" s="1"/>
  <c r="AH176" i="15" s="1"/>
  <c r="AM176" s="1"/>
  <c r="Q207" i="14"/>
  <c r="U207" s="1"/>
  <c r="AJ177" i="15" s="1"/>
  <c r="AQ177" s="1"/>
  <c r="P208" i="14"/>
  <c r="P209"/>
  <c r="Q210"/>
  <c r="S210"/>
  <c r="AH180" i="15" s="1"/>
  <c r="AM180" s="1"/>
  <c r="Q211" i="14"/>
  <c r="U211"/>
  <c r="AJ181" i="15" s="1"/>
  <c r="AQ181" s="1"/>
  <c r="P212" i="14"/>
  <c r="P213"/>
  <c r="Q214"/>
  <c r="S214" s="1"/>
  <c r="AH184" i="15" s="1"/>
  <c r="AM184" s="1"/>
  <c r="Q215" i="14"/>
  <c r="U215" s="1"/>
  <c r="AJ185" i="15" s="1"/>
  <c r="AQ185" s="1"/>
  <c r="P216" i="14"/>
  <c r="P217"/>
  <c r="Q218"/>
  <c r="S218"/>
  <c r="AH188" i="15" s="1"/>
  <c r="AM188" s="1"/>
  <c r="Q219" i="14"/>
  <c r="U219"/>
  <c r="AJ189" i="15" s="1"/>
  <c r="AQ189" s="1"/>
  <c r="P220" i="14"/>
  <c r="P221"/>
  <c r="Q222"/>
  <c r="S222" s="1"/>
  <c r="AH192" i="15" s="1"/>
  <c r="AM192" s="1"/>
  <c r="Q223" i="14"/>
  <c r="U223" s="1"/>
  <c r="AJ193" i="15" s="1"/>
  <c r="AQ193" s="1"/>
  <c r="P224" i="14"/>
  <c r="P225"/>
  <c r="Q226"/>
  <c r="S226"/>
  <c r="AH196" i="15" s="1"/>
  <c r="AM196" s="1"/>
  <c r="Q227" i="14"/>
  <c r="U227"/>
  <c r="AJ197" i="15" s="1"/>
  <c r="AQ197" s="1"/>
  <c r="P228" i="14"/>
  <c r="P229"/>
  <c r="Q230"/>
  <c r="S230" s="1"/>
  <c r="AH200" i="15" s="1"/>
  <c r="AM200" s="1"/>
  <c r="Q231" i="14"/>
  <c r="U231" s="1"/>
  <c r="AJ201" i="15" s="1"/>
  <c r="AQ201" s="1"/>
  <c r="P232" i="14"/>
  <c r="P233"/>
  <c r="Q234"/>
  <c r="S234"/>
  <c r="AH204" i="15" s="1"/>
  <c r="AM204" s="1"/>
  <c r="Q235" i="14"/>
  <c r="U235"/>
  <c r="AJ205" i="15" s="1"/>
  <c r="AQ205" s="1"/>
  <c r="P236" i="14"/>
  <c r="Q237"/>
  <c r="P238"/>
  <c r="R238" s="1"/>
  <c r="AG208" i="15" s="1"/>
  <c r="AK208" s="1"/>
  <c r="P239" i="14"/>
  <c r="Q240"/>
  <c r="P241"/>
  <c r="Q242"/>
  <c r="S242" s="1"/>
  <c r="AH212" i="15" s="1"/>
  <c r="AM212" s="1"/>
  <c r="Q243" i="14"/>
  <c r="U243" s="1"/>
  <c r="AJ213" i="15" s="1"/>
  <c r="AQ213" s="1"/>
  <c r="P244" i="14"/>
  <c r="Q245"/>
  <c r="P246"/>
  <c r="R246"/>
  <c r="AG216" i="15"/>
  <c r="AK216" s="1"/>
  <c r="P247" i="14"/>
  <c r="Q248"/>
  <c r="P249"/>
  <c r="Q250"/>
  <c r="S250" s="1"/>
  <c r="AH220" i="15" s="1"/>
  <c r="AM220" s="1"/>
  <c r="Q251" i="14"/>
  <c r="U251" s="1"/>
  <c r="AJ221" i="15" s="1"/>
  <c r="AQ221" s="1"/>
  <c r="P252" i="14"/>
  <c r="Q253"/>
  <c r="P254"/>
  <c r="R254"/>
  <c r="AG224" i="15" s="1"/>
  <c r="AK224" s="1"/>
  <c r="P255" i="14"/>
  <c r="Q256"/>
  <c r="P257"/>
  <c r="Q258"/>
  <c r="S258"/>
  <c r="AH228" i="15"/>
  <c r="AM228"/>
  <c r="Q259" i="14"/>
  <c r="U259"/>
  <c r="AJ229" i="15"/>
  <c r="AQ229"/>
  <c r="P260" i="14"/>
  <c r="Q261"/>
  <c r="P262"/>
  <c r="R262"/>
  <c r="AG232" i="15" s="1"/>
  <c r="AK232" s="1"/>
  <c r="P263" i="14"/>
  <c r="Q264"/>
  <c r="P265"/>
  <c r="Q266"/>
  <c r="S266"/>
  <c r="AH236" i="15"/>
  <c r="AM236"/>
  <c r="Q267" i="14"/>
  <c r="U267"/>
  <c r="AJ237" i="15"/>
  <c r="AQ237"/>
  <c r="P268" i="14"/>
  <c r="Q269"/>
  <c r="P270"/>
  <c r="R270"/>
  <c r="AG240" i="15" s="1"/>
  <c r="AK240" s="1"/>
  <c r="P271" i="14"/>
  <c r="Q272"/>
  <c r="P273"/>
  <c r="Q274"/>
  <c r="S274"/>
  <c r="AH244" i="15"/>
  <c r="AM244" s="1"/>
  <c r="Q275" i="14"/>
  <c r="U275"/>
  <c r="AJ245" i="15" s="1"/>
  <c r="AQ245" s="1"/>
  <c r="P276" i="14"/>
  <c r="Q277"/>
  <c r="P278"/>
  <c r="R278" s="1"/>
  <c r="AG248" i="15" s="1"/>
  <c r="AK248" s="1"/>
  <c r="P279" i="14"/>
  <c r="Q280"/>
  <c r="P281"/>
  <c r="Q282"/>
  <c r="S282"/>
  <c r="AH252" i="15" s="1"/>
  <c r="AM252" s="1"/>
  <c r="Q283" i="14"/>
  <c r="U283"/>
  <c r="AJ253" i="15" s="1"/>
  <c r="AQ253" s="1"/>
  <c r="P284" i="14"/>
  <c r="Q285"/>
  <c r="P286"/>
  <c r="R286" s="1"/>
  <c r="AG256" i="15" s="1"/>
  <c r="AK256" s="1"/>
  <c r="P287" i="14"/>
  <c r="Q288"/>
  <c r="P289"/>
  <c r="Q290"/>
  <c r="S290"/>
  <c r="AH260" i="15"/>
  <c r="AM260" s="1"/>
  <c r="Q291" i="14"/>
  <c r="U291"/>
  <c r="AJ261" i="15"/>
  <c r="AQ261" s="1"/>
  <c r="P292" i="14"/>
  <c r="Q293"/>
  <c r="P294"/>
  <c r="R294" s="1"/>
  <c r="AG264" i="15" s="1"/>
  <c r="AK264" s="1"/>
  <c r="P295" i="14"/>
  <c r="Q296"/>
  <c r="P297"/>
  <c r="Q298"/>
  <c r="S298"/>
  <c r="AH268" i="15" s="1"/>
  <c r="AM268" s="1"/>
  <c r="Q299" i="14"/>
  <c r="U299"/>
  <c r="AJ269" i="15" s="1"/>
  <c r="AQ269" s="1"/>
  <c r="P300" i="14"/>
  <c r="Q301"/>
  <c r="P302"/>
  <c r="R302" s="1"/>
  <c r="AG272" i="15" s="1"/>
  <c r="AK272" s="1"/>
  <c r="P303" i="14"/>
  <c r="Q304"/>
  <c r="P305"/>
  <c r="Q306"/>
  <c r="S306" s="1"/>
  <c r="AH276" i="15" s="1"/>
  <c r="AM276" s="1"/>
  <c r="Q307" i="14"/>
  <c r="U307" s="1"/>
  <c r="AJ277" i="15" s="1"/>
  <c r="AQ277" s="1"/>
  <c r="P308" i="14"/>
  <c r="Q309"/>
  <c r="P310"/>
  <c r="R310" s="1"/>
  <c r="AG280" i="15" s="1"/>
  <c r="AK280" s="1"/>
  <c r="P311" i="14"/>
  <c r="Q312"/>
  <c r="P313"/>
  <c r="Q314"/>
  <c r="S314" s="1"/>
  <c r="AH284" i="15" s="1"/>
  <c r="AM284" s="1"/>
  <c r="Q315" i="14"/>
  <c r="U315" s="1"/>
  <c r="AJ285" i="15" s="1"/>
  <c r="AQ285" s="1"/>
  <c r="P316" i="14"/>
  <c r="Q317"/>
  <c r="P318"/>
  <c r="R318"/>
  <c r="AG288" i="15" s="1"/>
  <c r="AK288" s="1"/>
  <c r="P319" i="14"/>
  <c r="Q320"/>
  <c r="P321"/>
  <c r="Q322"/>
  <c r="S322" s="1"/>
  <c r="AH292" i="15" s="1"/>
  <c r="AM292" s="1"/>
  <c r="Q323" i="14"/>
  <c r="U323" s="1"/>
  <c r="AJ293" i="15" s="1"/>
  <c r="AQ293" s="1"/>
  <c r="P324" i="14"/>
  <c r="Q325"/>
  <c r="P326"/>
  <c r="R326" s="1"/>
  <c r="AG296" i="15" s="1"/>
  <c r="AK296" s="1"/>
  <c r="P327" i="14"/>
  <c r="Q328"/>
  <c r="P329"/>
  <c r="Q330"/>
  <c r="S330"/>
  <c r="AH300" i="15" s="1"/>
  <c r="AM300" s="1"/>
  <c r="Q331" i="14"/>
  <c r="U331"/>
  <c r="AJ301" i="15" s="1"/>
  <c r="AQ301" s="1"/>
  <c r="P332" i="14"/>
  <c r="Q333"/>
  <c r="P334"/>
  <c r="R334" s="1"/>
  <c r="AG304" i="15" s="1"/>
  <c r="AK304" s="1"/>
  <c r="P335" i="14"/>
  <c r="Q336"/>
  <c r="W34"/>
  <c r="Y34"/>
  <c r="BE4" i="15" s="1"/>
  <c r="BI4" s="1"/>
  <c r="AD34" i="14"/>
  <c r="AF34"/>
  <c r="CB4" i="15" s="1"/>
  <c r="CF4" s="1"/>
  <c r="W35" i="14"/>
  <c r="Y35"/>
  <c r="BE5" i="15" s="1"/>
  <c r="BI5" s="1"/>
  <c r="AD35" i="14"/>
  <c r="W36"/>
  <c r="AD36"/>
  <c r="W37"/>
  <c r="Y37"/>
  <c r="BE7" i="15"/>
  <c r="AD37" i="14"/>
  <c r="W38"/>
  <c r="AD38"/>
  <c r="W39"/>
  <c r="Y39" s="1"/>
  <c r="BE9" i="15" s="1"/>
  <c r="BI9" s="1"/>
  <c r="AD39" i="14"/>
  <c r="W40"/>
  <c r="AD40"/>
  <c r="W41"/>
  <c r="Y41"/>
  <c r="BE11" i="15" s="1"/>
  <c r="BI11" s="1"/>
  <c r="AD41" i="14"/>
  <c r="W42"/>
  <c r="AD42"/>
  <c r="W43"/>
  <c r="Y43"/>
  <c r="BE13" i="15"/>
  <c r="BI13" s="1"/>
  <c r="AD43" i="14"/>
  <c r="W44"/>
  <c r="AD44"/>
  <c r="W45"/>
  <c r="Y45" s="1"/>
  <c r="BE15" i="15" s="1"/>
  <c r="BI15" s="1"/>
  <c r="AD45" i="14"/>
  <c r="W46"/>
  <c r="AD46"/>
  <c r="W47"/>
  <c r="Y47" s="1"/>
  <c r="BE17" i="15" s="1"/>
  <c r="BI17" s="1"/>
  <c r="AD47" i="14"/>
  <c r="W48"/>
  <c r="AD48"/>
  <c r="W49"/>
  <c r="Y49"/>
  <c r="BE19" i="15" s="1"/>
  <c r="BI19" s="1"/>
  <c r="AD49" i="14"/>
  <c r="W50"/>
  <c r="AD50"/>
  <c r="W51"/>
  <c r="Y51"/>
  <c r="BE21" i="15"/>
  <c r="BI21" s="1"/>
  <c r="AD51" i="14"/>
  <c r="W52"/>
  <c r="AD52"/>
  <c r="W53"/>
  <c r="Y53" s="1"/>
  <c r="BE23" i="15" s="1"/>
  <c r="BI23" s="1"/>
  <c r="AD53" i="14"/>
  <c r="W54"/>
  <c r="AD54"/>
  <c r="W55"/>
  <c r="Y55" s="1"/>
  <c r="BE25" i="15" s="1"/>
  <c r="BI25" s="1"/>
  <c r="AD55" i="14"/>
  <c r="W56"/>
  <c r="AD56"/>
  <c r="W57"/>
  <c r="Y57"/>
  <c r="BE27" i="15" s="1"/>
  <c r="BI27" s="1"/>
  <c r="AD57" i="14"/>
  <c r="W58"/>
  <c r="AD58"/>
  <c r="W59"/>
  <c r="Y59"/>
  <c r="BE29" i="15"/>
  <c r="BI29" s="1"/>
  <c r="AD59" i="14"/>
  <c r="W60"/>
  <c r="AD60"/>
  <c r="W61"/>
  <c r="Y61" s="1"/>
  <c r="BE31" i="15" s="1"/>
  <c r="BI31" s="1"/>
  <c r="AD61" i="14"/>
  <c r="W62"/>
  <c r="AD62"/>
  <c r="W63"/>
  <c r="Y63" s="1"/>
  <c r="BE33" i="15" s="1"/>
  <c r="BI33" s="1"/>
  <c r="AD63" i="14"/>
  <c r="W64"/>
  <c r="AD64"/>
  <c r="W65"/>
  <c r="Y65"/>
  <c r="BE35" i="15" s="1"/>
  <c r="BI35" s="1"/>
  <c r="AD65" i="14"/>
  <c r="W66"/>
  <c r="AD66"/>
  <c r="W67"/>
  <c r="Y67"/>
  <c r="BE37" i="15"/>
  <c r="BI37" s="1"/>
  <c r="AD67" i="14"/>
  <c r="W68"/>
  <c r="AD68"/>
  <c r="W69"/>
  <c r="Y69" s="1"/>
  <c r="BE39" i="15" s="1"/>
  <c r="BI39" s="1"/>
  <c r="AD69" i="14"/>
  <c r="W70"/>
  <c r="AD70"/>
  <c r="W71"/>
  <c r="Y71" s="1"/>
  <c r="BE41" i="15" s="1"/>
  <c r="BI41" s="1"/>
  <c r="AD71" i="14"/>
  <c r="W72"/>
  <c r="AD72"/>
  <c r="W73"/>
  <c r="Y73"/>
  <c r="BE43" i="15" s="1"/>
  <c r="BI43" s="1"/>
  <c r="AD73" i="14"/>
  <c r="W74"/>
  <c r="AD74"/>
  <c r="W75"/>
  <c r="Y75"/>
  <c r="BE45" i="15"/>
  <c r="BI45" s="1"/>
  <c r="AD75" i="14"/>
  <c r="AD76"/>
  <c r="AD77"/>
  <c r="W78"/>
  <c r="W79"/>
  <c r="Y79"/>
  <c r="BE49" i="15"/>
  <c r="BI49" s="1"/>
  <c r="AD80" i="14"/>
  <c r="AD81"/>
  <c r="W82"/>
  <c r="X83"/>
  <c r="AD83"/>
  <c r="AE85"/>
  <c r="W86"/>
  <c r="AE86"/>
  <c r="AE87"/>
  <c r="AG87" s="1"/>
  <c r="CC57" i="15" s="1"/>
  <c r="CH57" s="1"/>
  <c r="W89" i="14"/>
  <c r="AD89"/>
  <c r="W90"/>
  <c r="X91"/>
  <c r="AD91"/>
  <c r="AE93"/>
  <c r="W94"/>
  <c r="AE94"/>
  <c r="AE95"/>
  <c r="AG95" s="1"/>
  <c r="CC65" i="15" s="1"/>
  <c r="CH65" s="1"/>
  <c r="W97" i="14"/>
  <c r="AD97"/>
  <c r="W98"/>
  <c r="X99"/>
  <c r="AD99"/>
  <c r="N86" i="15"/>
  <c r="P88"/>
  <c r="N150"/>
  <c r="N262"/>
  <c r="R102"/>
  <c r="BK13"/>
  <c r="AK80"/>
  <c r="BK19"/>
  <c r="BI47"/>
  <c r="CF81"/>
  <c r="O46" i="18"/>
  <c r="X18" i="19" s="1"/>
  <c r="AC18" s="1"/>
  <c r="AD18" s="1"/>
  <c r="O56" i="18"/>
  <c r="X28" i="19" s="1"/>
  <c r="AC28" s="1"/>
  <c r="AD28" s="1"/>
  <c r="C25" i="18"/>
  <c r="O48"/>
  <c r="X20" i="19"/>
  <c r="AC20"/>
  <c r="AD20"/>
  <c r="O54" i="18"/>
  <c r="X26" i="19" s="1"/>
  <c r="AC26" s="1"/>
  <c r="AD26" s="1"/>
  <c r="G51" i="18"/>
  <c r="K23" i="19" s="1"/>
  <c r="P23" s="1"/>
  <c r="Q23" s="1"/>
  <c r="E45" i="18"/>
  <c r="G45" s="1"/>
  <c r="K17" i="19" s="1"/>
  <c r="P17" s="1"/>
  <c r="Q17" s="1"/>
  <c r="E62" i="18"/>
  <c r="G62"/>
  <c r="K34" i="19" s="1"/>
  <c r="P34" s="1"/>
  <c r="Q34" s="1"/>
  <c r="E43" i="18"/>
  <c r="G43" s="1"/>
  <c r="K15" i="19" s="1"/>
  <c r="P15" s="1"/>
  <c r="Q15" s="1"/>
  <c r="E55" i="18"/>
  <c r="G55" s="1"/>
  <c r="K27" i="19" s="1"/>
  <c r="P27" s="1"/>
  <c r="Q27" s="1"/>
  <c r="E41" i="18"/>
  <c r="G41" s="1"/>
  <c r="K13" i="19" s="1"/>
  <c r="P13" s="1"/>
  <c r="Q13" s="1"/>
  <c r="E39" i="18"/>
  <c r="G39"/>
  <c r="K11" i="19" s="1"/>
  <c r="P11" s="1"/>
  <c r="Q11" s="1"/>
  <c r="E53" i="18"/>
  <c r="G53" s="1"/>
  <c r="K25" i="19" s="1"/>
  <c r="P25" s="1"/>
  <c r="Q25" s="1"/>
  <c r="C17" i="18"/>
  <c r="E35"/>
  <c r="G35" s="1"/>
  <c r="K7" i="19" s="1"/>
  <c r="P7" s="1"/>
  <c r="Q7" s="1"/>
  <c r="E33" i="18"/>
  <c r="G33"/>
  <c r="K5" i="19" s="1"/>
  <c r="P5" s="1"/>
  <c r="Q5" s="1"/>
  <c r="E47" i="18"/>
  <c r="G47" s="1"/>
  <c r="K19" i="19" s="1"/>
  <c r="P19" s="1"/>
  <c r="Q19" s="1"/>
  <c r="E59" i="18"/>
  <c r="G59" s="1"/>
  <c r="K31" i="19" s="1"/>
  <c r="P31" s="1"/>
  <c r="Q31" s="1"/>
  <c r="E37" i="18"/>
  <c r="G37" s="1"/>
  <c r="K9" i="19" s="1"/>
  <c r="P9" s="1"/>
  <c r="Q9" s="1"/>
  <c r="E63" i="18"/>
  <c r="G63"/>
  <c r="K35" i="19" s="1"/>
  <c r="P35" s="1"/>
  <c r="Q35" s="1"/>
  <c r="E61" i="18"/>
  <c r="G61" s="1"/>
  <c r="K33" i="19" s="1"/>
  <c r="P33" s="1"/>
  <c r="Q33" s="1"/>
  <c r="E57" i="18"/>
  <c r="G57" s="1"/>
  <c r="K29" i="19" s="1"/>
  <c r="P29" s="1"/>
  <c r="Q29" s="1"/>
  <c r="E49" i="18"/>
  <c r="G49" s="1"/>
  <c r="K21" i="19" s="1"/>
  <c r="P21" s="1"/>
  <c r="Q21" s="1"/>
  <c r="M40" i="18"/>
  <c r="O40"/>
  <c r="X12" i="19" s="1"/>
  <c r="AC12" s="1"/>
  <c r="AD12" s="1"/>
  <c r="M62" i="18"/>
  <c r="O62" s="1"/>
  <c r="X34" i="19" s="1"/>
  <c r="AC34" s="1"/>
  <c r="AD34" s="1"/>
  <c r="M58" i="18"/>
  <c r="O58" s="1"/>
  <c r="X30" i="19" s="1"/>
  <c r="AC30" s="1"/>
  <c r="AD30" s="1"/>
  <c r="M38" i="18"/>
  <c r="O38" s="1"/>
  <c r="X10" i="19" s="1"/>
  <c r="AC10" s="1"/>
  <c r="AD10" s="1"/>
  <c r="M36" i="18"/>
  <c r="O36"/>
  <c r="X8" i="19" s="1"/>
  <c r="AC8" s="1"/>
  <c r="AD8" s="1"/>
  <c r="M44" i="18"/>
  <c r="O44" s="1"/>
  <c r="X16" i="19" s="1"/>
  <c r="AC16" s="1"/>
  <c r="AD16" s="1"/>
  <c r="M52" i="18"/>
  <c r="O52" s="1"/>
  <c r="X24" i="19" s="1"/>
  <c r="AC24" s="1"/>
  <c r="AD24" s="1"/>
  <c r="M60" i="18"/>
  <c r="O60" s="1"/>
  <c r="X32" i="19" s="1"/>
  <c r="AC32" s="1"/>
  <c r="AD32" s="1"/>
  <c r="M34" i="18"/>
  <c r="O34"/>
  <c r="X6" i="19" s="1"/>
  <c r="AC6" s="1"/>
  <c r="AD6" s="1"/>
  <c r="M42" i="18"/>
  <c r="O42" s="1"/>
  <c r="X14" i="19" s="1"/>
  <c r="AC14" s="1"/>
  <c r="AD14" s="1"/>
  <c r="M50" i="18"/>
  <c r="O50" s="1"/>
  <c r="X22" i="19" s="1"/>
  <c r="AC22" s="1"/>
  <c r="AD22" s="1"/>
  <c r="Q63" i="18"/>
  <c r="Z35" i="19" s="1"/>
  <c r="AG35" s="1"/>
  <c r="AH35" s="1"/>
  <c r="O63" i="18"/>
  <c r="X35" i="19" s="1"/>
  <c r="AC35" s="1"/>
  <c r="AD35" s="1"/>
  <c r="Q32" i="18"/>
  <c r="Z4" i="19" s="1"/>
  <c r="AG4" s="1"/>
  <c r="AH4" s="1"/>
  <c r="M33" i="18"/>
  <c r="M35"/>
  <c r="M37"/>
  <c r="M39"/>
  <c r="M41"/>
  <c r="M43"/>
  <c r="M45"/>
  <c r="Q46"/>
  <c r="Z18" i="19" s="1"/>
  <c r="AG18" s="1"/>
  <c r="AH18" s="1"/>
  <c r="M47" i="18"/>
  <c r="Q48"/>
  <c r="Z20" i="19" s="1"/>
  <c r="AG20" s="1"/>
  <c r="AH20" s="1"/>
  <c r="M49" i="18"/>
  <c r="M51"/>
  <c r="M53"/>
  <c r="Q54"/>
  <c r="Z26" i="19" s="1"/>
  <c r="AG26" s="1"/>
  <c r="AH26" s="1"/>
  <c r="M55" i="18"/>
  <c r="Q56"/>
  <c r="Z28" i="19" s="1"/>
  <c r="AG28" s="1"/>
  <c r="AH28" s="1"/>
  <c r="M57" i="18"/>
  <c r="M59"/>
  <c r="M61"/>
  <c r="E32"/>
  <c r="O32"/>
  <c r="X4" i="19" s="1"/>
  <c r="AC4" s="1"/>
  <c r="AD4" s="1"/>
  <c r="E34" i="18"/>
  <c r="E36"/>
  <c r="E38"/>
  <c r="E40"/>
  <c r="E42"/>
  <c r="E44"/>
  <c r="E46"/>
  <c r="E48"/>
  <c r="E50"/>
  <c r="I51"/>
  <c r="M23" i="19"/>
  <c r="T23" s="1"/>
  <c r="U23" s="1"/>
  <c r="E52" i="18"/>
  <c r="E54"/>
  <c r="E56"/>
  <c r="E58"/>
  <c r="E60"/>
  <c r="BM218" i="15"/>
  <c r="R90"/>
  <c r="BK5"/>
  <c r="BK23"/>
  <c r="BK64"/>
  <c r="BM258"/>
  <c r="BM250"/>
  <c r="P7"/>
  <c r="P39"/>
  <c r="P55"/>
  <c r="P63"/>
  <c r="P87"/>
  <c r="P95"/>
  <c r="P127"/>
  <c r="P151"/>
  <c r="N46"/>
  <c r="N54"/>
  <c r="N70"/>
  <c r="N118"/>
  <c r="N158"/>
  <c r="CH92"/>
  <c r="BK31"/>
  <c r="BM226"/>
  <c r="AK64"/>
  <c r="P111"/>
  <c r="N6"/>
  <c r="BI51"/>
  <c r="N62"/>
  <c r="N78"/>
  <c r="N94"/>
  <c r="N110"/>
  <c r="N126"/>
  <c r="N182"/>
  <c r="N230"/>
  <c r="N278"/>
  <c r="T9"/>
  <c r="T33"/>
  <c r="BK107"/>
  <c r="BK21"/>
  <c r="BK39"/>
  <c r="CH188"/>
  <c r="BK99"/>
  <c r="R142"/>
  <c r="R190"/>
  <c r="R286"/>
  <c r="AM208"/>
  <c r="AM296"/>
  <c r="AM272"/>
  <c r="AM288"/>
  <c r="CF65"/>
  <c r="CH228"/>
  <c r="T5"/>
  <c r="BK11"/>
  <c r="BK67"/>
  <c r="N18"/>
  <c r="P19"/>
  <c r="AM280"/>
  <c r="BK7"/>
  <c r="BK15"/>
  <c r="BM62"/>
  <c r="BM298"/>
  <c r="BK43"/>
  <c r="CH81"/>
  <c r="CF92"/>
  <c r="BM70"/>
  <c r="BM234"/>
  <c r="BM266"/>
  <c r="CH187"/>
  <c r="CH220"/>
  <c r="BK35"/>
  <c r="BI7"/>
  <c r="CF66"/>
  <c r="BK27"/>
  <c r="BK96"/>
  <c r="CH52"/>
  <c r="CF60"/>
  <c r="CF68"/>
  <c r="CH68"/>
  <c r="CH76"/>
  <c r="CH251"/>
  <c r="BK25"/>
  <c r="BK45"/>
  <c r="BK49"/>
  <c r="CF183"/>
  <c r="CH284"/>
  <c r="CH252"/>
  <c r="CH227"/>
  <c r="CH259"/>
  <c r="CH204"/>
  <c r="CH236"/>
  <c r="CH268"/>
  <c r="CH300"/>
  <c r="CH235"/>
  <c r="CH267"/>
  <c r="P80"/>
  <c r="P71"/>
  <c r="P143"/>
  <c r="P27"/>
  <c r="P15"/>
  <c r="P31"/>
  <c r="P24"/>
  <c r="P115"/>
  <c r="P131"/>
  <c r="N154"/>
  <c r="N210"/>
  <c r="AK128"/>
  <c r="P32"/>
  <c r="P119"/>
  <c r="N194"/>
  <c r="N202"/>
  <c r="R98"/>
  <c r="AM232"/>
  <c r="R198"/>
  <c r="R214"/>
  <c r="R238"/>
  <c r="AK72"/>
  <c r="AK136"/>
  <c r="AM216"/>
  <c r="N134"/>
  <c r="N206"/>
  <c r="N222"/>
  <c r="N270"/>
  <c r="N302"/>
  <c r="AM248"/>
  <c r="AK68"/>
  <c r="AK88"/>
  <c r="AM304"/>
  <c r="N254"/>
  <c r="AK44"/>
  <c r="AK60"/>
  <c r="AK100"/>
  <c r="AK56"/>
  <c r="AK108"/>
  <c r="AK164"/>
  <c r="AM224"/>
  <c r="AM240"/>
  <c r="AK92"/>
  <c r="AM256"/>
  <c r="AK220"/>
  <c r="AM264"/>
  <c r="AK112"/>
  <c r="AK104"/>
  <c r="AK192"/>
  <c r="AK144"/>
  <c r="AK152"/>
  <c r="AK160"/>
  <c r="AK168"/>
  <c r="AK176"/>
  <c r="AK184"/>
  <c r="AK8"/>
  <c r="AK16"/>
  <c r="AK24"/>
  <c r="AK32"/>
  <c r="AK40"/>
  <c r="AK48"/>
  <c r="AK120"/>
  <c r="AK96"/>
  <c r="AK200"/>
  <c r="AQ209"/>
  <c r="AQ217"/>
  <c r="AQ225"/>
  <c r="AQ233"/>
  <c r="AQ241"/>
  <c r="AQ249"/>
  <c r="AQ257"/>
  <c r="AQ265"/>
  <c r="AQ273"/>
  <c r="AQ281"/>
  <c r="AQ289"/>
  <c r="AQ297"/>
  <c r="AQ305"/>
  <c r="I53"/>
  <c r="I163"/>
  <c r="I42"/>
  <c r="I63"/>
  <c r="I182"/>
  <c r="I185"/>
  <c r="I188"/>
  <c r="I47"/>
  <c r="I50"/>
  <c r="I152"/>
  <c r="I30"/>
  <c r="I33"/>
  <c r="I101"/>
  <c r="I17"/>
  <c r="I54"/>
  <c r="I204"/>
  <c r="I21"/>
  <c r="I64"/>
  <c r="I70"/>
  <c r="I95"/>
  <c r="I98"/>
  <c r="I180"/>
  <c r="I5"/>
  <c r="I19"/>
  <c r="I35"/>
  <c r="I38"/>
  <c r="I55"/>
  <c r="I89"/>
  <c r="I92"/>
  <c r="I177"/>
  <c r="I193"/>
  <c r="I196"/>
  <c r="I39"/>
  <c r="I52"/>
  <c r="I56"/>
  <c r="I59"/>
  <c r="I81"/>
  <c r="I84"/>
  <c r="I178"/>
  <c r="I27"/>
  <c r="I67"/>
  <c r="I78"/>
  <c r="I91"/>
  <c r="I184"/>
  <c r="I197"/>
  <c r="I200"/>
  <c r="I203"/>
  <c r="I157"/>
  <c r="I186"/>
  <c r="I48"/>
  <c r="I69"/>
  <c r="I76"/>
  <c r="I80"/>
  <c r="I94"/>
  <c r="I104"/>
  <c r="I164"/>
  <c r="I173"/>
  <c r="I176"/>
  <c r="I34"/>
  <c r="I60"/>
  <c r="I61"/>
  <c r="I86"/>
  <c r="I93"/>
  <c r="I99"/>
  <c r="I106"/>
  <c r="I107"/>
  <c r="I165"/>
  <c r="I11"/>
  <c r="I36"/>
  <c r="I51"/>
  <c r="I57"/>
  <c r="I68"/>
  <c r="I149"/>
  <c r="I150"/>
  <c r="I154"/>
  <c r="I155"/>
  <c r="I159"/>
  <c r="I187"/>
  <c r="I167"/>
  <c r="I189"/>
  <c r="I195"/>
  <c r="I201"/>
  <c r="I37"/>
  <c r="I49"/>
  <c r="I58"/>
  <c r="I71"/>
  <c r="I25"/>
  <c r="I65"/>
  <c r="I66"/>
  <c r="I151"/>
  <c r="I161"/>
  <c r="I162"/>
  <c r="I183"/>
  <c r="I192"/>
  <c r="I85"/>
  <c r="I113"/>
  <c r="I179"/>
  <c r="I171"/>
  <c r="I153"/>
  <c r="I168"/>
  <c r="I172"/>
  <c r="I181"/>
  <c r="I202"/>
  <c r="I158"/>
  <c r="I62"/>
  <c r="I175"/>
  <c r="I191"/>
  <c r="I32"/>
  <c r="I102"/>
  <c r="I40"/>
  <c r="I45"/>
  <c r="I77"/>
  <c r="I82"/>
  <c r="I147"/>
  <c r="I170"/>
  <c r="I44"/>
  <c r="I73"/>
  <c r="I74"/>
  <c r="I79"/>
  <c r="I83"/>
  <c r="I174"/>
  <c r="I115"/>
  <c r="I117"/>
  <c r="I126"/>
  <c r="I88"/>
  <c r="I143"/>
  <c r="I100"/>
  <c r="I129"/>
  <c r="I127"/>
  <c r="I142"/>
  <c r="I145"/>
  <c r="I96"/>
  <c r="I122"/>
  <c r="I138"/>
  <c r="I112"/>
  <c r="I133"/>
  <c r="I194"/>
  <c r="I137"/>
  <c r="I111"/>
  <c r="I116"/>
  <c r="I130"/>
  <c r="I146"/>
  <c r="I198"/>
  <c r="I207"/>
  <c r="I125"/>
  <c r="I141"/>
  <c r="I199"/>
  <c r="I121"/>
  <c r="I134"/>
  <c r="I148"/>
  <c r="I211"/>
  <c r="I215"/>
  <c r="I219"/>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AF329" i="14"/>
  <c r="CB299" i="15" s="1"/>
  <c r="CF299" s="1"/>
  <c r="AH329" i="14"/>
  <c r="CD299" i="15"/>
  <c r="CJ299" s="1"/>
  <c r="AF271" i="14"/>
  <c r="CB241" i="15"/>
  <c r="CF241"/>
  <c r="AH271" i="14"/>
  <c r="CD241" i="15"/>
  <c r="CJ241"/>
  <c r="AF287" i="14"/>
  <c r="CB257" i="15" s="1"/>
  <c r="CF257" s="1"/>
  <c r="AH287" i="14"/>
  <c r="CD257" i="15" s="1"/>
  <c r="CJ257" s="1"/>
  <c r="AB35" i="14"/>
  <c r="BH5" i="15"/>
  <c r="BO5" s="1"/>
  <c r="AB37" i="14"/>
  <c r="BH7" i="15"/>
  <c r="BO7"/>
  <c r="AB39" i="14"/>
  <c r="BH9" i="15" s="1"/>
  <c r="BO9" s="1"/>
  <c r="AB41" i="14"/>
  <c r="BH11" i="15" s="1"/>
  <c r="BO11" s="1"/>
  <c r="AB45" i="14"/>
  <c r="BH15" i="15"/>
  <c r="BO15" s="1"/>
  <c r="AB49" i="14"/>
  <c r="BH19" i="15" s="1"/>
  <c r="BO19" s="1"/>
  <c r="AB51" i="14"/>
  <c r="BH21" i="15" s="1"/>
  <c r="BO21" s="1"/>
  <c r="AB53" i="14"/>
  <c r="BH23" i="15" s="1"/>
  <c r="BO23" s="1"/>
  <c r="AB55" i="14"/>
  <c r="BH25" i="15"/>
  <c r="BO25" s="1"/>
  <c r="AB57" i="14"/>
  <c r="BH27" i="15" s="1"/>
  <c r="BO27" s="1"/>
  <c r="AB61" i="14"/>
  <c r="BH31" i="15" s="1"/>
  <c r="BO31" s="1"/>
  <c r="AB65" i="14"/>
  <c r="BH35" i="15" s="1"/>
  <c r="BO35" s="1"/>
  <c r="AB67" i="14"/>
  <c r="BH37" i="15"/>
  <c r="BO37" s="1"/>
  <c r="AB69" i="14"/>
  <c r="BH39" i="15"/>
  <c r="BO39"/>
  <c r="AB71" i="14"/>
  <c r="BH41" i="15" s="1"/>
  <c r="BO41" s="1"/>
  <c r="AB73" i="14"/>
  <c r="BH43" i="15" s="1"/>
  <c r="BO43" s="1"/>
  <c r="AB79" i="14"/>
  <c r="BH49" i="15"/>
  <c r="BO49" s="1"/>
  <c r="AI82" i="14"/>
  <c r="CE52" i="15" s="1"/>
  <c r="CL52" s="1"/>
  <c r="AB89" i="14"/>
  <c r="BH59" i="15" s="1"/>
  <c r="BO59" s="1"/>
  <c r="AB97" i="14"/>
  <c r="BH67" i="15" s="1"/>
  <c r="BO67" s="1"/>
  <c r="AI98" i="14"/>
  <c r="CE68" i="15"/>
  <c r="CL68" s="1"/>
  <c r="AI106" i="14"/>
  <c r="CE76" i="15" s="1"/>
  <c r="CL76" s="1"/>
  <c r="AI114" i="14"/>
  <c r="CE84" i="15" s="1"/>
  <c r="CL84" s="1"/>
  <c r="AB121" i="14"/>
  <c r="BH91" i="15" s="1"/>
  <c r="BO91" s="1"/>
  <c r="AI122" i="14"/>
  <c r="CE92" i="15"/>
  <c r="CL92" s="1"/>
  <c r="AI130" i="14"/>
  <c r="CE100" i="15" s="1"/>
  <c r="CL100" s="1"/>
  <c r="AB137" i="14"/>
  <c r="BH107" i="15" s="1"/>
  <c r="BO107" s="1"/>
  <c r="AF233" i="14"/>
  <c r="CB203" i="15" s="1"/>
  <c r="CF203" s="1"/>
  <c r="AH233" i="14"/>
  <c r="CD203" i="15"/>
  <c r="CJ203" s="1"/>
  <c r="AF223" i="14"/>
  <c r="CB193" i="15" s="1"/>
  <c r="CF193" s="1"/>
  <c r="AH223" i="14"/>
  <c r="CD193" i="15" s="1"/>
  <c r="CJ193" s="1"/>
  <c r="AF239" i="14"/>
  <c r="CB209" i="15" s="1"/>
  <c r="CF209" s="1"/>
  <c r="AH239" i="14"/>
  <c r="CD209" i="15"/>
  <c r="CJ209" s="1"/>
  <c r="AF255" i="14"/>
  <c r="CB225" i="15" s="1"/>
  <c r="CF225" s="1"/>
  <c r="AH255" i="14"/>
  <c r="CD225" i="15" s="1"/>
  <c r="CJ225" s="1"/>
  <c r="AF221" i="14"/>
  <c r="CB191" i="15" s="1"/>
  <c r="CF191" s="1"/>
  <c r="AH221" i="14"/>
  <c r="CD191" i="15"/>
  <c r="CJ191" s="1"/>
  <c r="AF229" i="14"/>
  <c r="CB199" i="15" s="1"/>
  <c r="CF199" s="1"/>
  <c r="AH229" i="14"/>
  <c r="CD199" i="15" s="1"/>
  <c r="CJ199" s="1"/>
  <c r="AF237" i="14"/>
  <c r="CB207" i="15" s="1"/>
  <c r="CF207" s="1"/>
  <c r="AH237" i="14"/>
  <c r="CD207" i="15"/>
  <c r="CJ207" s="1"/>
  <c r="AF245" i="14"/>
  <c r="CB215" i="15" s="1"/>
  <c r="CF215" s="1"/>
  <c r="AH245" i="14"/>
  <c r="CD215" i="15" s="1"/>
  <c r="CJ215" s="1"/>
  <c r="AF253" i="14"/>
  <c r="CB223" i="15" s="1"/>
  <c r="CF223" s="1"/>
  <c r="AH253" i="14"/>
  <c r="CD223" i="15"/>
  <c r="CJ223" s="1"/>
  <c r="AF261" i="14"/>
  <c r="CB231" i="15" s="1"/>
  <c r="CF231" s="1"/>
  <c r="AH261" i="14"/>
  <c r="CD231" i="15" s="1"/>
  <c r="CJ231" s="1"/>
  <c r="AF269" i="14"/>
  <c r="CB239" i="15" s="1"/>
  <c r="CF239" s="1"/>
  <c r="AH269" i="14"/>
  <c r="CD239" i="15"/>
  <c r="CJ239" s="1"/>
  <c r="AF277" i="14"/>
  <c r="CB247" i="15" s="1"/>
  <c r="CF247" s="1"/>
  <c r="AH277" i="14"/>
  <c r="CD247" i="15" s="1"/>
  <c r="CJ247" s="1"/>
  <c r="AF285" i="14"/>
  <c r="CB255" i="15" s="1"/>
  <c r="CF255" s="1"/>
  <c r="AH285" i="14"/>
  <c r="CD255" i="15"/>
  <c r="CJ255" s="1"/>
  <c r="AF293" i="14"/>
  <c r="CB263" i="15" s="1"/>
  <c r="CF263" s="1"/>
  <c r="AH293" i="14"/>
  <c r="CD263" i="15" s="1"/>
  <c r="CJ263" s="1"/>
  <c r="AF301" i="14"/>
  <c r="CB271" i="15" s="1"/>
  <c r="CF271" s="1"/>
  <c r="AH301" i="14"/>
  <c r="CD271" i="15"/>
  <c r="CJ271" s="1"/>
  <c r="AF309" i="14"/>
  <c r="CB279" i="15" s="1"/>
  <c r="CF279" s="1"/>
  <c r="AH309" i="14"/>
  <c r="CD279" i="15" s="1"/>
  <c r="CJ279" s="1"/>
  <c r="AF317" i="14"/>
  <c r="CB287" i="15" s="1"/>
  <c r="CF287" s="1"/>
  <c r="AH317" i="14"/>
  <c r="CD287" i="15"/>
  <c r="CJ287" s="1"/>
  <c r="AF325" i="14"/>
  <c r="CB295" i="15" s="1"/>
  <c r="CF295" s="1"/>
  <c r="AH325" i="14"/>
  <c r="CD295" i="15" s="1"/>
  <c r="CJ295" s="1"/>
  <c r="AF333" i="14"/>
  <c r="CB303" i="15" s="1"/>
  <c r="CF303" s="1"/>
  <c r="AH333" i="14"/>
  <c r="CD303" i="15"/>
  <c r="CJ303" s="1"/>
  <c r="AA41" i="14"/>
  <c r="BG11" i="15" s="1"/>
  <c r="BM11" s="1"/>
  <c r="AA77" i="14"/>
  <c r="BG47" i="15" s="1"/>
  <c r="BM47" s="1"/>
  <c r="AA81" i="14"/>
  <c r="BG51" i="15" s="1"/>
  <c r="BM51" s="1"/>
  <c r="AH90" i="14"/>
  <c r="CD60" i="15"/>
  <c r="CJ60" s="1"/>
  <c r="AH98" i="14"/>
  <c r="CD68" i="15" s="1"/>
  <c r="CJ68" s="1"/>
  <c r="AI119" i="14"/>
  <c r="CE89" i="15" s="1"/>
  <c r="CL89" s="1"/>
  <c r="AH122" i="14"/>
  <c r="CD92" i="15" s="1"/>
  <c r="CJ92" s="1"/>
  <c r="AH138" i="14"/>
  <c r="CD108" i="15"/>
  <c r="CJ108" s="1"/>
  <c r="AF265" i="14"/>
  <c r="CB235" i="15" s="1"/>
  <c r="CF235" s="1"/>
  <c r="AH265" i="14"/>
  <c r="CD235" i="15" s="1"/>
  <c r="CJ235" s="1"/>
  <c r="AF335" i="14"/>
  <c r="CB305" i="15" s="1"/>
  <c r="CF305" s="1"/>
  <c r="AH335" i="14"/>
  <c r="CD305" i="15"/>
  <c r="CJ305" s="1"/>
  <c r="Y92" i="14"/>
  <c r="BE62" i="15" s="1"/>
  <c r="BI62" s="1"/>
  <c r="AB94" i="14"/>
  <c r="BH64" i="15" s="1"/>
  <c r="BO64" s="1"/>
  <c r="AH95" i="14"/>
  <c r="CD65" i="15" s="1"/>
  <c r="CJ65" s="1"/>
  <c r="Y100" i="14"/>
  <c r="BE70" i="15"/>
  <c r="BI70" s="1"/>
  <c r="AH111" i="14"/>
  <c r="CD81" i="15" s="1"/>
  <c r="CJ81" s="1"/>
  <c r="AB118" i="14"/>
  <c r="BH88" i="15" s="1"/>
  <c r="BO88" s="1"/>
  <c r="Y124" i="14"/>
  <c r="BE94" i="15" s="1"/>
  <c r="BI94" s="1"/>
  <c r="AH135" i="14"/>
  <c r="CD105" i="15"/>
  <c r="CJ105"/>
  <c r="Y140" i="14"/>
  <c r="BE110" i="15"/>
  <c r="BI110" s="1"/>
  <c r="AH213" i="14"/>
  <c r="CD183" i="15" s="1"/>
  <c r="CJ183" s="1"/>
  <c r="AI218" i="14"/>
  <c r="CE188" i="15"/>
  <c r="CL188" s="1"/>
  <c r="AI234" i="14"/>
  <c r="CE204" i="15" s="1"/>
  <c r="CL204" s="1"/>
  <c r="Y240" i="14"/>
  <c r="BE210" i="15"/>
  <c r="BI210" s="1"/>
  <c r="Y248" i="14"/>
  <c r="BE218" i="15" s="1"/>
  <c r="BI218" s="1"/>
  <c r="AI250" i="14"/>
  <c r="CE220" i="15"/>
  <c r="CL220" s="1"/>
  <c r="AI266" i="14"/>
  <c r="CE236" i="15" s="1"/>
  <c r="CL236" s="1"/>
  <c r="Y272" i="14"/>
  <c r="BE242" i="15"/>
  <c r="BI242" s="1"/>
  <c r="Y280" i="14"/>
  <c r="BE250" i="15" s="1"/>
  <c r="BI250" s="1"/>
  <c r="AI282" i="14"/>
  <c r="CE252" i="15"/>
  <c r="CL252" s="1"/>
  <c r="AI298" i="14"/>
  <c r="CE268" i="15" s="1"/>
  <c r="CL268" s="1"/>
  <c r="Y304" i="14"/>
  <c r="BE274" i="15"/>
  <c r="BI274" s="1"/>
  <c r="Y312" i="14"/>
  <c r="BE282" i="15" s="1"/>
  <c r="BI282" s="1"/>
  <c r="AI314" i="14"/>
  <c r="CE284" i="15"/>
  <c r="CL284" s="1"/>
  <c r="AI330" i="14"/>
  <c r="CE300" i="15" s="1"/>
  <c r="CL300" s="1"/>
  <c r="Y336" i="14"/>
  <c r="BE306" i="15"/>
  <c r="BI306" s="1"/>
  <c r="AF303" i="14"/>
  <c r="CB273" i="15" s="1"/>
  <c r="CF273" s="1"/>
  <c r="AH303" i="14"/>
  <c r="CD273" i="15"/>
  <c r="CJ273" s="1"/>
  <c r="AF319" i="14"/>
  <c r="CB289" i="15" s="1"/>
  <c r="CF289" s="1"/>
  <c r="AH319" i="14"/>
  <c r="CD289" i="15"/>
  <c r="CJ289" s="1"/>
  <c r="AF227" i="14"/>
  <c r="CB197" i="15" s="1"/>
  <c r="CF197" s="1"/>
  <c r="AH227" i="14"/>
  <c r="CD197" i="15"/>
  <c r="CJ197" s="1"/>
  <c r="AF243" i="14"/>
  <c r="CB213" i="15" s="1"/>
  <c r="CF213" s="1"/>
  <c r="AH243" i="14"/>
  <c r="CD213" i="15"/>
  <c r="CJ213" s="1"/>
  <c r="AF251" i="14"/>
  <c r="CB221" i="15" s="1"/>
  <c r="CF221" s="1"/>
  <c r="AF259" i="14"/>
  <c r="CB229" i="15"/>
  <c r="CF229" s="1"/>
  <c r="AH259" i="14"/>
  <c r="CD229" i="15" s="1"/>
  <c r="CJ229" s="1"/>
  <c r="AF275" i="14"/>
  <c r="CB245" i="15"/>
  <c r="CF245" s="1"/>
  <c r="AH275" i="14"/>
  <c r="CD245" i="15" s="1"/>
  <c r="CJ245" s="1"/>
  <c r="AF291" i="14"/>
  <c r="CB261" i="15"/>
  <c r="CF261" s="1"/>
  <c r="AH291" i="14"/>
  <c r="CD261" i="15" s="1"/>
  <c r="CJ261" s="1"/>
  <c r="AF307" i="14"/>
  <c r="CB277" i="15"/>
  <c r="CF277" s="1"/>
  <c r="AH307" i="14"/>
  <c r="CD277" i="15" s="1"/>
  <c r="CJ277" s="1"/>
  <c r="AF323" i="14"/>
  <c r="CB293" i="15"/>
  <c r="CF293" s="1"/>
  <c r="AH323" i="14"/>
  <c r="CD293" i="15" s="1"/>
  <c r="CJ293" s="1"/>
  <c r="AI217" i="14"/>
  <c r="CE187" i="15"/>
  <c r="CL187" s="1"/>
  <c r="AI233" i="14"/>
  <c r="CE203" i="15" s="1"/>
  <c r="CL203" s="1"/>
  <c r="AI249" i="14"/>
  <c r="CE219" i="15"/>
  <c r="CL219" s="1"/>
  <c r="AI289" i="14"/>
  <c r="CE259" i="15" s="1"/>
  <c r="CL259" s="1"/>
  <c r="AI297" i="14"/>
  <c r="CE267" i="15"/>
  <c r="CL267" s="1"/>
  <c r="AI34" i="14"/>
  <c r="CE4" i="15" s="1"/>
  <c r="CL4" s="1"/>
  <c r="S59" i="14"/>
  <c r="AH29" i="15"/>
  <c r="AM29" s="1"/>
  <c r="S87" i="14"/>
  <c r="AH57" i="15" s="1"/>
  <c r="AM57" s="1"/>
  <c r="S111" i="14"/>
  <c r="AH81" i="15"/>
  <c r="AM81" s="1"/>
  <c r="S135" i="14"/>
  <c r="AH105" i="15" s="1"/>
  <c r="AM105" s="1"/>
  <c r="S159" i="14"/>
  <c r="AH129" i="15"/>
  <c r="AM129" s="1"/>
  <c r="S187" i="14"/>
  <c r="AH157" i="15" s="1"/>
  <c r="AM157" s="1"/>
  <c r="S215" i="14"/>
  <c r="AH185" i="15"/>
  <c r="AM185" s="1"/>
  <c r="S239" i="14"/>
  <c r="AH209" i="15" s="1"/>
  <c r="AM209" s="1"/>
  <c r="S247" i="14"/>
  <c r="AH217" i="15"/>
  <c r="AM217" s="1"/>
  <c r="S255" i="14"/>
  <c r="AH225" i="15" s="1"/>
  <c r="AM225" s="1"/>
  <c r="S263" i="14"/>
  <c r="AH233" i="15"/>
  <c r="AM233" s="1"/>
  <c r="S271" i="14"/>
  <c r="AH241" i="15" s="1"/>
  <c r="AM241" s="1"/>
  <c r="S279" i="14"/>
  <c r="AH249" i="15"/>
  <c r="AM249" s="1"/>
  <c r="S287" i="14"/>
  <c r="AH257" i="15" s="1"/>
  <c r="AM257" s="1"/>
  <c r="S295" i="14"/>
  <c r="AH265" i="15"/>
  <c r="AM265" s="1"/>
  <c r="S303" i="14"/>
  <c r="AH273" i="15" s="1"/>
  <c r="AM273" s="1"/>
  <c r="S311" i="14"/>
  <c r="AH281" i="15"/>
  <c r="AM281" s="1"/>
  <c r="S315" i="14"/>
  <c r="AH285" i="15" s="1"/>
  <c r="AM285" s="1"/>
  <c r="S319" i="14"/>
  <c r="AH289" i="15"/>
  <c r="AM289" s="1"/>
  <c r="S327" i="14"/>
  <c r="AH297" i="15" s="1"/>
  <c r="AM297" s="1"/>
  <c r="S335" i="14"/>
  <c r="AH305" i="15"/>
  <c r="AM305" s="1"/>
  <c r="U38" i="14"/>
  <c r="AJ8" i="15" s="1"/>
  <c r="AQ8" s="1"/>
  <c r="U42" i="14"/>
  <c r="AJ12" i="15"/>
  <c r="AQ12" s="1"/>
  <c r="U46" i="14"/>
  <c r="AJ16" i="15" s="1"/>
  <c r="AQ16" s="1"/>
  <c r="U62" i="14"/>
  <c r="AJ32" i="15"/>
  <c r="AQ32" s="1"/>
  <c r="U70" i="14"/>
  <c r="AJ40" i="15" s="1"/>
  <c r="AQ40" s="1"/>
  <c r="U74" i="14"/>
  <c r="AJ44" i="15"/>
  <c r="AQ44" s="1"/>
  <c r="U86" i="14"/>
  <c r="AJ56" i="15" s="1"/>
  <c r="AQ56" s="1"/>
  <c r="U94" i="14"/>
  <c r="AJ64" i="15"/>
  <c r="AQ64" s="1"/>
  <c r="U102" i="14"/>
  <c r="AJ72" i="15" s="1"/>
  <c r="AQ72" s="1"/>
  <c r="U110" i="14"/>
  <c r="AJ80" i="15"/>
  <c r="AQ80" s="1"/>
  <c r="U118" i="14"/>
  <c r="AJ88" i="15" s="1"/>
  <c r="AQ88" s="1"/>
  <c r="U126" i="14"/>
  <c r="AJ96" i="15"/>
  <c r="AQ96" s="1"/>
  <c r="U138" i="14"/>
  <c r="AJ108" i="15" s="1"/>
  <c r="AQ108" s="1"/>
  <c r="U142" i="14"/>
  <c r="AJ112" i="15"/>
  <c r="AQ112" s="1"/>
  <c r="U150" i="14"/>
  <c r="AJ120" i="15" s="1"/>
  <c r="AQ120" s="1"/>
  <c r="U166" i="14"/>
  <c r="AJ136" i="15"/>
  <c r="AQ136" s="1"/>
  <c r="U170" i="14"/>
  <c r="AJ140" i="15" s="1"/>
  <c r="AQ140" s="1"/>
  <c r="U174" i="14"/>
  <c r="AJ144" i="15"/>
  <c r="AQ144" s="1"/>
  <c r="U190" i="14"/>
  <c r="AJ160" i="15" s="1"/>
  <c r="AQ160" s="1"/>
  <c r="U206" i="14"/>
  <c r="AJ176" i="15"/>
  <c r="AQ176" s="1"/>
  <c r="U230" i="14"/>
  <c r="AJ200" i="15" s="1"/>
  <c r="AQ200" s="1"/>
  <c r="U238" i="14"/>
  <c r="AJ208" i="15"/>
  <c r="AQ208" s="1"/>
  <c r="U246" i="14"/>
  <c r="AJ216" i="15" s="1"/>
  <c r="AQ216" s="1"/>
  <c r="U254" i="14"/>
  <c r="AJ224" i="15"/>
  <c r="AQ224" s="1"/>
  <c r="U262" i="14"/>
  <c r="AJ232" i="15" s="1"/>
  <c r="AQ232" s="1"/>
  <c r="U270" i="14"/>
  <c r="AJ240" i="15"/>
  <c r="AQ240" s="1"/>
  <c r="U278" i="14"/>
  <c r="AJ248" i="15" s="1"/>
  <c r="AQ248" s="1"/>
  <c r="U286" i="14"/>
  <c r="AJ256" i="15"/>
  <c r="AQ256" s="1"/>
  <c r="U294" i="14"/>
  <c r="AJ264" i="15" s="1"/>
  <c r="AQ264" s="1"/>
  <c r="U298" i="14"/>
  <c r="AJ268" i="15"/>
  <c r="AQ268" s="1"/>
  <c r="U302" i="14"/>
  <c r="AJ272" i="15" s="1"/>
  <c r="AQ272" s="1"/>
  <c r="U310" i="14"/>
  <c r="AJ280" i="15"/>
  <c r="AQ280" s="1"/>
  <c r="U318" i="14"/>
  <c r="AJ288" i="15" s="1"/>
  <c r="AQ288" s="1"/>
  <c r="U326" i="14"/>
  <c r="AJ296" i="15"/>
  <c r="AQ296" s="1"/>
  <c r="U334" i="14"/>
  <c r="AJ304" i="15" s="1"/>
  <c r="AQ304" s="1"/>
  <c r="T42" i="14"/>
  <c r="AI12" i="15"/>
  <c r="AO12" s="1"/>
  <c r="T54" i="14"/>
  <c r="AI24" i="15" s="1"/>
  <c r="AO24" s="1"/>
  <c r="T62" i="14"/>
  <c r="AI32" i="15"/>
  <c r="AO32" s="1"/>
  <c r="T70" i="14"/>
  <c r="AI40" i="15" s="1"/>
  <c r="AO40" s="1"/>
  <c r="T78" i="14"/>
  <c r="AI48" i="15"/>
  <c r="AO48" s="1"/>
  <c r="T94" i="14"/>
  <c r="AI64" i="15" s="1"/>
  <c r="AO64" s="1"/>
  <c r="T102" i="14"/>
  <c r="AI72" i="15"/>
  <c r="AO72" s="1"/>
  <c r="T110" i="14"/>
  <c r="AI80" i="15" s="1"/>
  <c r="AO80" s="1"/>
  <c r="T118" i="14"/>
  <c r="AI88" i="15"/>
  <c r="AO88" s="1"/>
  <c r="T126" i="14"/>
  <c r="AI96" i="15" s="1"/>
  <c r="AO96" s="1"/>
  <c r="T130" i="14"/>
  <c r="AI100" i="15"/>
  <c r="AO100" s="1"/>
  <c r="T138" i="14"/>
  <c r="AI108" i="15" s="1"/>
  <c r="AO108" s="1"/>
  <c r="T146" i="14"/>
  <c r="AI116" i="15"/>
  <c r="AO116" s="1"/>
  <c r="T166" i="14"/>
  <c r="AI136" i="15" s="1"/>
  <c r="AO136" s="1"/>
  <c r="T174" i="14"/>
  <c r="AI144" i="15"/>
  <c r="AO144" s="1"/>
  <c r="T182" i="14"/>
  <c r="AI152" i="15" s="1"/>
  <c r="AO152" s="1"/>
  <c r="T190" i="14"/>
  <c r="AI160" i="15"/>
  <c r="AO160" s="1"/>
  <c r="T194" i="14"/>
  <c r="AI164" i="15" s="1"/>
  <c r="AO164" s="1"/>
  <c r="T202" i="14"/>
  <c r="AI172" i="15"/>
  <c r="AO172" s="1"/>
  <c r="T222" i="14"/>
  <c r="AI192" i="15" s="1"/>
  <c r="AO192" s="1"/>
  <c r="T230" i="14"/>
  <c r="AI200" i="15"/>
  <c r="AO200" s="1"/>
  <c r="T246" i="14"/>
  <c r="AI216" i="15" s="1"/>
  <c r="AO216" s="1"/>
  <c r="T270" i="14"/>
  <c r="AI240" i="15"/>
  <c r="AO240" s="1"/>
  <c r="T310" i="14"/>
  <c r="AI280" i="15" s="1"/>
  <c r="AO280" s="1"/>
  <c r="T314" i="14"/>
  <c r="AI284" i="15"/>
  <c r="AO284" s="1"/>
  <c r="T318" i="14"/>
  <c r="AI288" i="15" s="1"/>
  <c r="AO288" s="1"/>
  <c r="T322" i="14"/>
  <c r="AI292" i="15"/>
  <c r="AO292" s="1"/>
  <c r="T326" i="14"/>
  <c r="AI296" i="15" s="1"/>
  <c r="AO296" s="1"/>
  <c r="T38" i="14"/>
  <c r="AI8" i="15"/>
  <c r="AO8" s="1"/>
  <c r="T46" i="14"/>
  <c r="AI16" i="15" s="1"/>
  <c r="AO16" s="1"/>
  <c r="T74" i="14"/>
  <c r="AI44" i="15"/>
  <c r="AO44" s="1"/>
  <c r="T82" i="14"/>
  <c r="AI52" i="15" s="1"/>
  <c r="AO52" s="1"/>
  <c r="T86" i="14"/>
  <c r="AI56" i="15"/>
  <c r="AO56" s="1"/>
  <c r="T134" i="14"/>
  <c r="AI104" i="15" s="1"/>
  <c r="AO104" s="1"/>
  <c r="T142" i="14"/>
  <c r="AI112" i="15"/>
  <c r="AO112" s="1"/>
  <c r="T150" i="14"/>
  <c r="AI120" i="15" s="1"/>
  <c r="AO120" s="1"/>
  <c r="T154" i="14"/>
  <c r="AI124" i="15"/>
  <c r="AO124" s="1"/>
  <c r="T158" i="14"/>
  <c r="AI128" i="15" s="1"/>
  <c r="AO128" s="1"/>
  <c r="T198" i="14"/>
  <c r="AI168" i="15"/>
  <c r="AO168" s="1"/>
  <c r="T206" i="14"/>
  <c r="AI176" i="15" s="1"/>
  <c r="AO176" s="1"/>
  <c r="T214" i="14"/>
  <c r="AI184" i="15"/>
  <c r="AO184" s="1"/>
  <c r="T226" i="14"/>
  <c r="AI196" i="15" s="1"/>
  <c r="AO196" s="1"/>
  <c r="T234" i="14"/>
  <c r="AI204" i="15"/>
  <c r="AO204" s="1"/>
  <c r="T242" i="14"/>
  <c r="AI212" i="15" s="1"/>
  <c r="AO212" s="1"/>
  <c r="T290" i="14"/>
  <c r="AI260" i="15"/>
  <c r="AO260" s="1"/>
  <c r="M68" i="14"/>
  <c r="L38" i="15" s="1"/>
  <c r="R38" s="1"/>
  <c r="M88" i="14"/>
  <c r="L58" i="15"/>
  <c r="R58" s="1"/>
  <c r="M92" i="14"/>
  <c r="L62" i="15" s="1"/>
  <c r="R62" s="1"/>
  <c r="M108" i="14"/>
  <c r="L78" i="15"/>
  <c r="R78" s="1"/>
  <c r="M124" i="14"/>
  <c r="L94" i="15" s="1"/>
  <c r="R94" s="1"/>
  <c r="M148" i="14"/>
  <c r="L118" i="15"/>
  <c r="R118" s="1"/>
  <c r="M156" i="14"/>
  <c r="L126" i="15" s="1"/>
  <c r="R126" s="1"/>
  <c r="M168" i="14"/>
  <c r="L138" i="15"/>
  <c r="R138" s="1"/>
  <c r="M176" i="14"/>
  <c r="L146" i="15" s="1"/>
  <c r="R146" s="1"/>
  <c r="M188" i="14"/>
  <c r="L158" i="15"/>
  <c r="R158" s="1"/>
  <c r="M212" i="14"/>
  <c r="L182" i="15" s="1"/>
  <c r="R182" s="1"/>
  <c r="M236" i="14"/>
  <c r="L206" i="15"/>
  <c r="R206" s="1"/>
  <c r="M252" i="14"/>
  <c r="L222" i="15" s="1"/>
  <c r="R222" s="1"/>
  <c r="M260" i="14"/>
  <c r="L230" i="15"/>
  <c r="R230" s="1"/>
  <c r="M276" i="14"/>
  <c r="L246" i="15" s="1"/>
  <c r="R246" s="1"/>
  <c r="M292" i="14"/>
  <c r="L262" i="15"/>
  <c r="R262" s="1"/>
  <c r="M300" i="14"/>
  <c r="L270" i="15" s="1"/>
  <c r="R270" s="1"/>
  <c r="M308" i="14"/>
  <c r="L278" i="15"/>
  <c r="R278" s="1"/>
  <c r="N37" i="14"/>
  <c r="M7" i="15" s="1"/>
  <c r="T7" s="1"/>
  <c r="N45" i="14"/>
  <c r="M15" i="15"/>
  <c r="T15" s="1"/>
  <c r="N49" i="14"/>
  <c r="M19" i="15" s="1"/>
  <c r="T19" s="1"/>
  <c r="N53" i="14"/>
  <c r="M23" i="15"/>
  <c r="T23" s="1"/>
  <c r="N61" i="14"/>
  <c r="M31" i="15" s="1"/>
  <c r="T31" s="1"/>
  <c r="N69" i="14"/>
  <c r="M39" i="15"/>
  <c r="T39" s="1"/>
  <c r="N77" i="14"/>
  <c r="M47" i="15" s="1"/>
  <c r="T47" s="1"/>
  <c r="N81" i="14"/>
  <c r="M51" i="15"/>
  <c r="T51" s="1"/>
  <c r="N85" i="14"/>
  <c r="M55" i="15" s="1"/>
  <c r="T55" s="1"/>
  <c r="N93" i="14"/>
  <c r="M63" i="15"/>
  <c r="T63" s="1"/>
  <c r="N101" i="14"/>
  <c r="M71" i="15" s="1"/>
  <c r="T71" s="1"/>
  <c r="N109" i="14"/>
  <c r="M79" i="15"/>
  <c r="T79" s="1"/>
  <c r="N113" i="14"/>
  <c r="M83" i="15" s="1"/>
  <c r="T83" s="1"/>
  <c r="N117" i="14"/>
  <c r="M87" i="15"/>
  <c r="T87" s="1"/>
  <c r="N125" i="14"/>
  <c r="M95" i="15" s="1"/>
  <c r="T95" s="1"/>
  <c r="N133" i="14"/>
  <c r="M103" i="15"/>
  <c r="T103" s="1"/>
  <c r="N141" i="14"/>
  <c r="M111" i="15" s="1"/>
  <c r="T111" s="1"/>
  <c r="N145" i="14"/>
  <c r="M115" i="15"/>
  <c r="T115" s="1"/>
  <c r="N149" i="14"/>
  <c r="M119" i="15" s="1"/>
  <c r="T119" s="1"/>
  <c r="N157" i="14"/>
  <c r="M127" i="15"/>
  <c r="T127" s="1"/>
  <c r="N165" i="14"/>
  <c r="M135" i="15" s="1"/>
  <c r="T135" s="1"/>
  <c r="N173" i="14"/>
  <c r="M143" i="15"/>
  <c r="T143" s="1"/>
  <c r="N177" i="14"/>
  <c r="M147" i="15" s="1"/>
  <c r="T147" s="1"/>
  <c r="N181" i="14"/>
  <c r="M151" i="15"/>
  <c r="T151" s="1"/>
  <c r="N189" i="14"/>
  <c r="M159" i="15" s="1"/>
  <c r="T159" s="1"/>
  <c r="N197" i="14"/>
  <c r="M167" i="15"/>
  <c r="T167" s="1"/>
  <c r="N205" i="14"/>
  <c r="M175" i="15" s="1"/>
  <c r="T175" s="1"/>
  <c r="N209" i="14"/>
  <c r="M179" i="15"/>
  <c r="T179" s="1"/>
  <c r="N213" i="14"/>
  <c r="M183" i="15" s="1"/>
  <c r="T183" s="1"/>
  <c r="N221" i="14"/>
  <c r="M191" i="15"/>
  <c r="T191" s="1"/>
  <c r="N229" i="14"/>
  <c r="M199" i="15" s="1"/>
  <c r="T199" s="1"/>
  <c r="N237" i="14"/>
  <c r="M207" i="15"/>
  <c r="T207" s="1"/>
  <c r="N241" i="14"/>
  <c r="M211" i="15" s="1"/>
  <c r="T211" s="1"/>
  <c r="N245" i="14"/>
  <c r="M215" i="15"/>
  <c r="T215" s="1"/>
  <c r="N253" i="14"/>
  <c r="M223" i="15" s="1"/>
  <c r="T223" s="1"/>
  <c r="N261" i="14"/>
  <c r="M231" i="15"/>
  <c r="T231" s="1"/>
  <c r="N269" i="14"/>
  <c r="M239" i="15" s="1"/>
  <c r="T239" s="1"/>
  <c r="N273" i="14"/>
  <c r="M243" i="15"/>
  <c r="T243" s="1"/>
  <c r="N277" i="14"/>
  <c r="M247" i="15" s="1"/>
  <c r="T247" s="1"/>
  <c r="N293" i="14"/>
  <c r="M263" i="15"/>
  <c r="T263" s="1"/>
  <c r="N301" i="14"/>
  <c r="M271" i="15" s="1"/>
  <c r="T271" s="1"/>
  <c r="N305" i="14"/>
  <c r="M275" i="15"/>
  <c r="T275" s="1"/>
  <c r="N317" i="14"/>
  <c r="M287" i="15" s="1"/>
  <c r="T287" s="1"/>
  <c r="N325" i="14"/>
  <c r="M295" i="15"/>
  <c r="T295" s="1"/>
  <c r="N333" i="14"/>
  <c r="M303" i="15" s="1"/>
  <c r="T303" s="1"/>
  <c r="M36" i="14"/>
  <c r="L6" i="15"/>
  <c r="R6" s="1"/>
  <c r="M48" i="14"/>
  <c r="L18" i="15" s="1"/>
  <c r="R18" s="1"/>
  <c r="M56" i="14"/>
  <c r="L26" i="15"/>
  <c r="R26" s="1"/>
  <c r="M76" i="14"/>
  <c r="L46" i="15" s="1"/>
  <c r="R46" s="1"/>
  <c r="M84" i="14"/>
  <c r="L54" i="15"/>
  <c r="R54" s="1"/>
  <c r="M100" i="14"/>
  <c r="L70" i="15" s="1"/>
  <c r="R70" s="1"/>
  <c r="M116" i="14"/>
  <c r="L86" i="15"/>
  <c r="R86" s="1"/>
  <c r="M140" i="14"/>
  <c r="L110" i="15" s="1"/>
  <c r="R110" s="1"/>
  <c r="M164" i="14"/>
  <c r="L134" i="15"/>
  <c r="R134" s="1"/>
  <c r="M180" i="14"/>
  <c r="L150" i="15" s="1"/>
  <c r="R150" s="1"/>
  <c r="M204" i="14"/>
  <c r="L174" i="15"/>
  <c r="R174" s="1"/>
  <c r="M224" i="14"/>
  <c r="L194" i="15" s="1"/>
  <c r="R194" s="1"/>
  <c r="M232" i="14"/>
  <c r="L202" i="15"/>
  <c r="R202" s="1"/>
  <c r="M284" i="14"/>
  <c r="L254" i="15" s="1"/>
  <c r="R254" s="1"/>
  <c r="M324" i="14"/>
  <c r="L294" i="15"/>
  <c r="R294" s="1"/>
  <c r="M328" i="14"/>
  <c r="L298" i="15" s="1"/>
  <c r="R298" s="1"/>
  <c r="M332" i="14"/>
  <c r="L302" i="15"/>
  <c r="R302" s="1"/>
  <c r="K132" i="14"/>
  <c r="J102" i="15" s="1"/>
  <c r="N102" s="1"/>
  <c r="K160" i="14"/>
  <c r="J130" i="15"/>
  <c r="N130" s="1"/>
  <c r="K172" i="14"/>
  <c r="J142" i="15" s="1"/>
  <c r="N142" s="1"/>
  <c r="K196" i="14"/>
  <c r="J166" i="15"/>
  <c r="N166" s="1"/>
  <c r="K220" i="14"/>
  <c r="J190" i="15" s="1"/>
  <c r="N190" s="1"/>
  <c r="K228" i="14"/>
  <c r="J198" i="15"/>
  <c r="N198" s="1"/>
  <c r="K244" i="14"/>
  <c r="J214" i="15" s="1"/>
  <c r="N214" s="1"/>
  <c r="K268" i="14"/>
  <c r="J238" i="15"/>
  <c r="N238" s="1"/>
  <c r="K280" i="14"/>
  <c r="J250" i="15" s="1"/>
  <c r="N250" s="1"/>
  <c r="K316" i="14"/>
  <c r="J286" i="15"/>
  <c r="N286" s="1"/>
  <c r="M60" i="14"/>
  <c r="L30" i="15" s="1"/>
  <c r="R30" s="1"/>
  <c r="M80" i="14"/>
  <c r="L50" i="15"/>
  <c r="R50" s="1"/>
  <c r="N58" i="14"/>
  <c r="M28" i="15" s="1"/>
  <c r="T28" s="1"/>
  <c r="N86" i="14"/>
  <c r="M56" i="15"/>
  <c r="T56" s="1"/>
  <c r="N110" i="14"/>
  <c r="M80" i="15" s="1"/>
  <c r="T80" s="1"/>
  <c r="N134" i="14"/>
  <c r="M104" i="15"/>
  <c r="T104" s="1"/>
  <c r="N158" i="14"/>
  <c r="M128" i="15" s="1"/>
  <c r="T128" s="1"/>
  <c r="N186" i="14"/>
  <c r="M156" i="15"/>
  <c r="T156" s="1"/>
  <c r="N214" i="14"/>
  <c r="M184" i="15" s="1"/>
  <c r="T184" s="1"/>
  <c r="N238" i="14"/>
  <c r="M208" i="15"/>
  <c r="T208" s="1"/>
  <c r="N262" i="14"/>
  <c r="M232" i="15" s="1"/>
  <c r="T232" s="1"/>
  <c r="N286" i="14"/>
  <c r="M256" i="15"/>
  <c r="T256" s="1"/>
  <c r="N314" i="14"/>
  <c r="M284" i="15" s="1"/>
  <c r="T284" s="1"/>
  <c r="F26" i="14"/>
  <c r="F27"/>
  <c r="L27" s="1"/>
  <c r="N27" s="1"/>
  <c r="F18"/>
  <c r="F20" s="1"/>
  <c r="L20" s="1"/>
  <c r="C19"/>
  <c r="J19"/>
  <c r="B19"/>
  <c r="I19"/>
  <c r="B20"/>
  <c r="I20"/>
  <c r="E26"/>
  <c r="B28"/>
  <c r="I28" s="1"/>
  <c r="E18"/>
  <c r="C20"/>
  <c r="J20"/>
  <c r="C27"/>
  <c r="J27"/>
  <c r="C28"/>
  <c r="J28"/>
  <c r="B27"/>
  <c r="I27"/>
  <c r="BN268" i="10"/>
  <c r="BL268"/>
  <c r="BN267"/>
  <c r="BL267"/>
  <c r="BN266"/>
  <c r="BL266"/>
  <c r="BN265"/>
  <c r="BL265"/>
  <c r="BN264"/>
  <c r="BL264"/>
  <c r="BN263"/>
  <c r="BL263"/>
  <c r="BN262"/>
  <c r="BL262"/>
  <c r="BN261"/>
  <c r="BL261"/>
  <c r="BN260"/>
  <c r="BL260"/>
  <c r="BN259"/>
  <c r="BL259"/>
  <c r="BN258"/>
  <c r="BL258"/>
  <c r="BN257"/>
  <c r="BL257"/>
  <c r="BN256"/>
  <c r="BL256"/>
  <c r="BN255"/>
  <c r="BL255"/>
  <c r="BN254"/>
  <c r="BL254"/>
  <c r="BN253"/>
  <c r="BL253"/>
  <c r="BN252"/>
  <c r="BL252"/>
  <c r="BN251"/>
  <c r="BL251"/>
  <c r="BN250"/>
  <c r="BL250"/>
  <c r="BN249"/>
  <c r="BL249"/>
  <c r="BN248"/>
  <c r="BL248"/>
  <c r="BN247"/>
  <c r="BL247"/>
  <c r="BN246"/>
  <c r="BL246"/>
  <c r="BN245"/>
  <c r="BL245"/>
  <c r="BN244"/>
  <c r="BL244"/>
  <c r="BN243"/>
  <c r="BL243"/>
  <c r="BN242"/>
  <c r="BL242"/>
  <c r="BN241"/>
  <c r="BL241"/>
  <c r="BN240"/>
  <c r="BL240"/>
  <c r="BN239"/>
  <c r="BL239"/>
  <c r="BN238"/>
  <c r="BL238"/>
  <c r="BN237"/>
  <c r="BL237"/>
  <c r="BN236"/>
  <c r="BL236"/>
  <c r="BN235"/>
  <c r="BL235"/>
  <c r="BN234"/>
  <c r="BL234"/>
  <c r="BN233"/>
  <c r="BL233"/>
  <c r="BN232"/>
  <c r="BL232"/>
  <c r="BN231"/>
  <c r="BL231"/>
  <c r="BN230"/>
  <c r="BL230"/>
  <c r="BN229"/>
  <c r="BL229"/>
  <c r="BN228"/>
  <c r="BL228"/>
  <c r="BN227"/>
  <c r="BL227"/>
  <c r="BN226"/>
  <c r="BL226"/>
  <c r="BN225"/>
  <c r="BL225"/>
  <c r="BN224"/>
  <c r="BL224"/>
  <c r="BN223"/>
  <c r="BL223"/>
  <c r="BN222"/>
  <c r="BL222"/>
  <c r="BN221"/>
  <c r="BL221"/>
  <c r="BN220"/>
  <c r="BL220"/>
  <c r="BN219"/>
  <c r="BL219"/>
  <c r="BN218"/>
  <c r="BL218"/>
  <c r="BN217"/>
  <c r="BL217"/>
  <c r="BN216"/>
  <c r="BL216"/>
  <c r="BN215"/>
  <c r="BL215"/>
  <c r="BN214"/>
  <c r="BL214"/>
  <c r="BN213"/>
  <c r="BL213"/>
  <c r="BN212"/>
  <c r="BL212"/>
  <c r="BN211"/>
  <c r="BL211"/>
  <c r="BN210"/>
  <c r="BL210"/>
  <c r="BN209"/>
  <c r="BL209"/>
  <c r="BN208"/>
  <c r="BL208"/>
  <c r="BN207"/>
  <c r="BL207"/>
  <c r="BN206"/>
  <c r="BL206"/>
  <c r="BN205"/>
  <c r="BL205"/>
  <c r="BN204"/>
  <c r="BL204"/>
  <c r="BN203"/>
  <c r="BL203"/>
  <c r="BN202"/>
  <c r="BL202"/>
  <c r="BN201"/>
  <c r="BL201"/>
  <c r="BN200"/>
  <c r="BL200"/>
  <c r="BN199"/>
  <c r="BL199"/>
  <c r="BN198"/>
  <c r="BL198"/>
  <c r="BN197"/>
  <c r="BL197"/>
  <c r="BN196"/>
  <c r="BL196"/>
  <c r="BN195"/>
  <c r="BL195"/>
  <c r="BN194"/>
  <c r="BL194"/>
  <c r="BN193"/>
  <c r="BL193"/>
  <c r="BN192"/>
  <c r="BL192"/>
  <c r="BN191"/>
  <c r="BL191"/>
  <c r="BN190"/>
  <c r="BL190"/>
  <c r="BN189"/>
  <c r="BL189"/>
  <c r="BN188"/>
  <c r="BL188"/>
  <c r="BN187"/>
  <c r="BL187"/>
  <c r="BN186"/>
  <c r="BL186"/>
  <c r="BN185"/>
  <c r="BL185"/>
  <c r="BN184"/>
  <c r="BL184"/>
  <c r="BN183"/>
  <c r="BL183"/>
  <c r="BN182"/>
  <c r="BL182"/>
  <c r="BN181"/>
  <c r="BL181"/>
  <c r="BN180"/>
  <c r="BL180"/>
  <c r="BN179"/>
  <c r="BL179"/>
  <c r="BN178"/>
  <c r="BL178"/>
  <c r="BN177"/>
  <c r="BL177"/>
  <c r="BN176"/>
  <c r="BL176"/>
  <c r="BN175"/>
  <c r="BL175"/>
  <c r="BN174"/>
  <c r="BL174"/>
  <c r="BN173"/>
  <c r="BL173"/>
  <c r="BN172"/>
  <c r="BL172"/>
  <c r="BN171"/>
  <c r="BL171"/>
  <c r="BN170"/>
  <c r="BL170"/>
  <c r="BN169"/>
  <c r="BL169"/>
  <c r="BN168"/>
  <c r="BL168"/>
  <c r="BN167"/>
  <c r="BL167"/>
  <c r="BN166"/>
  <c r="BL166"/>
  <c r="BN165"/>
  <c r="BL165"/>
  <c r="BN164"/>
  <c r="BL164"/>
  <c r="BN163"/>
  <c r="BL163"/>
  <c r="BN162"/>
  <c r="BL162"/>
  <c r="BN161"/>
  <c r="BL161"/>
  <c r="BN160"/>
  <c r="BL160"/>
  <c r="BN159"/>
  <c r="BL159"/>
  <c r="BN158"/>
  <c r="BL158"/>
  <c r="BN157"/>
  <c r="BL157"/>
  <c r="BN156"/>
  <c r="BL156"/>
  <c r="BN155"/>
  <c r="BL155"/>
  <c r="BN154"/>
  <c r="BL154"/>
  <c r="BN153"/>
  <c r="BL153"/>
  <c r="BN152"/>
  <c r="BL152"/>
  <c r="BN151"/>
  <c r="BL151"/>
  <c r="BN150"/>
  <c r="BL150"/>
  <c r="BN149"/>
  <c r="BL149"/>
  <c r="BN148"/>
  <c r="BL148"/>
  <c r="BN147"/>
  <c r="BL147"/>
  <c r="BN146"/>
  <c r="BL146"/>
  <c r="BN145"/>
  <c r="BL145"/>
  <c r="BN144"/>
  <c r="BL144"/>
  <c r="BN143"/>
  <c r="BL143"/>
  <c r="BN142"/>
  <c r="BL142"/>
  <c r="BN141"/>
  <c r="BL141"/>
  <c r="BN140"/>
  <c r="BL140"/>
  <c r="BN139"/>
  <c r="BL139"/>
  <c r="BN138"/>
  <c r="BL138"/>
  <c r="BN137"/>
  <c r="BL137"/>
  <c r="BN136"/>
  <c r="BL136"/>
  <c r="BN135"/>
  <c r="BL135"/>
  <c r="BN134"/>
  <c r="BL134"/>
  <c r="BN133"/>
  <c r="BL133"/>
  <c r="BN132"/>
  <c r="BL132"/>
  <c r="BN131"/>
  <c r="BL131"/>
  <c r="BN130"/>
  <c r="BL130"/>
  <c r="BN129"/>
  <c r="BL129"/>
  <c r="BN128"/>
  <c r="BL128"/>
  <c r="BN127"/>
  <c r="BL127"/>
  <c r="BN126"/>
  <c r="BL126"/>
  <c r="BN125"/>
  <c r="BL125"/>
  <c r="BN124"/>
  <c r="BL124"/>
  <c r="BN123"/>
  <c r="BL123"/>
  <c r="BN122"/>
  <c r="BL122"/>
  <c r="BN121"/>
  <c r="BL121"/>
  <c r="BN120"/>
  <c r="BL120"/>
  <c r="BN119"/>
  <c r="BL119"/>
  <c r="BN118"/>
  <c r="BL118"/>
  <c r="BN117"/>
  <c r="BL117"/>
  <c r="BN116"/>
  <c r="BL116"/>
  <c r="BN115"/>
  <c r="BL115"/>
  <c r="BN114"/>
  <c r="BL114"/>
  <c r="BN113"/>
  <c r="BL113"/>
  <c r="BN112"/>
  <c r="BL112"/>
  <c r="BN111"/>
  <c r="BL111"/>
  <c r="BN110"/>
  <c r="BL110"/>
  <c r="BN109"/>
  <c r="BL109"/>
  <c r="BN108"/>
  <c r="BL108"/>
  <c r="BN107"/>
  <c r="BL107"/>
  <c r="BN106"/>
  <c r="BL106"/>
  <c r="BN105"/>
  <c r="BL105"/>
  <c r="BN104"/>
  <c r="BL104"/>
  <c r="BN103"/>
  <c r="BL103"/>
  <c r="BN102"/>
  <c r="BL102"/>
  <c r="BN101"/>
  <c r="BL101"/>
  <c r="BN100"/>
  <c r="BL100"/>
  <c r="BN99"/>
  <c r="BL99"/>
  <c r="BN98"/>
  <c r="BL98"/>
  <c r="BN97"/>
  <c r="BL97"/>
  <c r="BN96"/>
  <c r="BL96"/>
  <c r="BN95"/>
  <c r="BL95"/>
  <c r="BN94"/>
  <c r="BL94"/>
  <c r="BN93"/>
  <c r="BL93"/>
  <c r="BN92"/>
  <c r="BL92"/>
  <c r="BN91"/>
  <c r="BL91"/>
  <c r="BN90"/>
  <c r="BL90"/>
  <c r="BN89"/>
  <c r="BL89"/>
  <c r="BN88"/>
  <c r="BL88"/>
  <c r="BN87"/>
  <c r="BL87"/>
  <c r="BN86"/>
  <c r="BL86"/>
  <c r="BN85"/>
  <c r="BL85"/>
  <c r="BN84"/>
  <c r="BL84"/>
  <c r="BN83"/>
  <c r="BL83"/>
  <c r="BN82"/>
  <c r="BL82"/>
  <c r="BN81"/>
  <c r="BL81"/>
  <c r="BN80"/>
  <c r="BL80"/>
  <c r="BN79"/>
  <c r="BL79"/>
  <c r="BN78"/>
  <c r="BL78"/>
  <c r="BN77"/>
  <c r="BL77"/>
  <c r="BN76"/>
  <c r="BL76"/>
  <c r="BN75"/>
  <c r="BL75"/>
  <c r="BN74"/>
  <c r="BL74"/>
  <c r="BN73"/>
  <c r="BL73"/>
  <c r="BN72"/>
  <c r="BL72"/>
  <c r="BN71"/>
  <c r="BL71"/>
  <c r="BN70"/>
  <c r="BL70"/>
  <c r="BN69"/>
  <c r="BL69"/>
  <c r="BN68"/>
  <c r="BL68"/>
  <c r="BN67"/>
  <c r="BL67"/>
  <c r="BN66"/>
  <c r="BL66"/>
  <c r="BN65"/>
  <c r="BL65"/>
  <c r="BN64"/>
  <c r="BL64"/>
  <c r="BN63"/>
  <c r="BL63"/>
  <c r="BN62"/>
  <c r="BL62"/>
  <c r="BN61"/>
  <c r="BL61"/>
  <c r="BN60"/>
  <c r="BL60"/>
  <c r="BN59"/>
  <c r="BL59"/>
  <c r="BN58"/>
  <c r="BL58"/>
  <c r="BN57"/>
  <c r="BL57"/>
  <c r="BN56"/>
  <c r="BL56"/>
  <c r="BN55"/>
  <c r="BL55"/>
  <c r="BN54"/>
  <c r="BL54"/>
  <c r="BN53"/>
  <c r="BL53"/>
  <c r="BN52"/>
  <c r="BL52"/>
  <c r="BN51"/>
  <c r="BL51"/>
  <c r="BN50"/>
  <c r="BL50"/>
  <c r="BN49"/>
  <c r="BL49"/>
  <c r="BN48"/>
  <c r="BL48"/>
  <c r="BN47"/>
  <c r="BL47"/>
  <c r="BN46"/>
  <c r="BL46"/>
  <c r="BN45"/>
  <c r="BL45"/>
  <c r="BN44"/>
  <c r="BL44"/>
  <c r="BN43"/>
  <c r="BL43"/>
  <c r="BN42"/>
  <c r="BL42"/>
  <c r="BN41"/>
  <c r="BL41"/>
  <c r="BN40"/>
  <c r="BL40"/>
  <c r="BN39"/>
  <c r="BL39"/>
  <c r="BN38"/>
  <c r="BL38"/>
  <c r="BN37"/>
  <c r="BL37"/>
  <c r="BN36"/>
  <c r="BL36"/>
  <c r="BN35"/>
  <c r="BL35"/>
  <c r="BN34"/>
  <c r="BL34"/>
  <c r="BN33"/>
  <c r="BL33"/>
  <c r="BN32"/>
  <c r="BL32"/>
  <c r="BN31"/>
  <c r="BL31"/>
  <c r="BN30"/>
  <c r="BL30"/>
  <c r="BN29"/>
  <c r="BL29"/>
  <c r="BN28"/>
  <c r="BL28"/>
  <c r="BN27"/>
  <c r="BL27"/>
  <c r="BN26"/>
  <c r="BL26"/>
  <c r="BN25"/>
  <c r="BL25"/>
  <c r="BN24"/>
  <c r="BL24"/>
  <c r="BN23"/>
  <c r="BL23"/>
  <c r="BN22"/>
  <c r="BL22"/>
  <c r="BN21"/>
  <c r="BL21"/>
  <c r="BN20"/>
  <c r="BL20"/>
  <c r="BN19"/>
  <c r="BL19"/>
  <c r="BN18"/>
  <c r="BL18"/>
  <c r="BN17"/>
  <c r="BL17"/>
  <c r="BN16"/>
  <c r="BL16"/>
  <c r="BN15"/>
  <c r="BL15"/>
  <c r="BN14"/>
  <c r="BL14"/>
  <c r="BN13"/>
  <c r="BL13"/>
  <c r="BN12"/>
  <c r="BL12"/>
  <c r="BN11"/>
  <c r="BL11"/>
  <c r="BN10"/>
  <c r="BL10"/>
  <c r="BN9"/>
  <c r="BL9"/>
  <c r="BN8"/>
  <c r="BL8"/>
  <c r="BN7"/>
  <c r="BL7"/>
  <c r="BN6"/>
  <c r="BL6"/>
  <c r="BN5"/>
  <c r="BL5"/>
  <c r="BN4"/>
  <c r="BL4"/>
  <c r="C25" i="12"/>
  <c r="O297" s="1"/>
  <c r="B25"/>
  <c r="N160" s="1"/>
  <c r="C18"/>
  <c r="E49" s="1"/>
  <c r="B18"/>
  <c r="B12"/>
  <c r="B4"/>
  <c r="O126"/>
  <c r="O56"/>
  <c r="E12"/>
  <c r="D12"/>
  <c r="C12"/>
  <c r="E10"/>
  <c r="D10"/>
  <c r="C10"/>
  <c r="B10"/>
  <c r="AD268" i="10"/>
  <c r="AE268"/>
  <c r="AD267"/>
  <c r="AE267"/>
  <c r="AD266"/>
  <c r="AE266"/>
  <c r="AD265"/>
  <c r="AE265"/>
  <c r="AD264"/>
  <c r="AE264"/>
  <c r="AD263"/>
  <c r="AE263" s="1"/>
  <c r="AD262"/>
  <c r="AE262"/>
  <c r="AD261"/>
  <c r="AE261"/>
  <c r="AD260"/>
  <c r="AE260"/>
  <c r="AD259"/>
  <c r="AE259" s="1"/>
  <c r="AD258"/>
  <c r="AE258"/>
  <c r="AD257"/>
  <c r="AE257"/>
  <c r="AD256"/>
  <c r="AE256"/>
  <c r="AD255"/>
  <c r="AE255"/>
  <c r="AD254"/>
  <c r="AE254"/>
  <c r="AD253"/>
  <c r="AE253"/>
  <c r="AD252"/>
  <c r="AE252"/>
  <c r="AD251"/>
  <c r="AE251"/>
  <c r="AD250"/>
  <c r="AE250"/>
  <c r="AD249"/>
  <c r="AE249"/>
  <c r="AD248"/>
  <c r="AE248" s="1"/>
  <c r="AD247"/>
  <c r="AE247"/>
  <c r="AD246"/>
  <c r="AE246" s="1"/>
  <c r="AD245"/>
  <c r="AE245"/>
  <c r="AD244"/>
  <c r="AE244" s="1"/>
  <c r="AD243"/>
  <c r="AE243"/>
  <c r="AD242"/>
  <c r="AE242" s="1"/>
  <c r="AD241"/>
  <c r="AE241"/>
  <c r="AD240"/>
  <c r="AE240"/>
  <c r="AD239"/>
  <c r="AE239"/>
  <c r="AD238"/>
  <c r="AE238"/>
  <c r="AD237"/>
  <c r="AE237"/>
  <c r="AD236"/>
  <c r="AE236"/>
  <c r="AD235"/>
  <c r="AE235"/>
  <c r="AD234"/>
  <c r="AE234"/>
  <c r="AD233"/>
  <c r="AE233"/>
  <c r="AD232"/>
  <c r="AE232"/>
  <c r="AD231"/>
  <c r="AE231"/>
  <c r="AD230"/>
  <c r="AE230"/>
  <c r="AD229"/>
  <c r="AE229"/>
  <c r="AD228"/>
  <c r="AE228"/>
  <c r="AD227"/>
  <c r="AE227"/>
  <c r="AD226"/>
  <c r="AE226"/>
  <c r="AD225"/>
  <c r="AE225"/>
  <c r="AD224"/>
  <c r="AE224"/>
  <c r="AD223"/>
  <c r="AE223"/>
  <c r="AD222"/>
  <c r="AE222"/>
  <c r="AD221"/>
  <c r="AE221"/>
  <c r="AD220"/>
  <c r="AE220"/>
  <c r="AD219"/>
  <c r="AE219"/>
  <c r="AD218"/>
  <c r="AE218"/>
  <c r="AD217"/>
  <c r="AE217"/>
  <c r="AD216"/>
  <c r="AE216"/>
  <c r="AD215"/>
  <c r="AE215"/>
  <c r="AD214"/>
  <c r="AE214"/>
  <c r="AD213"/>
  <c r="AE213"/>
  <c r="AD212"/>
  <c r="AE212"/>
  <c r="AD211"/>
  <c r="AE211"/>
  <c r="AD210"/>
  <c r="AE210"/>
  <c r="AD209"/>
  <c r="AE209"/>
  <c r="AD208"/>
  <c r="AE208"/>
  <c r="AD207"/>
  <c r="AE207"/>
  <c r="AD206"/>
  <c r="AE206"/>
  <c r="AD205"/>
  <c r="AE205"/>
  <c r="AD204"/>
  <c r="AE204"/>
  <c r="AD203"/>
  <c r="AE203"/>
  <c r="AD202"/>
  <c r="AE202"/>
  <c r="AD201"/>
  <c r="AE201"/>
  <c r="AD200"/>
  <c r="AE200"/>
  <c r="AD199"/>
  <c r="AE199"/>
  <c r="AD198"/>
  <c r="AE198"/>
  <c r="AD197"/>
  <c r="AE197"/>
  <c r="AD196"/>
  <c r="AE196"/>
  <c r="AD195"/>
  <c r="AE195"/>
  <c r="AD194"/>
  <c r="AE194"/>
  <c r="AD193"/>
  <c r="AE193"/>
  <c r="AD192"/>
  <c r="AE192"/>
  <c r="AD191"/>
  <c r="AE191"/>
  <c r="AD190"/>
  <c r="AE190"/>
  <c r="AD189"/>
  <c r="AE189"/>
  <c r="AD188"/>
  <c r="AE188"/>
  <c r="AD187"/>
  <c r="AE187"/>
  <c r="AD186"/>
  <c r="AE186"/>
  <c r="AD185"/>
  <c r="AE185"/>
  <c r="AD184"/>
  <c r="AE184"/>
  <c r="AD183"/>
  <c r="AE183"/>
  <c r="AD182"/>
  <c r="AE182"/>
  <c r="AD181"/>
  <c r="AE181"/>
  <c r="AD180"/>
  <c r="AE180"/>
  <c r="AD179"/>
  <c r="AE179"/>
  <c r="AD178"/>
  <c r="AE178"/>
  <c r="AD177"/>
  <c r="AE177"/>
  <c r="AD176"/>
  <c r="AE176"/>
  <c r="AD175"/>
  <c r="AE175"/>
  <c r="AD174"/>
  <c r="AE174"/>
  <c r="AD173"/>
  <c r="AE173"/>
  <c r="AD172"/>
  <c r="AE172"/>
  <c r="AD171"/>
  <c r="AE171"/>
  <c r="AD170"/>
  <c r="AE170"/>
  <c r="AD169"/>
  <c r="AE169"/>
  <c r="AD168"/>
  <c r="AE168"/>
  <c r="AD167"/>
  <c r="AE167"/>
  <c r="AD166"/>
  <c r="AE166"/>
  <c r="AD165"/>
  <c r="AE165"/>
  <c r="AD164"/>
  <c r="AE164"/>
  <c r="AD163"/>
  <c r="AE163"/>
  <c r="AD162"/>
  <c r="AE162"/>
  <c r="AD161"/>
  <c r="AE161"/>
  <c r="AD160"/>
  <c r="AE160"/>
  <c r="AD159"/>
  <c r="AE159"/>
  <c r="AD158"/>
  <c r="AE158"/>
  <c r="AD157"/>
  <c r="AE157"/>
  <c r="AD156"/>
  <c r="AE156"/>
  <c r="AD155"/>
  <c r="AE155"/>
  <c r="AD154"/>
  <c r="AE154"/>
  <c r="AD153"/>
  <c r="AE153"/>
  <c r="AD152"/>
  <c r="AE152"/>
  <c r="AD151"/>
  <c r="AE151"/>
  <c r="AD150"/>
  <c r="AE150"/>
  <c r="AD149"/>
  <c r="AE149"/>
  <c r="AD148"/>
  <c r="AE148"/>
  <c r="AD147"/>
  <c r="AE147"/>
  <c r="AD146"/>
  <c r="AE146"/>
  <c r="AD145"/>
  <c r="AE145"/>
  <c r="AD144"/>
  <c r="AE144"/>
  <c r="AD143"/>
  <c r="AE143"/>
  <c r="AD142"/>
  <c r="AE142"/>
  <c r="AD141"/>
  <c r="AE141"/>
  <c r="AD140"/>
  <c r="AE140"/>
  <c r="AD139"/>
  <c r="AE139"/>
  <c r="AD138"/>
  <c r="AE138"/>
  <c r="AD137"/>
  <c r="AE137"/>
  <c r="AD136"/>
  <c r="AE136"/>
  <c r="AD135"/>
  <c r="AE135"/>
  <c r="AD134"/>
  <c r="AE134"/>
  <c r="AD133"/>
  <c r="AE133"/>
  <c r="AD132"/>
  <c r="AE132"/>
  <c r="AD131"/>
  <c r="AE131"/>
  <c r="AD130"/>
  <c r="AE130"/>
  <c r="AD129"/>
  <c r="AE129"/>
  <c r="AD128"/>
  <c r="AE128"/>
  <c r="AD127"/>
  <c r="AE127"/>
  <c r="AD126"/>
  <c r="AE126"/>
  <c r="AD125"/>
  <c r="AE125"/>
  <c r="AD124"/>
  <c r="AE124"/>
  <c r="AD123"/>
  <c r="AE123"/>
  <c r="AD122"/>
  <c r="AE122"/>
  <c r="AD121"/>
  <c r="AE121"/>
  <c r="AD120"/>
  <c r="AE120"/>
  <c r="AD119"/>
  <c r="AE119"/>
  <c r="AD118"/>
  <c r="AE118"/>
  <c r="AD117"/>
  <c r="AE117"/>
  <c r="AD116"/>
  <c r="AE116"/>
  <c r="AD115"/>
  <c r="AE115"/>
  <c r="AD114"/>
  <c r="AE114"/>
  <c r="AD113"/>
  <c r="AE113"/>
  <c r="AD112"/>
  <c r="AE112"/>
  <c r="AD111"/>
  <c r="AE111"/>
  <c r="AD110"/>
  <c r="AE110"/>
  <c r="AD109"/>
  <c r="AE109"/>
  <c r="AD108"/>
  <c r="AE108"/>
  <c r="AD107"/>
  <c r="AE107"/>
  <c r="AD106"/>
  <c r="AE106"/>
  <c r="AD105"/>
  <c r="AE105"/>
  <c r="AD104"/>
  <c r="AE104"/>
  <c r="AD103"/>
  <c r="AE103"/>
  <c r="AD102"/>
  <c r="AE102"/>
  <c r="AD101"/>
  <c r="AE101"/>
  <c r="AD100"/>
  <c r="AE100"/>
  <c r="AD99"/>
  <c r="AE99"/>
  <c r="AD98"/>
  <c r="AE98"/>
  <c r="AD97"/>
  <c r="AE97"/>
  <c r="AD96"/>
  <c r="AE96"/>
  <c r="AD95"/>
  <c r="AE95"/>
  <c r="AD94"/>
  <c r="AE94"/>
  <c r="AD93"/>
  <c r="AE93"/>
  <c r="AD92"/>
  <c r="AE92"/>
  <c r="AD91"/>
  <c r="AE91"/>
  <c r="AD90"/>
  <c r="AE90"/>
  <c r="AD89"/>
  <c r="AE89"/>
  <c r="AD88"/>
  <c r="AE88"/>
  <c r="AD87"/>
  <c r="AE87"/>
  <c r="AD86"/>
  <c r="AE86"/>
  <c r="AD85"/>
  <c r="AE85"/>
  <c r="AD84"/>
  <c r="AE84"/>
  <c r="AD83"/>
  <c r="AE83"/>
  <c r="AD82"/>
  <c r="AE82"/>
  <c r="AD81"/>
  <c r="AE81"/>
  <c r="AD80"/>
  <c r="AE80"/>
  <c r="AD79"/>
  <c r="AE79"/>
  <c r="AD78"/>
  <c r="AE78"/>
  <c r="AD77"/>
  <c r="AE77"/>
  <c r="AD76"/>
  <c r="AE76"/>
  <c r="AD75"/>
  <c r="AE75"/>
  <c r="AD74"/>
  <c r="AE74"/>
  <c r="AD73"/>
  <c r="AE73"/>
  <c r="AD72"/>
  <c r="AE72"/>
  <c r="AD71"/>
  <c r="AE71"/>
  <c r="AD70"/>
  <c r="AE70"/>
  <c r="AD69"/>
  <c r="AE69"/>
  <c r="AD68"/>
  <c r="AE68"/>
  <c r="AD67"/>
  <c r="AE67"/>
  <c r="AD66"/>
  <c r="AE66"/>
  <c r="AD65"/>
  <c r="AE65"/>
  <c r="AD64"/>
  <c r="AE64"/>
  <c r="AD63"/>
  <c r="AE63"/>
  <c r="AD62"/>
  <c r="AE62"/>
  <c r="AD61"/>
  <c r="AE61"/>
  <c r="AD60"/>
  <c r="AE60"/>
  <c r="AD59"/>
  <c r="AE59"/>
  <c r="AD58"/>
  <c r="AE58"/>
  <c r="AD57"/>
  <c r="AE57"/>
  <c r="AD56"/>
  <c r="AE56"/>
  <c r="AD55"/>
  <c r="AE55"/>
  <c r="AD54"/>
  <c r="AE54"/>
  <c r="AD53"/>
  <c r="AE53"/>
  <c r="AD52"/>
  <c r="AE52"/>
  <c r="AD51"/>
  <c r="AE51"/>
  <c r="AD50"/>
  <c r="AE50"/>
  <c r="AD49"/>
  <c r="AE49"/>
  <c r="AD48"/>
  <c r="AE48"/>
  <c r="AD47"/>
  <c r="AE47"/>
  <c r="AD46"/>
  <c r="AE46"/>
  <c r="AD45"/>
  <c r="AE45"/>
  <c r="AD44"/>
  <c r="AE44"/>
  <c r="AD43"/>
  <c r="AE43"/>
  <c r="AD42"/>
  <c r="AE42"/>
  <c r="AD41"/>
  <c r="AE41"/>
  <c r="AD40"/>
  <c r="AE40"/>
  <c r="AD39"/>
  <c r="AE39"/>
  <c r="AD38"/>
  <c r="AE38"/>
  <c r="AD37"/>
  <c r="AE37"/>
  <c r="AD36"/>
  <c r="AE36"/>
  <c r="AD35"/>
  <c r="AE35"/>
  <c r="AD34"/>
  <c r="AE34"/>
  <c r="AD33"/>
  <c r="AE33"/>
  <c r="AD32"/>
  <c r="AE32"/>
  <c r="AD31"/>
  <c r="AE31"/>
  <c r="AD30"/>
  <c r="AE30"/>
  <c r="AD29"/>
  <c r="AE29"/>
  <c r="AD28"/>
  <c r="AE28"/>
  <c r="AD27"/>
  <c r="AE27"/>
  <c r="AD26"/>
  <c r="AE26"/>
  <c r="AD25"/>
  <c r="AE25"/>
  <c r="AD24"/>
  <c r="AE24"/>
  <c r="AD23"/>
  <c r="AE23"/>
  <c r="AD22"/>
  <c r="AE22"/>
  <c r="AD21"/>
  <c r="AE21"/>
  <c r="AD20"/>
  <c r="AE20"/>
  <c r="AD19"/>
  <c r="AE19"/>
  <c r="AD18"/>
  <c r="AE18"/>
  <c r="AD17"/>
  <c r="AE17"/>
  <c r="AD16"/>
  <c r="AE16"/>
  <c r="AD15"/>
  <c r="AE15"/>
  <c r="AD14"/>
  <c r="AE14"/>
  <c r="AD13"/>
  <c r="AE13" s="1"/>
  <c r="AD12"/>
  <c r="AE12"/>
  <c r="AD11"/>
  <c r="AE11" s="1"/>
  <c r="AD10"/>
  <c r="AE10"/>
  <c r="AD9"/>
  <c r="AE9" s="1"/>
  <c r="AD8"/>
  <c r="AE8"/>
  <c r="AD7"/>
  <c r="AE7" s="1"/>
  <c r="AD6"/>
  <c r="AE6"/>
  <c r="AD5"/>
  <c r="AE5"/>
  <c r="AD4"/>
  <c r="AE4"/>
  <c r="AC268"/>
  <c r="AC267"/>
  <c r="AC266"/>
  <c r="AC265"/>
  <c r="AC264"/>
  <c r="AC263"/>
  <c r="AC262"/>
  <c r="AC261"/>
  <c r="AC260"/>
  <c r="AC259"/>
  <c r="AC258"/>
  <c r="AC257"/>
  <c r="AC256"/>
  <c r="AC255"/>
  <c r="AC254"/>
  <c r="AC253"/>
  <c r="AC252"/>
  <c r="AC251"/>
  <c r="AC250"/>
  <c r="AC249"/>
  <c r="AC248"/>
  <c r="AC247"/>
  <c r="AC246"/>
  <c r="AC245"/>
  <c r="AC244"/>
  <c r="AC243"/>
  <c r="AC242"/>
  <c r="AC241"/>
  <c r="AC240"/>
  <c r="AC239"/>
  <c r="AC238"/>
  <c r="AC237"/>
  <c r="AC236"/>
  <c r="AC235"/>
  <c r="AC234"/>
  <c r="AC233"/>
  <c r="AC232"/>
  <c r="AC231"/>
  <c r="AC230"/>
  <c r="AC229"/>
  <c r="AC228"/>
  <c r="AC227"/>
  <c r="AC226"/>
  <c r="AC225"/>
  <c r="AC224"/>
  <c r="AC223"/>
  <c r="AC222"/>
  <c r="AC221"/>
  <c r="AC220"/>
  <c r="AC219"/>
  <c r="AC218"/>
  <c r="AC217"/>
  <c r="AC216"/>
  <c r="AC215"/>
  <c r="AC214"/>
  <c r="AC213"/>
  <c r="AC212"/>
  <c r="AC211"/>
  <c r="AC210"/>
  <c r="AC209"/>
  <c r="AC208"/>
  <c r="AC207"/>
  <c r="AC206"/>
  <c r="AC205"/>
  <c r="AC204"/>
  <c r="AC203"/>
  <c r="AC202"/>
  <c r="AC201"/>
  <c r="AC200"/>
  <c r="AC199"/>
  <c r="AC198"/>
  <c r="AC197"/>
  <c r="AC196"/>
  <c r="AC195"/>
  <c r="AC194"/>
  <c r="AC193"/>
  <c r="AC192"/>
  <c r="AC191"/>
  <c r="AC190"/>
  <c r="AC189"/>
  <c r="AC188"/>
  <c r="AC187"/>
  <c r="AC186"/>
  <c r="AC185"/>
  <c r="AC184"/>
  <c r="AC183"/>
  <c r="AC182"/>
  <c r="AC181"/>
  <c r="AC180"/>
  <c r="AC179"/>
  <c r="AC178"/>
  <c r="AC177"/>
  <c r="AC176"/>
  <c r="AC175"/>
  <c r="AC174"/>
  <c r="AC173"/>
  <c r="AC172"/>
  <c r="AC171"/>
  <c r="AC170"/>
  <c r="AC169"/>
  <c r="AC168"/>
  <c r="AC167"/>
  <c r="AC166"/>
  <c r="AC165"/>
  <c r="AC164"/>
  <c r="AC163"/>
  <c r="AC162"/>
  <c r="AC161"/>
  <c r="AC160"/>
  <c r="AC159"/>
  <c r="AC158"/>
  <c r="AC157"/>
  <c r="AC156"/>
  <c r="AC155"/>
  <c r="AC154"/>
  <c r="AC153"/>
  <c r="AC152"/>
  <c r="AC151"/>
  <c r="AC150"/>
  <c r="AC149"/>
  <c r="AC148"/>
  <c r="AC147"/>
  <c r="AC146"/>
  <c r="AC145"/>
  <c r="AC144"/>
  <c r="AC143"/>
  <c r="AC142"/>
  <c r="AC141"/>
  <c r="AC140"/>
  <c r="AC139"/>
  <c r="AC138"/>
  <c r="AC137"/>
  <c r="AC136"/>
  <c r="AC135"/>
  <c r="AC134"/>
  <c r="AC133"/>
  <c r="AC132"/>
  <c r="AC131"/>
  <c r="AC130"/>
  <c r="AC129"/>
  <c r="AC128"/>
  <c r="AC127"/>
  <c r="AC126"/>
  <c r="AC125"/>
  <c r="AC124"/>
  <c r="AC123"/>
  <c r="AC122"/>
  <c r="AC121"/>
  <c r="AC120"/>
  <c r="AC119"/>
  <c r="AC118"/>
  <c r="AC117"/>
  <c r="AC116"/>
  <c r="AC115"/>
  <c r="AC114"/>
  <c r="AC113"/>
  <c r="AC112"/>
  <c r="AC111"/>
  <c r="AC110"/>
  <c r="AC109"/>
  <c r="AC108"/>
  <c r="AC107"/>
  <c r="AC106"/>
  <c r="AC105"/>
  <c r="AC104"/>
  <c r="AC103"/>
  <c r="AC102"/>
  <c r="AC101"/>
  <c r="AC100"/>
  <c r="AC99"/>
  <c r="AC98"/>
  <c r="AC97"/>
  <c r="AC96"/>
  <c r="AC95"/>
  <c r="AC94"/>
  <c r="AC93"/>
  <c r="AC92"/>
  <c r="AC91"/>
  <c r="AC90"/>
  <c r="AC89"/>
  <c r="AC88"/>
  <c r="AC87"/>
  <c r="AC86"/>
  <c r="AC85"/>
  <c r="AC84"/>
  <c r="AC83"/>
  <c r="AC82"/>
  <c r="AC81"/>
  <c r="AC80"/>
  <c r="AC79"/>
  <c r="AC78"/>
  <c r="AC77"/>
  <c r="AC76"/>
  <c r="AC75"/>
  <c r="AC74"/>
  <c r="AC73"/>
  <c r="AC72"/>
  <c r="AC71"/>
  <c r="AC70"/>
  <c r="AC69"/>
  <c r="AC68"/>
  <c r="AC67"/>
  <c r="AC66"/>
  <c r="AC65"/>
  <c r="AC64"/>
  <c r="AC63"/>
  <c r="AC62"/>
  <c r="AC61"/>
  <c r="AC60"/>
  <c r="AC59"/>
  <c r="AC58"/>
  <c r="AC57"/>
  <c r="AC56"/>
  <c r="AC55"/>
  <c r="AC54"/>
  <c r="AC53"/>
  <c r="AC52"/>
  <c r="AC51"/>
  <c r="AC50"/>
  <c r="AC49"/>
  <c r="AC48"/>
  <c r="AC47"/>
  <c r="AC46"/>
  <c r="AC45"/>
  <c r="AC44"/>
  <c r="AC43"/>
  <c r="AC42"/>
  <c r="AC41"/>
  <c r="AC40"/>
  <c r="AC39"/>
  <c r="AC38"/>
  <c r="AC37"/>
  <c r="AC36"/>
  <c r="AC35"/>
  <c r="AC34"/>
  <c r="AC33"/>
  <c r="AC32"/>
  <c r="AC31"/>
  <c r="AC30"/>
  <c r="AC29"/>
  <c r="AC28"/>
  <c r="AC27"/>
  <c r="AC26"/>
  <c r="AC25"/>
  <c r="AC24"/>
  <c r="AC23"/>
  <c r="AC22"/>
  <c r="AC21"/>
  <c r="AC20"/>
  <c r="AC19"/>
  <c r="AC18"/>
  <c r="AC17"/>
  <c r="AC16"/>
  <c r="AC15"/>
  <c r="AC14"/>
  <c r="AC13"/>
  <c r="AC12"/>
  <c r="AC11"/>
  <c r="AC10"/>
  <c r="AC9"/>
  <c r="AC8"/>
  <c r="AC7"/>
  <c r="AC6"/>
  <c r="AC5"/>
  <c r="AC4"/>
  <c r="AA268"/>
  <c r="AA267"/>
  <c r="AA266"/>
  <c r="AA265"/>
  <c r="AA264"/>
  <c r="AA263"/>
  <c r="AA262"/>
  <c r="AA261"/>
  <c r="AA260"/>
  <c r="AA259"/>
  <c r="AA258"/>
  <c r="AA257"/>
  <c r="AA256"/>
  <c r="AA255"/>
  <c r="AA254"/>
  <c r="AA253"/>
  <c r="AA252"/>
  <c r="AA251"/>
  <c r="AA250"/>
  <c r="AA249"/>
  <c r="AA248"/>
  <c r="AA247"/>
  <c r="AA246"/>
  <c r="AA245"/>
  <c r="AA244"/>
  <c r="AA243"/>
  <c r="AA242"/>
  <c r="AA241"/>
  <c r="AA240"/>
  <c r="AA239"/>
  <c r="AA238"/>
  <c r="AA237"/>
  <c r="AA236"/>
  <c r="AA235"/>
  <c r="AA234"/>
  <c r="AA233"/>
  <c r="AA232"/>
  <c r="AA231"/>
  <c r="AA230"/>
  <c r="AA229"/>
  <c r="AA228"/>
  <c r="AA227"/>
  <c r="AA226"/>
  <c r="AA225"/>
  <c r="AA224"/>
  <c r="AA223"/>
  <c r="AA222"/>
  <c r="AA221"/>
  <c r="AA220"/>
  <c r="AA219"/>
  <c r="AA218"/>
  <c r="AA217"/>
  <c r="AA216"/>
  <c r="AA215"/>
  <c r="AA214"/>
  <c r="AA213"/>
  <c r="AA212"/>
  <c r="AA211"/>
  <c r="AA210"/>
  <c r="AA209"/>
  <c r="AA208"/>
  <c r="AA207"/>
  <c r="AA206"/>
  <c r="AA205"/>
  <c r="AA204"/>
  <c r="AA203"/>
  <c r="AA202"/>
  <c r="AA201"/>
  <c r="AA200"/>
  <c r="AA199"/>
  <c r="AA198"/>
  <c r="AA197"/>
  <c r="AA196"/>
  <c r="AA195"/>
  <c r="AA194"/>
  <c r="AA193"/>
  <c r="AA192"/>
  <c r="AA191"/>
  <c r="AA190"/>
  <c r="AA189"/>
  <c r="AA188"/>
  <c r="AA187"/>
  <c r="AA186"/>
  <c r="AA185"/>
  <c r="AA184"/>
  <c r="AA183"/>
  <c r="AA182"/>
  <c r="AA181"/>
  <c r="AA180"/>
  <c r="AA179"/>
  <c r="AA178"/>
  <c r="AA177"/>
  <c r="AA176"/>
  <c r="AA175"/>
  <c r="AA174"/>
  <c r="AA173"/>
  <c r="AA172"/>
  <c r="AA171"/>
  <c r="AA170"/>
  <c r="AA169"/>
  <c r="AA168"/>
  <c r="AA167"/>
  <c r="AA166"/>
  <c r="AA165"/>
  <c r="AA164"/>
  <c r="AA163"/>
  <c r="AA162"/>
  <c r="AA161"/>
  <c r="AA160"/>
  <c r="AA159"/>
  <c r="AA158"/>
  <c r="AA157"/>
  <c r="AA156"/>
  <c r="AA155"/>
  <c r="AA154"/>
  <c r="AA153"/>
  <c r="AA152"/>
  <c r="AA151"/>
  <c r="AA150"/>
  <c r="AA149"/>
  <c r="AA148"/>
  <c r="AA147"/>
  <c r="AA146"/>
  <c r="AA145"/>
  <c r="AA144"/>
  <c r="AA143"/>
  <c r="AA142"/>
  <c r="AA141"/>
  <c r="AA140"/>
  <c r="AA139"/>
  <c r="AA138"/>
  <c r="AA137"/>
  <c r="AA136"/>
  <c r="AA135"/>
  <c r="AA134"/>
  <c r="AA133"/>
  <c r="AA132"/>
  <c r="AA131"/>
  <c r="AA130"/>
  <c r="AA129"/>
  <c r="AA128"/>
  <c r="AA127"/>
  <c r="AA126"/>
  <c r="AA125"/>
  <c r="AA124"/>
  <c r="AA123"/>
  <c r="AA122"/>
  <c r="AA121"/>
  <c r="AA120"/>
  <c r="AA119"/>
  <c r="AA118"/>
  <c r="AA117"/>
  <c r="AA116"/>
  <c r="AA115"/>
  <c r="AA114"/>
  <c r="AA113"/>
  <c r="AA112"/>
  <c r="AA111"/>
  <c r="AA110"/>
  <c r="AA109"/>
  <c r="AA108"/>
  <c r="AA107"/>
  <c r="AA106"/>
  <c r="AA105"/>
  <c r="AA104"/>
  <c r="AA103"/>
  <c r="AA102"/>
  <c r="AA101"/>
  <c r="AA100"/>
  <c r="AA99"/>
  <c r="AA98"/>
  <c r="AA97"/>
  <c r="AA96"/>
  <c r="AA95"/>
  <c r="AA94"/>
  <c r="AA93"/>
  <c r="AA92"/>
  <c r="AA91"/>
  <c r="AA90"/>
  <c r="AA89"/>
  <c r="AA88"/>
  <c r="AA87"/>
  <c r="AA86"/>
  <c r="AA85"/>
  <c r="AA84"/>
  <c r="AA83"/>
  <c r="AA82"/>
  <c r="AA81"/>
  <c r="AA80"/>
  <c r="AA79"/>
  <c r="AA78"/>
  <c r="AA77"/>
  <c r="AA76"/>
  <c r="AA75"/>
  <c r="AA74"/>
  <c r="AA73"/>
  <c r="AA72"/>
  <c r="AA71"/>
  <c r="AA70"/>
  <c r="AA69"/>
  <c r="AA68"/>
  <c r="AA67"/>
  <c r="AA66"/>
  <c r="AA65"/>
  <c r="AA64"/>
  <c r="AA63"/>
  <c r="AA62"/>
  <c r="AA61"/>
  <c r="AA60"/>
  <c r="AA59"/>
  <c r="AA58"/>
  <c r="AA57"/>
  <c r="AA56"/>
  <c r="AA55"/>
  <c r="AA54"/>
  <c r="AA53"/>
  <c r="AA52"/>
  <c r="AA51"/>
  <c r="AA50"/>
  <c r="AA49"/>
  <c r="AA48"/>
  <c r="AA47"/>
  <c r="AA46"/>
  <c r="AA45"/>
  <c r="AA44"/>
  <c r="AA43"/>
  <c r="AA42"/>
  <c r="AA41"/>
  <c r="AA40"/>
  <c r="AA39"/>
  <c r="AA38"/>
  <c r="AA37"/>
  <c r="AA36"/>
  <c r="AA35"/>
  <c r="AA34"/>
  <c r="AA33"/>
  <c r="AA32"/>
  <c r="AA31"/>
  <c r="AA30"/>
  <c r="AA29"/>
  <c r="AA28"/>
  <c r="AA27"/>
  <c r="AA26"/>
  <c r="AA25"/>
  <c r="AA24"/>
  <c r="AA23"/>
  <c r="AA22"/>
  <c r="AA21"/>
  <c r="AA20"/>
  <c r="AA19"/>
  <c r="AA18"/>
  <c r="AA17"/>
  <c r="AA16"/>
  <c r="AA15"/>
  <c r="AA14"/>
  <c r="AA13"/>
  <c r="AA12"/>
  <c r="AA11"/>
  <c r="AA10"/>
  <c r="AA9"/>
  <c r="AA8"/>
  <c r="AA7"/>
  <c r="AA6"/>
  <c r="AA5"/>
  <c r="AA4"/>
  <c r="H32"/>
  <c r="H31"/>
  <c r="H30"/>
  <c r="H29"/>
  <c r="I29"/>
  <c r="H28"/>
  <c r="I28" s="1"/>
  <c r="H27"/>
  <c r="I27"/>
  <c r="H26"/>
  <c r="I26" s="1"/>
  <c r="H25"/>
  <c r="I25"/>
  <c r="H24"/>
  <c r="I24" s="1"/>
  <c r="H23"/>
  <c r="I23"/>
  <c r="H22"/>
  <c r="I22"/>
  <c r="H21"/>
  <c r="I21"/>
  <c r="H20"/>
  <c r="I20"/>
  <c r="H19"/>
  <c r="I19" s="1"/>
  <c r="H18"/>
  <c r="I18"/>
  <c r="H17"/>
  <c r="I17"/>
  <c r="H16"/>
  <c r="I16"/>
  <c r="H15"/>
  <c r="I15"/>
  <c r="H14"/>
  <c r="I14"/>
  <c r="H13"/>
  <c r="I13"/>
  <c r="H12"/>
  <c r="I12"/>
  <c r="H11"/>
  <c r="I11"/>
  <c r="H10"/>
  <c r="I10"/>
  <c r="H9"/>
  <c r="I9"/>
  <c r="H8"/>
  <c r="I8"/>
  <c r="H7"/>
  <c r="I7"/>
  <c r="H6"/>
  <c r="I6"/>
  <c r="H5"/>
  <c r="I5"/>
  <c r="H4"/>
  <c r="I4"/>
  <c r="G32"/>
  <c r="E32"/>
  <c r="G31"/>
  <c r="E31"/>
  <c r="G30"/>
  <c r="E30"/>
  <c r="G29"/>
  <c r="E29"/>
  <c r="G28"/>
  <c r="E28"/>
  <c r="G27"/>
  <c r="E27"/>
  <c r="G26"/>
  <c r="E26"/>
  <c r="G25"/>
  <c r="E25"/>
  <c r="G24"/>
  <c r="E24"/>
  <c r="G23"/>
  <c r="E23"/>
  <c r="G22"/>
  <c r="E22"/>
  <c r="G21"/>
  <c r="E21"/>
  <c r="G20"/>
  <c r="E20"/>
  <c r="G19"/>
  <c r="E19"/>
  <c r="G18"/>
  <c r="E18"/>
  <c r="G17"/>
  <c r="E17"/>
  <c r="G16"/>
  <c r="E16"/>
  <c r="G15"/>
  <c r="E15"/>
  <c r="G14"/>
  <c r="E14"/>
  <c r="G13"/>
  <c r="E13"/>
  <c r="G12"/>
  <c r="E12"/>
  <c r="G11"/>
  <c r="E11"/>
  <c r="G10"/>
  <c r="E10"/>
  <c r="G9"/>
  <c r="E9"/>
  <c r="G8"/>
  <c r="E8"/>
  <c r="G7"/>
  <c r="E7"/>
  <c r="G6"/>
  <c r="E6"/>
  <c r="G5"/>
  <c r="E5"/>
  <c r="G4"/>
  <c r="E4"/>
  <c r="I34" i="9"/>
  <c r="H34"/>
  <c r="G34"/>
  <c r="F34"/>
  <c r="I33"/>
  <c r="H33"/>
  <c r="G33"/>
  <c r="F33"/>
  <c r="I32"/>
  <c r="H32"/>
  <c r="G32"/>
  <c r="F32"/>
  <c r="I31"/>
  <c r="H31"/>
  <c r="G31"/>
  <c r="F31"/>
  <c r="I30"/>
  <c r="H30"/>
  <c r="G30"/>
  <c r="F30"/>
  <c r="I28"/>
  <c r="H28"/>
  <c r="G28"/>
  <c r="F28"/>
  <c r="I27"/>
  <c r="H27"/>
  <c r="G27"/>
  <c r="F27"/>
  <c r="I25"/>
  <c r="H25"/>
  <c r="G25"/>
  <c r="F25"/>
  <c r="I24"/>
  <c r="H24"/>
  <c r="G24"/>
  <c r="F24"/>
  <c r="I22"/>
  <c r="H22"/>
  <c r="G22"/>
  <c r="F22"/>
  <c r="I21"/>
  <c r="H21"/>
  <c r="G21"/>
  <c r="F21"/>
  <c r="I19"/>
  <c r="H19"/>
  <c r="G19"/>
  <c r="F19"/>
  <c r="I18"/>
  <c r="H18"/>
  <c r="G18"/>
  <c r="F18"/>
  <c r="I16"/>
  <c r="H16"/>
  <c r="G16"/>
  <c r="F16"/>
  <c r="I15"/>
  <c r="H15"/>
  <c r="G15"/>
  <c r="F15"/>
  <c r="I13"/>
  <c r="H13"/>
  <c r="G13"/>
  <c r="F13"/>
  <c r="I12"/>
  <c r="H12"/>
  <c r="G12"/>
  <c r="F12"/>
  <c r="I10"/>
  <c r="H10"/>
  <c r="G10"/>
  <c r="F10"/>
  <c r="I9"/>
  <c r="H9"/>
  <c r="G9"/>
  <c r="F9"/>
  <c r="I7"/>
  <c r="H7"/>
  <c r="G7"/>
  <c r="F7"/>
  <c r="I6"/>
  <c r="H6"/>
  <c r="G6"/>
  <c r="F6"/>
  <c r="I3"/>
  <c r="H3"/>
  <c r="G3"/>
  <c r="F3"/>
  <c r="I2"/>
  <c r="H2"/>
  <c r="G2"/>
  <c r="F2"/>
  <c r="E34"/>
  <c r="D34"/>
  <c r="C34"/>
  <c r="B34"/>
  <c r="E33"/>
  <c r="D33"/>
  <c r="C33"/>
  <c r="B33"/>
  <c r="E32"/>
  <c r="D32"/>
  <c r="C32"/>
  <c r="B32"/>
  <c r="E31"/>
  <c r="D31"/>
  <c r="C31"/>
  <c r="B31"/>
  <c r="E30"/>
  <c r="D30"/>
  <c r="C30"/>
  <c r="B30"/>
  <c r="E28"/>
  <c r="D28"/>
  <c r="C28"/>
  <c r="B28"/>
  <c r="E27"/>
  <c r="D27"/>
  <c r="C27"/>
  <c r="B27"/>
  <c r="E25"/>
  <c r="D25"/>
  <c r="C25"/>
  <c r="B25"/>
  <c r="E24"/>
  <c r="D24"/>
  <c r="C24"/>
  <c r="B24"/>
  <c r="E22"/>
  <c r="D22"/>
  <c r="C22"/>
  <c r="B22"/>
  <c r="E21"/>
  <c r="D21"/>
  <c r="C21"/>
  <c r="B21"/>
  <c r="E19"/>
  <c r="D19"/>
  <c r="C19"/>
  <c r="B19"/>
  <c r="E18"/>
  <c r="D18"/>
  <c r="C18"/>
  <c r="B18"/>
  <c r="E16"/>
  <c r="D16"/>
  <c r="C16"/>
  <c r="B16"/>
  <c r="E15"/>
  <c r="D15"/>
  <c r="C15"/>
  <c r="B15"/>
  <c r="E13"/>
  <c r="D13"/>
  <c r="C13"/>
  <c r="B13"/>
  <c r="E12"/>
  <c r="D12"/>
  <c r="C12"/>
  <c r="B12"/>
  <c r="E10"/>
  <c r="D10"/>
  <c r="C10"/>
  <c r="B10"/>
  <c r="D9"/>
  <c r="B9"/>
  <c r="E7"/>
  <c r="D7"/>
  <c r="C7"/>
  <c r="B7"/>
  <c r="E6"/>
  <c r="D6"/>
  <c r="C6"/>
  <c r="B6"/>
  <c r="E3"/>
  <c r="D3"/>
  <c r="C3"/>
  <c r="B3"/>
  <c r="E2"/>
  <c r="D2"/>
  <c r="C2"/>
  <c r="B2"/>
  <c r="O234" i="12"/>
  <c r="N309" i="14"/>
  <c r="M279" i="15" s="1"/>
  <c r="T279" s="1"/>
  <c r="N285" i="14"/>
  <c r="M255" i="15" s="1"/>
  <c r="T255" s="1"/>
  <c r="T286" i="14"/>
  <c r="AI256" i="15"/>
  <c r="AO256" s="1"/>
  <c r="T262" i="14"/>
  <c r="AI232" i="15" s="1"/>
  <c r="AO232" s="1"/>
  <c r="U214" i="14"/>
  <c r="AJ184" i="15" s="1"/>
  <c r="AQ184" s="1"/>
  <c r="U182" i="14"/>
  <c r="AJ152" i="15" s="1"/>
  <c r="AQ152" s="1"/>
  <c r="U158" i="14"/>
  <c r="AJ128" i="15"/>
  <c r="AQ128" s="1"/>
  <c r="U134" i="14"/>
  <c r="AJ104" i="15" s="1"/>
  <c r="AQ104" s="1"/>
  <c r="U106" i="14"/>
  <c r="AJ76" i="15"/>
  <c r="AQ76" s="1"/>
  <c r="U78" i="14"/>
  <c r="AJ48" i="15" s="1"/>
  <c r="AQ48" s="1"/>
  <c r="U54" i="14"/>
  <c r="AJ24" i="15"/>
  <c r="AQ24" s="1"/>
  <c r="T334" i="14"/>
  <c r="AI304" i="15" s="1"/>
  <c r="AO304" s="1"/>
  <c r="T278" i="14"/>
  <c r="AI248" i="15"/>
  <c r="AO248" s="1"/>
  <c r="T238" i="14"/>
  <c r="AI208" i="15" s="1"/>
  <c r="AO208" s="1"/>
  <c r="U234" i="14"/>
  <c r="AJ204" i="15"/>
  <c r="AQ204" s="1"/>
  <c r="U202" i="14"/>
  <c r="AJ172" i="15" s="1"/>
  <c r="AQ172" s="1"/>
  <c r="O69" i="12"/>
  <c r="O162"/>
  <c r="O273"/>
  <c r="T294" i="14"/>
  <c r="AI264" i="15" s="1"/>
  <c r="AO264" s="1"/>
  <c r="AP264" s="1"/>
  <c r="T302" i="14"/>
  <c r="AI272" i="15" s="1"/>
  <c r="AO272" s="1"/>
  <c r="AP272" s="1"/>
  <c r="T254" i="14"/>
  <c r="AI224" i="15" s="1"/>
  <c r="AO224" s="1"/>
  <c r="U222" i="14"/>
  <c r="AJ192" i="15"/>
  <c r="AQ192" s="1"/>
  <c r="U198" i="14"/>
  <c r="AJ168" i="15"/>
  <c r="AQ168" s="1"/>
  <c r="AR168" s="1"/>
  <c r="AI329" i="14"/>
  <c r="CE299" i="15"/>
  <c r="CL299" s="1"/>
  <c r="AI281" i="14"/>
  <c r="CE251" i="15" s="1"/>
  <c r="CL251" s="1"/>
  <c r="AH263" i="14"/>
  <c r="CD233" i="15"/>
  <c r="CJ233" s="1"/>
  <c r="AH214" i="14"/>
  <c r="CD184" i="15" s="1"/>
  <c r="CJ184" s="1"/>
  <c r="CK184" s="1"/>
  <c r="AI103" i="14"/>
  <c r="CE73" i="15" s="1"/>
  <c r="CL73" s="1"/>
  <c r="AA79" i="14"/>
  <c r="BG49" i="15" s="1"/>
  <c r="BM49" s="1"/>
  <c r="O99" i="12"/>
  <c r="O178"/>
  <c r="S178" s="1"/>
  <c r="BT148" i="10" s="1"/>
  <c r="CA148" s="1"/>
  <c r="O294" i="12"/>
  <c r="AI313" i="14"/>
  <c r="CE283" i="15" s="1"/>
  <c r="CL283" s="1"/>
  <c r="AI265" i="14"/>
  <c r="CE235" i="15" s="1"/>
  <c r="CL235" s="1"/>
  <c r="AF279" i="14"/>
  <c r="CB249" i="15" s="1"/>
  <c r="CF249" s="1"/>
  <c r="AH225" i="14"/>
  <c r="CD195" i="15" s="1"/>
  <c r="CJ195" s="1"/>
  <c r="DI195" s="1"/>
  <c r="I45" i="18"/>
  <c r="M17" i="19" s="1"/>
  <c r="T17" s="1"/>
  <c r="U17" s="1"/>
  <c r="L47" i="14"/>
  <c r="K17" i="15" s="1"/>
  <c r="P17" s="1"/>
  <c r="L39" i="14"/>
  <c r="K9" i="15"/>
  <c r="P9" s="1"/>
  <c r="O42" i="12"/>
  <c r="O106"/>
  <c r="O198"/>
  <c r="AH87" i="14"/>
  <c r="CD57" i="15"/>
  <c r="CJ57"/>
  <c r="CK57" s="1"/>
  <c r="O35" i="12"/>
  <c r="Q35" s="1"/>
  <c r="BR5" i="10" s="1"/>
  <c r="BW5" s="1"/>
  <c r="O78" i="12"/>
  <c r="O141"/>
  <c r="O210"/>
  <c r="Q210" s="1"/>
  <c r="BR180" i="10" s="1"/>
  <c r="BW180" s="1"/>
  <c r="U266" i="14"/>
  <c r="AJ236" i="15" s="1"/>
  <c r="AQ236" s="1"/>
  <c r="L79" i="14"/>
  <c r="K49" i="15"/>
  <c r="P49" s="1"/>
  <c r="AA69" i="14"/>
  <c r="BG39" i="15" s="1"/>
  <c r="BM39" s="1"/>
  <c r="AA55" i="14"/>
  <c r="BG25" i="15" s="1"/>
  <c r="BM25" s="1"/>
  <c r="BN25" s="1"/>
  <c r="O40" i="12"/>
  <c r="O51"/>
  <c r="O58"/>
  <c r="O75"/>
  <c r="O82"/>
  <c r="O103"/>
  <c r="O123"/>
  <c r="O131"/>
  <c r="Q131"/>
  <c r="BR101" i="10" s="1"/>
  <c r="BW101" s="1"/>
  <c r="O145" i="12"/>
  <c r="O174"/>
  <c r="O186"/>
  <c r="O202"/>
  <c r="Q202" s="1"/>
  <c r="BR172" i="10" s="1"/>
  <c r="BW172" s="1"/>
  <c r="O226" i="12"/>
  <c r="Q226" s="1"/>
  <c r="BR196" i="10" s="1"/>
  <c r="BW196" s="1"/>
  <c r="O246" i="12"/>
  <c r="O278"/>
  <c r="N51" i="14"/>
  <c r="M21" i="15" s="1"/>
  <c r="T21" s="1"/>
  <c r="U21" s="1"/>
  <c r="O37" i="12"/>
  <c r="Q37" s="1"/>
  <c r="BR7" i="10" s="1"/>
  <c r="BW7" s="1"/>
  <c r="O53" i="12"/>
  <c r="O71"/>
  <c r="O91"/>
  <c r="Q91" s="1"/>
  <c r="BR61" i="10" s="1"/>
  <c r="BW61" s="1"/>
  <c r="O110" i="12"/>
  <c r="O134"/>
  <c r="O166"/>
  <c r="O190"/>
  <c r="Q190"/>
  <c r="BR160" i="10" s="1"/>
  <c r="BW160" s="1"/>
  <c r="O222" i="12"/>
  <c r="Q222"/>
  <c r="BR192" i="10" s="1"/>
  <c r="BW192" s="1"/>
  <c r="O258" i="12"/>
  <c r="M72" i="14"/>
  <c r="L42" i="15" s="1"/>
  <c r="R42" s="1"/>
  <c r="U330" i="14"/>
  <c r="AJ300" i="15"/>
  <c r="AQ300" s="1"/>
  <c r="AR300" s="1"/>
  <c r="AA34" i="14"/>
  <c r="BG4" i="15"/>
  <c r="BM4" s="1"/>
  <c r="BN4" s="1"/>
  <c r="AI87" i="14"/>
  <c r="CE57" i="15" s="1"/>
  <c r="CL57" s="1"/>
  <c r="Q25"/>
  <c r="CR25"/>
  <c r="O10"/>
  <c r="CO10"/>
  <c r="BL72"/>
  <c r="CS72"/>
  <c r="CG57"/>
  <c r="DC57"/>
  <c r="CG84"/>
  <c r="DC84"/>
  <c r="CK201"/>
  <c r="DI201"/>
  <c r="CG217"/>
  <c r="DC217"/>
  <c r="CG233"/>
  <c r="DC233"/>
  <c r="CK249"/>
  <c r="DI249"/>
  <c r="CK265"/>
  <c r="DI265"/>
  <c r="CG281"/>
  <c r="DC281"/>
  <c r="CG297"/>
  <c r="DC297"/>
  <c r="BJ43"/>
  <c r="CP43"/>
  <c r="BJ39"/>
  <c r="CP39"/>
  <c r="BJ35"/>
  <c r="CP35"/>
  <c r="BJ29"/>
  <c r="CP29"/>
  <c r="BJ25"/>
  <c r="CP25"/>
  <c r="BJ23"/>
  <c r="CP23"/>
  <c r="BJ19"/>
  <c r="CP19"/>
  <c r="BJ13"/>
  <c r="CP13"/>
  <c r="BJ11"/>
  <c r="CP11"/>
  <c r="AR285"/>
  <c r="DK285"/>
  <c r="AR201"/>
  <c r="DK201"/>
  <c r="AR193"/>
  <c r="DK193"/>
  <c r="AR185"/>
  <c r="DK185"/>
  <c r="AR169"/>
  <c r="DK169"/>
  <c r="AR161"/>
  <c r="DK161"/>
  <c r="AR153"/>
  <c r="DK153"/>
  <c r="AR137"/>
  <c r="DK137"/>
  <c r="AR133"/>
  <c r="DK133"/>
  <c r="AR129"/>
  <c r="DK129"/>
  <c r="AR121"/>
  <c r="DK121"/>
  <c r="AR89"/>
  <c r="DK89"/>
  <c r="AR85"/>
  <c r="DK85"/>
  <c r="AR81"/>
  <c r="DK81"/>
  <c r="AR77"/>
  <c r="DK77"/>
  <c r="AR73"/>
  <c r="DK73"/>
  <c r="AR69"/>
  <c r="DK69"/>
  <c r="AR65"/>
  <c r="DK65"/>
  <c r="AR41"/>
  <c r="DK41"/>
  <c r="AR33"/>
  <c r="DK33"/>
  <c r="AR29"/>
  <c r="DK29"/>
  <c r="AR25"/>
  <c r="DK25"/>
  <c r="AR21"/>
  <c r="DK21"/>
  <c r="AR17"/>
  <c r="DK17"/>
  <c r="Q304"/>
  <c r="CR304"/>
  <c r="Q296"/>
  <c r="CR296"/>
  <c r="Q292"/>
  <c r="CR292"/>
  <c r="Q288"/>
  <c r="CR288"/>
  <c r="Q284"/>
  <c r="CR284"/>
  <c r="Q280"/>
  <c r="CR280"/>
  <c r="Q272"/>
  <c r="CR272"/>
  <c r="Q264"/>
  <c r="CR264"/>
  <c r="Q256"/>
  <c r="CR256"/>
  <c r="Q248"/>
  <c r="CR248"/>
  <c r="Q232"/>
  <c r="CR232"/>
  <c r="Q220"/>
  <c r="CR220"/>
  <c r="Q216"/>
  <c r="CR216"/>
  <c r="Q208"/>
  <c r="CR208"/>
  <c r="Q204"/>
  <c r="CR204"/>
  <c r="Q200"/>
  <c r="CR200"/>
  <c r="Q196"/>
  <c r="CR196"/>
  <c r="Q192"/>
  <c r="CR192"/>
  <c r="Q168"/>
  <c r="CR168"/>
  <c r="Q152"/>
  <c r="CR152"/>
  <c r="Q144"/>
  <c r="CR144"/>
  <c r="Q136"/>
  <c r="CR136"/>
  <c r="Q128"/>
  <c r="CR128"/>
  <c r="Q120"/>
  <c r="CR120"/>
  <c r="Q112"/>
  <c r="CR112"/>
  <c r="Q104"/>
  <c r="CR104"/>
  <c r="Q96"/>
  <c r="CR96"/>
  <c r="Q92"/>
  <c r="CR92"/>
  <c r="Q84"/>
  <c r="CR84"/>
  <c r="Q76"/>
  <c r="CR76"/>
  <c r="Q72"/>
  <c r="CR72"/>
  <c r="CT72" s="1"/>
  <c r="Q64"/>
  <c r="CR64"/>
  <c r="Q60"/>
  <c r="CR60"/>
  <c r="Q56"/>
  <c r="CR56"/>
  <c r="Q52"/>
  <c r="CR52"/>
  <c r="Q48"/>
  <c r="CR48"/>
  <c r="Q40"/>
  <c r="CR40"/>
  <c r="Q16"/>
  <c r="CR16"/>
  <c r="Q12"/>
  <c r="CR12"/>
  <c r="Q8"/>
  <c r="CR8"/>
  <c r="U25"/>
  <c r="CX25"/>
  <c r="U49"/>
  <c r="CX49"/>
  <c r="AL280"/>
  <c r="DB280"/>
  <c r="AN116"/>
  <c r="DE116"/>
  <c r="AN92"/>
  <c r="DE92"/>
  <c r="BP88"/>
  <c r="CY88"/>
  <c r="CG235"/>
  <c r="DC235"/>
  <c r="CG303"/>
  <c r="DC303"/>
  <c r="CG239"/>
  <c r="DC239"/>
  <c r="CG207"/>
  <c r="DC207"/>
  <c r="BP37"/>
  <c r="CY37"/>
  <c r="CG299"/>
  <c r="DC299"/>
  <c r="AR305"/>
  <c r="DK305"/>
  <c r="AR177"/>
  <c r="DK177"/>
  <c r="AL32"/>
  <c r="DB32"/>
  <c r="AR9"/>
  <c r="DK9"/>
  <c r="AR97"/>
  <c r="DK97"/>
  <c r="AN160"/>
  <c r="DE160"/>
  <c r="AN248"/>
  <c r="DE248"/>
  <c r="AN136"/>
  <c r="DE136"/>
  <c r="O194"/>
  <c r="CO194"/>
  <c r="Q115"/>
  <c r="CR115"/>
  <c r="Q11"/>
  <c r="CR11"/>
  <c r="Q80"/>
  <c r="CR80"/>
  <c r="BL25"/>
  <c r="CS25"/>
  <c r="BN266"/>
  <c r="CV266"/>
  <c r="O26"/>
  <c r="CO26"/>
  <c r="Q147"/>
  <c r="CR147"/>
  <c r="BL21"/>
  <c r="CS21"/>
  <c r="BJ51"/>
  <c r="CP51"/>
  <c r="Q135"/>
  <c r="CR135"/>
  <c r="N318" i="14"/>
  <c r="M288" i="15" s="1"/>
  <c r="T288" s="1"/>
  <c r="N294" i="14"/>
  <c r="M264" i="15" s="1"/>
  <c r="T264" s="1"/>
  <c r="N270" i="14"/>
  <c r="M240" i="15"/>
  <c r="T240" s="1"/>
  <c r="N246" i="14"/>
  <c r="M216" i="15"/>
  <c r="T216"/>
  <c r="N218" i="14"/>
  <c r="M188" i="15" s="1"/>
  <c r="T188" s="1"/>
  <c r="N190" i="14"/>
  <c r="M160" i="15" s="1"/>
  <c r="T160" s="1"/>
  <c r="N166" i="14"/>
  <c r="M136" i="15"/>
  <c r="T136" s="1"/>
  <c r="N142" i="14"/>
  <c r="M112" i="15"/>
  <c r="T112"/>
  <c r="N118" i="14"/>
  <c r="M88" i="15" s="1"/>
  <c r="T88" s="1"/>
  <c r="N90" i="14"/>
  <c r="M60" i="15" s="1"/>
  <c r="T60" s="1"/>
  <c r="N62" i="14"/>
  <c r="M32" i="15"/>
  <c r="T32" s="1"/>
  <c r="N38" i="14"/>
  <c r="M8" i="15" s="1"/>
  <c r="T8" s="1"/>
  <c r="M40" i="14"/>
  <c r="L10" i="15" s="1"/>
  <c r="R10" s="1"/>
  <c r="S219" i="14"/>
  <c r="AH189" i="15" s="1"/>
  <c r="AM189" s="1"/>
  <c r="S191" i="14"/>
  <c r="AH161" i="15" s="1"/>
  <c r="AM161" s="1"/>
  <c r="S167" i="14"/>
  <c r="AH137" i="15"/>
  <c r="AM137" s="1"/>
  <c r="S143" i="14"/>
  <c r="AH113" i="15" s="1"/>
  <c r="AM113" s="1"/>
  <c r="S119" i="14"/>
  <c r="AH89" i="15" s="1"/>
  <c r="AM89" s="1"/>
  <c r="S91" i="14"/>
  <c r="AH61" i="15" s="1"/>
  <c r="AM61" s="1"/>
  <c r="S63" i="14"/>
  <c r="AH33" i="15" s="1"/>
  <c r="AM33" s="1"/>
  <c r="S39" i="14"/>
  <c r="AH9" i="15" s="1"/>
  <c r="AM9" s="1"/>
  <c r="AF283" i="14"/>
  <c r="CB253" i="15" s="1"/>
  <c r="CF253" s="1"/>
  <c r="AF295" i="14"/>
  <c r="CB265" i="15" s="1"/>
  <c r="CF265" s="1"/>
  <c r="AF231" i="14"/>
  <c r="CB201" i="15" s="1"/>
  <c r="CF201" s="1"/>
  <c r="AB102" i="14"/>
  <c r="BH72" i="15" s="1"/>
  <c r="BO72" s="1"/>
  <c r="BJ62"/>
  <c r="CP62"/>
  <c r="CK235"/>
  <c r="DI235"/>
  <c r="CK108"/>
  <c r="DI108"/>
  <c r="BN51"/>
  <c r="CV51"/>
  <c r="AA71" i="14"/>
  <c r="BG41" i="15" s="1"/>
  <c r="BM41" s="1"/>
  <c r="AA57" i="14"/>
  <c r="BG27" i="15"/>
  <c r="BM27" s="1"/>
  <c r="AA45" i="14"/>
  <c r="BG15" i="15"/>
  <c r="BM15"/>
  <c r="CK303"/>
  <c r="DI303"/>
  <c r="CK287"/>
  <c r="DI287"/>
  <c r="CK271"/>
  <c r="DI271"/>
  <c r="CK255"/>
  <c r="DI255"/>
  <c r="CK239"/>
  <c r="DI239"/>
  <c r="CK223"/>
  <c r="DI223"/>
  <c r="CK207"/>
  <c r="DI207"/>
  <c r="CK191"/>
  <c r="DI191"/>
  <c r="CK225"/>
  <c r="DI225"/>
  <c r="CK193"/>
  <c r="DI193"/>
  <c r="CG203"/>
  <c r="DC203"/>
  <c r="CM92"/>
  <c r="DL92"/>
  <c r="CM68"/>
  <c r="DL68"/>
  <c r="AB81" i="14"/>
  <c r="BH51" i="15" s="1"/>
  <c r="BO51" s="1"/>
  <c r="BP39"/>
  <c r="CY39"/>
  <c r="BP27"/>
  <c r="CY27"/>
  <c r="BP19"/>
  <c r="CY19"/>
  <c r="BP7"/>
  <c r="CY7"/>
  <c r="CK257"/>
  <c r="DI257"/>
  <c r="CK299"/>
  <c r="DI299"/>
  <c r="AR281"/>
  <c r="DK281"/>
  <c r="AR249"/>
  <c r="DK249"/>
  <c r="AR217"/>
  <c r="DK217"/>
  <c r="AL96"/>
  <c r="DB96"/>
  <c r="AL40"/>
  <c r="DB40"/>
  <c r="AL8"/>
  <c r="DB8"/>
  <c r="AL160"/>
  <c r="DB160"/>
  <c r="AL304"/>
  <c r="DB304"/>
  <c r="AL272"/>
  <c r="DB272"/>
  <c r="AN264"/>
  <c r="DE264"/>
  <c r="AN80"/>
  <c r="DE80"/>
  <c r="AL224"/>
  <c r="DB224"/>
  <c r="AN224"/>
  <c r="DE224"/>
  <c r="AL164"/>
  <c r="DB164"/>
  <c r="AN112"/>
  <c r="DE112"/>
  <c r="AL60"/>
  <c r="DB60"/>
  <c r="AL248"/>
  <c r="DB248"/>
  <c r="AN72"/>
  <c r="DE72"/>
  <c r="O302"/>
  <c r="CO302"/>
  <c r="O134"/>
  <c r="CO134"/>
  <c r="AL136"/>
  <c r="DB136"/>
  <c r="S214"/>
  <c r="CU214"/>
  <c r="O202"/>
  <c r="CO202"/>
  <c r="Q131"/>
  <c r="CR131"/>
  <c r="Q211"/>
  <c r="CR211"/>
  <c r="Q263"/>
  <c r="CR263"/>
  <c r="Q27"/>
  <c r="CR27"/>
  <c r="Q247"/>
  <c r="CR247"/>
  <c r="Q143"/>
  <c r="CR143"/>
  <c r="CI203"/>
  <c r="DF203"/>
  <c r="CI204"/>
  <c r="DF204"/>
  <c r="CI219"/>
  <c r="DF219"/>
  <c r="BL45"/>
  <c r="CS45"/>
  <c r="CI76"/>
  <c r="DF76"/>
  <c r="CI52"/>
  <c r="DF52"/>
  <c r="CG184"/>
  <c r="DC184"/>
  <c r="CI187"/>
  <c r="DF187"/>
  <c r="BN62"/>
  <c r="CV62"/>
  <c r="AN280"/>
  <c r="DE280"/>
  <c r="O34"/>
  <c r="CO34"/>
  <c r="BL91"/>
  <c r="CS91"/>
  <c r="BL4"/>
  <c r="CS4"/>
  <c r="CI228"/>
  <c r="DF228"/>
  <c r="AN272"/>
  <c r="DE272"/>
  <c r="AN24"/>
  <c r="DE24"/>
  <c r="BL99"/>
  <c r="CS99"/>
  <c r="BL39"/>
  <c r="CS39"/>
  <c r="Q167"/>
  <c r="CR167"/>
  <c r="U9"/>
  <c r="CX9"/>
  <c r="O126"/>
  <c r="CO126"/>
  <c r="O62"/>
  <c r="CO62"/>
  <c r="CQ62" s="1"/>
  <c r="Q215"/>
  <c r="CR215"/>
  <c r="BN110"/>
  <c r="CV110"/>
  <c r="CI100"/>
  <c r="DF100"/>
  <c r="BL59"/>
  <c r="CS59"/>
  <c r="O70"/>
  <c r="CO70"/>
  <c r="Q295"/>
  <c r="CR295"/>
  <c r="Q231"/>
  <c r="CR231"/>
  <c r="Q151"/>
  <c r="CR151"/>
  <c r="Q87"/>
  <c r="CR87"/>
  <c r="Q39"/>
  <c r="CR39"/>
  <c r="CT39"/>
  <c r="BN258"/>
  <c r="CV258"/>
  <c r="Q163"/>
  <c r="CR163"/>
  <c r="BN218"/>
  <c r="CV218"/>
  <c r="BJ47"/>
  <c r="CP47"/>
  <c r="AL80"/>
  <c r="DB80"/>
  <c r="BL13"/>
  <c r="CS13"/>
  <c r="AN56"/>
  <c r="DE56"/>
  <c r="O174"/>
  <c r="CO174"/>
  <c r="BJ49"/>
  <c r="CP49"/>
  <c r="L63" i="14"/>
  <c r="K33" i="15" s="1"/>
  <c r="P33" s="1"/>
  <c r="BL80"/>
  <c r="CS80"/>
  <c r="CG76"/>
  <c r="DC76"/>
  <c r="CI60"/>
  <c r="DF60"/>
  <c r="O306"/>
  <c r="CO306"/>
  <c r="O298"/>
  <c r="CO298"/>
  <c r="O282"/>
  <c r="CO282"/>
  <c r="S274"/>
  <c r="CU274"/>
  <c r="S266"/>
  <c r="CU266"/>
  <c r="S258"/>
  <c r="CU258"/>
  <c r="S250"/>
  <c r="CU250"/>
  <c r="O242"/>
  <c r="CO242"/>
  <c r="O234"/>
  <c r="CO234"/>
  <c r="S226"/>
  <c r="CU226"/>
  <c r="O218"/>
  <c r="CO218"/>
  <c r="O186"/>
  <c r="CO186"/>
  <c r="S178"/>
  <c r="CU178"/>
  <c r="O170"/>
  <c r="CO170"/>
  <c r="S166"/>
  <c r="CU166"/>
  <c r="O162"/>
  <c r="CO162"/>
  <c r="O146"/>
  <c r="CO146"/>
  <c r="O138"/>
  <c r="CO138"/>
  <c r="S130"/>
  <c r="CU130"/>
  <c r="S122"/>
  <c r="CU122"/>
  <c r="O114"/>
  <c r="CO114"/>
  <c r="O106"/>
  <c r="CO106"/>
  <c r="O82"/>
  <c r="CO82"/>
  <c r="O74"/>
  <c r="CO74"/>
  <c r="O66"/>
  <c r="CO66"/>
  <c r="O58"/>
  <c r="CO58"/>
  <c r="O50"/>
  <c r="CO50"/>
  <c r="CI108"/>
  <c r="DF108"/>
  <c r="CG271"/>
  <c r="DC271"/>
  <c r="CG225"/>
  <c r="DC225"/>
  <c r="BP67"/>
  <c r="CY67"/>
  <c r="BP5"/>
  <c r="CY5"/>
  <c r="AR209"/>
  <c r="DK209"/>
  <c r="AR49"/>
  <c r="DK49"/>
  <c r="AL296"/>
  <c r="DB296"/>
  <c r="AN64"/>
  <c r="DE64"/>
  <c r="Q188"/>
  <c r="CR188"/>
  <c r="O270"/>
  <c r="CO270"/>
  <c r="Q32"/>
  <c r="CR32"/>
  <c r="Q24"/>
  <c r="CR24"/>
  <c r="Q103"/>
  <c r="CR103"/>
  <c r="CI259"/>
  <c r="DF259"/>
  <c r="CG66"/>
  <c r="DC66"/>
  <c r="CI57"/>
  <c r="DF57"/>
  <c r="CG65"/>
  <c r="DC65"/>
  <c r="BJ27"/>
  <c r="CP27"/>
  <c r="Q271"/>
  <c r="CR271"/>
  <c r="Q23"/>
  <c r="CR23"/>
  <c r="Q276"/>
  <c r="CR276"/>
  <c r="CG108"/>
  <c r="DC108"/>
  <c r="AN32"/>
  <c r="DE32"/>
  <c r="AN8"/>
  <c r="DE8"/>
  <c r="O150"/>
  <c r="CO150"/>
  <c r="Q88"/>
  <c r="CR88"/>
  <c r="BJ45"/>
  <c r="CP45"/>
  <c r="BJ41"/>
  <c r="CP41"/>
  <c r="BJ37"/>
  <c r="CP37"/>
  <c r="BJ33"/>
  <c r="CP33"/>
  <c r="BJ15"/>
  <c r="CP15"/>
  <c r="BJ9"/>
  <c r="CP9"/>
  <c r="AR293"/>
  <c r="DK293"/>
  <c r="AR277"/>
  <c r="DK277"/>
  <c r="AR261"/>
  <c r="DK261"/>
  <c r="AR237"/>
  <c r="DK237"/>
  <c r="AR221"/>
  <c r="DK221"/>
  <c r="AR205"/>
  <c r="DK205"/>
  <c r="AR181"/>
  <c r="DK181"/>
  <c r="AR173"/>
  <c r="DK173"/>
  <c r="AR149"/>
  <c r="DK149"/>
  <c r="AR125"/>
  <c r="DK125"/>
  <c r="AR117"/>
  <c r="DK117"/>
  <c r="AR109"/>
  <c r="DK109"/>
  <c r="AR93"/>
  <c r="DK93"/>
  <c r="AR53"/>
  <c r="DK53"/>
  <c r="AR37"/>
  <c r="DK37"/>
  <c r="Q260"/>
  <c r="CR260"/>
  <c r="Q244"/>
  <c r="CR244"/>
  <c r="Q228"/>
  <c r="CR228"/>
  <c r="Q212"/>
  <c r="CR212"/>
  <c r="Q180"/>
  <c r="CR180"/>
  <c r="Q172"/>
  <c r="CR172"/>
  <c r="Q164"/>
  <c r="CR164"/>
  <c r="Q156"/>
  <c r="CR156"/>
  <c r="Q148"/>
  <c r="CR148"/>
  <c r="Q140"/>
  <c r="CR140"/>
  <c r="Q132"/>
  <c r="CR132"/>
  <c r="Q124"/>
  <c r="CR124"/>
  <c r="Q116"/>
  <c r="CR116"/>
  <c r="Q108"/>
  <c r="CR108"/>
  <c r="Q100"/>
  <c r="CR100"/>
  <c r="Q68"/>
  <c r="CR68"/>
  <c r="Q44"/>
  <c r="CR44"/>
  <c r="Q36"/>
  <c r="CR36"/>
  <c r="Q28"/>
  <c r="CR28"/>
  <c r="Q20"/>
  <c r="CR20"/>
  <c r="Q29"/>
  <c r="CR29"/>
  <c r="BN54"/>
  <c r="CV54"/>
  <c r="BN86"/>
  <c r="CV86"/>
  <c r="BL47"/>
  <c r="CS47"/>
  <c r="BL83"/>
  <c r="CS83"/>
  <c r="BL104"/>
  <c r="CS104"/>
  <c r="CG52"/>
  <c r="DC52"/>
  <c r="CG89"/>
  <c r="DC89"/>
  <c r="CK189"/>
  <c r="DI189"/>
  <c r="CK205"/>
  <c r="DI205"/>
  <c r="CK221"/>
  <c r="DI221"/>
  <c r="CK237"/>
  <c r="DI237"/>
  <c r="CK253"/>
  <c r="DI253"/>
  <c r="CK269"/>
  <c r="DI269"/>
  <c r="CK285"/>
  <c r="DI285"/>
  <c r="CK301"/>
  <c r="DI301"/>
  <c r="CG195"/>
  <c r="DC195"/>
  <c r="CG211"/>
  <c r="DC211"/>
  <c r="CK227"/>
  <c r="DI227"/>
  <c r="CK243"/>
  <c r="DI243"/>
  <c r="CK259"/>
  <c r="DI259"/>
  <c r="CG275"/>
  <c r="DC275"/>
  <c r="CK291"/>
  <c r="DI291"/>
  <c r="O22"/>
  <c r="CO22"/>
  <c r="CI195"/>
  <c r="DF195"/>
  <c r="CI211"/>
  <c r="DF211"/>
  <c r="CI243"/>
  <c r="DF243"/>
  <c r="CI275"/>
  <c r="DF275"/>
  <c r="CI291"/>
  <c r="DF291"/>
  <c r="CI84"/>
  <c r="DF84"/>
  <c r="CI89"/>
  <c r="DF89"/>
  <c r="CI182"/>
  <c r="DF182"/>
  <c r="CK66"/>
  <c r="DI66"/>
  <c r="U41"/>
  <c r="CX41"/>
  <c r="U17"/>
  <c r="CX17"/>
  <c r="BJ70"/>
  <c r="CP70"/>
  <c r="CK92"/>
  <c r="DI92"/>
  <c r="CG287"/>
  <c r="DC287"/>
  <c r="CG223"/>
  <c r="DC223"/>
  <c r="CG193"/>
  <c r="DC193"/>
  <c r="BP49"/>
  <c r="CY49"/>
  <c r="BP15"/>
  <c r="CY15"/>
  <c r="AR241"/>
  <c r="DK241"/>
  <c r="AR113"/>
  <c r="DK113"/>
  <c r="AL152"/>
  <c r="DB152"/>
  <c r="AL220"/>
  <c r="DB220"/>
  <c r="AL108"/>
  <c r="DB108"/>
  <c r="AN52"/>
  <c r="DE52"/>
  <c r="S198"/>
  <c r="CU198"/>
  <c r="Q160"/>
  <c r="CR160"/>
  <c r="Q47"/>
  <c r="CR47"/>
  <c r="CT47"/>
  <c r="Q240"/>
  <c r="CR240"/>
  <c r="CI300"/>
  <c r="DF300"/>
  <c r="CI283"/>
  <c r="DF283"/>
  <c r="BL43"/>
  <c r="CS43"/>
  <c r="U29"/>
  <c r="CX29"/>
  <c r="S286"/>
  <c r="CU286"/>
  <c r="O110"/>
  <c r="CO110"/>
  <c r="BL51"/>
  <c r="CS51"/>
  <c r="Q223"/>
  <c r="CR223"/>
  <c r="BL64"/>
  <c r="CS64"/>
  <c r="AR253"/>
  <c r="DK253"/>
  <c r="AR101"/>
  <c r="DK101"/>
  <c r="AR61"/>
  <c r="DK61"/>
  <c r="AR13"/>
  <c r="DK13"/>
  <c r="Q300"/>
  <c r="CR300"/>
  <c r="Q268"/>
  <c r="CR268"/>
  <c r="Q236"/>
  <c r="CR236"/>
  <c r="N334" i="14"/>
  <c r="M304" i="15" s="1"/>
  <c r="T304" s="1"/>
  <c r="N310" i="14"/>
  <c r="M280" i="15" s="1"/>
  <c r="T280" s="1"/>
  <c r="N282" i="14"/>
  <c r="M252" i="15"/>
  <c r="T252" s="1"/>
  <c r="N254" i="14"/>
  <c r="M224" i="15" s="1"/>
  <c r="T224" s="1"/>
  <c r="N230" i="14"/>
  <c r="M200" i="15" s="1"/>
  <c r="T200" s="1"/>
  <c r="N206" i="14"/>
  <c r="M176" i="15" s="1"/>
  <c r="T176" s="1"/>
  <c r="N182" i="14"/>
  <c r="M152" i="15"/>
  <c r="T152" s="1"/>
  <c r="N154" i="14"/>
  <c r="M124" i="15" s="1"/>
  <c r="T124" s="1"/>
  <c r="N126" i="14"/>
  <c r="M96" i="15" s="1"/>
  <c r="T96" s="1"/>
  <c r="N102" i="14"/>
  <c r="M72" i="15" s="1"/>
  <c r="T72" s="1"/>
  <c r="N78" i="14"/>
  <c r="M48" i="15"/>
  <c r="T48" s="1"/>
  <c r="N54" i="14"/>
  <c r="M24" i="15" s="1"/>
  <c r="T24" s="1"/>
  <c r="U151"/>
  <c r="CX151"/>
  <c r="U127"/>
  <c r="CX127"/>
  <c r="U103"/>
  <c r="CX103"/>
  <c r="U79"/>
  <c r="CX79"/>
  <c r="U51"/>
  <c r="CX51"/>
  <c r="U23"/>
  <c r="CX23"/>
  <c r="S278"/>
  <c r="CU278"/>
  <c r="S230"/>
  <c r="CU230"/>
  <c r="S158"/>
  <c r="CU158"/>
  <c r="S118"/>
  <c r="CU118"/>
  <c r="S58"/>
  <c r="CU58"/>
  <c r="AP204"/>
  <c r="DH204"/>
  <c r="AP168"/>
  <c r="DH168"/>
  <c r="AP112"/>
  <c r="DH112"/>
  <c r="AP44"/>
  <c r="DH44"/>
  <c r="AP292"/>
  <c r="DH292"/>
  <c r="AP224"/>
  <c r="DH224"/>
  <c r="AP192"/>
  <c r="DH192"/>
  <c r="AP152"/>
  <c r="DH152"/>
  <c r="AP108"/>
  <c r="DH108"/>
  <c r="AP80"/>
  <c r="DH80"/>
  <c r="AP40"/>
  <c r="DH40"/>
  <c r="AR304"/>
  <c r="DK304"/>
  <c r="AR280"/>
  <c r="DK280"/>
  <c r="AR256"/>
  <c r="DK256"/>
  <c r="AR232"/>
  <c r="DK232"/>
  <c r="AR204"/>
  <c r="DK204"/>
  <c r="AR176"/>
  <c r="DK176"/>
  <c r="AR152"/>
  <c r="DK152"/>
  <c r="AR128"/>
  <c r="DK128"/>
  <c r="AR104"/>
  <c r="DK104"/>
  <c r="AR76"/>
  <c r="DK76"/>
  <c r="AR48"/>
  <c r="DK48"/>
  <c r="AR24"/>
  <c r="DK24"/>
  <c r="AN305"/>
  <c r="DE305"/>
  <c r="AN281"/>
  <c r="DE281"/>
  <c r="S283" i="14"/>
  <c r="AH253" i="15"/>
  <c r="AM253" s="1"/>
  <c r="AN225"/>
  <c r="DE225"/>
  <c r="S231" i="14"/>
  <c r="AH201" i="15" s="1"/>
  <c r="AM201" s="1"/>
  <c r="S207" i="14"/>
  <c r="AH177" i="15"/>
  <c r="AM177" s="1"/>
  <c r="S183" i="14"/>
  <c r="AH153" i="15" s="1"/>
  <c r="AM153" s="1"/>
  <c r="S155" i="14"/>
  <c r="AH125" i="15"/>
  <c r="AM125" s="1"/>
  <c r="S127" i="14"/>
  <c r="AH97" i="15" s="1"/>
  <c r="AM97" s="1"/>
  <c r="S103" i="14"/>
  <c r="AH73" i="15"/>
  <c r="AM73" s="1"/>
  <c r="S79" i="14"/>
  <c r="AH49" i="15" s="1"/>
  <c r="AM49" s="1"/>
  <c r="S55" i="14"/>
  <c r="AH25" i="15"/>
  <c r="AM25" s="1"/>
  <c r="CV4"/>
  <c r="CM259"/>
  <c r="DL259"/>
  <c r="CM203"/>
  <c r="DL203"/>
  <c r="CG293"/>
  <c r="DC293"/>
  <c r="CK261"/>
  <c r="DI261"/>
  <c r="CG245"/>
  <c r="DC245"/>
  <c r="CK213"/>
  <c r="DI213"/>
  <c r="AF219" i="14"/>
  <c r="CB189" i="15"/>
  <c r="CF189" s="1"/>
  <c r="CG273"/>
  <c r="DC273"/>
  <c r="CM300"/>
  <c r="DL300"/>
  <c r="CM268"/>
  <c r="DL268"/>
  <c r="CM236"/>
  <c r="DL236"/>
  <c r="CM204"/>
  <c r="DL204"/>
  <c r="CK105"/>
  <c r="DI105"/>
  <c r="Y116" i="14"/>
  <c r="BE86" i="15" s="1"/>
  <c r="BI86" s="1"/>
  <c r="CK65"/>
  <c r="DI65"/>
  <c r="CK305"/>
  <c r="DI305"/>
  <c r="AH247" i="14"/>
  <c r="CD217" i="15"/>
  <c r="CJ217" s="1"/>
  <c r="AH241" i="14"/>
  <c r="CD211" i="15" s="1"/>
  <c r="CJ211" s="1"/>
  <c r="CM89"/>
  <c r="DL89"/>
  <c r="CK60"/>
  <c r="DI60"/>
  <c r="BN47"/>
  <c r="CV47"/>
  <c r="AA65" i="14"/>
  <c r="BG35" i="15"/>
  <c r="BM35" s="1"/>
  <c r="AA53" i="14"/>
  <c r="BG23" i="15" s="1"/>
  <c r="BM23" s="1"/>
  <c r="AA39" i="14"/>
  <c r="BG9" i="15"/>
  <c r="BM9" s="1"/>
  <c r="CK295"/>
  <c r="DI295"/>
  <c r="CK279"/>
  <c r="DI279"/>
  <c r="CK263"/>
  <c r="DI263"/>
  <c r="CK247"/>
  <c r="DI247"/>
  <c r="CK231"/>
  <c r="DI231"/>
  <c r="CK215"/>
  <c r="DI215"/>
  <c r="CK199"/>
  <c r="DI199"/>
  <c r="AH311" i="14"/>
  <c r="CD281" i="15" s="1"/>
  <c r="CJ281" s="1"/>
  <c r="CK209"/>
  <c r="DI209"/>
  <c r="AH305" i="14"/>
  <c r="CD275" i="15" s="1"/>
  <c r="CJ275" s="1"/>
  <c r="BP107"/>
  <c r="CY107"/>
  <c r="CM84"/>
  <c r="DL84"/>
  <c r="BP59"/>
  <c r="CY59"/>
  <c r="BP43"/>
  <c r="CY43"/>
  <c r="BP35"/>
  <c r="CY35"/>
  <c r="BP23"/>
  <c r="CY23"/>
  <c r="BP11"/>
  <c r="CY11"/>
  <c r="AH327" i="14"/>
  <c r="CD297" i="15" s="1"/>
  <c r="CJ297" s="1"/>
  <c r="CK241"/>
  <c r="DI241"/>
  <c r="AR297"/>
  <c r="DK297"/>
  <c r="AR265"/>
  <c r="DK265"/>
  <c r="AR233"/>
  <c r="DK233"/>
  <c r="AL208"/>
  <c r="DB208"/>
  <c r="AL120"/>
  <c r="DB120"/>
  <c r="AL24"/>
  <c r="DB24"/>
  <c r="AL176"/>
  <c r="DB176"/>
  <c r="AL144"/>
  <c r="DB144"/>
  <c r="AL104"/>
  <c r="DB104"/>
  <c r="AL288"/>
  <c r="DB288"/>
  <c r="AL256"/>
  <c r="DB256"/>
  <c r="AN120"/>
  <c r="DE120"/>
  <c r="AN252"/>
  <c r="DE252"/>
  <c r="AL92"/>
  <c r="DB92"/>
  <c r="AN16"/>
  <c r="DE16"/>
  <c r="AN176"/>
  <c r="DE176"/>
  <c r="AN152"/>
  <c r="DE152"/>
  <c r="AL56"/>
  <c r="DB56"/>
  <c r="O254"/>
  <c r="CO254"/>
  <c r="AN304"/>
  <c r="DE304"/>
  <c r="AN200"/>
  <c r="DE200"/>
  <c r="O222"/>
  <c r="CO222"/>
  <c r="AL216"/>
  <c r="DB216"/>
  <c r="AL72"/>
  <c r="DB72"/>
  <c r="AL232"/>
  <c r="DB232"/>
  <c r="S98"/>
  <c r="CU98"/>
  <c r="Q119"/>
  <c r="CR119"/>
  <c r="O210"/>
  <c r="CO210"/>
  <c r="Q199"/>
  <c r="CR199"/>
  <c r="Q31"/>
  <c r="CR31"/>
  <c r="Q303"/>
  <c r="CR303"/>
  <c r="Q175"/>
  <c r="CR175"/>
  <c r="Q71"/>
  <c r="CR71"/>
  <c r="CI267"/>
  <c r="DF267"/>
  <c r="CI268"/>
  <c r="DF268"/>
  <c r="CI227"/>
  <c r="DF227"/>
  <c r="CG183"/>
  <c r="DC183"/>
  <c r="CG68"/>
  <c r="DC68"/>
  <c r="BL96"/>
  <c r="CS96"/>
  <c r="BL35"/>
  <c r="CS35"/>
  <c r="BN234"/>
  <c r="CV234"/>
  <c r="CI81"/>
  <c r="DF81"/>
  <c r="BN298"/>
  <c r="CV298"/>
  <c r="BL15"/>
  <c r="CS15"/>
  <c r="Q19"/>
  <c r="CR19"/>
  <c r="O18"/>
  <c r="CO18"/>
  <c r="CX21"/>
  <c r="AN208"/>
  <c r="DE208"/>
  <c r="S190"/>
  <c r="CU190"/>
  <c r="CI188"/>
  <c r="DF188"/>
  <c r="U33"/>
  <c r="CX33"/>
  <c r="O230"/>
  <c r="CO230"/>
  <c r="O94"/>
  <c r="CO94"/>
  <c r="O6"/>
  <c r="CO6"/>
  <c r="AL64"/>
  <c r="DB64"/>
  <c r="CI92"/>
  <c r="DF92"/>
  <c r="O158"/>
  <c r="CO158"/>
  <c r="O46"/>
  <c r="CO46"/>
  <c r="Q255"/>
  <c r="CR255"/>
  <c r="Q207"/>
  <c r="CR207"/>
  <c r="Q127"/>
  <c r="CR127"/>
  <c r="Q63"/>
  <c r="CR63"/>
  <c r="Q7"/>
  <c r="CR7"/>
  <c r="BL23"/>
  <c r="CS23"/>
  <c r="AN156"/>
  <c r="DE156"/>
  <c r="AN128"/>
  <c r="DE128"/>
  <c r="S102"/>
  <c r="CU102"/>
  <c r="O246"/>
  <c r="CO246"/>
  <c r="O86"/>
  <c r="CO86"/>
  <c r="CI65"/>
  <c r="DF65"/>
  <c r="CG4"/>
  <c r="DC4"/>
  <c r="AN300"/>
  <c r="DE300"/>
  <c r="AN292"/>
  <c r="DE292"/>
  <c r="AN284"/>
  <c r="DE284"/>
  <c r="AN276"/>
  <c r="DE276"/>
  <c r="AN268"/>
  <c r="DE268"/>
  <c r="AN260"/>
  <c r="DE260"/>
  <c r="AN244"/>
  <c r="DE244"/>
  <c r="AN236"/>
  <c r="DE236"/>
  <c r="AN228"/>
  <c r="DE228"/>
  <c r="AN220"/>
  <c r="DE220"/>
  <c r="AN212"/>
  <c r="DE212"/>
  <c r="AN204"/>
  <c r="DE204"/>
  <c r="DG204" s="1"/>
  <c r="AN196"/>
  <c r="DE196"/>
  <c r="AN188"/>
  <c r="DE188"/>
  <c r="AN180"/>
  <c r="DE180"/>
  <c r="AN172"/>
  <c r="DE172"/>
  <c r="AN148"/>
  <c r="DE148"/>
  <c r="AN140"/>
  <c r="DE140"/>
  <c r="AN132"/>
  <c r="DE132"/>
  <c r="AN124"/>
  <c r="DE124"/>
  <c r="AN108"/>
  <c r="DE108"/>
  <c r="AN100"/>
  <c r="DE100"/>
  <c r="DG100"/>
  <c r="AN84"/>
  <c r="DE84"/>
  <c r="AN76"/>
  <c r="DE76"/>
  <c r="DG76" s="1"/>
  <c r="AN68"/>
  <c r="DE68"/>
  <c r="AN60"/>
  <c r="DE60"/>
  <c r="DG60" s="1"/>
  <c r="AN44"/>
  <c r="DE44"/>
  <c r="AN36"/>
  <c r="DE36"/>
  <c r="AN28"/>
  <c r="DE28"/>
  <c r="AN20"/>
  <c r="DE20"/>
  <c r="AN12"/>
  <c r="DE12"/>
  <c r="Q299"/>
  <c r="CR299"/>
  <c r="Q291"/>
  <c r="CR291"/>
  <c r="Q283"/>
  <c r="CR283"/>
  <c r="Q275"/>
  <c r="CR275"/>
  <c r="Q267"/>
  <c r="CR267"/>
  <c r="Q259"/>
  <c r="CR259"/>
  <c r="Q251"/>
  <c r="CR251"/>
  <c r="Q243"/>
  <c r="CR243"/>
  <c r="Q235"/>
  <c r="CR235"/>
  <c r="Q219"/>
  <c r="CR219"/>
  <c r="Q203"/>
  <c r="CR203"/>
  <c r="Q195"/>
  <c r="CR195"/>
  <c r="Q187"/>
  <c r="CR187"/>
  <c r="Q179"/>
  <c r="CR179"/>
  <c r="Q171"/>
  <c r="CR171"/>
  <c r="Q155"/>
  <c r="CR155"/>
  <c r="Q139"/>
  <c r="CR139"/>
  <c r="Q123"/>
  <c r="CR123"/>
  <c r="Q107"/>
  <c r="CR107"/>
  <c r="Q99"/>
  <c r="CR99"/>
  <c r="CT99" s="1"/>
  <c r="Q91"/>
  <c r="CR91"/>
  <c r="CT91" s="1"/>
  <c r="Q83"/>
  <c r="CR83"/>
  <c r="Q75"/>
  <c r="CR75"/>
  <c r="Q67"/>
  <c r="CR67"/>
  <c r="Q59"/>
  <c r="CR59"/>
  <c r="CT59"/>
  <c r="Q51"/>
  <c r="CR51"/>
  <c r="Q43"/>
  <c r="CR43"/>
  <c r="Q35"/>
  <c r="CR35"/>
  <c r="O14"/>
  <c r="CO14"/>
  <c r="BN202"/>
  <c r="CV202"/>
  <c r="BN282"/>
  <c r="CV282"/>
  <c r="BL75"/>
  <c r="CS75"/>
  <c r="CG97"/>
  <c r="DC97"/>
  <c r="BL41"/>
  <c r="CS41"/>
  <c r="BL37"/>
  <c r="CS37"/>
  <c r="BL33"/>
  <c r="CS33"/>
  <c r="BL29"/>
  <c r="CS29"/>
  <c r="BL17"/>
  <c r="CS17"/>
  <c r="BL9"/>
  <c r="CS9"/>
  <c r="Q21"/>
  <c r="CR21"/>
  <c r="CI196"/>
  <c r="DF196"/>
  <c r="CI212"/>
  <c r="DF212"/>
  <c r="CI244"/>
  <c r="DF244"/>
  <c r="CI260"/>
  <c r="DF260"/>
  <c r="CI276"/>
  <c r="DF276"/>
  <c r="CI292"/>
  <c r="DF292"/>
  <c r="CI97"/>
  <c r="DF97"/>
  <c r="U4"/>
  <c r="CX4"/>
  <c r="U45"/>
  <c r="CX45"/>
  <c r="U208"/>
  <c r="CX208"/>
  <c r="U80"/>
  <c r="CX80"/>
  <c r="O250"/>
  <c r="CO250"/>
  <c r="S150"/>
  <c r="CU150"/>
  <c r="S18"/>
  <c r="CU18"/>
  <c r="U211"/>
  <c r="CX211"/>
  <c r="U135"/>
  <c r="CX135"/>
  <c r="U7"/>
  <c r="CX7"/>
  <c r="CZ7" s="1"/>
  <c r="S62"/>
  <c r="CU62"/>
  <c r="CW62" s="1"/>
  <c r="AP52"/>
  <c r="DH52"/>
  <c r="AP232"/>
  <c r="DH232"/>
  <c r="AP88"/>
  <c r="DH88"/>
  <c r="AR264"/>
  <c r="DK264"/>
  <c r="AR208"/>
  <c r="DK208"/>
  <c r="AR108"/>
  <c r="DK108"/>
  <c r="AR8"/>
  <c r="DK8"/>
  <c r="AN209"/>
  <c r="DE209"/>
  <c r="AN105"/>
  <c r="DE105"/>
  <c r="AN57"/>
  <c r="DE57"/>
  <c r="DG57" s="1"/>
  <c r="CM267"/>
  <c r="DL267"/>
  <c r="CK245"/>
  <c r="DI245"/>
  <c r="CK233"/>
  <c r="DI233"/>
  <c r="BJ210"/>
  <c r="CP210"/>
  <c r="DI57"/>
  <c r="CK68"/>
  <c r="DI68"/>
  <c r="BN11"/>
  <c r="CV11"/>
  <c r="CG255"/>
  <c r="DC255"/>
  <c r="CG191"/>
  <c r="DC191"/>
  <c r="BP91"/>
  <c r="CY91"/>
  <c r="BP25"/>
  <c r="CY25"/>
  <c r="CG257"/>
  <c r="DC257"/>
  <c r="AR273"/>
  <c r="DK273"/>
  <c r="AR145"/>
  <c r="DK145"/>
  <c r="AN96"/>
  <c r="DE96"/>
  <c r="AL184"/>
  <c r="DB184"/>
  <c r="DD184"/>
  <c r="AL264"/>
  <c r="DB264"/>
  <c r="AN256"/>
  <c r="DE256"/>
  <c r="AN184"/>
  <c r="DE184"/>
  <c r="AL44"/>
  <c r="DB44"/>
  <c r="AL68"/>
  <c r="DB68"/>
  <c r="O294"/>
  <c r="CO294"/>
  <c r="Q224"/>
  <c r="CR224"/>
  <c r="Q176"/>
  <c r="CR176"/>
  <c r="Q191"/>
  <c r="CR191"/>
  <c r="Q184"/>
  <c r="CR184"/>
  <c r="CI299"/>
  <c r="DF299"/>
  <c r="CI284"/>
  <c r="DF284"/>
  <c r="CI68"/>
  <c r="DF68"/>
  <c r="BJ7"/>
  <c r="CP7"/>
  <c r="CG92"/>
  <c r="DC92"/>
  <c r="AN40"/>
  <c r="DE40"/>
  <c r="BL67"/>
  <c r="CS67"/>
  <c r="AN296"/>
  <c r="DE296"/>
  <c r="O278"/>
  <c r="CO278"/>
  <c r="Q111"/>
  <c r="CR111"/>
  <c r="BL31"/>
  <c r="CS31"/>
  <c r="O54"/>
  <c r="CO54"/>
  <c r="Q79"/>
  <c r="CR79"/>
  <c r="S90"/>
  <c r="CU90"/>
  <c r="BL19"/>
  <c r="CS19"/>
  <c r="AN192"/>
  <c r="DE192"/>
  <c r="O262"/>
  <c r="CO262"/>
  <c r="BJ31"/>
  <c r="CP31"/>
  <c r="BJ21"/>
  <c r="CP21"/>
  <c r="BJ17"/>
  <c r="CP17"/>
  <c r="BJ5"/>
  <c r="CP5"/>
  <c r="AR301"/>
  <c r="DK301"/>
  <c r="AR269"/>
  <c r="DK269"/>
  <c r="AR245"/>
  <c r="DK245"/>
  <c r="AR229"/>
  <c r="DK229"/>
  <c r="AR213"/>
  <c r="DK213"/>
  <c r="AR197"/>
  <c r="DK197"/>
  <c r="AR189"/>
  <c r="DK189"/>
  <c r="AR165"/>
  <c r="DK165"/>
  <c r="AR157"/>
  <c r="DK157"/>
  <c r="AR141"/>
  <c r="DK141"/>
  <c r="AR105"/>
  <c r="DK105"/>
  <c r="AR57"/>
  <c r="DK57"/>
  <c r="AR45"/>
  <c r="DK45"/>
  <c r="AR5"/>
  <c r="DK5"/>
  <c r="Q252"/>
  <c r="CR252"/>
  <c r="N326" i="14"/>
  <c r="M296" i="15" s="1"/>
  <c r="T296" s="1"/>
  <c r="N302" i="14"/>
  <c r="M272" i="15"/>
  <c r="T272" s="1"/>
  <c r="N278" i="14"/>
  <c r="M248" i="15"/>
  <c r="T248" s="1"/>
  <c r="N250" i="14"/>
  <c r="M220" i="15" s="1"/>
  <c r="T220" s="1"/>
  <c r="N222" i="14"/>
  <c r="M192" i="15" s="1"/>
  <c r="T192" s="1"/>
  <c r="N198" i="14"/>
  <c r="M168" i="15" s="1"/>
  <c r="T168" s="1"/>
  <c r="N174" i="14"/>
  <c r="M144" i="15"/>
  <c r="T144" s="1"/>
  <c r="N150" i="14"/>
  <c r="M120" i="15" s="1"/>
  <c r="T120" s="1"/>
  <c r="N122" i="14"/>
  <c r="M92" i="15" s="1"/>
  <c r="T92" s="1"/>
  <c r="N94" i="14"/>
  <c r="M64" i="15" s="1"/>
  <c r="T64" s="1"/>
  <c r="N70" i="14"/>
  <c r="M40" i="15"/>
  <c r="T40" s="1"/>
  <c r="N46" i="14"/>
  <c r="M16" i="15" s="1"/>
  <c r="T16" s="1"/>
  <c r="S30"/>
  <c r="CU30"/>
  <c r="O214"/>
  <c r="CO214"/>
  <c r="O142"/>
  <c r="CO142"/>
  <c r="S298"/>
  <c r="CU298"/>
  <c r="S194"/>
  <c r="CU194"/>
  <c r="S110"/>
  <c r="CU110"/>
  <c r="S46"/>
  <c r="CU46"/>
  <c r="U303"/>
  <c r="CX303"/>
  <c r="U275"/>
  <c r="CX275"/>
  <c r="U247"/>
  <c r="CX247"/>
  <c r="U223"/>
  <c r="CX223"/>
  <c r="U199"/>
  <c r="CX199"/>
  <c r="U175"/>
  <c r="CX175"/>
  <c r="U147"/>
  <c r="CX147"/>
  <c r="U119"/>
  <c r="CX119"/>
  <c r="U95"/>
  <c r="CX95"/>
  <c r="U71"/>
  <c r="CX71"/>
  <c r="U47"/>
  <c r="CX47"/>
  <c r="U19"/>
  <c r="CX19"/>
  <c r="CZ19"/>
  <c r="S270"/>
  <c r="CU270"/>
  <c r="S222"/>
  <c r="CU222"/>
  <c r="S146"/>
  <c r="CU146"/>
  <c r="S94"/>
  <c r="CU94"/>
  <c r="S38"/>
  <c r="CU38"/>
  <c r="AP260"/>
  <c r="DH260"/>
  <c r="AP196"/>
  <c r="DH196"/>
  <c r="AP128"/>
  <c r="DH128"/>
  <c r="AP104"/>
  <c r="DH104"/>
  <c r="AP16"/>
  <c r="DH16"/>
  <c r="AP288"/>
  <c r="DH288"/>
  <c r="AP248"/>
  <c r="DH248"/>
  <c r="AP216"/>
  <c r="DH216"/>
  <c r="AP172"/>
  <c r="DH172"/>
  <c r="AP144"/>
  <c r="DH144"/>
  <c r="AP100"/>
  <c r="DH100"/>
  <c r="AP72"/>
  <c r="DH72"/>
  <c r="AP32"/>
  <c r="DH32"/>
  <c r="AR272"/>
  <c r="DK272"/>
  <c r="AR248"/>
  <c r="DK248"/>
  <c r="AR224"/>
  <c r="DK224"/>
  <c r="AR200"/>
  <c r="DK200"/>
  <c r="AR172"/>
  <c r="DK172"/>
  <c r="AR144"/>
  <c r="DK144"/>
  <c r="AR120"/>
  <c r="DK120"/>
  <c r="AR96"/>
  <c r="DK96"/>
  <c r="AR72"/>
  <c r="DK72"/>
  <c r="AR44"/>
  <c r="DK44"/>
  <c r="AR16"/>
  <c r="DK16"/>
  <c r="AN297"/>
  <c r="DE297"/>
  <c r="AN273"/>
  <c r="DE273"/>
  <c r="AN249"/>
  <c r="DE249"/>
  <c r="S251" i="14"/>
  <c r="AH221" i="15" s="1"/>
  <c r="AM221" s="1"/>
  <c r="S223" i="14"/>
  <c r="AH193" i="15" s="1"/>
  <c r="AM193" s="1"/>
  <c r="S199" i="14"/>
  <c r="AH169" i="15" s="1"/>
  <c r="AM169" s="1"/>
  <c r="S175" i="14"/>
  <c r="AH145" i="15" s="1"/>
  <c r="AM145" s="1"/>
  <c r="S151" i="14"/>
  <c r="AH121" i="15" s="1"/>
  <c r="AM121" s="1"/>
  <c r="S123" i="14"/>
  <c r="AH93" i="15" s="1"/>
  <c r="AM93" s="1"/>
  <c r="S95" i="14"/>
  <c r="AH65" i="15" s="1"/>
  <c r="AM65" s="1"/>
  <c r="S71" i="14"/>
  <c r="AH41" i="15" s="1"/>
  <c r="AM41" s="1"/>
  <c r="S47" i="14"/>
  <c r="AH17" i="15" s="1"/>
  <c r="AM17" s="1"/>
  <c r="CM299"/>
  <c r="DL299"/>
  <c r="CM251"/>
  <c r="DL251"/>
  <c r="AI225" i="14"/>
  <c r="CE195" i="15" s="1"/>
  <c r="CL195" s="1"/>
  <c r="AF315" i="14"/>
  <c r="CB285" i="15" s="1"/>
  <c r="CF285" s="1"/>
  <c r="CG261"/>
  <c r="DC261"/>
  <c r="CK229"/>
  <c r="DI229"/>
  <c r="CG213"/>
  <c r="DC213"/>
  <c r="CK289"/>
  <c r="DI289"/>
  <c r="CM284"/>
  <c r="DL284"/>
  <c r="CM252"/>
  <c r="DL252"/>
  <c r="CM220"/>
  <c r="DL220"/>
  <c r="CM188"/>
  <c r="DL188"/>
  <c r="AB134" i="14"/>
  <c r="BH104" i="15" s="1"/>
  <c r="BO104" s="1"/>
  <c r="CK81"/>
  <c r="DI81"/>
  <c r="BP64"/>
  <c r="CY64"/>
  <c r="CG305"/>
  <c r="DC305"/>
  <c r="AH114" i="14"/>
  <c r="CD84" i="15" s="1"/>
  <c r="CJ84" s="1"/>
  <c r="CM57"/>
  <c r="DL57"/>
  <c r="AA73" i="14"/>
  <c r="BG43" i="15" s="1"/>
  <c r="BM43" s="1"/>
  <c r="AA61" i="14"/>
  <c r="BG31" i="15" s="1"/>
  <c r="BM31" s="1"/>
  <c r="AA49" i="14"/>
  <c r="BG19" i="15"/>
  <c r="BM19" s="1"/>
  <c r="AA37" i="14"/>
  <c r="BG7" i="15"/>
  <c r="BM7"/>
  <c r="CG295"/>
  <c r="DC295"/>
  <c r="CG279"/>
  <c r="DC279"/>
  <c r="CG263"/>
  <c r="DC263"/>
  <c r="CG247"/>
  <c r="DC247"/>
  <c r="CG231"/>
  <c r="DC231"/>
  <c r="CG215"/>
  <c r="DC215"/>
  <c r="CG199"/>
  <c r="DC199"/>
  <c r="CG209"/>
  <c r="DC209"/>
  <c r="CK203"/>
  <c r="DI203"/>
  <c r="CM100"/>
  <c r="DL100"/>
  <c r="CM76"/>
  <c r="DL76"/>
  <c r="CM52"/>
  <c r="DL52"/>
  <c r="BP41"/>
  <c r="CY41"/>
  <c r="BP31"/>
  <c r="CY31"/>
  <c r="BP21"/>
  <c r="CY21"/>
  <c r="BP9"/>
  <c r="CY9"/>
  <c r="CG241"/>
  <c r="DC241"/>
  <c r="AR289"/>
  <c r="DK289"/>
  <c r="AR257"/>
  <c r="DK257"/>
  <c r="AR225"/>
  <c r="DK225"/>
  <c r="AL200"/>
  <c r="DB200"/>
  <c r="AL48"/>
  <c r="DB48"/>
  <c r="AL16"/>
  <c r="DB16"/>
  <c r="AL168"/>
  <c r="DB168"/>
  <c r="AL192"/>
  <c r="DB192"/>
  <c r="AN104"/>
  <c r="DE104"/>
  <c r="AL112"/>
  <c r="DB112"/>
  <c r="AL240"/>
  <c r="DB240"/>
  <c r="AN240"/>
  <c r="DE240"/>
  <c r="AN168"/>
  <c r="DE168"/>
  <c r="AN144"/>
  <c r="DE144"/>
  <c r="AL100"/>
  <c r="DB100"/>
  <c r="AL88"/>
  <c r="DB88"/>
  <c r="AN164"/>
  <c r="DE164"/>
  <c r="AN88"/>
  <c r="DE88"/>
  <c r="O206"/>
  <c r="CO206"/>
  <c r="AN216"/>
  <c r="DE216"/>
  <c r="S238"/>
  <c r="CU238"/>
  <c r="AN232"/>
  <c r="DE232"/>
  <c r="AL128"/>
  <c r="DB128"/>
  <c r="O154"/>
  <c r="CO154"/>
  <c r="Q15"/>
  <c r="CR15"/>
  <c r="Q287"/>
  <c r="CR287"/>
  <c r="Q159"/>
  <c r="CR159"/>
  <c r="CI235"/>
  <c r="DF235"/>
  <c r="CI236"/>
  <c r="DF236"/>
  <c r="CI252"/>
  <c r="DF252"/>
  <c r="BL49"/>
  <c r="CS49"/>
  <c r="CI251"/>
  <c r="DF251"/>
  <c r="CG60"/>
  <c r="DC60"/>
  <c r="BL27"/>
  <c r="CS27"/>
  <c r="CI220"/>
  <c r="DF220"/>
  <c r="BN70"/>
  <c r="CV70"/>
  <c r="BN94"/>
  <c r="CV94"/>
  <c r="BL7"/>
  <c r="CS7"/>
  <c r="O290"/>
  <c r="CO290"/>
  <c r="BL11"/>
  <c r="CS11"/>
  <c r="U5"/>
  <c r="CX5"/>
  <c r="CZ5"/>
  <c r="AN288"/>
  <c r="DE288"/>
  <c r="AN48"/>
  <c r="DE48"/>
  <c r="S142"/>
  <c r="CU142"/>
  <c r="BL107"/>
  <c r="CS107"/>
  <c r="O182"/>
  <c r="CO182"/>
  <c r="O78"/>
  <c r="CO78"/>
  <c r="Q279"/>
  <c r="CR279"/>
  <c r="BN226"/>
  <c r="CV226"/>
  <c r="BN78"/>
  <c r="CV78"/>
  <c r="O118"/>
  <c r="CO118"/>
  <c r="O30"/>
  <c r="CO30"/>
  <c r="Q239"/>
  <c r="CR239"/>
  <c r="Q183"/>
  <c r="CR183"/>
  <c r="Q95"/>
  <c r="CR95"/>
  <c r="Q55"/>
  <c r="CR55"/>
  <c r="BN250"/>
  <c r="CV250"/>
  <c r="BL5"/>
  <c r="CS5"/>
  <c r="Q227"/>
  <c r="CR227"/>
  <c r="I61" i="18"/>
  <c r="M33" i="19" s="1"/>
  <c r="T33" s="1"/>
  <c r="U33" s="1"/>
  <c r="I49" i="18"/>
  <c r="M21" i="19" s="1"/>
  <c r="T21" s="1"/>
  <c r="U21" s="1"/>
  <c r="CG81" i="15"/>
  <c r="DC81"/>
  <c r="BJ4"/>
  <c r="CP4"/>
  <c r="O42"/>
  <c r="CO42"/>
  <c r="Q17"/>
  <c r="CR17"/>
  <c r="BN102"/>
  <c r="CV102"/>
  <c r="BN186"/>
  <c r="CV186"/>
  <c r="BN194"/>
  <c r="CV194"/>
  <c r="BN210"/>
  <c r="CV210"/>
  <c r="BN242"/>
  <c r="CV242"/>
  <c r="BN274"/>
  <c r="CV274"/>
  <c r="BN290"/>
  <c r="CV290"/>
  <c r="BN306"/>
  <c r="CV306"/>
  <c r="BL56"/>
  <c r="CS56"/>
  <c r="BL88"/>
  <c r="CS88"/>
  <c r="CG73"/>
  <c r="DC73"/>
  <c r="CG100"/>
  <c r="DC100"/>
  <c r="CG105"/>
  <c r="DC105"/>
  <c r="CG219"/>
  <c r="DC219"/>
  <c r="CG251"/>
  <c r="DC251"/>
  <c r="CK267"/>
  <c r="DI267"/>
  <c r="CK283"/>
  <c r="DI283"/>
  <c r="CI4"/>
  <c r="DF4"/>
  <c r="AL300"/>
  <c r="DB300"/>
  <c r="AL292"/>
  <c r="DB292"/>
  <c r="AL284"/>
  <c r="DB284"/>
  <c r="AL276"/>
  <c r="DB276"/>
  <c r="AL268"/>
  <c r="DB268"/>
  <c r="AL260"/>
  <c r="DB260"/>
  <c r="AL252"/>
  <c r="DB252"/>
  <c r="AL244"/>
  <c r="DB244"/>
  <c r="AL236"/>
  <c r="DB236"/>
  <c r="AL228"/>
  <c r="DB228"/>
  <c r="AL212"/>
  <c r="DB212"/>
  <c r="AL204"/>
  <c r="DB204"/>
  <c r="AL196"/>
  <c r="DB196"/>
  <c r="AL188"/>
  <c r="DB188"/>
  <c r="AL180"/>
  <c r="DB180"/>
  <c r="AL172"/>
  <c r="DB172"/>
  <c r="AL156"/>
  <c r="DB156"/>
  <c r="AL148"/>
  <c r="DB148"/>
  <c r="AL140"/>
  <c r="DB140"/>
  <c r="AL132"/>
  <c r="DB132"/>
  <c r="AL124"/>
  <c r="DB124"/>
  <c r="AL116"/>
  <c r="DB116"/>
  <c r="AL84"/>
  <c r="DB84"/>
  <c r="AL76"/>
  <c r="DB76"/>
  <c r="DD76" s="1"/>
  <c r="AL52"/>
  <c r="DB52"/>
  <c r="DD52"/>
  <c r="AL36"/>
  <c r="DB36"/>
  <c r="AL28"/>
  <c r="DB28"/>
  <c r="AL20"/>
  <c r="DB20"/>
  <c r="AL12"/>
  <c r="DB12"/>
  <c r="O38"/>
  <c r="CO38"/>
  <c r="Q4"/>
  <c r="CR4"/>
  <c r="CT4" s="1"/>
  <c r="CI73"/>
  <c r="DF73"/>
  <c r="CI105"/>
  <c r="DF105"/>
  <c r="U37"/>
  <c r="CX37"/>
  <c r="U13"/>
  <c r="CX13"/>
  <c r="M104" i="14"/>
  <c r="L74" i="15" s="1"/>
  <c r="R74" s="1"/>
  <c r="U306" i="14"/>
  <c r="AJ276" i="15"/>
  <c r="AQ276" s="1"/>
  <c r="U210" i="14"/>
  <c r="AJ180" i="15" s="1"/>
  <c r="AQ180" s="1"/>
  <c r="U146" i="14"/>
  <c r="AJ116" i="15" s="1"/>
  <c r="AQ116" s="1"/>
  <c r="U82" i="14"/>
  <c r="AJ52" i="15" s="1"/>
  <c r="AQ52" s="1"/>
  <c r="U50" i="14"/>
  <c r="AJ20" i="15"/>
  <c r="AQ20" s="1"/>
  <c r="AF289" i="14"/>
  <c r="CB259" i="15" s="1"/>
  <c r="CF259" s="1"/>
  <c r="AI274" i="14"/>
  <c r="CE244" i="15" s="1"/>
  <c r="CL244" s="1"/>
  <c r="AI242" i="14"/>
  <c r="CE212" i="15" s="1"/>
  <c r="CL212" s="1"/>
  <c r="AI127" i="14"/>
  <c r="CE97" i="15"/>
  <c r="CL97" s="1"/>
  <c r="L71" i="14"/>
  <c r="K41" i="15" s="1"/>
  <c r="P41" s="1"/>
  <c r="N130" i="14"/>
  <c r="M100" i="15" s="1"/>
  <c r="T100" s="1"/>
  <c r="N185" i="14"/>
  <c r="M155" i="15" s="1"/>
  <c r="T155" s="1"/>
  <c r="T90" i="14"/>
  <c r="AI60" i="15"/>
  <c r="AO60" s="1"/>
  <c r="S259" i="14"/>
  <c r="AH229" i="15" s="1"/>
  <c r="AM229" s="1"/>
  <c r="S99" i="14"/>
  <c r="AH69" i="15" s="1"/>
  <c r="AM69" s="1"/>
  <c r="O214" i="12"/>
  <c r="S214" s="1"/>
  <c r="BT184" i="10" s="1"/>
  <c r="CA184" s="1"/>
  <c r="O289" i="12"/>
  <c r="K304" i="14"/>
  <c r="J274" i="15" s="1"/>
  <c r="N274" s="1"/>
  <c r="K120" i="14"/>
  <c r="J90" i="15" s="1"/>
  <c r="N90" s="1"/>
  <c r="M264" i="14"/>
  <c r="L234" i="15"/>
  <c r="R234" s="1"/>
  <c r="T258" i="14"/>
  <c r="AI228" i="15" s="1"/>
  <c r="AO228" s="1"/>
  <c r="T178" i="14"/>
  <c r="AI148" i="15" s="1"/>
  <c r="AO148" s="1"/>
  <c r="T98" i="14"/>
  <c r="AI68" i="15" s="1"/>
  <c r="AO68" s="1"/>
  <c r="T330" i="14"/>
  <c r="AI300" i="15"/>
  <c r="AO300" s="1"/>
  <c r="T218" i="14"/>
  <c r="AI188" i="15" s="1"/>
  <c r="AO188" s="1"/>
  <c r="T114" i="14"/>
  <c r="AI84" i="15" s="1"/>
  <c r="AO84" s="1"/>
  <c r="U314" i="14"/>
  <c r="AJ284" i="15" s="1"/>
  <c r="AQ284" s="1"/>
  <c r="U282" i="14"/>
  <c r="AJ252" i="15"/>
  <c r="AQ252" s="1"/>
  <c r="U250" i="14"/>
  <c r="AJ220" i="15" s="1"/>
  <c r="AQ220" s="1"/>
  <c r="U218" i="14"/>
  <c r="AJ188" i="15" s="1"/>
  <c r="AQ188" s="1"/>
  <c r="U186" i="14"/>
  <c r="AJ156" i="15" s="1"/>
  <c r="AQ156" s="1"/>
  <c r="U154" i="14"/>
  <c r="AJ124" i="15"/>
  <c r="AQ124" s="1"/>
  <c r="U122" i="14"/>
  <c r="AJ92" i="15" s="1"/>
  <c r="AQ92" s="1"/>
  <c r="U90" i="14"/>
  <c r="AJ60" i="15"/>
  <c r="AQ60" s="1"/>
  <c r="U58" i="14"/>
  <c r="AJ28" i="15" s="1"/>
  <c r="AQ28" s="1"/>
  <c r="AF331" i="14"/>
  <c r="CB301" i="15"/>
  <c r="CF301" s="1"/>
  <c r="AF299" i="14"/>
  <c r="CB269" i="15" s="1"/>
  <c r="CF269" s="1"/>
  <c r="AF267" i="14"/>
  <c r="CB237" i="15"/>
  <c r="CF237" s="1"/>
  <c r="AF235" i="14"/>
  <c r="CB205" i="15" s="1"/>
  <c r="CF205" s="1"/>
  <c r="AF321" i="14"/>
  <c r="CB291" i="15"/>
  <c r="CF291" s="1"/>
  <c r="AH281" i="14"/>
  <c r="CD251" i="15" s="1"/>
  <c r="CJ251" s="1"/>
  <c r="AI135" i="14"/>
  <c r="CE105" i="15"/>
  <c r="CL105" s="1"/>
  <c r="AH249" i="14"/>
  <c r="CD219" i="15" s="1"/>
  <c r="CJ219" s="1"/>
  <c r="AB75" i="14"/>
  <c r="BH45" i="15"/>
  <c r="BO45" s="1"/>
  <c r="AB59" i="14"/>
  <c r="BH29" i="15" s="1"/>
  <c r="BO29" s="1"/>
  <c r="AB43" i="14"/>
  <c r="BH13" i="15"/>
  <c r="BO13" s="1"/>
  <c r="AF257" i="14"/>
  <c r="CB227" i="15" s="1"/>
  <c r="CF227" s="1"/>
  <c r="I57" i="18"/>
  <c r="M29" i="19"/>
  <c r="T29" s="1"/>
  <c r="U29" s="1"/>
  <c r="L75" i="14"/>
  <c r="K45" i="15"/>
  <c r="P45" s="1"/>
  <c r="L35" i="14"/>
  <c r="K5" i="15" s="1"/>
  <c r="P5" s="1"/>
  <c r="M240" i="14"/>
  <c r="L210" i="15"/>
  <c r="R210" s="1"/>
  <c r="M144" i="14"/>
  <c r="L114" i="15" s="1"/>
  <c r="R114" s="1"/>
  <c r="U178" i="14"/>
  <c r="AJ148" i="15"/>
  <c r="AQ148" s="1"/>
  <c r="AI95" i="14"/>
  <c r="CE65" i="15" s="1"/>
  <c r="CL65" s="1"/>
  <c r="N258" i="14"/>
  <c r="M228" i="15"/>
  <c r="T228" s="1"/>
  <c r="N162" i="14"/>
  <c r="M132" i="15" s="1"/>
  <c r="T132" s="1"/>
  <c r="M112" i="14"/>
  <c r="L82" i="15"/>
  <c r="R82" s="1"/>
  <c r="K208" i="14"/>
  <c r="J178" i="15" s="1"/>
  <c r="N178" s="1"/>
  <c r="M248" i="14"/>
  <c r="L218" i="15"/>
  <c r="R218" s="1"/>
  <c r="N249" i="14"/>
  <c r="M219" i="15" s="1"/>
  <c r="T219" s="1"/>
  <c r="T170" i="14"/>
  <c r="AI140" i="15"/>
  <c r="AO140" s="1"/>
  <c r="S291" i="14"/>
  <c r="AH261" i="15" s="1"/>
  <c r="AM261" s="1"/>
  <c r="S163" i="14"/>
  <c r="AH133" i="15" s="1"/>
  <c r="AM133" s="1"/>
  <c r="S35" i="14"/>
  <c r="AH5" i="15" s="1"/>
  <c r="AM5" s="1"/>
  <c r="AB129" i="14"/>
  <c r="BH99" i="15" s="1"/>
  <c r="BO99" s="1"/>
  <c r="N330" i="14"/>
  <c r="M300" i="15" s="1"/>
  <c r="T300" s="1"/>
  <c r="N298" i="14"/>
  <c r="M268" i="15"/>
  <c r="T268" s="1"/>
  <c r="N266" i="14"/>
  <c r="M236" i="15" s="1"/>
  <c r="T236" s="1"/>
  <c r="N234" i="14"/>
  <c r="M204" i="15" s="1"/>
  <c r="T204" s="1"/>
  <c r="N202" i="14"/>
  <c r="M172" i="15" s="1"/>
  <c r="T172" s="1"/>
  <c r="N170" i="14"/>
  <c r="M140" i="15"/>
  <c r="T140" s="1"/>
  <c r="N138" i="14"/>
  <c r="M108" i="15" s="1"/>
  <c r="T108" s="1"/>
  <c r="N106" i="14"/>
  <c r="M76" i="15" s="1"/>
  <c r="T76" s="1"/>
  <c r="N74" i="14"/>
  <c r="M44" i="15" s="1"/>
  <c r="T44" s="1"/>
  <c r="N42" i="14"/>
  <c r="M12" i="15"/>
  <c r="T12" s="1"/>
  <c r="K128" i="14"/>
  <c r="J98" i="15" s="1"/>
  <c r="N98" s="1"/>
  <c r="M272" i="14"/>
  <c r="L242" i="15" s="1"/>
  <c r="R242" s="1"/>
  <c r="M192" i="14"/>
  <c r="L162" i="15" s="1"/>
  <c r="R162" s="1"/>
  <c r="N321" i="14"/>
  <c r="M291" i="15"/>
  <c r="T291" s="1"/>
  <c r="N289" i="14"/>
  <c r="M259" i="15" s="1"/>
  <c r="T259" s="1"/>
  <c r="N257" i="14"/>
  <c r="M227" i="15" s="1"/>
  <c r="T227" s="1"/>
  <c r="N225" i="14"/>
  <c r="M195" i="15" s="1"/>
  <c r="T195" s="1"/>
  <c r="N193" i="14"/>
  <c r="M163" i="15"/>
  <c r="T163" s="1"/>
  <c r="N161" i="14"/>
  <c r="M131" i="15" s="1"/>
  <c r="T131" s="1"/>
  <c r="N129" i="14"/>
  <c r="M99" i="15" s="1"/>
  <c r="T99" s="1"/>
  <c r="N97" i="14"/>
  <c r="M67" i="15" s="1"/>
  <c r="T67" s="1"/>
  <c r="N65" i="14"/>
  <c r="M35" i="15"/>
  <c r="T35" s="1"/>
  <c r="M320" i="14"/>
  <c r="L290" i="15" s="1"/>
  <c r="R290" s="1"/>
  <c r="M216" i="14"/>
  <c r="L186" i="15" s="1"/>
  <c r="R186" s="1"/>
  <c r="M136" i="14"/>
  <c r="L106" i="15" s="1"/>
  <c r="R106" s="1"/>
  <c r="T266" i="14"/>
  <c r="AI236" i="15"/>
  <c r="AO236" s="1"/>
  <c r="T106" i="14"/>
  <c r="AI76" i="15" s="1"/>
  <c r="AO76" s="1"/>
  <c r="T58" i="14"/>
  <c r="AI28" i="15" s="1"/>
  <c r="AO28" s="1"/>
  <c r="S331" i="14"/>
  <c r="AH301" i="15" s="1"/>
  <c r="AM301" s="1"/>
  <c r="S299" i="14"/>
  <c r="AH269" i="15"/>
  <c r="AM269" s="1"/>
  <c r="S267" i="14"/>
  <c r="AH237" i="15" s="1"/>
  <c r="AM237" s="1"/>
  <c r="S235" i="14"/>
  <c r="AH205" i="15" s="1"/>
  <c r="AM205" s="1"/>
  <c r="S203" i="14"/>
  <c r="AH173" i="15" s="1"/>
  <c r="AM173" s="1"/>
  <c r="S171" i="14"/>
  <c r="AH141" i="15"/>
  <c r="AM141" s="1"/>
  <c r="S139" i="14"/>
  <c r="AH109" i="15" s="1"/>
  <c r="AM109" s="1"/>
  <c r="S107" i="14"/>
  <c r="AH77" i="15" s="1"/>
  <c r="AM77" s="1"/>
  <c r="S75" i="14"/>
  <c r="AH45" i="15" s="1"/>
  <c r="AM45" s="1"/>
  <c r="S43" i="14"/>
  <c r="AH13" i="15" s="1"/>
  <c r="AM13" s="1"/>
  <c r="AI321" i="14"/>
  <c r="CE291" i="15" s="1"/>
  <c r="CL291" s="1"/>
  <c r="AI257" i="14"/>
  <c r="CE227" i="15" s="1"/>
  <c r="CL227" s="1"/>
  <c r="Y320" i="14"/>
  <c r="BE290" i="15" s="1"/>
  <c r="BI290" s="1"/>
  <c r="Y288" i="14"/>
  <c r="BE258" i="15" s="1"/>
  <c r="BI258" s="1"/>
  <c r="Y256" i="14"/>
  <c r="BE226" i="15" s="1"/>
  <c r="BI226" s="1"/>
  <c r="Y224" i="14"/>
  <c r="BE194" i="15" s="1"/>
  <c r="BI194" s="1"/>
  <c r="AB126" i="14"/>
  <c r="BH96" i="15" s="1"/>
  <c r="BO96" s="1"/>
  <c r="AH103" i="14"/>
  <c r="CD73" i="15" s="1"/>
  <c r="CJ73" s="1"/>
  <c r="Y84" i="14"/>
  <c r="BE54" i="15" s="1"/>
  <c r="BI54" s="1"/>
  <c r="AF313" i="14"/>
  <c r="CB283" i="15" s="1"/>
  <c r="CF283" s="1"/>
  <c r="AH106" i="14"/>
  <c r="CD76" i="15" s="1"/>
  <c r="CJ76" s="1"/>
  <c r="AA63" i="14"/>
  <c r="BG33" i="15" s="1"/>
  <c r="BM33" s="1"/>
  <c r="AA47" i="14"/>
  <c r="BG17" i="15" s="1"/>
  <c r="BM17" s="1"/>
  <c r="AF297" i="14"/>
  <c r="CB267" i="15" s="1"/>
  <c r="CF267" s="1"/>
  <c r="AB105" i="14"/>
  <c r="BH75" i="15" s="1"/>
  <c r="BO75" s="1"/>
  <c r="AB77" i="14"/>
  <c r="BH47" i="15" s="1"/>
  <c r="BO47" s="1"/>
  <c r="K288" i="14"/>
  <c r="J258" i="15"/>
  <c r="N258" s="1"/>
  <c r="U242" i="14"/>
  <c r="AJ212" i="15" s="1"/>
  <c r="AQ212" s="1"/>
  <c r="U114" i="14"/>
  <c r="AJ84" i="15" s="1"/>
  <c r="AQ84" s="1"/>
  <c r="AI90" i="14"/>
  <c r="CE60" i="15" s="1"/>
  <c r="CL60" s="1"/>
  <c r="Q62" i="18"/>
  <c r="Z34" i="19"/>
  <c r="AG34" s="1"/>
  <c r="AH34" s="1"/>
  <c r="N290" i="14"/>
  <c r="M260" i="15" s="1"/>
  <c r="T260" s="1"/>
  <c r="N98" i="14"/>
  <c r="M68" i="15" s="1"/>
  <c r="T68" s="1"/>
  <c r="N313" i="14"/>
  <c r="M283" i="15"/>
  <c r="T283"/>
  <c r="N217" i="14"/>
  <c r="M187" i="15" s="1"/>
  <c r="T187" s="1"/>
  <c r="N153" i="14"/>
  <c r="M123" i="15" s="1"/>
  <c r="T123" s="1"/>
  <c r="N121" i="14"/>
  <c r="M91" i="15"/>
  <c r="T91" s="1"/>
  <c r="N89" i="14"/>
  <c r="M59" i="15" s="1"/>
  <c r="T59" s="1"/>
  <c r="N57" i="14"/>
  <c r="M27" i="15" s="1"/>
  <c r="T27" s="1"/>
  <c r="T298" i="14"/>
  <c r="AI268" i="15" s="1"/>
  <c r="AO268" s="1"/>
  <c r="T210" i="14"/>
  <c r="AI180" i="15"/>
  <c r="AO180" s="1"/>
  <c r="T50" i="14"/>
  <c r="AI20" i="15" s="1"/>
  <c r="AO20" s="1"/>
  <c r="S195" i="14"/>
  <c r="AH165" i="15" s="1"/>
  <c r="AM165" s="1"/>
  <c r="AH119" i="14"/>
  <c r="CD89" i="15" s="1"/>
  <c r="CJ89" s="1"/>
  <c r="AH130" i="14"/>
  <c r="CD100" i="15"/>
  <c r="CJ100" s="1"/>
  <c r="AA75" i="14"/>
  <c r="BG45" i="15"/>
  <c r="BM45"/>
  <c r="AA43" i="14"/>
  <c r="BG13" i="15" s="1"/>
  <c r="BM13" s="1"/>
  <c r="M52" i="14"/>
  <c r="L22" i="15" s="1"/>
  <c r="R22" s="1"/>
  <c r="M200" i="14"/>
  <c r="L170" i="15"/>
  <c r="R170" s="1"/>
  <c r="M96" i="14"/>
  <c r="L66" i="15" s="1"/>
  <c r="R66" s="1"/>
  <c r="M44" i="14"/>
  <c r="L14" i="15" s="1"/>
  <c r="R14" s="1"/>
  <c r="T274" i="14"/>
  <c r="AI244" i="15" s="1"/>
  <c r="AO244" s="1"/>
  <c r="T306" i="14"/>
  <c r="AI276" i="15"/>
  <c r="AO276" s="1"/>
  <c r="T122" i="14"/>
  <c r="AI92" i="15" s="1"/>
  <c r="AO92" s="1"/>
  <c r="U322" i="14"/>
  <c r="AJ292" i="15"/>
  <c r="AQ292" s="1"/>
  <c r="U290" i="14"/>
  <c r="AJ260" i="15" s="1"/>
  <c r="AQ260" s="1"/>
  <c r="U258" i="14"/>
  <c r="AJ228" i="15"/>
  <c r="AQ228" s="1"/>
  <c r="U226" i="14"/>
  <c r="AJ196" i="15" s="1"/>
  <c r="AQ196" s="1"/>
  <c r="U194" i="14"/>
  <c r="AJ164" i="15"/>
  <c r="AQ164" s="1"/>
  <c r="U162" i="14"/>
  <c r="AJ132" i="15" s="1"/>
  <c r="AQ132" s="1"/>
  <c r="U130" i="14"/>
  <c r="AJ100" i="15"/>
  <c r="AQ100" s="1"/>
  <c r="U98" i="14"/>
  <c r="AJ68" i="15" s="1"/>
  <c r="AQ68" s="1"/>
  <c r="U66" i="14"/>
  <c r="AJ36" i="15"/>
  <c r="AQ36" s="1"/>
  <c r="AI212" i="14"/>
  <c r="CE182" i="15" s="1"/>
  <c r="CL182" s="1"/>
  <c r="AI322" i="14"/>
  <c r="CE292" i="15"/>
  <c r="CL292" s="1"/>
  <c r="AI290" i="14"/>
  <c r="CE260" i="15" s="1"/>
  <c r="CL260" s="1"/>
  <c r="AI258" i="14"/>
  <c r="CE228" i="15"/>
  <c r="CL228" s="1"/>
  <c r="AI226" i="14"/>
  <c r="CE196" i="15" s="1"/>
  <c r="CL196" s="1"/>
  <c r="AH127" i="14"/>
  <c r="CD97" i="15"/>
  <c r="CJ97" s="1"/>
  <c r="Y108" i="14"/>
  <c r="BE78" i="15" s="1"/>
  <c r="BI78" s="1"/>
  <c r="AB86" i="14"/>
  <c r="BH56" i="15"/>
  <c r="BO56" s="1"/>
  <c r="AI111" i="14"/>
  <c r="CE81" i="15" s="1"/>
  <c r="CL81" s="1"/>
  <c r="AI138" i="14"/>
  <c r="CE108" i="15"/>
  <c r="CL108" s="1"/>
  <c r="AB63" i="14"/>
  <c r="BH33" i="15" s="1"/>
  <c r="BO33" s="1"/>
  <c r="AB47" i="14"/>
  <c r="BH17" i="15"/>
  <c r="BO17" s="1"/>
  <c r="AF273" i="14"/>
  <c r="CB243" i="15" s="1"/>
  <c r="CF243" s="1"/>
  <c r="L67" i="14"/>
  <c r="K37" i="15"/>
  <c r="P37" s="1"/>
  <c r="M184" i="14"/>
  <c r="L154" i="15" s="1"/>
  <c r="R154" s="1"/>
  <c r="U274" i="14"/>
  <c r="AJ244" i="15"/>
  <c r="AQ244" s="1"/>
  <c r="AH34" i="14"/>
  <c r="CD4" i="15" s="1"/>
  <c r="CJ4" s="1"/>
  <c r="AI306" i="14"/>
  <c r="CE276" i="15"/>
  <c r="CL276" s="1"/>
  <c r="N322" i="14"/>
  <c r="M292" i="15" s="1"/>
  <c r="T292" s="1"/>
  <c r="N226" i="14"/>
  <c r="M196" i="15"/>
  <c r="T196" s="1"/>
  <c r="N194" i="14"/>
  <c r="M164" i="15" s="1"/>
  <c r="T164" s="1"/>
  <c r="N66" i="14"/>
  <c r="M36" i="15"/>
  <c r="T36" s="1"/>
  <c r="K296" i="14"/>
  <c r="J266" i="15" s="1"/>
  <c r="N266" s="1"/>
  <c r="M336" i="14"/>
  <c r="L306" i="15"/>
  <c r="R306" s="1"/>
  <c r="N281" i="14"/>
  <c r="M251" i="15" s="1"/>
  <c r="T251" s="1"/>
  <c r="T250" i="14"/>
  <c r="AI220" i="15"/>
  <c r="AO220" s="1"/>
  <c r="T162" i="14"/>
  <c r="AI132" i="15" s="1"/>
  <c r="AO132" s="1"/>
  <c r="S323" i="14"/>
  <c r="AH293" i="15"/>
  <c r="AM293" s="1"/>
  <c r="S227" i="14"/>
  <c r="AH197" i="15" s="1"/>
  <c r="AM197" s="1"/>
  <c r="S131" i="14"/>
  <c r="AH101" i="15"/>
  <c r="AM101" s="1"/>
  <c r="S67" i="14"/>
  <c r="AH37" i="15" s="1"/>
  <c r="AM37" s="1"/>
  <c r="AI305" i="14"/>
  <c r="CE275" i="15"/>
  <c r="CL275" s="1"/>
  <c r="AI241" i="14"/>
  <c r="CE211" i="15" s="1"/>
  <c r="CL211" s="1"/>
  <c r="AA59" i="14"/>
  <c r="BG29" i="15"/>
  <c r="BM29" s="1"/>
  <c r="N20" i="14"/>
  <c r="N306"/>
  <c r="M276" i="15"/>
  <c r="T276" s="1"/>
  <c r="N274" i="14"/>
  <c r="M244" i="15" s="1"/>
  <c r="T244" s="1"/>
  <c r="N242" i="14"/>
  <c r="M212" i="15"/>
  <c r="T212" s="1"/>
  <c r="N210" i="14"/>
  <c r="M180" i="15" s="1"/>
  <c r="T180" s="1"/>
  <c r="N178" i="14"/>
  <c r="M148" i="15"/>
  <c r="T148" s="1"/>
  <c r="N146" i="14"/>
  <c r="M116" i="15" s="1"/>
  <c r="T116" s="1"/>
  <c r="N114" i="14"/>
  <c r="M84" i="15"/>
  <c r="T84" s="1"/>
  <c r="N82" i="14"/>
  <c r="M52" i="15" s="1"/>
  <c r="T52" s="1"/>
  <c r="N50" i="14"/>
  <c r="M20" i="15"/>
  <c r="T20" s="1"/>
  <c r="K256" i="14"/>
  <c r="J226" i="15" s="1"/>
  <c r="N226" s="1"/>
  <c r="K152" i="14"/>
  <c r="J122" i="15"/>
  <c r="N122" s="1"/>
  <c r="M312" i="14"/>
  <c r="L282" i="15" s="1"/>
  <c r="R282" s="1"/>
  <c r="N329" i="14"/>
  <c r="M299" i="15"/>
  <c r="T299" s="1"/>
  <c r="N297" i="14"/>
  <c r="M267" i="15" s="1"/>
  <c r="T267" s="1"/>
  <c r="N265" i="14"/>
  <c r="M235" i="15"/>
  <c r="T235" s="1"/>
  <c r="N233" i="14"/>
  <c r="M203" i="15" s="1"/>
  <c r="T203" s="1"/>
  <c r="N201" i="14"/>
  <c r="M171" i="15"/>
  <c r="T171" s="1"/>
  <c r="N169" i="14"/>
  <c r="M139" i="15" s="1"/>
  <c r="T139" s="1"/>
  <c r="N137" i="14"/>
  <c r="M107" i="15"/>
  <c r="T107" s="1"/>
  <c r="N105" i="14"/>
  <c r="M75" i="15" s="1"/>
  <c r="T75" s="1"/>
  <c r="N73" i="14"/>
  <c r="M43" i="15"/>
  <c r="T43" s="1"/>
  <c r="N41" i="14"/>
  <c r="M11" i="15" s="1"/>
  <c r="T11" s="1"/>
  <c r="M64" i="14"/>
  <c r="L34" i="15"/>
  <c r="R34" s="1"/>
  <c r="T282" i="14"/>
  <c r="AI252" i="15" s="1"/>
  <c r="AO252" s="1"/>
  <c r="T66" i="14"/>
  <c r="AI36" i="15"/>
  <c r="AO36" s="1"/>
  <c r="T186" i="14"/>
  <c r="AI156" i="15" s="1"/>
  <c r="AO156" s="1"/>
  <c r="S307" i="14"/>
  <c r="AH277" i="15"/>
  <c r="AM277" s="1"/>
  <c r="S275" i="14"/>
  <c r="AH245" i="15" s="1"/>
  <c r="AM245" s="1"/>
  <c r="S243" i="14"/>
  <c r="AH213" i="15"/>
  <c r="AM213" s="1"/>
  <c r="S211" i="14"/>
  <c r="AH181" i="15" s="1"/>
  <c r="AM181" s="1"/>
  <c r="S179" i="14"/>
  <c r="AH149" i="15"/>
  <c r="AM149" s="1"/>
  <c r="S147" i="14"/>
  <c r="AH117" i="15" s="1"/>
  <c r="AM117" s="1"/>
  <c r="S115" i="14"/>
  <c r="AH85" i="15"/>
  <c r="AM85" s="1"/>
  <c r="S83" i="14"/>
  <c r="AH53" i="15" s="1"/>
  <c r="AM53" s="1"/>
  <c r="S51" i="14"/>
  <c r="AH21" i="15"/>
  <c r="AM21" s="1"/>
  <c r="AB34" i="14"/>
  <c r="BH4" i="15" s="1"/>
  <c r="BO4" s="1"/>
  <c r="AI273" i="14"/>
  <c r="CE243" i="15"/>
  <c r="CL243" s="1"/>
  <c r="Y216" i="14"/>
  <c r="BE186" i="15" s="1"/>
  <c r="BI186" s="1"/>
  <c r="Y328" i="14"/>
  <c r="BE298" i="15"/>
  <c r="BI298" s="1"/>
  <c r="Y296" i="14"/>
  <c r="BE266" i="15" s="1"/>
  <c r="BI266" s="1"/>
  <c r="Y264" i="14"/>
  <c r="BE234" i="15"/>
  <c r="BI234" s="1"/>
  <c r="Y232" i="14"/>
  <c r="BE202" i="15" s="1"/>
  <c r="BI202" s="1"/>
  <c r="Y132" i="14"/>
  <c r="BE102" i="15"/>
  <c r="BI102" s="1"/>
  <c r="AB110" i="14"/>
  <c r="BH80" i="15" s="1"/>
  <c r="BO80" s="1"/>
  <c r="AH82" i="14"/>
  <c r="CD52" i="15" s="1"/>
  <c r="CJ52" s="1"/>
  <c r="AA67" i="14"/>
  <c r="BG37" i="15" s="1"/>
  <c r="BM37" s="1"/>
  <c r="AA51" i="14"/>
  <c r="BG21" i="15"/>
  <c r="BM21" s="1"/>
  <c r="AA35" i="14"/>
  <c r="BG5" i="15" s="1"/>
  <c r="BM5" s="1"/>
  <c r="AB113" i="14"/>
  <c r="BH83" i="15"/>
  <c r="BO83" s="1"/>
  <c r="Q58" i="18"/>
  <c r="Z30" i="19" s="1"/>
  <c r="AG30" s="1"/>
  <c r="AH30" s="1"/>
  <c r="Q36" i="18"/>
  <c r="Z8" i="19" s="1"/>
  <c r="AG8" s="1"/>
  <c r="AH8" s="1"/>
  <c r="L43" i="14"/>
  <c r="K13" i="15" s="1"/>
  <c r="P13" s="1"/>
  <c r="Q51" i="12"/>
  <c r="BR21" i="10"/>
  <c r="BW21" s="1"/>
  <c r="Q75" i="12"/>
  <c r="BR45" i="10" s="1"/>
  <c r="BW45" s="1"/>
  <c r="Q82" i="12"/>
  <c r="BR52" i="10"/>
  <c r="BW52" s="1"/>
  <c r="Q99" i="12"/>
  <c r="BR69" i="10" s="1"/>
  <c r="BW69" s="1"/>
  <c r="Q106" i="12"/>
  <c r="BR76" i="10"/>
  <c r="BW76" s="1"/>
  <c r="Q123" i="12"/>
  <c r="BR93" i="10" s="1"/>
  <c r="BW93" s="1"/>
  <c r="Q162" i="12"/>
  <c r="BR132" i="10" s="1"/>
  <c r="BW132" s="1"/>
  <c r="Q174" i="12"/>
  <c r="BR144" i="10" s="1"/>
  <c r="BW144" s="1"/>
  <c r="Q186" i="12"/>
  <c r="BR156" i="10" s="1"/>
  <c r="BW156" s="1"/>
  <c r="Q198" i="12"/>
  <c r="BR168" i="10" s="1"/>
  <c r="BW168" s="1"/>
  <c r="Q234" i="12"/>
  <c r="BR204" i="10"/>
  <c r="BW204" s="1"/>
  <c r="Q258" i="12"/>
  <c r="BR228" i="10" s="1"/>
  <c r="BW228" s="1"/>
  <c r="G49" i="12"/>
  <c r="AV19" i="10" s="1"/>
  <c r="BA19" s="1"/>
  <c r="BO5"/>
  <c r="BP5" s="1"/>
  <c r="BO7"/>
  <c r="BP7" s="1"/>
  <c r="BO9"/>
  <c r="BP9"/>
  <c r="BO11"/>
  <c r="BP11"/>
  <c r="BO13"/>
  <c r="BP13"/>
  <c r="BO15"/>
  <c r="BP15"/>
  <c r="BO17"/>
  <c r="BP17"/>
  <c r="BO19"/>
  <c r="BP19"/>
  <c r="BO21"/>
  <c r="BP21"/>
  <c r="BO23"/>
  <c r="BP23"/>
  <c r="BO25"/>
  <c r="BP25"/>
  <c r="BO27"/>
  <c r="BP27"/>
  <c r="BO29"/>
  <c r="BP29"/>
  <c r="BO31"/>
  <c r="BP31"/>
  <c r="BO33"/>
  <c r="BP33"/>
  <c r="BO35"/>
  <c r="BP35"/>
  <c r="BO37"/>
  <c r="BP37"/>
  <c r="BO39"/>
  <c r="BP39"/>
  <c r="BO41"/>
  <c r="BP41"/>
  <c r="BO43"/>
  <c r="BP43"/>
  <c r="BO45"/>
  <c r="BP45"/>
  <c r="BO47"/>
  <c r="BP47"/>
  <c r="BO49"/>
  <c r="BP49"/>
  <c r="BO51"/>
  <c r="BP51"/>
  <c r="BO53"/>
  <c r="BP53"/>
  <c r="BO55"/>
  <c r="BP55"/>
  <c r="BO57"/>
  <c r="BP57"/>
  <c r="BO59"/>
  <c r="BP59"/>
  <c r="BO61"/>
  <c r="BP61"/>
  <c r="BO63"/>
  <c r="BP63"/>
  <c r="BO65"/>
  <c r="BP65"/>
  <c r="BO67"/>
  <c r="BP67"/>
  <c r="BO69"/>
  <c r="BP69"/>
  <c r="BO71"/>
  <c r="BP71"/>
  <c r="BO73"/>
  <c r="BP73"/>
  <c r="BO75"/>
  <c r="BP75"/>
  <c r="BO77"/>
  <c r="BP77"/>
  <c r="BO79"/>
  <c r="BP79"/>
  <c r="BO81"/>
  <c r="BP81"/>
  <c r="BO83"/>
  <c r="BP83"/>
  <c r="BO85"/>
  <c r="BP85"/>
  <c r="BO87"/>
  <c r="BP87"/>
  <c r="BO89"/>
  <c r="BP89"/>
  <c r="BO91"/>
  <c r="BP91"/>
  <c r="BO93"/>
  <c r="BP93"/>
  <c r="BO95"/>
  <c r="BP95"/>
  <c r="BO97"/>
  <c r="BP97"/>
  <c r="BO99"/>
  <c r="BP99"/>
  <c r="BO101"/>
  <c r="BP101"/>
  <c r="BO103"/>
  <c r="BP103"/>
  <c r="BO105"/>
  <c r="BP105"/>
  <c r="BO107"/>
  <c r="BP107"/>
  <c r="BO109"/>
  <c r="BP109"/>
  <c r="BO111"/>
  <c r="BP111"/>
  <c r="BO113"/>
  <c r="BP113"/>
  <c r="BO115"/>
  <c r="BP115"/>
  <c r="BO117"/>
  <c r="BP117"/>
  <c r="BO119"/>
  <c r="BP119"/>
  <c r="BO121"/>
  <c r="BP121"/>
  <c r="BO123"/>
  <c r="BP123"/>
  <c r="BO125"/>
  <c r="BP125"/>
  <c r="BO127"/>
  <c r="BP127"/>
  <c r="BO129"/>
  <c r="BP129"/>
  <c r="BO131"/>
  <c r="BP131"/>
  <c r="BO133"/>
  <c r="BP133"/>
  <c r="BO135"/>
  <c r="BP135"/>
  <c r="BO137"/>
  <c r="BP137"/>
  <c r="BO139"/>
  <c r="BP139"/>
  <c r="BO141"/>
  <c r="BP141"/>
  <c r="BO143"/>
  <c r="BP143"/>
  <c r="BO145"/>
  <c r="BP145"/>
  <c r="BO147"/>
  <c r="BP147"/>
  <c r="BO149"/>
  <c r="BP149"/>
  <c r="BO151"/>
  <c r="BP151"/>
  <c r="BO153"/>
  <c r="BP153"/>
  <c r="BO155"/>
  <c r="BP155"/>
  <c r="BO157"/>
  <c r="BP157"/>
  <c r="BO159"/>
  <c r="BP159"/>
  <c r="BO161"/>
  <c r="BP161"/>
  <c r="BO163"/>
  <c r="BP163"/>
  <c r="BO165"/>
  <c r="BP165"/>
  <c r="BO167"/>
  <c r="BP167"/>
  <c r="BO169"/>
  <c r="BP169"/>
  <c r="BO171"/>
  <c r="BP171"/>
  <c r="BO173"/>
  <c r="BP173"/>
  <c r="BO175"/>
  <c r="BP175"/>
  <c r="BO177"/>
  <c r="BP177"/>
  <c r="BO179"/>
  <c r="BP179"/>
  <c r="BO181"/>
  <c r="BP181"/>
  <c r="BO183"/>
  <c r="BP183"/>
  <c r="BO185"/>
  <c r="BP185"/>
  <c r="BO187"/>
  <c r="BP187"/>
  <c r="BO189"/>
  <c r="BP189"/>
  <c r="BO191"/>
  <c r="BP191"/>
  <c r="BO193"/>
  <c r="BP193"/>
  <c r="BO195"/>
  <c r="BP195"/>
  <c r="BO197"/>
  <c r="BP197"/>
  <c r="BO199"/>
  <c r="BP199"/>
  <c r="BO201"/>
  <c r="BP201"/>
  <c r="BO203"/>
  <c r="BP203"/>
  <c r="BO205"/>
  <c r="BP205"/>
  <c r="BO207"/>
  <c r="BP207"/>
  <c r="BO209"/>
  <c r="BP209"/>
  <c r="BO211"/>
  <c r="BP211"/>
  <c r="BO213"/>
  <c r="BP213"/>
  <c r="BO215"/>
  <c r="BP215"/>
  <c r="BO217"/>
  <c r="BP217"/>
  <c r="BO219"/>
  <c r="BP219"/>
  <c r="BO221"/>
  <c r="BP221"/>
  <c r="BO223"/>
  <c r="BP223"/>
  <c r="BO225"/>
  <c r="BP225"/>
  <c r="BO227"/>
  <c r="BP227"/>
  <c r="BO229"/>
  <c r="BP229"/>
  <c r="BO231"/>
  <c r="BP231"/>
  <c r="BO233"/>
  <c r="BP233"/>
  <c r="BO235"/>
  <c r="BP235"/>
  <c r="BO237"/>
  <c r="BP237"/>
  <c r="BO239"/>
  <c r="BP239"/>
  <c r="BO241"/>
  <c r="BP241"/>
  <c r="BO243"/>
  <c r="BP243"/>
  <c r="BO245"/>
  <c r="BP245"/>
  <c r="BO247"/>
  <c r="BP247"/>
  <c r="BO249"/>
  <c r="BP249"/>
  <c r="BO251"/>
  <c r="BP251"/>
  <c r="BO253"/>
  <c r="BP253"/>
  <c r="BO255"/>
  <c r="BP255"/>
  <c r="BO257"/>
  <c r="BP257"/>
  <c r="BO259"/>
  <c r="BP259"/>
  <c r="BO261"/>
  <c r="BP261"/>
  <c r="BO263"/>
  <c r="BP263"/>
  <c r="BO265"/>
  <c r="BP265"/>
  <c r="BO267"/>
  <c r="BP267"/>
  <c r="Q53" i="12"/>
  <c r="BR23" i="10"/>
  <c r="BW23" s="1"/>
  <c r="Q71" i="12"/>
  <c r="BR41" i="10" s="1"/>
  <c r="BW41" s="1"/>
  <c r="Q78" i="12"/>
  <c r="BR48" i="10"/>
  <c r="BW48" s="1"/>
  <c r="Q103" i="12"/>
  <c r="BR73" i="10" s="1"/>
  <c r="BW73" s="1"/>
  <c r="Q110" i="12"/>
  <c r="BR80" i="10"/>
  <c r="BW80" s="1"/>
  <c r="Q134" i="12"/>
  <c r="BR104" i="10" s="1"/>
  <c r="BW104" s="1"/>
  <c r="Q166" i="12"/>
  <c r="BR136" i="10"/>
  <c r="BW136" s="1"/>
  <c r="Q178" i="12"/>
  <c r="BR148" i="10" s="1"/>
  <c r="BW148" s="1"/>
  <c r="BO4"/>
  <c r="BP4"/>
  <c r="BO6"/>
  <c r="BP6"/>
  <c r="BO8"/>
  <c r="BP8"/>
  <c r="BO10"/>
  <c r="BP10"/>
  <c r="BO12"/>
  <c r="BP12"/>
  <c r="BO14"/>
  <c r="BP14"/>
  <c r="BO16"/>
  <c r="BP16"/>
  <c r="BO18"/>
  <c r="BP18"/>
  <c r="BO20"/>
  <c r="BP20"/>
  <c r="BO22"/>
  <c r="BP22"/>
  <c r="BO24"/>
  <c r="BP24"/>
  <c r="BO26"/>
  <c r="BP26"/>
  <c r="BO28"/>
  <c r="BP28"/>
  <c r="BO30"/>
  <c r="BP30"/>
  <c r="BO32"/>
  <c r="BP32"/>
  <c r="BO34"/>
  <c r="BP34"/>
  <c r="BO36"/>
  <c r="BP36"/>
  <c r="BO38"/>
  <c r="BP38"/>
  <c r="BO40"/>
  <c r="BP40"/>
  <c r="BO42"/>
  <c r="BP42"/>
  <c r="BO44"/>
  <c r="BP44"/>
  <c r="BO46"/>
  <c r="BP46"/>
  <c r="BO48"/>
  <c r="BP48"/>
  <c r="BO50"/>
  <c r="BP50"/>
  <c r="BO52"/>
  <c r="BP52"/>
  <c r="BO54"/>
  <c r="BP54"/>
  <c r="BO56"/>
  <c r="BP56"/>
  <c r="BO58"/>
  <c r="BP58"/>
  <c r="BO60"/>
  <c r="BP60"/>
  <c r="BO62"/>
  <c r="BP62"/>
  <c r="BO64"/>
  <c r="BP64"/>
  <c r="BO66"/>
  <c r="BP66"/>
  <c r="BO68"/>
  <c r="BP68"/>
  <c r="BO70"/>
  <c r="BP70"/>
  <c r="BO72"/>
  <c r="BP72"/>
  <c r="BO74"/>
  <c r="BP74"/>
  <c r="BO76"/>
  <c r="BP76"/>
  <c r="BO78"/>
  <c r="BP78"/>
  <c r="BO80"/>
  <c r="BP80"/>
  <c r="BO82"/>
  <c r="BP82"/>
  <c r="BO84"/>
  <c r="BP84"/>
  <c r="BO86"/>
  <c r="BP86"/>
  <c r="BO88"/>
  <c r="BP88"/>
  <c r="BO90"/>
  <c r="BP90"/>
  <c r="BO92"/>
  <c r="BP92"/>
  <c r="BO94"/>
  <c r="BP94"/>
  <c r="BO96"/>
  <c r="BP96"/>
  <c r="BO98"/>
  <c r="BP98"/>
  <c r="BO100"/>
  <c r="BP100"/>
  <c r="BO102"/>
  <c r="BP102"/>
  <c r="BO104"/>
  <c r="BP104"/>
  <c r="BO106"/>
  <c r="BP106"/>
  <c r="BO108"/>
  <c r="BP108"/>
  <c r="BO110"/>
  <c r="BP110"/>
  <c r="BO112"/>
  <c r="BP112"/>
  <c r="BO114"/>
  <c r="BP114"/>
  <c r="BO116"/>
  <c r="BP116"/>
  <c r="BO118"/>
  <c r="BP118"/>
  <c r="BO120"/>
  <c r="BP120"/>
  <c r="BO122"/>
  <c r="BP122"/>
  <c r="BO124"/>
  <c r="BP124"/>
  <c r="BO126"/>
  <c r="BP126"/>
  <c r="BO128"/>
  <c r="BP128"/>
  <c r="BO130"/>
  <c r="BP130"/>
  <c r="BO132"/>
  <c r="BP132"/>
  <c r="BO134"/>
  <c r="BP134"/>
  <c r="BO136"/>
  <c r="BP136"/>
  <c r="BO138"/>
  <c r="BP138"/>
  <c r="BO140"/>
  <c r="BP140"/>
  <c r="BO142"/>
  <c r="BP142"/>
  <c r="BO144"/>
  <c r="BP144"/>
  <c r="BO146"/>
  <c r="BP146"/>
  <c r="BO148"/>
  <c r="BP148"/>
  <c r="BO150"/>
  <c r="BP150"/>
  <c r="BO152"/>
  <c r="BP152"/>
  <c r="BO154"/>
  <c r="BP154"/>
  <c r="BO156"/>
  <c r="BP156"/>
  <c r="BO158"/>
  <c r="BP158"/>
  <c r="BO160"/>
  <c r="BP160"/>
  <c r="BO162"/>
  <c r="BP162"/>
  <c r="BO164"/>
  <c r="BP164"/>
  <c r="BO166"/>
  <c r="BP166"/>
  <c r="BO168"/>
  <c r="BP168"/>
  <c r="BO170"/>
  <c r="BP170"/>
  <c r="BO172"/>
  <c r="BP172"/>
  <c r="BO174"/>
  <c r="BP174"/>
  <c r="BO176"/>
  <c r="BP176"/>
  <c r="BO178"/>
  <c r="BP178"/>
  <c r="BO180"/>
  <c r="BP180"/>
  <c r="BO182"/>
  <c r="BP182"/>
  <c r="BO184"/>
  <c r="BP184"/>
  <c r="BO186"/>
  <c r="BP186"/>
  <c r="BO188"/>
  <c r="BP188"/>
  <c r="BO190"/>
  <c r="BP190"/>
  <c r="BO192"/>
  <c r="BP192"/>
  <c r="BO194"/>
  <c r="BP194"/>
  <c r="BO196"/>
  <c r="BP196"/>
  <c r="BO198"/>
  <c r="BP198"/>
  <c r="BO200"/>
  <c r="BP200"/>
  <c r="BO202"/>
  <c r="BP202"/>
  <c r="BO204"/>
  <c r="BP204"/>
  <c r="BO206"/>
  <c r="BP206"/>
  <c r="BO208"/>
  <c r="BP208"/>
  <c r="BO210"/>
  <c r="BP210"/>
  <c r="BO212"/>
  <c r="BP212"/>
  <c r="BO214"/>
  <c r="BP214"/>
  <c r="BO216"/>
  <c r="BP216"/>
  <c r="BO218"/>
  <c r="BP218"/>
  <c r="BO220"/>
  <c r="BP220"/>
  <c r="BO222"/>
  <c r="BP222"/>
  <c r="BO224"/>
  <c r="BP224"/>
  <c r="BO226"/>
  <c r="BP226"/>
  <c r="BO228"/>
  <c r="BP228"/>
  <c r="BO230"/>
  <c r="BP230"/>
  <c r="BO232"/>
  <c r="BP232"/>
  <c r="BO234"/>
  <c r="BP234"/>
  <c r="BO236"/>
  <c r="BP236"/>
  <c r="BO238"/>
  <c r="BP238"/>
  <c r="BO240"/>
  <c r="BP240"/>
  <c r="BO242"/>
  <c r="BP242"/>
  <c r="BO244"/>
  <c r="BP244"/>
  <c r="BO246"/>
  <c r="BP246"/>
  <c r="BO248"/>
  <c r="BP248"/>
  <c r="BO250"/>
  <c r="BP250"/>
  <c r="BO252"/>
  <c r="BP252"/>
  <c r="BO254"/>
  <c r="BP254"/>
  <c r="BO256"/>
  <c r="BP256"/>
  <c r="BO258"/>
  <c r="BP258"/>
  <c r="BO260"/>
  <c r="BP260"/>
  <c r="BO262"/>
  <c r="BP262"/>
  <c r="BO264"/>
  <c r="BP264"/>
  <c r="BO266"/>
  <c r="BP266"/>
  <c r="BO268"/>
  <c r="BP268"/>
  <c r="AF99" i="14"/>
  <c r="CB69" i="15"/>
  <c r="CF69" s="1"/>
  <c r="AH99" i="14"/>
  <c r="CD69" i="15" s="1"/>
  <c r="CJ69" s="1"/>
  <c r="AA98" i="14"/>
  <c r="BG68" i="15"/>
  <c r="BM68" s="1"/>
  <c r="Y98" i="14"/>
  <c r="BE68" i="15" s="1"/>
  <c r="BI68" s="1"/>
  <c r="AA97" i="14"/>
  <c r="BG67" i="15"/>
  <c r="BM67" s="1"/>
  <c r="Y97" i="14"/>
  <c r="BE67" i="15" s="1"/>
  <c r="BI67" s="1"/>
  <c r="AI94" i="14"/>
  <c r="CE64" i="15"/>
  <c r="CL64" s="1"/>
  <c r="AG94" i="14"/>
  <c r="CC64" i="15" s="1"/>
  <c r="CH64" s="1"/>
  <c r="AI93" i="14"/>
  <c r="CE63" i="15"/>
  <c r="CL63" s="1"/>
  <c r="AG93" i="14"/>
  <c r="CC63" i="15" s="1"/>
  <c r="CH63" s="1"/>
  <c r="AB91" i="14"/>
  <c r="BH61" i="15"/>
  <c r="BO61" s="1"/>
  <c r="Z91" i="14"/>
  <c r="BF61" i="15" s="1"/>
  <c r="BK61" s="1"/>
  <c r="AF89" i="14"/>
  <c r="CB59" i="15"/>
  <c r="CF59" s="1"/>
  <c r="AH89" i="14"/>
  <c r="CD59" i="15" s="1"/>
  <c r="CJ59" s="1"/>
  <c r="AA86" i="14"/>
  <c r="BG56" i="15"/>
  <c r="BM56" s="1"/>
  <c r="Y86" i="14"/>
  <c r="BE56" i="15" s="1"/>
  <c r="BI56" s="1"/>
  <c r="AF83" i="14"/>
  <c r="CB53" i="15"/>
  <c r="CF53" s="1"/>
  <c r="AH83" i="14"/>
  <c r="CD53" i="15" s="1"/>
  <c r="CJ53" s="1"/>
  <c r="AA82" i="14"/>
  <c r="BG52" i="15"/>
  <c r="BM52" s="1"/>
  <c r="Y82" i="14"/>
  <c r="BE52" i="15" s="1"/>
  <c r="BI52" s="1"/>
  <c r="AH80" i="14"/>
  <c r="CD50" i="15"/>
  <c r="CJ50" s="1"/>
  <c r="AF80" i="14"/>
  <c r="CB50" i="15" s="1"/>
  <c r="CF50" s="1"/>
  <c r="AA78" i="14"/>
  <c r="BG48" i="15"/>
  <c r="BM48" s="1"/>
  <c r="Y78" i="14"/>
  <c r="BE48" i="15" s="1"/>
  <c r="BI48" s="1"/>
  <c r="AH76" i="14"/>
  <c r="CD46" i="15"/>
  <c r="CJ46" s="1"/>
  <c r="AF76" i="14"/>
  <c r="CB46" i="15" s="1"/>
  <c r="CF46" s="1"/>
  <c r="AA74" i="14"/>
  <c r="BG44" i="15"/>
  <c r="BM44" s="1"/>
  <c r="Y74" i="14"/>
  <c r="BE44" i="15" s="1"/>
  <c r="BI44" s="1"/>
  <c r="AA72" i="14"/>
  <c r="BG42" i="15"/>
  <c r="BM42" s="1"/>
  <c r="Y72" i="14"/>
  <c r="BE42" i="15" s="1"/>
  <c r="BI42" s="1"/>
  <c r="AA70" i="14"/>
  <c r="BG40" i="15"/>
  <c r="BM40" s="1"/>
  <c r="Y70" i="14"/>
  <c r="BE40" i="15" s="1"/>
  <c r="BI40" s="1"/>
  <c r="AA68" i="14"/>
  <c r="BG38" i="15"/>
  <c r="BM38" s="1"/>
  <c r="Y68" i="14"/>
  <c r="BE38" i="15" s="1"/>
  <c r="BI38" s="1"/>
  <c r="AA66" i="14"/>
  <c r="BG36" i="15"/>
  <c r="BM36" s="1"/>
  <c r="Y66" i="14"/>
  <c r="BE36" i="15" s="1"/>
  <c r="BI36" s="1"/>
  <c r="AA64" i="14"/>
  <c r="BG34" i="15"/>
  <c r="BM34" s="1"/>
  <c r="Y64" i="14"/>
  <c r="BE34" i="15" s="1"/>
  <c r="BI34" s="1"/>
  <c r="AA62" i="14"/>
  <c r="BG32" i="15"/>
  <c r="BM32" s="1"/>
  <c r="Y62" i="14"/>
  <c r="BE32" i="15" s="1"/>
  <c r="BI32" s="1"/>
  <c r="AA60" i="14"/>
  <c r="BG30" i="15"/>
  <c r="BM30" s="1"/>
  <c r="Y60" i="14"/>
  <c r="BE30" i="15" s="1"/>
  <c r="BI30" s="1"/>
  <c r="AA58" i="14"/>
  <c r="BG28" i="15"/>
  <c r="BM28" s="1"/>
  <c r="Y58" i="14"/>
  <c r="BE28" i="15" s="1"/>
  <c r="BI28" s="1"/>
  <c r="AA56" i="14"/>
  <c r="BG26" i="15"/>
  <c r="BM26" s="1"/>
  <c r="Y56" i="14"/>
  <c r="BE26" i="15" s="1"/>
  <c r="BI26" s="1"/>
  <c r="AA54" i="14"/>
  <c r="BG24" i="15"/>
  <c r="BM24" s="1"/>
  <c r="Y54" i="14"/>
  <c r="BE24" i="15" s="1"/>
  <c r="BI24" s="1"/>
  <c r="AA52" i="14"/>
  <c r="BG22" i="15"/>
  <c r="BM22" s="1"/>
  <c r="Y52" i="14"/>
  <c r="BE22" i="15" s="1"/>
  <c r="BI22" s="1"/>
  <c r="AA50" i="14"/>
  <c r="BG20" i="15"/>
  <c r="BM20" s="1"/>
  <c r="Y50" i="14"/>
  <c r="BE20" i="15" s="1"/>
  <c r="BI20" s="1"/>
  <c r="AA48" i="14"/>
  <c r="BG18" i="15"/>
  <c r="BM18" s="1"/>
  <c r="Y48" i="14"/>
  <c r="BE18" i="15" s="1"/>
  <c r="BI18" s="1"/>
  <c r="AA46" i="14"/>
  <c r="BG16" i="15"/>
  <c r="BM16" s="1"/>
  <c r="Y46" i="14"/>
  <c r="BE16" i="15" s="1"/>
  <c r="BI16" s="1"/>
  <c r="AA44" i="14"/>
  <c r="BG14" i="15"/>
  <c r="BM14" s="1"/>
  <c r="Y44" i="14"/>
  <c r="BE14" i="15" s="1"/>
  <c r="BI14" s="1"/>
  <c r="AA42" i="14"/>
  <c r="BG12" i="15"/>
  <c r="BM12" s="1"/>
  <c r="Y42" i="14"/>
  <c r="BE12" i="15" s="1"/>
  <c r="BI12" s="1"/>
  <c r="AA40" i="14"/>
  <c r="BG10" i="15"/>
  <c r="BM10" s="1"/>
  <c r="Y40" i="14"/>
  <c r="BE10" i="15" s="1"/>
  <c r="BI10" s="1"/>
  <c r="AA38" i="14"/>
  <c r="BG8" i="15"/>
  <c r="BM8" s="1"/>
  <c r="Y38" i="14"/>
  <c r="BE8" i="15" s="1"/>
  <c r="BI8" s="1"/>
  <c r="AA36" i="14"/>
  <c r="BG6" i="15"/>
  <c r="BM6" s="1"/>
  <c r="Y36" i="14"/>
  <c r="BE6" i="15" s="1"/>
  <c r="BI6" s="1"/>
  <c r="T335" i="14"/>
  <c r="AI305" i="15"/>
  <c r="AO305" s="1"/>
  <c r="R335" i="14"/>
  <c r="AG305" i="15" s="1"/>
  <c r="AK305" s="1"/>
  <c r="S333" i="14"/>
  <c r="AH303" i="15"/>
  <c r="AM303" s="1"/>
  <c r="U333" i="14"/>
  <c r="AJ303" i="15" s="1"/>
  <c r="AQ303" s="1"/>
  <c r="R329" i="14"/>
  <c r="AG299" i="15"/>
  <c r="AK299" s="1"/>
  <c r="T329" i="14"/>
  <c r="AI299" i="15" s="1"/>
  <c r="AO299" s="1"/>
  <c r="T327" i="14"/>
  <c r="AI297" i="15"/>
  <c r="AO297" s="1"/>
  <c r="R327" i="14"/>
  <c r="AG297" i="15" s="1"/>
  <c r="AK297" s="1"/>
  <c r="S325" i="14"/>
  <c r="AH295" i="15"/>
  <c r="AM295" s="1"/>
  <c r="U325" i="14"/>
  <c r="AJ295" i="15" s="1"/>
  <c r="AQ295" s="1"/>
  <c r="R321" i="14"/>
  <c r="AG291" i="15"/>
  <c r="AK291" s="1"/>
  <c r="T321" i="14"/>
  <c r="AI291" i="15" s="1"/>
  <c r="AO291" s="1"/>
  <c r="T319" i="14"/>
  <c r="AI289" i="15"/>
  <c r="AO289" s="1"/>
  <c r="R319" i="14"/>
  <c r="AG289" i="15" s="1"/>
  <c r="AK289" s="1"/>
  <c r="S317" i="14"/>
  <c r="AH287" i="15"/>
  <c r="AM287" s="1"/>
  <c r="U317" i="14"/>
  <c r="AJ287" i="15" s="1"/>
  <c r="AQ287" s="1"/>
  <c r="R313" i="14"/>
  <c r="AG283" i="15"/>
  <c r="AK283" s="1"/>
  <c r="T313" i="14"/>
  <c r="AI283" i="15" s="1"/>
  <c r="AO283" s="1"/>
  <c r="T311" i="14"/>
  <c r="AI281" i="15"/>
  <c r="AO281" s="1"/>
  <c r="R311" i="14"/>
  <c r="AG281" i="15" s="1"/>
  <c r="AK281" s="1"/>
  <c r="S309" i="14"/>
  <c r="AH279" i="15"/>
  <c r="AM279" s="1"/>
  <c r="U309" i="14"/>
  <c r="AJ279" i="15" s="1"/>
  <c r="AQ279" s="1"/>
  <c r="R305" i="14"/>
  <c r="AG275" i="15"/>
  <c r="AK275" s="1"/>
  <c r="T305" i="14"/>
  <c r="AI275" i="15" s="1"/>
  <c r="AO275" s="1"/>
  <c r="T303" i="14"/>
  <c r="AI273" i="15"/>
  <c r="AO273" s="1"/>
  <c r="R303" i="14"/>
  <c r="AG273" i="15" s="1"/>
  <c r="AK273" s="1"/>
  <c r="S301" i="14"/>
  <c r="AH271" i="15"/>
  <c r="AM271" s="1"/>
  <c r="U301" i="14"/>
  <c r="AJ271" i="15" s="1"/>
  <c r="AQ271" s="1"/>
  <c r="R297" i="14"/>
  <c r="AG267" i="15"/>
  <c r="AK267" s="1"/>
  <c r="T297" i="14"/>
  <c r="AI267" i="15" s="1"/>
  <c r="AO267" s="1"/>
  <c r="T295" i="14"/>
  <c r="AI265" i="15"/>
  <c r="AO265" s="1"/>
  <c r="R295" i="14"/>
  <c r="AG265" i="15" s="1"/>
  <c r="AK265" s="1"/>
  <c r="S293" i="14"/>
  <c r="AH263" i="15"/>
  <c r="AM263" s="1"/>
  <c r="U293" i="14"/>
  <c r="AJ263" i="15" s="1"/>
  <c r="AQ263" s="1"/>
  <c r="R289" i="14"/>
  <c r="AG259" i="15"/>
  <c r="AK259" s="1"/>
  <c r="T289" i="14"/>
  <c r="AI259" i="15" s="1"/>
  <c r="AO259" s="1"/>
  <c r="T287" i="14"/>
  <c r="AI257" i="15"/>
  <c r="AO257" s="1"/>
  <c r="R287" i="14"/>
  <c r="AG257" i="15" s="1"/>
  <c r="AK257" s="1"/>
  <c r="S285" i="14"/>
  <c r="AH255" i="15"/>
  <c r="AM255" s="1"/>
  <c r="U285" i="14"/>
  <c r="AJ255" i="15" s="1"/>
  <c r="AQ255" s="1"/>
  <c r="R281" i="14"/>
  <c r="AG251" i="15"/>
  <c r="AK251" s="1"/>
  <c r="T281" i="14"/>
  <c r="AI251" i="15" s="1"/>
  <c r="AO251" s="1"/>
  <c r="T279" i="14"/>
  <c r="AI249" i="15"/>
  <c r="AO249" s="1"/>
  <c r="R279" i="14"/>
  <c r="AG249" i="15" s="1"/>
  <c r="AK249" s="1"/>
  <c r="S277" i="14"/>
  <c r="AH247" i="15"/>
  <c r="AM247" s="1"/>
  <c r="U277" i="14"/>
  <c r="AJ247" i="15" s="1"/>
  <c r="AQ247" s="1"/>
  <c r="R273" i="14"/>
  <c r="AG243" i="15"/>
  <c r="AK243" s="1"/>
  <c r="T273" i="14"/>
  <c r="AI243" i="15" s="1"/>
  <c r="AO243" s="1"/>
  <c r="T271" i="14"/>
  <c r="AI241" i="15"/>
  <c r="AO241" s="1"/>
  <c r="R271" i="14"/>
  <c r="AG241" i="15" s="1"/>
  <c r="AK241" s="1"/>
  <c r="S269" i="14"/>
  <c r="AH239" i="15"/>
  <c r="AM239" s="1"/>
  <c r="U269" i="14"/>
  <c r="AJ239" i="15" s="1"/>
  <c r="AQ239" s="1"/>
  <c r="R265" i="14"/>
  <c r="AG235" i="15"/>
  <c r="AK235" s="1"/>
  <c r="T265" i="14"/>
  <c r="AI235" i="15" s="1"/>
  <c r="AO235" s="1"/>
  <c r="T263" i="14"/>
  <c r="AI233" i="15"/>
  <c r="AO233" s="1"/>
  <c r="R263" i="14"/>
  <c r="AG233" i="15" s="1"/>
  <c r="AK233" s="1"/>
  <c r="S261" i="14"/>
  <c r="AH231" i="15"/>
  <c r="AM231" s="1"/>
  <c r="U261" i="14"/>
  <c r="AJ231" i="15" s="1"/>
  <c r="AQ231" s="1"/>
  <c r="R257" i="14"/>
  <c r="AG227" i="15"/>
  <c r="AK227" s="1"/>
  <c r="T257" i="14"/>
  <c r="AI227" i="15" s="1"/>
  <c r="AO227" s="1"/>
  <c r="T255" i="14"/>
  <c r="AI225" i="15"/>
  <c r="AO225" s="1"/>
  <c r="R255" i="14"/>
  <c r="AG225" i="15" s="1"/>
  <c r="AK225" s="1"/>
  <c r="S253" i="14"/>
  <c r="AH223" i="15"/>
  <c r="AM223" s="1"/>
  <c r="U253" i="14"/>
  <c r="AJ223" i="15" s="1"/>
  <c r="AQ223" s="1"/>
  <c r="R249" i="14"/>
  <c r="AG219" i="15"/>
  <c r="AK219" s="1"/>
  <c r="T249" i="14"/>
  <c r="AI219" i="15" s="1"/>
  <c r="AO219" s="1"/>
  <c r="T247" i="14"/>
  <c r="AI217" i="15"/>
  <c r="AO217" s="1"/>
  <c r="R247" i="14"/>
  <c r="AG217" i="15" s="1"/>
  <c r="AK217" s="1"/>
  <c r="S245" i="14"/>
  <c r="AH215" i="15"/>
  <c r="AM215" s="1"/>
  <c r="U245" i="14"/>
  <c r="AJ215" i="15" s="1"/>
  <c r="AQ215" s="1"/>
  <c r="R241" i="14"/>
  <c r="AG211" i="15"/>
  <c r="AK211" s="1"/>
  <c r="T241" i="14"/>
  <c r="AI211" i="15" s="1"/>
  <c r="AO211" s="1"/>
  <c r="T239" i="14"/>
  <c r="AI209" i="15"/>
  <c r="AO209" s="1"/>
  <c r="R239" i="14"/>
  <c r="AG209" i="15" s="1"/>
  <c r="AK209" s="1"/>
  <c r="S237" i="14"/>
  <c r="AH207" i="15"/>
  <c r="AM207" s="1"/>
  <c r="U237" i="14"/>
  <c r="AJ207" i="15" s="1"/>
  <c r="AQ207" s="1"/>
  <c r="R233" i="14"/>
  <c r="AG203" i="15"/>
  <c r="AK203" s="1"/>
  <c r="T233" i="14"/>
  <c r="AI203" i="15" s="1"/>
  <c r="AO203" s="1"/>
  <c r="R229" i="14"/>
  <c r="AG199" i="15"/>
  <c r="AK199" s="1"/>
  <c r="T229" i="14"/>
  <c r="AI199" i="15" s="1"/>
  <c r="AO199" s="1"/>
  <c r="R225" i="14"/>
  <c r="AG195" i="15"/>
  <c r="AK195" s="1"/>
  <c r="T225" i="14"/>
  <c r="AI195" i="15" s="1"/>
  <c r="AO195" s="1"/>
  <c r="R221" i="14"/>
  <c r="AG191" i="15"/>
  <c r="AK191" s="1"/>
  <c r="T221" i="14"/>
  <c r="AI191" i="15" s="1"/>
  <c r="AO191" s="1"/>
  <c r="R217" i="14"/>
  <c r="AG187" i="15"/>
  <c r="AK187" s="1"/>
  <c r="T217" i="14"/>
  <c r="AI187" i="15" s="1"/>
  <c r="AO187" s="1"/>
  <c r="R213" i="14"/>
  <c r="AG183" i="15"/>
  <c r="AK183" s="1"/>
  <c r="T213" i="14"/>
  <c r="AI183" i="15" s="1"/>
  <c r="AO183" s="1"/>
  <c r="R209" i="14"/>
  <c r="AG179" i="15"/>
  <c r="AK179" s="1"/>
  <c r="T209" i="14"/>
  <c r="AI179" i="15" s="1"/>
  <c r="AO179" s="1"/>
  <c r="R205" i="14"/>
  <c r="AG175" i="15"/>
  <c r="AK175" s="1"/>
  <c r="T205" i="14"/>
  <c r="AI175" i="15" s="1"/>
  <c r="AO175" s="1"/>
  <c r="R201" i="14"/>
  <c r="AG171" i="15"/>
  <c r="AK171" s="1"/>
  <c r="T201" i="14"/>
  <c r="AI171" i="15" s="1"/>
  <c r="AO171" s="1"/>
  <c r="R197" i="14"/>
  <c r="AG167" i="15"/>
  <c r="AK167" s="1"/>
  <c r="T197" i="14"/>
  <c r="AI167" i="15" s="1"/>
  <c r="AO167" s="1"/>
  <c r="R193" i="14"/>
  <c r="AG163" i="15"/>
  <c r="AK163" s="1"/>
  <c r="T193" i="14"/>
  <c r="AI163" i="15" s="1"/>
  <c r="AO163" s="1"/>
  <c r="R189" i="14"/>
  <c r="AG159" i="15"/>
  <c r="AK159" s="1"/>
  <c r="T189" i="14"/>
  <c r="AI159" i="15" s="1"/>
  <c r="AO159" s="1"/>
  <c r="R185" i="14"/>
  <c r="AG155" i="15"/>
  <c r="AK155" s="1"/>
  <c r="T185" i="14"/>
  <c r="AI155" i="15" s="1"/>
  <c r="AO155" s="1"/>
  <c r="R181" i="14"/>
  <c r="AG151" i="15"/>
  <c r="AK151" s="1"/>
  <c r="T181" i="14"/>
  <c r="AI151" i="15" s="1"/>
  <c r="AO151" s="1"/>
  <c r="R177" i="14"/>
  <c r="AG147" i="15"/>
  <c r="AK147" s="1"/>
  <c r="T177" i="14"/>
  <c r="AI147" i="15" s="1"/>
  <c r="AO147" s="1"/>
  <c r="R173" i="14"/>
  <c r="AG143" i="15"/>
  <c r="AK143" s="1"/>
  <c r="T173" i="14"/>
  <c r="AI143" i="15" s="1"/>
  <c r="AO143" s="1"/>
  <c r="R169" i="14"/>
  <c r="AG139" i="15"/>
  <c r="AK139" s="1"/>
  <c r="T169" i="14"/>
  <c r="AI139" i="15" s="1"/>
  <c r="AO139" s="1"/>
  <c r="R165" i="14"/>
  <c r="AG135" i="15"/>
  <c r="AK135" s="1"/>
  <c r="T165" i="14"/>
  <c r="AI135" i="15" s="1"/>
  <c r="AO135" s="1"/>
  <c r="R161" i="14"/>
  <c r="AG131" i="15"/>
  <c r="AK131" s="1"/>
  <c r="T161" i="14"/>
  <c r="AI131" i="15" s="1"/>
  <c r="AO131" s="1"/>
  <c r="R157" i="14"/>
  <c r="AG127" i="15"/>
  <c r="AK127" s="1"/>
  <c r="T157" i="14"/>
  <c r="AI127" i="15" s="1"/>
  <c r="AO127" s="1"/>
  <c r="R153" i="14"/>
  <c r="AG123" i="15"/>
  <c r="AK123" s="1"/>
  <c r="T153" i="14"/>
  <c r="AI123" i="15" s="1"/>
  <c r="AO123" s="1"/>
  <c r="R149" i="14"/>
  <c r="AG119" i="15"/>
  <c r="AK119" s="1"/>
  <c r="T149" i="14"/>
  <c r="AI119" i="15" s="1"/>
  <c r="AO119" s="1"/>
  <c r="R145" i="14"/>
  <c r="AG115" i="15"/>
  <c r="AK115" s="1"/>
  <c r="T145" i="14"/>
  <c r="AI115" i="15" s="1"/>
  <c r="AO115" s="1"/>
  <c r="R141" i="14"/>
  <c r="AG111" i="15" s="1"/>
  <c r="AK111" s="1"/>
  <c r="T141" i="14"/>
  <c r="AI111" i="15" s="1"/>
  <c r="AO111" s="1"/>
  <c r="R137" i="14"/>
  <c r="AG107" i="15" s="1"/>
  <c r="AK107" s="1"/>
  <c r="T137" i="14"/>
  <c r="AI107" i="15" s="1"/>
  <c r="AO107" s="1"/>
  <c r="R133" i="14"/>
  <c r="AG103" i="15" s="1"/>
  <c r="AK103" s="1"/>
  <c r="T133" i="14"/>
  <c r="AI103" i="15" s="1"/>
  <c r="AO103" s="1"/>
  <c r="R129" i="14"/>
  <c r="AG99" i="15" s="1"/>
  <c r="AK99" s="1"/>
  <c r="T129" i="14"/>
  <c r="AI99" i="15" s="1"/>
  <c r="AO99" s="1"/>
  <c r="R125" i="14"/>
  <c r="AG95" i="15" s="1"/>
  <c r="AK95" s="1"/>
  <c r="T125" i="14"/>
  <c r="AI95" i="15"/>
  <c r="AO95" s="1"/>
  <c r="R121" i="14"/>
  <c r="AG91" i="15" s="1"/>
  <c r="AK91" s="1"/>
  <c r="T121" i="14"/>
  <c r="AI91" i="15"/>
  <c r="AO91" s="1"/>
  <c r="R117" i="14"/>
  <c r="AG87" i="15" s="1"/>
  <c r="AK87" s="1"/>
  <c r="T117" i="14"/>
  <c r="AI87" i="15"/>
  <c r="AO87" s="1"/>
  <c r="R113" i="14"/>
  <c r="AG83" i="15" s="1"/>
  <c r="AK83" s="1"/>
  <c r="T113" i="14"/>
  <c r="AI83" i="15"/>
  <c r="AO83" s="1"/>
  <c r="R109" i="14"/>
  <c r="AG79" i="15" s="1"/>
  <c r="AK79" s="1"/>
  <c r="T109" i="14"/>
  <c r="AI79" i="15"/>
  <c r="AO79" s="1"/>
  <c r="R105" i="14"/>
  <c r="AG75" i="15" s="1"/>
  <c r="AK75" s="1"/>
  <c r="T105" i="14"/>
  <c r="AI75" i="15"/>
  <c r="AO75" s="1"/>
  <c r="R101" i="14"/>
  <c r="AG71" i="15" s="1"/>
  <c r="AK71" s="1"/>
  <c r="T101" i="14"/>
  <c r="AI71" i="15"/>
  <c r="AO71" s="1"/>
  <c r="R97" i="14"/>
  <c r="AG67" i="15" s="1"/>
  <c r="AK67" s="1"/>
  <c r="T97" i="14"/>
  <c r="AI67" i="15"/>
  <c r="AO67" s="1"/>
  <c r="R93" i="14"/>
  <c r="AG63" i="15" s="1"/>
  <c r="AK63" s="1"/>
  <c r="T93" i="14"/>
  <c r="AI63" i="15"/>
  <c r="AO63" s="1"/>
  <c r="R89" i="14"/>
  <c r="AG59" i="15" s="1"/>
  <c r="AK59" s="1"/>
  <c r="T89" i="14"/>
  <c r="AI59" i="15"/>
  <c r="AO59" s="1"/>
  <c r="R85" i="14"/>
  <c r="AG55" i="15" s="1"/>
  <c r="AK55" s="1"/>
  <c r="T85" i="14"/>
  <c r="AI55" i="15"/>
  <c r="AO55" s="1"/>
  <c r="R81" i="14"/>
  <c r="AG51" i="15" s="1"/>
  <c r="AK51" s="1"/>
  <c r="T81" i="14"/>
  <c r="AI51" i="15"/>
  <c r="AO51" s="1"/>
  <c r="R77" i="14"/>
  <c r="AG47" i="15" s="1"/>
  <c r="AK47" s="1"/>
  <c r="T77" i="14"/>
  <c r="AI47" i="15"/>
  <c r="AO47" s="1"/>
  <c r="R73" i="14"/>
  <c r="AG43" i="15" s="1"/>
  <c r="AK43" s="1"/>
  <c r="T73" i="14"/>
  <c r="AI43" i="15"/>
  <c r="AO43" s="1"/>
  <c r="R69" i="14"/>
  <c r="AG39" i="15" s="1"/>
  <c r="AK39" s="1"/>
  <c r="T69" i="14"/>
  <c r="AI39" i="15"/>
  <c r="AO39" s="1"/>
  <c r="R65" i="14"/>
  <c r="AG35" i="15" s="1"/>
  <c r="AK35" s="1"/>
  <c r="T65" i="14"/>
  <c r="AI35" i="15"/>
  <c r="AO35" s="1"/>
  <c r="R61" i="14"/>
  <c r="AG31" i="15" s="1"/>
  <c r="AK31" s="1"/>
  <c r="T61" i="14"/>
  <c r="AI31" i="15"/>
  <c r="AO31" s="1"/>
  <c r="R57" i="14"/>
  <c r="AG27" i="15" s="1"/>
  <c r="AK27" s="1"/>
  <c r="T57" i="14"/>
  <c r="AI27" i="15"/>
  <c r="AO27" s="1"/>
  <c r="R53" i="14"/>
  <c r="AG23" i="15" s="1"/>
  <c r="AK23" s="1"/>
  <c r="T53" i="14"/>
  <c r="AI23" i="15"/>
  <c r="AO23" s="1"/>
  <c r="R49" i="14"/>
  <c r="AG19" i="15" s="1"/>
  <c r="AK19" s="1"/>
  <c r="T49" i="14"/>
  <c r="AI19" i="15"/>
  <c r="AO19" s="1"/>
  <c r="R45" i="14"/>
  <c r="AG15" i="15" s="1"/>
  <c r="AK15" s="1"/>
  <c r="T45" i="14"/>
  <c r="AI15" i="15"/>
  <c r="AO15" s="1"/>
  <c r="R41" i="14"/>
  <c r="AG11" i="15" s="1"/>
  <c r="AK11" s="1"/>
  <c r="T41" i="14"/>
  <c r="AI11" i="15"/>
  <c r="AO11" s="1"/>
  <c r="R37" i="14"/>
  <c r="AG7" i="15" s="1"/>
  <c r="AK7" s="1"/>
  <c r="T37" i="14"/>
  <c r="AI7" i="15"/>
  <c r="AO7" s="1"/>
  <c r="N336" i="14"/>
  <c r="M306" i="15" s="1"/>
  <c r="T306" s="1"/>
  <c r="L336" i="14"/>
  <c r="K306" i="15"/>
  <c r="P306" s="1"/>
  <c r="N332" i="14"/>
  <c r="M302" i="15" s="1"/>
  <c r="T302" s="1"/>
  <c r="L332" i="14"/>
  <c r="K302" i="15"/>
  <c r="P302" s="1"/>
  <c r="N328" i="14"/>
  <c r="M298" i="15" s="1"/>
  <c r="T298" s="1"/>
  <c r="L328" i="14"/>
  <c r="K298" i="15"/>
  <c r="P298" s="1"/>
  <c r="N324" i="14"/>
  <c r="M294" i="15" s="1"/>
  <c r="T294" s="1"/>
  <c r="L324" i="14"/>
  <c r="K294" i="15"/>
  <c r="P294" s="1"/>
  <c r="N320" i="14"/>
  <c r="M290" i="15" s="1"/>
  <c r="T290" s="1"/>
  <c r="L320" i="14"/>
  <c r="K290" i="15"/>
  <c r="P290" s="1"/>
  <c r="N316" i="14"/>
  <c r="M286" i="15" s="1"/>
  <c r="T286" s="1"/>
  <c r="L316" i="14"/>
  <c r="K286" i="15"/>
  <c r="P286" s="1"/>
  <c r="N312" i="14"/>
  <c r="M282" i="15" s="1"/>
  <c r="T282" s="1"/>
  <c r="L312" i="14"/>
  <c r="K282" i="15"/>
  <c r="P282" s="1"/>
  <c r="N308" i="14"/>
  <c r="M278" i="15" s="1"/>
  <c r="T278" s="1"/>
  <c r="L308" i="14"/>
  <c r="K278" i="15"/>
  <c r="P278" s="1"/>
  <c r="N304" i="14"/>
  <c r="M274" i="15" s="1"/>
  <c r="T274" s="1"/>
  <c r="L304" i="14"/>
  <c r="K274" i="15"/>
  <c r="P274" s="1"/>
  <c r="N300" i="14"/>
  <c r="M270" i="15" s="1"/>
  <c r="T270" s="1"/>
  <c r="L300" i="14"/>
  <c r="K270" i="15"/>
  <c r="P270" s="1"/>
  <c r="N296" i="14"/>
  <c r="M266" i="15" s="1"/>
  <c r="T266" s="1"/>
  <c r="L296" i="14"/>
  <c r="K266" i="15"/>
  <c r="P266" s="1"/>
  <c r="N292" i="14"/>
  <c r="M262" i="15" s="1"/>
  <c r="T262" s="1"/>
  <c r="L292" i="14"/>
  <c r="K262" i="15"/>
  <c r="P262" s="1"/>
  <c r="N288" i="14"/>
  <c r="M258" i="15" s="1"/>
  <c r="T258" s="1"/>
  <c r="L288" i="14"/>
  <c r="K258" i="15"/>
  <c r="P258" s="1"/>
  <c r="N284" i="14"/>
  <c r="M254" i="15" s="1"/>
  <c r="T254" s="1"/>
  <c r="L284" i="14"/>
  <c r="K254" i="15"/>
  <c r="P254" s="1"/>
  <c r="N280" i="14"/>
  <c r="M250" i="15" s="1"/>
  <c r="T250" s="1"/>
  <c r="L280" i="14"/>
  <c r="K250" i="15"/>
  <c r="P250" s="1"/>
  <c r="N276" i="14"/>
  <c r="M246" i="15" s="1"/>
  <c r="T246" s="1"/>
  <c r="L276" i="14"/>
  <c r="K246" i="15"/>
  <c r="P246" s="1"/>
  <c r="N272" i="14"/>
  <c r="M242" i="15" s="1"/>
  <c r="T242" s="1"/>
  <c r="L272" i="14"/>
  <c r="K242" i="15"/>
  <c r="P242" s="1"/>
  <c r="N268" i="14"/>
  <c r="M238" i="15" s="1"/>
  <c r="T238" s="1"/>
  <c r="L268" i="14"/>
  <c r="K238" i="15"/>
  <c r="P238" s="1"/>
  <c r="N264" i="14"/>
  <c r="M234" i="15" s="1"/>
  <c r="T234" s="1"/>
  <c r="L264" i="14"/>
  <c r="K234" i="15" s="1"/>
  <c r="P234" s="1"/>
  <c r="N260" i="14"/>
  <c r="M230" i="15" s="1"/>
  <c r="T230" s="1"/>
  <c r="L260" i="14"/>
  <c r="K230" i="15"/>
  <c r="P230" s="1"/>
  <c r="N256" i="14"/>
  <c r="M226" i="15" s="1"/>
  <c r="T226" s="1"/>
  <c r="L256" i="14"/>
  <c r="K226" i="15" s="1"/>
  <c r="P226" s="1"/>
  <c r="N252" i="14"/>
  <c r="M222" i="15" s="1"/>
  <c r="T222" s="1"/>
  <c r="L252" i="14"/>
  <c r="K222" i="15"/>
  <c r="P222" s="1"/>
  <c r="N248" i="14"/>
  <c r="M218" i="15" s="1"/>
  <c r="T218" s="1"/>
  <c r="L248" i="14"/>
  <c r="K218" i="15" s="1"/>
  <c r="P218" s="1"/>
  <c r="N244" i="14"/>
  <c r="M214" i="15" s="1"/>
  <c r="T214" s="1"/>
  <c r="L244" i="14"/>
  <c r="K214" i="15"/>
  <c r="P214" s="1"/>
  <c r="N240" i="14"/>
  <c r="M210" i="15" s="1"/>
  <c r="T210" s="1"/>
  <c r="L240" i="14"/>
  <c r="K210" i="15" s="1"/>
  <c r="P210" s="1"/>
  <c r="N236" i="14"/>
  <c r="M206" i="15" s="1"/>
  <c r="T206" s="1"/>
  <c r="L236" i="14"/>
  <c r="K206" i="15"/>
  <c r="P206" s="1"/>
  <c r="N232" i="14"/>
  <c r="M202" i="15"/>
  <c r="T202" s="1"/>
  <c r="L232" i="14"/>
  <c r="K202" i="15" s="1"/>
  <c r="P202" s="1"/>
  <c r="N228" i="14"/>
  <c r="M198" i="15" s="1"/>
  <c r="T198" s="1"/>
  <c r="L228" i="14"/>
  <c r="K198" i="15" s="1"/>
  <c r="P198" s="1"/>
  <c r="N224" i="14"/>
  <c r="M194" i="15"/>
  <c r="T194" s="1"/>
  <c r="L224" i="14"/>
  <c r="K194" i="15" s="1"/>
  <c r="P194" s="1"/>
  <c r="N220" i="14"/>
  <c r="M190" i="15"/>
  <c r="T190" s="1"/>
  <c r="L220" i="14"/>
  <c r="K190" i="15" s="1"/>
  <c r="P190" s="1"/>
  <c r="N216" i="14"/>
  <c r="M186" i="15"/>
  <c r="T186" s="1"/>
  <c r="L216" i="14"/>
  <c r="K186" i="15" s="1"/>
  <c r="P186" s="1"/>
  <c r="N212" i="14"/>
  <c r="M182" i="15"/>
  <c r="T182" s="1"/>
  <c r="L212" i="14"/>
  <c r="K182" i="15" s="1"/>
  <c r="P182" s="1"/>
  <c r="N208" i="14"/>
  <c r="M178" i="15"/>
  <c r="T178" s="1"/>
  <c r="L208" i="14"/>
  <c r="K178" i="15" s="1"/>
  <c r="P178" s="1"/>
  <c r="N204" i="14"/>
  <c r="M174" i="15"/>
  <c r="T174" s="1"/>
  <c r="L204" i="14"/>
  <c r="K174" i="15" s="1"/>
  <c r="P174" s="1"/>
  <c r="N200" i="14"/>
  <c r="M170" i="15"/>
  <c r="T170" s="1"/>
  <c r="L200" i="14"/>
  <c r="K170" i="15" s="1"/>
  <c r="P170" s="1"/>
  <c r="N196" i="14"/>
  <c r="M166" i="15"/>
  <c r="T166" s="1"/>
  <c r="L196" i="14"/>
  <c r="K166" i="15" s="1"/>
  <c r="P166" s="1"/>
  <c r="N192" i="14"/>
  <c r="M162" i="15"/>
  <c r="T162" s="1"/>
  <c r="L192" i="14"/>
  <c r="K162" i="15" s="1"/>
  <c r="P162" s="1"/>
  <c r="N188" i="14"/>
  <c r="M158" i="15"/>
  <c r="T158" s="1"/>
  <c r="L188" i="14"/>
  <c r="K158" i="15" s="1"/>
  <c r="P158" s="1"/>
  <c r="N184" i="14"/>
  <c r="M154" i="15"/>
  <c r="T154" s="1"/>
  <c r="L184" i="14"/>
  <c r="K154" i="15" s="1"/>
  <c r="P154" s="1"/>
  <c r="N180" i="14"/>
  <c r="M150" i="15"/>
  <c r="T150" s="1"/>
  <c r="L180" i="14"/>
  <c r="K150" i="15" s="1"/>
  <c r="P150" s="1"/>
  <c r="N176" i="14"/>
  <c r="M146" i="15"/>
  <c r="T146" s="1"/>
  <c r="L176" i="14"/>
  <c r="K146" i="15" s="1"/>
  <c r="P146" s="1"/>
  <c r="N172" i="14"/>
  <c r="M142" i="15"/>
  <c r="T142" s="1"/>
  <c r="L172" i="14"/>
  <c r="K142" i="15" s="1"/>
  <c r="P142" s="1"/>
  <c r="N168" i="14"/>
  <c r="M138" i="15"/>
  <c r="T138" s="1"/>
  <c r="L168" i="14"/>
  <c r="K138" i="15" s="1"/>
  <c r="P138" s="1"/>
  <c r="N164" i="14"/>
  <c r="M134" i="15"/>
  <c r="T134" s="1"/>
  <c r="L164" i="14"/>
  <c r="K134" i="15" s="1"/>
  <c r="P134" s="1"/>
  <c r="N160" i="14"/>
  <c r="M130" i="15"/>
  <c r="T130" s="1"/>
  <c r="L160" i="14"/>
  <c r="K130" i="15" s="1"/>
  <c r="P130" s="1"/>
  <c r="N156" i="14"/>
  <c r="M126" i="15"/>
  <c r="T126" s="1"/>
  <c r="L156" i="14"/>
  <c r="K126" i="15" s="1"/>
  <c r="P126" s="1"/>
  <c r="N152" i="14"/>
  <c r="M122" i="15"/>
  <c r="T122" s="1"/>
  <c r="L152" i="14"/>
  <c r="K122" i="15" s="1"/>
  <c r="P122" s="1"/>
  <c r="N148" i="14"/>
  <c r="M118" i="15"/>
  <c r="T118" s="1"/>
  <c r="L148" i="14"/>
  <c r="K118" i="15" s="1"/>
  <c r="P118" s="1"/>
  <c r="N144" i="14"/>
  <c r="M114" i="15"/>
  <c r="T114" s="1"/>
  <c r="L144" i="14"/>
  <c r="K114" i="15" s="1"/>
  <c r="P114" s="1"/>
  <c r="N140" i="14"/>
  <c r="M110" i="15"/>
  <c r="T110" s="1"/>
  <c r="L140" i="14"/>
  <c r="K110" i="15" s="1"/>
  <c r="P110" s="1"/>
  <c r="N136" i="14"/>
  <c r="M106" i="15"/>
  <c r="T106" s="1"/>
  <c r="L136" i="14"/>
  <c r="K106" i="15" s="1"/>
  <c r="P106" s="1"/>
  <c r="N132" i="14"/>
  <c r="M102" i="15"/>
  <c r="T102"/>
  <c r="L132" i="14"/>
  <c r="K102" i="15"/>
  <c r="P102" s="1"/>
  <c r="N128" i="14"/>
  <c r="M98" i="15" s="1"/>
  <c r="T98" s="1"/>
  <c r="L128" i="14"/>
  <c r="K98" i="15"/>
  <c r="P98" s="1"/>
  <c r="N124" i="14"/>
  <c r="M94" i="15" s="1"/>
  <c r="T94" s="1"/>
  <c r="L124" i="14"/>
  <c r="K94" i="15"/>
  <c r="P94" s="1"/>
  <c r="N120" i="14"/>
  <c r="M90" i="15" s="1"/>
  <c r="T90" s="1"/>
  <c r="L120" i="14"/>
  <c r="K90" i="15"/>
  <c r="P90" s="1"/>
  <c r="N116" i="14"/>
  <c r="M86" i="15" s="1"/>
  <c r="T86" s="1"/>
  <c r="L116" i="14"/>
  <c r="K86" i="15"/>
  <c r="P86" s="1"/>
  <c r="N112" i="14"/>
  <c r="M82" i="15" s="1"/>
  <c r="T82" s="1"/>
  <c r="L112" i="14"/>
  <c r="K82" i="15"/>
  <c r="P82" s="1"/>
  <c r="N108" i="14"/>
  <c r="M78" i="15" s="1"/>
  <c r="T78" s="1"/>
  <c r="L108" i="14"/>
  <c r="K78" i="15"/>
  <c r="P78" s="1"/>
  <c r="N104" i="14"/>
  <c r="M74" i="15" s="1"/>
  <c r="T74" s="1"/>
  <c r="L104" i="14"/>
  <c r="K74" i="15"/>
  <c r="P74" s="1"/>
  <c r="N100" i="14"/>
  <c r="M70" i="15" s="1"/>
  <c r="T70" s="1"/>
  <c r="L100" i="14"/>
  <c r="K70" i="15"/>
  <c r="P70" s="1"/>
  <c r="N96" i="14"/>
  <c r="M66" i="15" s="1"/>
  <c r="T66" s="1"/>
  <c r="L96" i="14"/>
  <c r="K66" i="15"/>
  <c r="P66" s="1"/>
  <c r="N92" i="14"/>
  <c r="M62" i="15" s="1"/>
  <c r="T62" s="1"/>
  <c r="L92" i="14"/>
  <c r="K62" i="15"/>
  <c r="P62" s="1"/>
  <c r="N88" i="14"/>
  <c r="M58" i="15" s="1"/>
  <c r="T58" s="1"/>
  <c r="L88" i="14"/>
  <c r="K58" i="15"/>
  <c r="P58" s="1"/>
  <c r="N84" i="14"/>
  <c r="M54" i="15" s="1"/>
  <c r="T54" s="1"/>
  <c r="L84" i="14"/>
  <c r="K54" i="15"/>
  <c r="P54" s="1"/>
  <c r="N80" i="14"/>
  <c r="M50" i="15" s="1"/>
  <c r="T50" s="1"/>
  <c r="L80" i="14"/>
  <c r="K50" i="15"/>
  <c r="P50" s="1"/>
  <c r="N76" i="14"/>
  <c r="M46" i="15" s="1"/>
  <c r="T46" s="1"/>
  <c r="L76" i="14"/>
  <c r="K46" i="15"/>
  <c r="P46" s="1"/>
  <c r="N72" i="14"/>
  <c r="M42" i="15" s="1"/>
  <c r="T42" s="1"/>
  <c r="L72" i="14"/>
  <c r="K42" i="15"/>
  <c r="P42" s="1"/>
  <c r="N68" i="14"/>
  <c r="M38" i="15" s="1"/>
  <c r="T38" s="1"/>
  <c r="L68" i="14"/>
  <c r="K38" i="15"/>
  <c r="P38" s="1"/>
  <c r="N64" i="14"/>
  <c r="M34" i="15" s="1"/>
  <c r="T34" s="1"/>
  <c r="L64" i="14"/>
  <c r="K34" i="15"/>
  <c r="P34" s="1"/>
  <c r="N60" i="14"/>
  <c r="M30" i="15" s="1"/>
  <c r="T30" s="1"/>
  <c r="L60" i="14"/>
  <c r="K30" i="15"/>
  <c r="P30" s="1"/>
  <c r="N56" i="14"/>
  <c r="M26" i="15" s="1"/>
  <c r="T26" s="1"/>
  <c r="L56" i="14"/>
  <c r="K26" i="15"/>
  <c r="P26" s="1"/>
  <c r="N52" i="14"/>
  <c r="M22" i="15" s="1"/>
  <c r="T22" s="1"/>
  <c r="L52" i="14"/>
  <c r="K22" i="15"/>
  <c r="P22" s="1"/>
  <c r="N48" i="14"/>
  <c r="M18" i="15" s="1"/>
  <c r="T18" s="1"/>
  <c r="L48" i="14"/>
  <c r="K18" i="15"/>
  <c r="P18" s="1"/>
  <c r="N44" i="14"/>
  <c r="M14" i="15" s="1"/>
  <c r="T14" s="1"/>
  <c r="L44" i="14"/>
  <c r="K14" i="15"/>
  <c r="P14" s="1"/>
  <c r="N40" i="14"/>
  <c r="M10" i="15" s="1"/>
  <c r="T10" s="1"/>
  <c r="L40" i="14"/>
  <c r="K10" i="15"/>
  <c r="P10" s="1"/>
  <c r="N36" i="14"/>
  <c r="M6" i="15" s="1"/>
  <c r="T6" s="1"/>
  <c r="L36" i="14"/>
  <c r="K6" i="15"/>
  <c r="P6" s="1"/>
  <c r="M34" i="14"/>
  <c r="L4" i="15" s="1"/>
  <c r="R4" s="1"/>
  <c r="K34" i="14"/>
  <c r="J4" i="15"/>
  <c r="N4" s="1"/>
  <c r="M65" i="14"/>
  <c r="L35" i="15" s="1"/>
  <c r="R35" s="1"/>
  <c r="K65" i="14"/>
  <c r="J35" i="15"/>
  <c r="N35" s="1"/>
  <c r="K58" i="14"/>
  <c r="J28" i="15" s="1"/>
  <c r="N28" s="1"/>
  <c r="M58" i="14"/>
  <c r="L28" i="15"/>
  <c r="R28" s="1"/>
  <c r="M49" i="14"/>
  <c r="L19" i="15" s="1"/>
  <c r="R19" s="1"/>
  <c r="K49" i="14"/>
  <c r="J19" i="15"/>
  <c r="N19" s="1"/>
  <c r="K46" i="14"/>
  <c r="J16" i="15" s="1"/>
  <c r="N16" s="1"/>
  <c r="M46" i="14"/>
  <c r="L16" i="15"/>
  <c r="R16" s="1"/>
  <c r="K42" i="14"/>
  <c r="J12" i="15" s="1"/>
  <c r="N12" s="1"/>
  <c r="M42" i="14"/>
  <c r="L12" i="15"/>
  <c r="R12" s="1"/>
  <c r="AA87" i="14"/>
  <c r="BG57" i="15" s="1"/>
  <c r="BM57" s="1"/>
  <c r="Y87" i="14"/>
  <c r="BE57" i="15"/>
  <c r="BI57" s="1"/>
  <c r="AA91" i="14"/>
  <c r="BG61" i="15" s="1"/>
  <c r="BM61" s="1"/>
  <c r="Y91" i="14"/>
  <c r="BE61" i="15"/>
  <c r="BI61" s="1"/>
  <c r="AA93" i="14"/>
  <c r="BG63" i="15" s="1"/>
  <c r="BM63" s="1"/>
  <c r="Y93" i="14"/>
  <c r="BE63" i="15"/>
  <c r="BI63" s="1"/>
  <c r="AA96" i="14"/>
  <c r="BG66" i="15" s="1"/>
  <c r="BM66" s="1"/>
  <c r="Y96" i="14"/>
  <c r="BE66" i="15"/>
  <c r="BI66" s="1"/>
  <c r="AA103" i="14"/>
  <c r="BG73" i="15" s="1"/>
  <c r="BM73" s="1"/>
  <c r="Y103" i="14"/>
  <c r="BE73" i="15"/>
  <c r="BI73" s="1"/>
  <c r="AA107" i="14"/>
  <c r="BG77" i="15" s="1"/>
  <c r="BM77" s="1"/>
  <c r="Y107" i="14"/>
  <c r="BE77" i="15"/>
  <c r="BI77" s="1"/>
  <c r="AA109" i="14"/>
  <c r="BG79" i="15" s="1"/>
  <c r="BM79" s="1"/>
  <c r="Y109" i="14"/>
  <c r="BE79" i="15"/>
  <c r="BI79" s="1"/>
  <c r="AA112" i="14"/>
  <c r="BG82" i="15" s="1"/>
  <c r="BM82" s="1"/>
  <c r="Y112" i="14"/>
  <c r="BE82" i="15"/>
  <c r="BI82" s="1"/>
  <c r="AA119" i="14"/>
  <c r="BG89" i="15" s="1"/>
  <c r="BM89" s="1"/>
  <c r="Y119" i="14"/>
  <c r="BE89" i="15"/>
  <c r="BI89" s="1"/>
  <c r="AA123" i="14"/>
  <c r="BG93" i="15" s="1"/>
  <c r="BM93" s="1"/>
  <c r="Y123" i="14"/>
  <c r="BE93" i="15"/>
  <c r="BI93" s="1"/>
  <c r="AA125" i="14"/>
  <c r="BG95" i="15" s="1"/>
  <c r="BM95" s="1"/>
  <c r="Y125" i="14"/>
  <c r="BE95" i="15"/>
  <c r="BI95" s="1"/>
  <c r="AA128" i="14"/>
  <c r="BG98" i="15" s="1"/>
  <c r="BM98" s="1"/>
  <c r="Y128" i="14"/>
  <c r="BE98" i="15"/>
  <c r="BI98" s="1"/>
  <c r="AA135" i="14"/>
  <c r="BG105" i="15" s="1"/>
  <c r="BM105" s="1"/>
  <c r="Y135" i="14"/>
  <c r="BE105" i="15"/>
  <c r="BI105" s="1"/>
  <c r="AA139" i="14"/>
  <c r="BG109" i="15" s="1"/>
  <c r="BM109" s="1"/>
  <c r="Y139" i="14"/>
  <c r="BE109" i="15"/>
  <c r="BI109" s="1"/>
  <c r="AA141" i="14"/>
  <c r="BG111" i="15" s="1"/>
  <c r="BM111" s="1"/>
  <c r="Y141" i="14"/>
  <c r="BE111" i="15"/>
  <c r="BI111" s="1"/>
  <c r="AA143" i="14"/>
  <c r="BG113" i="15" s="1"/>
  <c r="BM113" s="1"/>
  <c r="Y143" i="14"/>
  <c r="BE113" i="15"/>
  <c r="BI113" s="1"/>
  <c r="AA145" i="14"/>
  <c r="BG115" i="15" s="1"/>
  <c r="BM115" s="1"/>
  <c r="Y145" i="14"/>
  <c r="BE115" i="15"/>
  <c r="BI115" s="1"/>
  <c r="AA147" i="14"/>
  <c r="BG117" i="15" s="1"/>
  <c r="BM117" s="1"/>
  <c r="Y147" i="14"/>
  <c r="BE117" i="15"/>
  <c r="BI117" s="1"/>
  <c r="AA149" i="14"/>
  <c r="BG119" i="15" s="1"/>
  <c r="BM119" s="1"/>
  <c r="Y149" i="14"/>
  <c r="BE119" i="15"/>
  <c r="BI119" s="1"/>
  <c r="AA151" i="14"/>
  <c r="BG121" i="15" s="1"/>
  <c r="BM121" s="1"/>
  <c r="Y151" i="14"/>
  <c r="BE121" i="15"/>
  <c r="BI121" s="1"/>
  <c r="AA153" i="14"/>
  <c r="BG123" i="15" s="1"/>
  <c r="BM123" s="1"/>
  <c r="Y153" i="14"/>
  <c r="BE123" i="15"/>
  <c r="BI123" s="1"/>
  <c r="AA155" i="14"/>
  <c r="BG125" i="15" s="1"/>
  <c r="BM125" s="1"/>
  <c r="Y155" i="14"/>
  <c r="BE125" i="15"/>
  <c r="BI125" s="1"/>
  <c r="AA157" i="14"/>
  <c r="BG127" i="15" s="1"/>
  <c r="BM127" s="1"/>
  <c r="Y157" i="14"/>
  <c r="BE127" i="15"/>
  <c r="BI127" s="1"/>
  <c r="AA159" i="14"/>
  <c r="BG129" i="15" s="1"/>
  <c r="BM129" s="1"/>
  <c r="Y159" i="14"/>
  <c r="BE129" i="15"/>
  <c r="BI129" s="1"/>
  <c r="AA161" i="14"/>
  <c r="BG131" i="15" s="1"/>
  <c r="BM131" s="1"/>
  <c r="Y161" i="14"/>
  <c r="BE131" i="15"/>
  <c r="BI131" s="1"/>
  <c r="AA163" i="14"/>
  <c r="BG133" i="15" s="1"/>
  <c r="BM133" s="1"/>
  <c r="Y163" i="14"/>
  <c r="BE133" i="15"/>
  <c r="BI133" s="1"/>
  <c r="AA165" i="14"/>
  <c r="BG135" i="15" s="1"/>
  <c r="BM135" s="1"/>
  <c r="Y165" i="14"/>
  <c r="BE135" i="15"/>
  <c r="BI135" s="1"/>
  <c r="AA167" i="14"/>
  <c r="BG137" i="15" s="1"/>
  <c r="BM137" s="1"/>
  <c r="Y167" i="14"/>
  <c r="BE137" i="15"/>
  <c r="BI137" s="1"/>
  <c r="AA169" i="14"/>
  <c r="BG139" i="15" s="1"/>
  <c r="BM139" s="1"/>
  <c r="Y169" i="14"/>
  <c r="BE139" i="15"/>
  <c r="BI139" s="1"/>
  <c r="AA171" i="14"/>
  <c r="BG141" i="15" s="1"/>
  <c r="BM141" s="1"/>
  <c r="Y171" i="14"/>
  <c r="BE141" i="15"/>
  <c r="BI141" s="1"/>
  <c r="AA173" i="14"/>
  <c r="BG143" i="15" s="1"/>
  <c r="BM143" s="1"/>
  <c r="Y173" i="14"/>
  <c r="BE143" i="15"/>
  <c r="BI143" s="1"/>
  <c r="AA175" i="14"/>
  <c r="BG145" i="15" s="1"/>
  <c r="BM145" s="1"/>
  <c r="Y175" i="14"/>
  <c r="BE145" i="15"/>
  <c r="BI145" s="1"/>
  <c r="AA177" i="14"/>
  <c r="BG147" i="15" s="1"/>
  <c r="BM147" s="1"/>
  <c r="Y177" i="14"/>
  <c r="BE147" i="15"/>
  <c r="BI147" s="1"/>
  <c r="AA179" i="14"/>
  <c r="BG149" i="15" s="1"/>
  <c r="BM149" s="1"/>
  <c r="Y179" i="14"/>
  <c r="BE149" i="15"/>
  <c r="BI149" s="1"/>
  <c r="AA181" i="14"/>
  <c r="BG151" i="15" s="1"/>
  <c r="BM151" s="1"/>
  <c r="Y181" i="14"/>
  <c r="BE151" i="15"/>
  <c r="BI151" s="1"/>
  <c r="AA183" i="14"/>
  <c r="BG153" i="15" s="1"/>
  <c r="BM153" s="1"/>
  <c r="Y183" i="14"/>
  <c r="BE153" i="15"/>
  <c r="BI153" s="1"/>
  <c r="AA185" i="14"/>
  <c r="BG155" i="15" s="1"/>
  <c r="BM155" s="1"/>
  <c r="Y185" i="14"/>
  <c r="BE155" i="15"/>
  <c r="BI155" s="1"/>
  <c r="AA187" i="14"/>
  <c r="BG157" i="15" s="1"/>
  <c r="BM157" s="1"/>
  <c r="Y187" i="14"/>
  <c r="BE157" i="15"/>
  <c r="BI157" s="1"/>
  <c r="AA189" i="14"/>
  <c r="BG159" i="15" s="1"/>
  <c r="BM159" s="1"/>
  <c r="Y189" i="14"/>
  <c r="BE159" i="15"/>
  <c r="BI159" s="1"/>
  <c r="AA191" i="14"/>
  <c r="BG161" i="15" s="1"/>
  <c r="BM161" s="1"/>
  <c r="Y191" i="14"/>
  <c r="BE161" i="15"/>
  <c r="BI161" s="1"/>
  <c r="AA193" i="14"/>
  <c r="BG163" i="15" s="1"/>
  <c r="BM163" s="1"/>
  <c r="Y193" i="14"/>
  <c r="BE163" i="15"/>
  <c r="BI163" s="1"/>
  <c r="AA195" i="14"/>
  <c r="BG165" i="15" s="1"/>
  <c r="BM165" s="1"/>
  <c r="Y195" i="14"/>
  <c r="BE165" i="15"/>
  <c r="BI165" s="1"/>
  <c r="AA197" i="14"/>
  <c r="BG167" i="15" s="1"/>
  <c r="BM167" s="1"/>
  <c r="Y197" i="14"/>
  <c r="BE167" i="15"/>
  <c r="BI167" s="1"/>
  <c r="AA199" i="14"/>
  <c r="BG169" i="15" s="1"/>
  <c r="BM169" s="1"/>
  <c r="Y199" i="14"/>
  <c r="BE169" i="15"/>
  <c r="BI169" s="1"/>
  <c r="AA201" i="14"/>
  <c r="BG171" i="15" s="1"/>
  <c r="BM171" s="1"/>
  <c r="Y201" i="14"/>
  <c r="BE171" i="15"/>
  <c r="BI171" s="1"/>
  <c r="AA203" i="14"/>
  <c r="BG173" i="15" s="1"/>
  <c r="BM173" s="1"/>
  <c r="Y203" i="14"/>
  <c r="BE173" i="15"/>
  <c r="BI173" s="1"/>
  <c r="AA205" i="14"/>
  <c r="BG175" i="15" s="1"/>
  <c r="BM175" s="1"/>
  <c r="Y205" i="14"/>
  <c r="BE175" i="15"/>
  <c r="BI175" s="1"/>
  <c r="AA207" i="14"/>
  <c r="BG177" i="15" s="1"/>
  <c r="BM177" s="1"/>
  <c r="Y207" i="14"/>
  <c r="BE177" i="15"/>
  <c r="BI177" s="1"/>
  <c r="AA209" i="14"/>
  <c r="BG179" i="15" s="1"/>
  <c r="BM179" s="1"/>
  <c r="Y209" i="14"/>
  <c r="BE179" i="15"/>
  <c r="BI179" s="1"/>
  <c r="AA211" i="14"/>
  <c r="BG181" i="15" s="1"/>
  <c r="BM181" s="1"/>
  <c r="Y211" i="14"/>
  <c r="BE181" i="15"/>
  <c r="BI181" s="1"/>
  <c r="AA213" i="14"/>
  <c r="BG183" i="15" s="1"/>
  <c r="BM183" s="1"/>
  <c r="Y213" i="14"/>
  <c r="BE183" i="15"/>
  <c r="BI183" s="1"/>
  <c r="AA219" i="14"/>
  <c r="BG189" i="15" s="1"/>
  <c r="BM189" s="1"/>
  <c r="Y219" i="14"/>
  <c r="BE189" i="15"/>
  <c r="BI189" s="1"/>
  <c r="AA223" i="14"/>
  <c r="BG193" i="15" s="1"/>
  <c r="BM193" s="1"/>
  <c r="Y223" i="14"/>
  <c r="BE193" i="15"/>
  <c r="BI193" s="1"/>
  <c r="AA230" i="14"/>
  <c r="BG200" i="15" s="1"/>
  <c r="BM200" s="1"/>
  <c r="Y230" i="14"/>
  <c r="BE200" i="15"/>
  <c r="BI200" s="1"/>
  <c r="AA233" i="14"/>
  <c r="BG203" i="15" s="1"/>
  <c r="BM203" s="1"/>
  <c r="Y233" i="14"/>
  <c r="BE203" i="15"/>
  <c r="BI203" s="1"/>
  <c r="AA235" i="14"/>
  <c r="BG205" i="15" s="1"/>
  <c r="BM205" s="1"/>
  <c r="Y235" i="14"/>
  <c r="BE205" i="15"/>
  <c r="BI205" s="1"/>
  <c r="AA239" i="14"/>
  <c r="BG209" i="15" s="1"/>
  <c r="BM209" s="1"/>
  <c r="Y239" i="14"/>
  <c r="BE209" i="15"/>
  <c r="BI209" s="1"/>
  <c r="AA246" i="14"/>
  <c r="BG216" i="15" s="1"/>
  <c r="BM216" s="1"/>
  <c r="Y246" i="14"/>
  <c r="BE216" i="15"/>
  <c r="BI216" s="1"/>
  <c r="AA249" i="14"/>
  <c r="BG219" i="15" s="1"/>
  <c r="BM219" s="1"/>
  <c r="Y249" i="14"/>
  <c r="BE219" i="15"/>
  <c r="BI219" s="1"/>
  <c r="AA251" i="14"/>
  <c r="BG221" i="15" s="1"/>
  <c r="BM221" s="1"/>
  <c r="Y251" i="14"/>
  <c r="BE221" i="15"/>
  <c r="BI221" s="1"/>
  <c r="AA255" i="14"/>
  <c r="BG225" i="15" s="1"/>
  <c r="BM225" s="1"/>
  <c r="Y255" i="14"/>
  <c r="BE225" i="15"/>
  <c r="BI225" s="1"/>
  <c r="AA262" i="14"/>
  <c r="BG232" i="15" s="1"/>
  <c r="BM232" s="1"/>
  <c r="Y262" i="14"/>
  <c r="BE232" i="15"/>
  <c r="BI232" s="1"/>
  <c r="AA265" i="14"/>
  <c r="BG235" i="15" s="1"/>
  <c r="BM235" s="1"/>
  <c r="Y265" i="14"/>
  <c r="BE235" i="15"/>
  <c r="BI235" s="1"/>
  <c r="AA267" i="14"/>
  <c r="BG237" i="15" s="1"/>
  <c r="BM237" s="1"/>
  <c r="Y267" i="14"/>
  <c r="BE237" i="15"/>
  <c r="BI237" s="1"/>
  <c r="AA271" i="14"/>
  <c r="BG241" i="15" s="1"/>
  <c r="BM241" s="1"/>
  <c r="Y271" i="14"/>
  <c r="BE241" i="15"/>
  <c r="BI241" s="1"/>
  <c r="AA278" i="14"/>
  <c r="BG248" i="15" s="1"/>
  <c r="BM248" s="1"/>
  <c r="Y278" i="14"/>
  <c r="BE248" i="15"/>
  <c r="BI248" s="1"/>
  <c r="AA281" i="14"/>
  <c r="BG251" i="15" s="1"/>
  <c r="BM251" s="1"/>
  <c r="Y281" i="14"/>
  <c r="BE251" i="15"/>
  <c r="BI251" s="1"/>
  <c r="AA283" i="14"/>
  <c r="BG253" i="15" s="1"/>
  <c r="BM253" s="1"/>
  <c r="Y283" i="14"/>
  <c r="BE253" i="15"/>
  <c r="BI253" s="1"/>
  <c r="AA287" i="14"/>
  <c r="BG257" i="15" s="1"/>
  <c r="BM257" s="1"/>
  <c r="Y287" i="14"/>
  <c r="BE257" i="15"/>
  <c r="BI257" s="1"/>
  <c r="AA294" i="14"/>
  <c r="BG264" i="15" s="1"/>
  <c r="BM264" s="1"/>
  <c r="Y294" i="14"/>
  <c r="BE264" i="15"/>
  <c r="BI264" s="1"/>
  <c r="AA297" i="14"/>
  <c r="BG267" i="15" s="1"/>
  <c r="BM267" s="1"/>
  <c r="Y297" i="14"/>
  <c r="BE267" i="15"/>
  <c r="BI267" s="1"/>
  <c r="AA299" i="14"/>
  <c r="BG269" i="15" s="1"/>
  <c r="BM269" s="1"/>
  <c r="Y299" i="14"/>
  <c r="BE269" i="15"/>
  <c r="BI269" s="1"/>
  <c r="AA303" i="14"/>
  <c r="BG273" i="15" s="1"/>
  <c r="BM273" s="1"/>
  <c r="Y303" i="14"/>
  <c r="BE273" i="15"/>
  <c r="BI273" s="1"/>
  <c r="AA310" i="14"/>
  <c r="BG280" i="15" s="1"/>
  <c r="BM280" s="1"/>
  <c r="Y310" i="14"/>
  <c r="BE280" i="15"/>
  <c r="BI280" s="1"/>
  <c r="AA313" i="14"/>
  <c r="BG283" i="15" s="1"/>
  <c r="BM283" s="1"/>
  <c r="Y313" i="14"/>
  <c r="BE283" i="15"/>
  <c r="BI283" s="1"/>
  <c r="AA315" i="14"/>
  <c r="BG285" i="15" s="1"/>
  <c r="BM285" s="1"/>
  <c r="Y315" i="14"/>
  <c r="BE285" i="15"/>
  <c r="BI285" s="1"/>
  <c r="AA319" i="14"/>
  <c r="BG289" i="15" s="1"/>
  <c r="BM289" s="1"/>
  <c r="Y319" i="14"/>
  <c r="BE289" i="15"/>
  <c r="BI289" s="1"/>
  <c r="AA326" i="14"/>
  <c r="BG296" i="15" s="1"/>
  <c r="BM296" s="1"/>
  <c r="Y326" i="14"/>
  <c r="BE296" i="15"/>
  <c r="BI296" s="1"/>
  <c r="AA329" i="14"/>
  <c r="BG299" i="15" s="1"/>
  <c r="BM299" s="1"/>
  <c r="Y329" i="14"/>
  <c r="BE299" i="15"/>
  <c r="BI299" s="1"/>
  <c r="AA331" i="14"/>
  <c r="BG301" i="15" s="1"/>
  <c r="BM301" s="1"/>
  <c r="Y331" i="14"/>
  <c r="BE301" i="15"/>
  <c r="BI301" s="1"/>
  <c r="AA335" i="14"/>
  <c r="BG305" i="15" s="1"/>
  <c r="BM305" s="1"/>
  <c r="Y335" i="14"/>
  <c r="BE305" i="15"/>
  <c r="BI305" s="1"/>
  <c r="Y105" i="14"/>
  <c r="BE75" i="15" s="1"/>
  <c r="BI75" s="1"/>
  <c r="AA105" i="14"/>
  <c r="BG75" i="15"/>
  <c r="BM75" s="1"/>
  <c r="AA110" i="14"/>
  <c r="BG80" i="15" s="1"/>
  <c r="BM80" s="1"/>
  <c r="Y110" i="14"/>
  <c r="BE80" i="15"/>
  <c r="BI80" s="1"/>
  <c r="AA114" i="14"/>
  <c r="BG84" i="15" s="1"/>
  <c r="BM84" s="1"/>
  <c r="Y114" i="14"/>
  <c r="BE84" i="15"/>
  <c r="BI84" s="1"/>
  <c r="Y121" i="14"/>
  <c r="BE91" i="15" s="1"/>
  <c r="BI91" s="1"/>
  <c r="AA121" i="14"/>
  <c r="BG91" i="15"/>
  <c r="BM91" s="1"/>
  <c r="AA126" i="14"/>
  <c r="BG96" i="15" s="1"/>
  <c r="BM96" s="1"/>
  <c r="Y126" i="14"/>
  <c r="BE96" i="15"/>
  <c r="BI96" s="1"/>
  <c r="AA130" i="14"/>
  <c r="BG100" i="15" s="1"/>
  <c r="BM100" s="1"/>
  <c r="Y130" i="14"/>
  <c r="BE100" i="15"/>
  <c r="BI100" s="1"/>
  <c r="Y137" i="14"/>
  <c r="BE107" i="15" s="1"/>
  <c r="BI107" s="1"/>
  <c r="AA137" i="14"/>
  <c r="BG107" i="15"/>
  <c r="BM107" s="1"/>
  <c r="AA214" i="14"/>
  <c r="BG184" i="15" s="1"/>
  <c r="BM184" s="1"/>
  <c r="Y214" i="14"/>
  <c r="BE184" i="15"/>
  <c r="BI184" s="1"/>
  <c r="AA220" i="14"/>
  <c r="BG190" i="15" s="1"/>
  <c r="BM190" s="1"/>
  <c r="Y220" i="14"/>
  <c r="BE190" i="15"/>
  <c r="BI190" s="1"/>
  <c r="AA226" i="14"/>
  <c r="BG196" i="15" s="1"/>
  <c r="BM196" s="1"/>
  <c r="Y226" i="14"/>
  <c r="BE196" i="15"/>
  <c r="BI196" s="1"/>
  <c r="AA229" i="14"/>
  <c r="BG199" i="15" s="1"/>
  <c r="BM199" s="1"/>
  <c r="Y229" i="14"/>
  <c r="BE199" i="15"/>
  <c r="BI199" s="1"/>
  <c r="AA236" i="14"/>
  <c r="BG206" i="15" s="1"/>
  <c r="BM206" s="1"/>
  <c r="Y236" i="14"/>
  <c r="BE206" i="15"/>
  <c r="BI206" s="1"/>
  <c r="AA242" i="14"/>
  <c r="BG212" i="15" s="1"/>
  <c r="BM212" s="1"/>
  <c r="Y242" i="14"/>
  <c r="BE212" i="15"/>
  <c r="BI212" s="1"/>
  <c r="AA245" i="14"/>
  <c r="BG215" i="15" s="1"/>
  <c r="BM215" s="1"/>
  <c r="Y245" i="14"/>
  <c r="BE215" i="15"/>
  <c r="BI215" s="1"/>
  <c r="AA252" i="14"/>
  <c r="BG222" i="15" s="1"/>
  <c r="BM222" s="1"/>
  <c r="Y252" i="14"/>
  <c r="BE222" i="15"/>
  <c r="BI222" s="1"/>
  <c r="AA258" i="14"/>
  <c r="BG228" i="15" s="1"/>
  <c r="BM228" s="1"/>
  <c r="Y258" i="14"/>
  <c r="BE228" i="15"/>
  <c r="BI228" s="1"/>
  <c r="AA261" i="14"/>
  <c r="BG231" i="15" s="1"/>
  <c r="BM231" s="1"/>
  <c r="Y261" i="14"/>
  <c r="BE231" i="15"/>
  <c r="BI231" s="1"/>
  <c r="AA268" i="14"/>
  <c r="BG238" i="15" s="1"/>
  <c r="BM238" s="1"/>
  <c r="Y268" i="14"/>
  <c r="BE238" i="15"/>
  <c r="BI238" s="1"/>
  <c r="AA274" i="14"/>
  <c r="BG244" i="15" s="1"/>
  <c r="BM244" s="1"/>
  <c r="Y274" i="14"/>
  <c r="BE244" i="15"/>
  <c r="BI244" s="1"/>
  <c r="AA277" i="14"/>
  <c r="BG247" i="15" s="1"/>
  <c r="BM247" s="1"/>
  <c r="Y277" i="14"/>
  <c r="BE247" i="15"/>
  <c r="BI247" s="1"/>
  <c r="AA284" i="14"/>
  <c r="BG254" i="15" s="1"/>
  <c r="BM254" s="1"/>
  <c r="Y284" i="14"/>
  <c r="BE254" i="15"/>
  <c r="BI254" s="1"/>
  <c r="AA290" i="14"/>
  <c r="BG260" i="15" s="1"/>
  <c r="BM260" s="1"/>
  <c r="Y290" i="14"/>
  <c r="BE260" i="15"/>
  <c r="BI260" s="1"/>
  <c r="AA293" i="14"/>
  <c r="BG263" i="15" s="1"/>
  <c r="BM263" s="1"/>
  <c r="Y293" i="14"/>
  <c r="BE263" i="15"/>
  <c r="BI263" s="1"/>
  <c r="AA300" i="14"/>
  <c r="BG270" i="15" s="1"/>
  <c r="BM270" s="1"/>
  <c r="Y300" i="14"/>
  <c r="BE270" i="15"/>
  <c r="BI270" s="1"/>
  <c r="AA306" i="14"/>
  <c r="BG276" i="15" s="1"/>
  <c r="BM276" s="1"/>
  <c r="Y306" i="14"/>
  <c r="BE276" i="15"/>
  <c r="BI276" s="1"/>
  <c r="AA309" i="14"/>
  <c r="BG279" i="15" s="1"/>
  <c r="BM279" s="1"/>
  <c r="Y309" i="14"/>
  <c r="BE279" i="15"/>
  <c r="BI279" s="1"/>
  <c r="AA316" i="14"/>
  <c r="BG286" i="15" s="1"/>
  <c r="BM286" s="1"/>
  <c r="Y316" i="14"/>
  <c r="BE286" i="15"/>
  <c r="BI286" s="1"/>
  <c r="AA322" i="14"/>
  <c r="BG292" i="15" s="1"/>
  <c r="BM292" s="1"/>
  <c r="Y322" i="14"/>
  <c r="BE292" i="15"/>
  <c r="BI292" s="1"/>
  <c r="AA325" i="14"/>
  <c r="BG295" i="15" s="1"/>
  <c r="BM295" s="1"/>
  <c r="Y325" i="14"/>
  <c r="BE295" i="15"/>
  <c r="BI295" s="1"/>
  <c r="AA332" i="14"/>
  <c r="BG302" i="15" s="1"/>
  <c r="BM302" s="1"/>
  <c r="Y332" i="14"/>
  <c r="BE302" i="15"/>
  <c r="BI302" s="1"/>
  <c r="Z90" i="14"/>
  <c r="BF60" i="15" s="1"/>
  <c r="BK60" s="1"/>
  <c r="AB90" i="14"/>
  <c r="BH60" i="15"/>
  <c r="BO60" s="1"/>
  <c r="AB106" i="14"/>
  <c r="BH76" i="15" s="1"/>
  <c r="BO76" s="1"/>
  <c r="Z106" i="14"/>
  <c r="BF76" i="15"/>
  <c r="BK76" s="1"/>
  <c r="AB122" i="14"/>
  <c r="BH92" i="15" s="1"/>
  <c r="BO92" s="1"/>
  <c r="Z122" i="14"/>
  <c r="BF92" i="15"/>
  <c r="BK92" s="1"/>
  <c r="AB138" i="14"/>
  <c r="BH108" i="15" s="1"/>
  <c r="BO108" s="1"/>
  <c r="Z138" i="14"/>
  <c r="BF108" i="15"/>
  <c r="BK108" s="1"/>
  <c r="AB218" i="14"/>
  <c r="BH188" i="15" s="1"/>
  <c r="BO188" s="1"/>
  <c r="Z218" i="14"/>
  <c r="BF188" i="15"/>
  <c r="BK188" s="1"/>
  <c r="AB222" i="14"/>
  <c r="BH192" i="15" s="1"/>
  <c r="BO192" s="1"/>
  <c r="Z222" i="14"/>
  <c r="BF192" i="15"/>
  <c r="BK192" s="1"/>
  <c r="AB225" i="14"/>
  <c r="BH195" i="15" s="1"/>
  <c r="BO195" s="1"/>
  <c r="Z225" i="14"/>
  <c r="BF195" i="15"/>
  <c r="BK195" s="1"/>
  <c r="AB227" i="14"/>
  <c r="BH197" i="15" s="1"/>
  <c r="BO197" s="1"/>
  <c r="Z227" i="14"/>
  <c r="BF197" i="15"/>
  <c r="BK197" s="1"/>
  <c r="AB231" i="14"/>
  <c r="BH201" i="15" s="1"/>
  <c r="BO201" s="1"/>
  <c r="Z231" i="14"/>
  <c r="BF201" i="15"/>
  <c r="BK201" s="1"/>
  <c r="AB238" i="14"/>
  <c r="BH208" i="15" s="1"/>
  <c r="BO208" s="1"/>
  <c r="Z238" i="14"/>
  <c r="BF208" i="15"/>
  <c r="BK208" s="1"/>
  <c r="AB241" i="14"/>
  <c r="BH211" i="15" s="1"/>
  <c r="BO211" s="1"/>
  <c r="Z241" i="14"/>
  <c r="BF211" i="15"/>
  <c r="BK211" s="1"/>
  <c r="AB243" i="14"/>
  <c r="BH213" i="15" s="1"/>
  <c r="BO213" s="1"/>
  <c r="Z243" i="14"/>
  <c r="BF213" i="15"/>
  <c r="BK213" s="1"/>
  <c r="AB247" i="14"/>
  <c r="BH217" i="15" s="1"/>
  <c r="BO217" s="1"/>
  <c r="Z247" i="14"/>
  <c r="BF217" i="15"/>
  <c r="BK217" s="1"/>
  <c r="AB254" i="14"/>
  <c r="BH224" i="15" s="1"/>
  <c r="BO224" s="1"/>
  <c r="Z254" i="14"/>
  <c r="BF224" i="15"/>
  <c r="BK224" s="1"/>
  <c r="AB257" i="14"/>
  <c r="BH227" i="15" s="1"/>
  <c r="BO227" s="1"/>
  <c r="Z257" i="14"/>
  <c r="BF227" i="15"/>
  <c r="BK227" s="1"/>
  <c r="AB259" i="14"/>
  <c r="BH229" i="15" s="1"/>
  <c r="BO229" s="1"/>
  <c r="Z259" i="14"/>
  <c r="BF229" i="15"/>
  <c r="BK229" s="1"/>
  <c r="AB263" i="14"/>
  <c r="BH233" i="15" s="1"/>
  <c r="BO233" s="1"/>
  <c r="Z263" i="14"/>
  <c r="BF233" i="15"/>
  <c r="BK233" s="1"/>
  <c r="AB270" i="14"/>
  <c r="BH240" i="15" s="1"/>
  <c r="BO240" s="1"/>
  <c r="Z270" i="14"/>
  <c r="BF240" i="15"/>
  <c r="BK240" s="1"/>
  <c r="AB273" i="14"/>
  <c r="BH243" i="15" s="1"/>
  <c r="BO243" s="1"/>
  <c r="Z273" i="14"/>
  <c r="BF243" i="15"/>
  <c r="BK243" s="1"/>
  <c r="AB275" i="14"/>
  <c r="BH245" i="15" s="1"/>
  <c r="BO245" s="1"/>
  <c r="Z275" i="14"/>
  <c r="BF245" i="15"/>
  <c r="BK245" s="1"/>
  <c r="AB279" i="14"/>
  <c r="BH249" i="15" s="1"/>
  <c r="BO249" s="1"/>
  <c r="Z279" i="14"/>
  <c r="BF249" i="15"/>
  <c r="BK249" s="1"/>
  <c r="AB286" i="14"/>
  <c r="BH256" i="15" s="1"/>
  <c r="BO256" s="1"/>
  <c r="Z286" i="14"/>
  <c r="BF256" i="15"/>
  <c r="BK256" s="1"/>
  <c r="AB289" i="14"/>
  <c r="BH259" i="15" s="1"/>
  <c r="BO259" s="1"/>
  <c r="Z289" i="14"/>
  <c r="BF259" i="15"/>
  <c r="BK259" s="1"/>
  <c r="AB291" i="14"/>
  <c r="BH261" i="15" s="1"/>
  <c r="BO261" s="1"/>
  <c r="Z291" i="14"/>
  <c r="BF261" i="15"/>
  <c r="BK261" s="1"/>
  <c r="AB295" i="14"/>
  <c r="BH265" i="15" s="1"/>
  <c r="BO265" s="1"/>
  <c r="Z295" i="14"/>
  <c r="BF265" i="15"/>
  <c r="BK265" s="1"/>
  <c r="AB302" i="14"/>
  <c r="BH272" i="15" s="1"/>
  <c r="BO272" s="1"/>
  <c r="Z302" i="14"/>
  <c r="BF272" i="15"/>
  <c r="BK272" s="1"/>
  <c r="AB305" i="14"/>
  <c r="BH275" i="15" s="1"/>
  <c r="BO275" s="1"/>
  <c r="Z305" i="14"/>
  <c r="BF275" i="15"/>
  <c r="BK275" s="1"/>
  <c r="AB307" i="14"/>
  <c r="BH277" i="15" s="1"/>
  <c r="BO277" s="1"/>
  <c r="Z307" i="14"/>
  <c r="BF277" i="15"/>
  <c r="BK277" s="1"/>
  <c r="AB311" i="14"/>
  <c r="BH281" i="15" s="1"/>
  <c r="BO281" s="1"/>
  <c r="Z311" i="14"/>
  <c r="BF281" i="15"/>
  <c r="BK281" s="1"/>
  <c r="AB318" i="14"/>
  <c r="BH288" i="15" s="1"/>
  <c r="BO288" s="1"/>
  <c r="Z318" i="14"/>
  <c r="BF288" i="15"/>
  <c r="BK288" s="1"/>
  <c r="AB321" i="14"/>
  <c r="BH291" i="15" s="1"/>
  <c r="BO291" s="1"/>
  <c r="Z321" i="14"/>
  <c r="BF291" i="15"/>
  <c r="BK291" s="1"/>
  <c r="AB323" i="14"/>
  <c r="BH293" i="15" s="1"/>
  <c r="BO293" s="1"/>
  <c r="Z323" i="14"/>
  <c r="BF293" i="15"/>
  <c r="BK293" s="1"/>
  <c r="AB327" i="14"/>
  <c r="BH297" i="15" s="1"/>
  <c r="BO297" s="1"/>
  <c r="Z327" i="14"/>
  <c r="BF297" i="15"/>
  <c r="BK297" s="1"/>
  <c r="AB334" i="14"/>
  <c r="BH304" i="15" s="1"/>
  <c r="BO304" s="1"/>
  <c r="Z334" i="14"/>
  <c r="BF304" i="15"/>
  <c r="BK304" s="1"/>
  <c r="AB101" i="14"/>
  <c r="BH71" i="15" s="1"/>
  <c r="BO71" s="1"/>
  <c r="Z101" i="14"/>
  <c r="BF71" i="15"/>
  <c r="BK71" s="1"/>
  <c r="Z104" i="14"/>
  <c r="BF74" i="15" s="1"/>
  <c r="BK74" s="1"/>
  <c r="AB104" i="14"/>
  <c r="BH74" i="15"/>
  <c r="BO74" s="1"/>
  <c r="AB108" i="14"/>
  <c r="BH78" i="15" s="1"/>
  <c r="BO78" s="1"/>
  <c r="Z108" i="14"/>
  <c r="BF78" i="15"/>
  <c r="BK78" s="1"/>
  <c r="AB111" i="14"/>
  <c r="BH81" i="15" s="1"/>
  <c r="BO81" s="1"/>
  <c r="Z111" i="14"/>
  <c r="BF81" i="15"/>
  <c r="BK81" s="1"/>
  <c r="AB115" i="14"/>
  <c r="BH85" i="15" s="1"/>
  <c r="BO85" s="1"/>
  <c r="Z115" i="14"/>
  <c r="BF85" i="15"/>
  <c r="BK85" s="1"/>
  <c r="AB117" i="14"/>
  <c r="BH87" i="15" s="1"/>
  <c r="BO87" s="1"/>
  <c r="Z117" i="14"/>
  <c r="BF87" i="15"/>
  <c r="BK87" s="1"/>
  <c r="Z120" i="14"/>
  <c r="BF90" i="15" s="1"/>
  <c r="BK90" s="1"/>
  <c r="AB120" i="14"/>
  <c r="BH90" i="15"/>
  <c r="BO90" s="1"/>
  <c r="AB124" i="14"/>
  <c r="BH94" i="15" s="1"/>
  <c r="BO94" s="1"/>
  <c r="Z124" i="14"/>
  <c r="BF94" i="15"/>
  <c r="BK94" s="1"/>
  <c r="AB127" i="14"/>
  <c r="BH97" i="15" s="1"/>
  <c r="BO97" s="1"/>
  <c r="Z127" i="14"/>
  <c r="BF97" i="15"/>
  <c r="BK97" s="1"/>
  <c r="AB131" i="14"/>
  <c r="BH101" i="15" s="1"/>
  <c r="BO101" s="1"/>
  <c r="Z131" i="14"/>
  <c r="BF101" i="15"/>
  <c r="BK101" s="1"/>
  <c r="AB133" i="14"/>
  <c r="BH103" i="15" s="1"/>
  <c r="BO103" s="1"/>
  <c r="Z133" i="14"/>
  <c r="BF103" i="15"/>
  <c r="BK103" s="1"/>
  <c r="Z136" i="14"/>
  <c r="BF106" i="15" s="1"/>
  <c r="BK106" s="1"/>
  <c r="AB136" i="14"/>
  <c r="BH106" i="15"/>
  <c r="BO106" s="1"/>
  <c r="AB140" i="14"/>
  <c r="BH110" i="15" s="1"/>
  <c r="BO110" s="1"/>
  <c r="Z140" i="14"/>
  <c r="BF110" i="15"/>
  <c r="BK110" s="1"/>
  <c r="AB142" i="14"/>
  <c r="BH112" i="15" s="1"/>
  <c r="BO112" s="1"/>
  <c r="Z142" i="14"/>
  <c r="BF112" i="15"/>
  <c r="BK112" s="1"/>
  <c r="AB144" i="14"/>
  <c r="BH114" i="15" s="1"/>
  <c r="BO114" s="1"/>
  <c r="Z144" i="14"/>
  <c r="BF114" i="15"/>
  <c r="BK114" s="1"/>
  <c r="AB146" i="14"/>
  <c r="BH116" i="15" s="1"/>
  <c r="BO116" s="1"/>
  <c r="Z146" i="14"/>
  <c r="BF116" i="15"/>
  <c r="BK116" s="1"/>
  <c r="AB148" i="14"/>
  <c r="BH118" i="15" s="1"/>
  <c r="BO118" s="1"/>
  <c r="Z148" i="14"/>
  <c r="BF118" i="15"/>
  <c r="BK118" s="1"/>
  <c r="AB150" i="14"/>
  <c r="BH120" i="15" s="1"/>
  <c r="BO120" s="1"/>
  <c r="Z150" i="14"/>
  <c r="BF120" i="15"/>
  <c r="BK120" s="1"/>
  <c r="AB152" i="14"/>
  <c r="BH122" i="15" s="1"/>
  <c r="BO122" s="1"/>
  <c r="Z152" i="14"/>
  <c r="BF122" i="15"/>
  <c r="BK122" s="1"/>
  <c r="AB154" i="14"/>
  <c r="BH124" i="15" s="1"/>
  <c r="BO124" s="1"/>
  <c r="Z154" i="14"/>
  <c r="BF124" i="15"/>
  <c r="BK124" s="1"/>
  <c r="AB156" i="14"/>
  <c r="BH126" i="15" s="1"/>
  <c r="BO126" s="1"/>
  <c r="Z156" i="14"/>
  <c r="BF126" i="15"/>
  <c r="BK126" s="1"/>
  <c r="AB158" i="14"/>
  <c r="BH128" i="15" s="1"/>
  <c r="BO128" s="1"/>
  <c r="Z158" i="14"/>
  <c r="BF128" i="15"/>
  <c r="BK128" s="1"/>
  <c r="AB160" i="14"/>
  <c r="BH130" i="15" s="1"/>
  <c r="BO130" s="1"/>
  <c r="Z160" i="14"/>
  <c r="BF130" i="15"/>
  <c r="BK130" s="1"/>
  <c r="AB162" i="14"/>
  <c r="BH132" i="15" s="1"/>
  <c r="BO132" s="1"/>
  <c r="Z162" i="14"/>
  <c r="BF132" i="15"/>
  <c r="BK132" s="1"/>
  <c r="AB164" i="14"/>
  <c r="BH134" i="15" s="1"/>
  <c r="BO134" s="1"/>
  <c r="Z164" i="14"/>
  <c r="BF134" i="15"/>
  <c r="BK134" s="1"/>
  <c r="AB166" i="14"/>
  <c r="BH136" i="15" s="1"/>
  <c r="BO136" s="1"/>
  <c r="Z166" i="14"/>
  <c r="BF136" i="15"/>
  <c r="BK136" s="1"/>
  <c r="AB168" i="14"/>
  <c r="BH138" i="15" s="1"/>
  <c r="BO138" s="1"/>
  <c r="Z168" i="14"/>
  <c r="BF138" i="15"/>
  <c r="BK138" s="1"/>
  <c r="AB170" i="14"/>
  <c r="BH140" i="15" s="1"/>
  <c r="BO140" s="1"/>
  <c r="Z170" i="14"/>
  <c r="BF140" i="15"/>
  <c r="BK140" s="1"/>
  <c r="AB172" i="14"/>
  <c r="BH142" i="15" s="1"/>
  <c r="BO142" s="1"/>
  <c r="Z172" i="14"/>
  <c r="BF142" i="15"/>
  <c r="BK142" s="1"/>
  <c r="AB174" i="14"/>
  <c r="BH144" i="15" s="1"/>
  <c r="BO144" s="1"/>
  <c r="Z174" i="14"/>
  <c r="BF144" i="15"/>
  <c r="BK144" s="1"/>
  <c r="AB176" i="14"/>
  <c r="BH146" i="15" s="1"/>
  <c r="BO146" s="1"/>
  <c r="Z176" i="14"/>
  <c r="BF146" i="15"/>
  <c r="BK146" s="1"/>
  <c r="AB178" i="14"/>
  <c r="BH148" i="15" s="1"/>
  <c r="BO148" s="1"/>
  <c r="Z178" i="14"/>
  <c r="BF148" i="15" s="1"/>
  <c r="BK148" s="1"/>
  <c r="AB180" i="14"/>
  <c r="BH150" i="15" s="1"/>
  <c r="BO150" s="1"/>
  <c r="Z180" i="14"/>
  <c r="BF150" i="15" s="1"/>
  <c r="BK150" s="1"/>
  <c r="AB182" i="14"/>
  <c r="BH152" i="15" s="1"/>
  <c r="BO152" s="1"/>
  <c r="Z182" i="14"/>
  <c r="BF152" i="15" s="1"/>
  <c r="BK152" s="1"/>
  <c r="AB184" i="14"/>
  <c r="BH154" i="15" s="1"/>
  <c r="BO154" s="1"/>
  <c r="Z184" i="14"/>
  <c r="BF154" i="15" s="1"/>
  <c r="BK154" s="1"/>
  <c r="AB186" i="14"/>
  <c r="BH156" i="15" s="1"/>
  <c r="BO156" s="1"/>
  <c r="Z186" i="14"/>
  <c r="BF156" i="15" s="1"/>
  <c r="BK156" s="1"/>
  <c r="AB188" i="14"/>
  <c r="BH158" i="15" s="1"/>
  <c r="BO158" s="1"/>
  <c r="Z188" i="14"/>
  <c r="BF158" i="15" s="1"/>
  <c r="BK158" s="1"/>
  <c r="AB190" i="14"/>
  <c r="BH160" i="15" s="1"/>
  <c r="BO160" s="1"/>
  <c r="Z190" i="14"/>
  <c r="BF160" i="15" s="1"/>
  <c r="BK160" s="1"/>
  <c r="AB192" i="14"/>
  <c r="BH162" i="15"/>
  <c r="BO162" s="1"/>
  <c r="Z192" i="14"/>
  <c r="BF162" i="15" s="1"/>
  <c r="BK162" s="1"/>
  <c r="AB194" i="14"/>
  <c r="BH164" i="15" s="1"/>
  <c r="BO164" s="1"/>
  <c r="Z194" i="14"/>
  <c r="BF164" i="15" s="1"/>
  <c r="BK164" s="1"/>
  <c r="AB196" i="14"/>
  <c r="BH166" i="15" s="1"/>
  <c r="BO166" s="1"/>
  <c r="Z196" i="14"/>
  <c r="BF166" i="15" s="1"/>
  <c r="BK166" s="1"/>
  <c r="AB198" i="14"/>
  <c r="BH168" i="15" s="1"/>
  <c r="BO168" s="1"/>
  <c r="Z198" i="14"/>
  <c r="BF168" i="15" s="1"/>
  <c r="BK168" s="1"/>
  <c r="AB200" i="14"/>
  <c r="BH170" i="15"/>
  <c r="BO170" s="1"/>
  <c r="Z200" i="14"/>
  <c r="BF170" i="15" s="1"/>
  <c r="BK170" s="1"/>
  <c r="AB202" i="14"/>
  <c r="BH172" i="15"/>
  <c r="BO172" s="1"/>
  <c r="Z202" i="14"/>
  <c r="BF172" i="15" s="1"/>
  <c r="BK172" s="1"/>
  <c r="AB204" i="14"/>
  <c r="BH174" i="15"/>
  <c r="BO174" s="1"/>
  <c r="Z204" i="14"/>
  <c r="BF174" i="15" s="1"/>
  <c r="BK174" s="1"/>
  <c r="AB206" i="14"/>
  <c r="BH176" i="15" s="1"/>
  <c r="BO176" s="1"/>
  <c r="Z206" i="14"/>
  <c r="BF176" i="15" s="1"/>
  <c r="BK176" s="1"/>
  <c r="AB208" i="14"/>
  <c r="BH178" i="15"/>
  <c r="BO178" s="1"/>
  <c r="Z208" i="14"/>
  <c r="BF178" i="15" s="1"/>
  <c r="BK178" s="1"/>
  <c r="AB210" i="14"/>
  <c r="BH180" i="15"/>
  <c r="BO180" s="1"/>
  <c r="Z210" i="14"/>
  <c r="BF180" i="15" s="1"/>
  <c r="BK180" s="1"/>
  <c r="AB212" i="14"/>
  <c r="BH182" i="15"/>
  <c r="BO182" s="1"/>
  <c r="Z212" i="14"/>
  <c r="BF182" i="15" s="1"/>
  <c r="BK182" s="1"/>
  <c r="AB215" i="14"/>
  <c r="BH185" i="15"/>
  <c r="BO185" s="1"/>
  <c r="Z215" i="14"/>
  <c r="BF185" i="15" s="1"/>
  <c r="BK185" s="1"/>
  <c r="AB217" i="14"/>
  <c r="BH187" i="15"/>
  <c r="BO187" s="1"/>
  <c r="Z217" i="14"/>
  <c r="BF187" i="15" s="1"/>
  <c r="BK187" s="1"/>
  <c r="AB221" i="14"/>
  <c r="BH191" i="15"/>
  <c r="BO191" s="1"/>
  <c r="Z221" i="14"/>
  <c r="BF191" i="15" s="1"/>
  <c r="BK191" s="1"/>
  <c r="AB228" i="14"/>
  <c r="BH198" i="15"/>
  <c r="BO198" s="1"/>
  <c r="Z228" i="14"/>
  <c r="BF198" i="15" s="1"/>
  <c r="BK198" s="1"/>
  <c r="AB232" i="14"/>
  <c r="BH202" i="15"/>
  <c r="BO202" s="1"/>
  <c r="Z232" i="14"/>
  <c r="BF202" i="15" s="1"/>
  <c r="BK202" s="1"/>
  <c r="AB234" i="14"/>
  <c r="BH204" i="15"/>
  <c r="BO204" s="1"/>
  <c r="Z234" i="14"/>
  <c r="BF204" i="15" s="1"/>
  <c r="BK204" s="1"/>
  <c r="AB237" i="14"/>
  <c r="BH207" i="15"/>
  <c r="BO207" s="1"/>
  <c r="Z237" i="14"/>
  <c r="BF207" i="15" s="1"/>
  <c r="BK207" s="1"/>
  <c r="AB244" i="14"/>
  <c r="BH214" i="15"/>
  <c r="BO214" s="1"/>
  <c r="Z244" i="14"/>
  <c r="BF214" i="15" s="1"/>
  <c r="BK214" s="1"/>
  <c r="AB248" i="14"/>
  <c r="BH218" i="15"/>
  <c r="BO218" s="1"/>
  <c r="Z248" i="14"/>
  <c r="BF218" i="15" s="1"/>
  <c r="BK218" s="1"/>
  <c r="AB250" i="14"/>
  <c r="BH220" i="15"/>
  <c r="BO220" s="1"/>
  <c r="Z250" i="14"/>
  <c r="BF220" i="15" s="1"/>
  <c r="BK220" s="1"/>
  <c r="AB253" i="14"/>
  <c r="BH223" i="15"/>
  <c r="BO223" s="1"/>
  <c r="Z253" i="14"/>
  <c r="BF223" i="15" s="1"/>
  <c r="BK223" s="1"/>
  <c r="AB260" i="14"/>
  <c r="BH230" i="15"/>
  <c r="BO230" s="1"/>
  <c r="Z260" i="14"/>
  <c r="BF230" i="15" s="1"/>
  <c r="BK230" s="1"/>
  <c r="AB264" i="14"/>
  <c r="BH234" i="15"/>
  <c r="BO234" s="1"/>
  <c r="Z264" i="14"/>
  <c r="BF234" i="15" s="1"/>
  <c r="BK234" s="1"/>
  <c r="AB266" i="14"/>
  <c r="BH236" i="15"/>
  <c r="BO236" s="1"/>
  <c r="Z266" i="14"/>
  <c r="BF236" i="15" s="1"/>
  <c r="BK236" s="1"/>
  <c r="AB99" i="14"/>
  <c r="BH69" i="15"/>
  <c r="BO69" s="1"/>
  <c r="Z99" i="14"/>
  <c r="BF69" i="15" s="1"/>
  <c r="BK69" s="1"/>
  <c r="AF97" i="14"/>
  <c r="CB67" i="15"/>
  <c r="CF67" s="1"/>
  <c r="AH97" i="14"/>
  <c r="CD67" i="15" s="1"/>
  <c r="CJ67" s="1"/>
  <c r="AA94" i="14"/>
  <c r="BG64" i="15"/>
  <c r="BM64" s="1"/>
  <c r="Y94" i="14"/>
  <c r="BE64" i="15" s="1"/>
  <c r="BI64" s="1"/>
  <c r="AF91" i="14"/>
  <c r="CB61" i="15"/>
  <c r="CF61" s="1"/>
  <c r="AH91" i="14"/>
  <c r="CD61" i="15" s="1"/>
  <c r="CJ61" s="1"/>
  <c r="AA90" i="14"/>
  <c r="BG60" i="15"/>
  <c r="BM60" s="1"/>
  <c r="Y90" i="14"/>
  <c r="BE60" i="15" s="1"/>
  <c r="BI60" s="1"/>
  <c r="AA89" i="14"/>
  <c r="BG59" i="15"/>
  <c r="BM59" s="1"/>
  <c r="Y89" i="14"/>
  <c r="BE59" i="15" s="1"/>
  <c r="BI59" s="1"/>
  <c r="AI86" i="14"/>
  <c r="CE56" i="15"/>
  <c r="CL56" s="1"/>
  <c r="AG86" i="14"/>
  <c r="CC56" i="15" s="1"/>
  <c r="CH56" s="1"/>
  <c r="AI85" i="14"/>
  <c r="CE55" i="15"/>
  <c r="CL55" s="1"/>
  <c r="AG85" i="14"/>
  <c r="CC55" i="15" s="1"/>
  <c r="CH55" s="1"/>
  <c r="AB83" i="14"/>
  <c r="BH53" i="15"/>
  <c r="BO53" s="1"/>
  <c r="Z83" i="14"/>
  <c r="BF53" i="15" s="1"/>
  <c r="BK53" s="1"/>
  <c r="AF81" i="14"/>
  <c r="CB51" i="15"/>
  <c r="CF51" s="1"/>
  <c r="AH81" i="14"/>
  <c r="CD51" i="15" s="1"/>
  <c r="CJ51" s="1"/>
  <c r="AH77" i="14"/>
  <c r="CD47" i="15"/>
  <c r="CJ47" s="1"/>
  <c r="AF77" i="14"/>
  <c r="CB47" i="15" s="1"/>
  <c r="CF47" s="1"/>
  <c r="AH75" i="14"/>
  <c r="CD45" i="15"/>
  <c r="CJ45" s="1"/>
  <c r="AF75" i="14"/>
  <c r="CB45" i="15" s="1"/>
  <c r="CF45" s="1"/>
  <c r="AH74" i="14"/>
  <c r="CD44" i="15"/>
  <c r="CJ44" s="1"/>
  <c r="AF74" i="14"/>
  <c r="CB44" i="15" s="1"/>
  <c r="CF44" s="1"/>
  <c r="AH73" i="14"/>
  <c r="CD43" i="15"/>
  <c r="CJ43" s="1"/>
  <c r="AF73" i="14"/>
  <c r="CB43" i="15" s="1"/>
  <c r="CF43" s="1"/>
  <c r="AH72" i="14"/>
  <c r="CD42" i="15"/>
  <c r="CJ42" s="1"/>
  <c r="AF72" i="14"/>
  <c r="CB42" i="15" s="1"/>
  <c r="CF42" s="1"/>
  <c r="AH71" i="14"/>
  <c r="CD41" i="15"/>
  <c r="CJ41" s="1"/>
  <c r="AF71" i="14"/>
  <c r="CB41" i="15" s="1"/>
  <c r="CF41" s="1"/>
  <c r="AH70" i="14"/>
  <c r="CD40" i="15"/>
  <c r="CJ40" s="1"/>
  <c r="AF70" i="14"/>
  <c r="CB40" i="15" s="1"/>
  <c r="CF40" s="1"/>
  <c r="AH69" i="14"/>
  <c r="CD39" i="15"/>
  <c r="CJ39" s="1"/>
  <c r="AF69" i="14"/>
  <c r="CB39" i="15" s="1"/>
  <c r="CF39" s="1"/>
  <c r="AH68" i="14"/>
  <c r="CD38" i="15"/>
  <c r="CJ38" s="1"/>
  <c r="AF68" i="14"/>
  <c r="CB38" i="15" s="1"/>
  <c r="CF38" s="1"/>
  <c r="AH67" i="14"/>
  <c r="CD37" i="15"/>
  <c r="CJ37" s="1"/>
  <c r="AF67" i="14"/>
  <c r="CB37" i="15" s="1"/>
  <c r="CF37" s="1"/>
  <c r="AH66" i="14"/>
  <c r="CD36" i="15"/>
  <c r="CJ36" s="1"/>
  <c r="AF66" i="14"/>
  <c r="CB36" i="15" s="1"/>
  <c r="CF36" s="1"/>
  <c r="AH65" i="14"/>
  <c r="CD35" i="15"/>
  <c r="CJ35" s="1"/>
  <c r="AF65" i="14"/>
  <c r="CB35" i="15" s="1"/>
  <c r="CF35" s="1"/>
  <c r="AH64" i="14"/>
  <c r="CD34" i="15"/>
  <c r="CJ34" s="1"/>
  <c r="AF64" i="14"/>
  <c r="CB34" i="15" s="1"/>
  <c r="CF34" s="1"/>
  <c r="AH63" i="14"/>
  <c r="CD33" i="15"/>
  <c r="CJ33" s="1"/>
  <c r="AF63" i="14"/>
  <c r="CB33" i="15" s="1"/>
  <c r="CF33" s="1"/>
  <c r="AH62" i="14"/>
  <c r="CD32" i="15"/>
  <c r="CJ32" s="1"/>
  <c r="AF62" i="14"/>
  <c r="CB32" i="15" s="1"/>
  <c r="CF32" s="1"/>
  <c r="AH61" i="14"/>
  <c r="CD31" i="15"/>
  <c r="CJ31" s="1"/>
  <c r="AF61" i="14"/>
  <c r="CB31" i="15" s="1"/>
  <c r="CF31" s="1"/>
  <c r="AH60" i="14"/>
  <c r="CD30" i="15"/>
  <c r="CJ30" s="1"/>
  <c r="AF60" i="14"/>
  <c r="CB30" i="15" s="1"/>
  <c r="CF30" s="1"/>
  <c r="AH59" i="14"/>
  <c r="CD29" i="15"/>
  <c r="CJ29" s="1"/>
  <c r="AF59" i="14"/>
  <c r="CB29" i="15" s="1"/>
  <c r="CF29" s="1"/>
  <c r="AH58" i="14"/>
  <c r="CD28" i="15"/>
  <c r="CJ28" s="1"/>
  <c r="AF58" i="14"/>
  <c r="CB28" i="15" s="1"/>
  <c r="CF28" s="1"/>
  <c r="AH57" i="14"/>
  <c r="CD27" i="15"/>
  <c r="CJ27" s="1"/>
  <c r="AF57" i="14"/>
  <c r="CB27" i="15" s="1"/>
  <c r="CF27" s="1"/>
  <c r="AH56" i="14"/>
  <c r="CD26" i="15"/>
  <c r="CJ26" s="1"/>
  <c r="AF56" i="14"/>
  <c r="CB26" i="15" s="1"/>
  <c r="CF26" s="1"/>
  <c r="AH55" i="14"/>
  <c r="CD25" i="15"/>
  <c r="CJ25" s="1"/>
  <c r="AF55" i="14"/>
  <c r="CB25" i="15" s="1"/>
  <c r="CF25" s="1"/>
  <c r="AH54" i="14"/>
  <c r="CD24" i="15"/>
  <c r="CJ24" s="1"/>
  <c r="AF54" i="14"/>
  <c r="CB24" i="15" s="1"/>
  <c r="CF24" s="1"/>
  <c r="AH53" i="14"/>
  <c r="CD23" i="15"/>
  <c r="CJ23" s="1"/>
  <c r="AF53" i="14"/>
  <c r="CB23" i="15" s="1"/>
  <c r="CF23" s="1"/>
  <c r="AH52" i="14"/>
  <c r="CD22" i="15"/>
  <c r="CJ22" s="1"/>
  <c r="AF52" i="14"/>
  <c r="CB22" i="15" s="1"/>
  <c r="CF22" s="1"/>
  <c r="AH51" i="14"/>
  <c r="CD21" i="15"/>
  <c r="CJ21" s="1"/>
  <c r="AF51" i="14"/>
  <c r="CB21" i="15" s="1"/>
  <c r="CF21" s="1"/>
  <c r="AH50" i="14"/>
  <c r="CD20" i="15"/>
  <c r="CJ20" s="1"/>
  <c r="AF50" i="14"/>
  <c r="CB20" i="15" s="1"/>
  <c r="CF20" s="1"/>
  <c r="AH49" i="14"/>
  <c r="CD19" i="15"/>
  <c r="CJ19" s="1"/>
  <c r="AF49" i="14"/>
  <c r="CB19" i="15" s="1"/>
  <c r="CF19" s="1"/>
  <c r="AH48" i="14"/>
  <c r="CD18" i="15"/>
  <c r="CJ18" s="1"/>
  <c r="AF48" i="14"/>
  <c r="CB18" i="15" s="1"/>
  <c r="CF18" s="1"/>
  <c r="AH47" i="14"/>
  <c r="CD17" i="15"/>
  <c r="CJ17" s="1"/>
  <c r="AF47" i="14"/>
  <c r="CB17" i="15" s="1"/>
  <c r="CF17" s="1"/>
  <c r="AH46" i="14"/>
  <c r="CD16" i="15"/>
  <c r="CJ16" s="1"/>
  <c r="AF46" i="14"/>
  <c r="CB16" i="15" s="1"/>
  <c r="CF16" s="1"/>
  <c r="AH45" i="14"/>
  <c r="CD15" i="15"/>
  <c r="CJ15" s="1"/>
  <c r="AF45" i="14"/>
  <c r="CB15" i="15" s="1"/>
  <c r="CF15" s="1"/>
  <c r="AH44" i="14"/>
  <c r="CD14" i="15"/>
  <c r="CJ14" s="1"/>
  <c r="AF44" i="14"/>
  <c r="CB14" i="15" s="1"/>
  <c r="CF14" s="1"/>
  <c r="AH43" i="14"/>
  <c r="CD13" i="15"/>
  <c r="CJ13" s="1"/>
  <c r="AF43" i="14"/>
  <c r="CB13" i="15" s="1"/>
  <c r="CF13" s="1"/>
  <c r="AH42" i="14"/>
  <c r="CD12" i="15"/>
  <c r="CJ12" s="1"/>
  <c r="AF42" i="14"/>
  <c r="CB12" i="15" s="1"/>
  <c r="CF12" s="1"/>
  <c r="AH41" i="14"/>
  <c r="CD11" i="15"/>
  <c r="CJ11" s="1"/>
  <c r="AF41" i="14"/>
  <c r="CB11" i="15" s="1"/>
  <c r="CF11" s="1"/>
  <c r="AH40" i="14"/>
  <c r="CD10" i="15"/>
  <c r="CJ10" s="1"/>
  <c r="AF40" i="14"/>
  <c r="CB10" i="15" s="1"/>
  <c r="CF10" s="1"/>
  <c r="AH39" i="14"/>
  <c r="CD9" i="15"/>
  <c r="CJ9" s="1"/>
  <c r="AF39" i="14"/>
  <c r="CB9" i="15" s="1"/>
  <c r="CF9" s="1"/>
  <c r="AH38" i="14"/>
  <c r="CD8" i="15"/>
  <c r="CJ8" s="1"/>
  <c r="AF38" i="14"/>
  <c r="CB8" i="15" s="1"/>
  <c r="CF8" s="1"/>
  <c r="AH37" i="14"/>
  <c r="CD7" i="15"/>
  <c r="CJ7" s="1"/>
  <c r="AF37" i="14"/>
  <c r="CB7" i="15" s="1"/>
  <c r="CF7" s="1"/>
  <c r="AH36" i="14"/>
  <c r="CD6" i="15"/>
  <c r="CJ6" s="1"/>
  <c r="AF36" i="14"/>
  <c r="CB6" i="15" s="1"/>
  <c r="CF6" s="1"/>
  <c r="AH35" i="14"/>
  <c r="CD5" i="15"/>
  <c r="CJ5" s="1"/>
  <c r="AF35" i="14"/>
  <c r="CB5" i="15" s="1"/>
  <c r="CF5" s="1"/>
  <c r="U336" i="14"/>
  <c r="AJ306" i="15"/>
  <c r="AQ306" s="1"/>
  <c r="S336" i="14"/>
  <c r="AH306" i="15" s="1"/>
  <c r="AM306" s="1"/>
  <c r="R332" i="14"/>
  <c r="AG302" i="15"/>
  <c r="AK302" s="1"/>
  <c r="T332" i="14"/>
  <c r="AI302" i="15" s="1"/>
  <c r="AO302" s="1"/>
  <c r="U328" i="14"/>
  <c r="AJ298" i="15"/>
  <c r="AQ298" s="1"/>
  <c r="S328" i="14"/>
  <c r="AH298" i="15" s="1"/>
  <c r="AM298" s="1"/>
  <c r="R324" i="14"/>
  <c r="AG294" i="15"/>
  <c r="AK294" s="1"/>
  <c r="T324" i="14"/>
  <c r="AI294" i="15" s="1"/>
  <c r="AO294" s="1"/>
  <c r="U320" i="14"/>
  <c r="AJ290" i="15"/>
  <c r="AQ290" s="1"/>
  <c r="S320" i="14"/>
  <c r="AH290" i="15" s="1"/>
  <c r="AM290" s="1"/>
  <c r="R316" i="14"/>
  <c r="AG286" i="15"/>
  <c r="AK286" s="1"/>
  <c r="T316" i="14"/>
  <c r="AI286" i="15" s="1"/>
  <c r="AO286" s="1"/>
  <c r="U312" i="14"/>
  <c r="AJ282" i="15"/>
  <c r="AQ282" s="1"/>
  <c r="S312" i="14"/>
  <c r="AH282" i="15" s="1"/>
  <c r="AM282" s="1"/>
  <c r="R308" i="14"/>
  <c r="AG278" i="15"/>
  <c r="AK278" s="1"/>
  <c r="T308" i="14"/>
  <c r="AI278" i="15" s="1"/>
  <c r="AO278" s="1"/>
  <c r="U304" i="14"/>
  <c r="AJ274" i="15"/>
  <c r="AQ274" s="1"/>
  <c r="S304" i="14"/>
  <c r="AH274" i="15" s="1"/>
  <c r="AM274" s="1"/>
  <c r="R300" i="14"/>
  <c r="AG270" i="15"/>
  <c r="AK270" s="1"/>
  <c r="T300" i="14"/>
  <c r="AI270" i="15" s="1"/>
  <c r="AO270" s="1"/>
  <c r="U296" i="14"/>
  <c r="AJ266" i="15"/>
  <c r="AQ266" s="1"/>
  <c r="S296" i="14"/>
  <c r="AH266" i="15" s="1"/>
  <c r="AM266" s="1"/>
  <c r="R292" i="14"/>
  <c r="AG262" i="15"/>
  <c r="AK262" s="1"/>
  <c r="T292" i="14"/>
  <c r="AI262" i="15" s="1"/>
  <c r="AO262" s="1"/>
  <c r="U288" i="14"/>
  <c r="AJ258" i="15"/>
  <c r="AQ258" s="1"/>
  <c r="S288" i="14"/>
  <c r="AH258" i="15" s="1"/>
  <c r="AM258" s="1"/>
  <c r="R284" i="14"/>
  <c r="AG254" i="15"/>
  <c r="AK254" s="1"/>
  <c r="T284" i="14"/>
  <c r="AI254" i="15" s="1"/>
  <c r="AO254" s="1"/>
  <c r="U280" i="14"/>
  <c r="AJ250" i="15"/>
  <c r="AQ250" s="1"/>
  <c r="S280" i="14"/>
  <c r="AH250" i="15" s="1"/>
  <c r="AM250" s="1"/>
  <c r="R276" i="14"/>
  <c r="AG246" i="15"/>
  <c r="AK246" s="1"/>
  <c r="T276" i="14"/>
  <c r="AI246" i="15" s="1"/>
  <c r="AO246" s="1"/>
  <c r="U272" i="14"/>
  <c r="AJ242" i="15"/>
  <c r="AQ242" s="1"/>
  <c r="S272" i="14"/>
  <c r="AH242" i="15" s="1"/>
  <c r="AM242" s="1"/>
  <c r="R268" i="14"/>
  <c r="AG238" i="15"/>
  <c r="AK238" s="1"/>
  <c r="T268" i="14"/>
  <c r="AI238" i="15" s="1"/>
  <c r="AO238" s="1"/>
  <c r="U264" i="14"/>
  <c r="AJ234" i="15"/>
  <c r="AQ234" s="1"/>
  <c r="S264" i="14"/>
  <c r="AH234" i="15" s="1"/>
  <c r="AM234" s="1"/>
  <c r="R260" i="14"/>
  <c r="AG230" i="15"/>
  <c r="AK230" s="1"/>
  <c r="T260" i="14"/>
  <c r="AI230" i="15" s="1"/>
  <c r="AO230" s="1"/>
  <c r="U256" i="14"/>
  <c r="AJ226" i="15"/>
  <c r="AQ226" s="1"/>
  <c r="S256" i="14"/>
  <c r="AH226" i="15" s="1"/>
  <c r="AM226" s="1"/>
  <c r="R252" i="14"/>
  <c r="AG222" i="15"/>
  <c r="AK222" s="1"/>
  <c r="T252" i="14"/>
  <c r="AI222" i="15" s="1"/>
  <c r="AO222" s="1"/>
  <c r="U248" i="14"/>
  <c r="AJ218" i="15"/>
  <c r="AQ218" s="1"/>
  <c r="S248" i="14"/>
  <c r="AH218" i="15" s="1"/>
  <c r="AM218" s="1"/>
  <c r="R244" i="14"/>
  <c r="AG214" i="15"/>
  <c r="AK214" s="1"/>
  <c r="T244" i="14"/>
  <c r="AI214" i="15" s="1"/>
  <c r="AO214" s="1"/>
  <c r="U240" i="14"/>
  <c r="AJ210" i="15"/>
  <c r="AQ210" s="1"/>
  <c r="S240" i="14"/>
  <c r="AH210" i="15" s="1"/>
  <c r="AM210" s="1"/>
  <c r="R236" i="14"/>
  <c r="AG206" i="15"/>
  <c r="AK206" s="1"/>
  <c r="T236" i="14"/>
  <c r="AI206" i="15" s="1"/>
  <c r="AO206" s="1"/>
  <c r="T232" i="14"/>
  <c r="AI202" i="15"/>
  <c r="AO202" s="1"/>
  <c r="R232" i="14"/>
  <c r="AG202" i="15" s="1"/>
  <c r="AK202" s="1"/>
  <c r="T228" i="14"/>
  <c r="AI198" i="15"/>
  <c r="AO198" s="1"/>
  <c r="R228" i="14"/>
  <c r="AG198" i="15" s="1"/>
  <c r="AK198" s="1"/>
  <c r="T224" i="14"/>
  <c r="AI194" i="15"/>
  <c r="AO194" s="1"/>
  <c r="R224" i="14"/>
  <c r="AG194" i="15" s="1"/>
  <c r="AK194" s="1"/>
  <c r="T220" i="14"/>
  <c r="AI190" i="15"/>
  <c r="AO190" s="1"/>
  <c r="R220" i="14"/>
  <c r="AG190" i="15" s="1"/>
  <c r="AK190" s="1"/>
  <c r="T216" i="14"/>
  <c r="AI186" i="15"/>
  <c r="AO186" s="1"/>
  <c r="R216" i="14"/>
  <c r="AG186" i="15" s="1"/>
  <c r="AK186" s="1"/>
  <c r="T212" i="14"/>
  <c r="AI182" i="15"/>
  <c r="AO182" s="1"/>
  <c r="R212" i="14"/>
  <c r="AG182" i="15" s="1"/>
  <c r="AK182" s="1"/>
  <c r="T208" i="14"/>
  <c r="AI178" i="15"/>
  <c r="AO178" s="1"/>
  <c r="R208" i="14"/>
  <c r="AG178" i="15" s="1"/>
  <c r="AK178" s="1"/>
  <c r="T204" i="14"/>
  <c r="AI174" i="15"/>
  <c r="AO174" s="1"/>
  <c r="R204" i="14"/>
  <c r="AG174" i="15" s="1"/>
  <c r="AK174" s="1"/>
  <c r="T200" i="14"/>
  <c r="AI170" i="15"/>
  <c r="AO170" s="1"/>
  <c r="R200" i="14"/>
  <c r="AG170" i="15" s="1"/>
  <c r="AK170" s="1"/>
  <c r="T196" i="14"/>
  <c r="AI166" i="15"/>
  <c r="AO166" s="1"/>
  <c r="R196" i="14"/>
  <c r="AG166" i="15" s="1"/>
  <c r="AK166" s="1"/>
  <c r="T192" i="14"/>
  <c r="AI162" i="15"/>
  <c r="AO162" s="1"/>
  <c r="R192" i="14"/>
  <c r="AG162" i="15" s="1"/>
  <c r="AK162" s="1"/>
  <c r="T188" i="14"/>
  <c r="AI158" i="15"/>
  <c r="AO158" s="1"/>
  <c r="R188" i="14"/>
  <c r="AG158" i="15" s="1"/>
  <c r="AK158" s="1"/>
  <c r="T184" i="14"/>
  <c r="AI154" i="15"/>
  <c r="AO154" s="1"/>
  <c r="R184" i="14"/>
  <c r="AG154" i="15" s="1"/>
  <c r="AK154" s="1"/>
  <c r="T180" i="14"/>
  <c r="AI150" i="15"/>
  <c r="AO150" s="1"/>
  <c r="R180" i="14"/>
  <c r="AG150" i="15" s="1"/>
  <c r="AK150" s="1"/>
  <c r="T176" i="14"/>
  <c r="AI146" i="15"/>
  <c r="AO146" s="1"/>
  <c r="R176" i="14"/>
  <c r="AG146" i="15" s="1"/>
  <c r="AK146" s="1"/>
  <c r="T172" i="14"/>
  <c r="AI142" i="15"/>
  <c r="AO142" s="1"/>
  <c r="R172" i="14"/>
  <c r="AG142" i="15" s="1"/>
  <c r="AK142" s="1"/>
  <c r="T168" i="14"/>
  <c r="AI138" i="15"/>
  <c r="AO138" s="1"/>
  <c r="R168" i="14"/>
  <c r="AG138" i="15" s="1"/>
  <c r="AK138" s="1"/>
  <c r="T164" i="14"/>
  <c r="AI134" i="15"/>
  <c r="AO134" s="1"/>
  <c r="R164" i="14"/>
  <c r="AG134" i="15" s="1"/>
  <c r="AK134" s="1"/>
  <c r="T160" i="14"/>
  <c r="AI130" i="15"/>
  <c r="AO130" s="1"/>
  <c r="R160" i="14"/>
  <c r="AG130" i="15" s="1"/>
  <c r="AK130" s="1"/>
  <c r="T156" i="14"/>
  <c r="AI126" i="15"/>
  <c r="AO126" s="1"/>
  <c r="R156" i="14"/>
  <c r="AG126" i="15" s="1"/>
  <c r="AK126" s="1"/>
  <c r="T152" i="14"/>
  <c r="AI122" i="15"/>
  <c r="AO122" s="1"/>
  <c r="R152" i="14"/>
  <c r="AG122" i="15" s="1"/>
  <c r="AK122" s="1"/>
  <c r="T148" i="14"/>
  <c r="AI118" i="15"/>
  <c r="AO118" s="1"/>
  <c r="R148" i="14"/>
  <c r="AG118" i="15" s="1"/>
  <c r="AK118" s="1"/>
  <c r="T144" i="14"/>
  <c r="AI114" i="15"/>
  <c r="AO114" s="1"/>
  <c r="R144" i="14"/>
  <c r="AG114" i="15" s="1"/>
  <c r="AK114" s="1"/>
  <c r="T140" i="14"/>
  <c r="AI110" i="15"/>
  <c r="AO110" s="1"/>
  <c r="R140" i="14"/>
  <c r="AG110" i="15" s="1"/>
  <c r="AK110" s="1"/>
  <c r="T136" i="14"/>
  <c r="AI106" i="15"/>
  <c r="AO106" s="1"/>
  <c r="R136" i="14"/>
  <c r="AG106" i="15" s="1"/>
  <c r="AK106" s="1"/>
  <c r="T132" i="14"/>
  <c r="AI102" i="15"/>
  <c r="AO102" s="1"/>
  <c r="R132" i="14"/>
  <c r="AG102" i="15" s="1"/>
  <c r="AK102" s="1"/>
  <c r="T128" i="14"/>
  <c r="AI98" i="15"/>
  <c r="AO98" s="1"/>
  <c r="R128" i="14"/>
  <c r="AG98" i="15" s="1"/>
  <c r="AK98" s="1"/>
  <c r="T124" i="14"/>
  <c r="AI94" i="15"/>
  <c r="AO94" s="1"/>
  <c r="R124" i="14"/>
  <c r="AG94" i="15" s="1"/>
  <c r="AK94" s="1"/>
  <c r="T120" i="14"/>
  <c r="AI90" i="15"/>
  <c r="AO90" s="1"/>
  <c r="R120" i="14"/>
  <c r="AG90" i="15" s="1"/>
  <c r="AK90" s="1"/>
  <c r="T116" i="14"/>
  <c r="AI86" i="15"/>
  <c r="AO86" s="1"/>
  <c r="R116" i="14"/>
  <c r="AG86" i="15" s="1"/>
  <c r="AK86" s="1"/>
  <c r="T112" i="14"/>
  <c r="AI82" i="15"/>
  <c r="AO82" s="1"/>
  <c r="R112" i="14"/>
  <c r="AG82" i="15" s="1"/>
  <c r="AK82" s="1"/>
  <c r="T108" i="14"/>
  <c r="AI78" i="15"/>
  <c r="AO78" s="1"/>
  <c r="R108" i="14"/>
  <c r="AG78" i="15" s="1"/>
  <c r="AK78" s="1"/>
  <c r="T104" i="14"/>
  <c r="AI74" i="15"/>
  <c r="AO74" s="1"/>
  <c r="R104" i="14"/>
  <c r="AG74" i="15" s="1"/>
  <c r="AK74" s="1"/>
  <c r="T100" i="14"/>
  <c r="AI70" i="15"/>
  <c r="AO70" s="1"/>
  <c r="R100" i="14"/>
  <c r="AG70" i="15" s="1"/>
  <c r="AK70" s="1"/>
  <c r="T96" i="14"/>
  <c r="AI66" i="15"/>
  <c r="AO66" s="1"/>
  <c r="R96" i="14"/>
  <c r="AG66" i="15" s="1"/>
  <c r="AK66" s="1"/>
  <c r="T92" i="14"/>
  <c r="AI62" i="15"/>
  <c r="AO62" s="1"/>
  <c r="R92" i="14"/>
  <c r="AG62" i="15" s="1"/>
  <c r="AK62" s="1"/>
  <c r="T88" i="14"/>
  <c r="AI58" i="15"/>
  <c r="AO58" s="1"/>
  <c r="R88" i="14"/>
  <c r="AG58" i="15" s="1"/>
  <c r="AK58" s="1"/>
  <c r="T84" i="14"/>
  <c r="AI54" i="15"/>
  <c r="AO54" s="1"/>
  <c r="R84" i="14"/>
  <c r="AG54" i="15" s="1"/>
  <c r="AK54" s="1"/>
  <c r="T80" i="14"/>
  <c r="AI50" i="15"/>
  <c r="AO50" s="1"/>
  <c r="R80" i="14"/>
  <c r="AG50" i="15" s="1"/>
  <c r="AK50" s="1"/>
  <c r="T76" i="14"/>
  <c r="AI46" i="15"/>
  <c r="AO46" s="1"/>
  <c r="R76" i="14"/>
  <c r="AG46" i="15" s="1"/>
  <c r="AK46" s="1"/>
  <c r="T72" i="14"/>
  <c r="AI42" i="15"/>
  <c r="AO42" s="1"/>
  <c r="R72" i="14"/>
  <c r="AG42" i="15" s="1"/>
  <c r="AK42" s="1"/>
  <c r="T68" i="14"/>
  <c r="AI38" i="15"/>
  <c r="AO38" s="1"/>
  <c r="R68" i="14"/>
  <c r="AG38" i="15" s="1"/>
  <c r="AK38" s="1"/>
  <c r="T64" i="14"/>
  <c r="AI34" i="15"/>
  <c r="AO34" s="1"/>
  <c r="R64" i="14"/>
  <c r="AG34" i="15" s="1"/>
  <c r="AK34" s="1"/>
  <c r="T60" i="14"/>
  <c r="AI30" i="15"/>
  <c r="AO30" s="1"/>
  <c r="R60" i="14"/>
  <c r="AG30" i="15" s="1"/>
  <c r="AK30" s="1"/>
  <c r="T56" i="14"/>
  <c r="AI26" i="15"/>
  <c r="AO26" s="1"/>
  <c r="R56" i="14"/>
  <c r="AG26" i="15" s="1"/>
  <c r="AK26" s="1"/>
  <c r="T52" i="14"/>
  <c r="AI22" i="15"/>
  <c r="AO22" s="1"/>
  <c r="R52" i="14"/>
  <c r="AG22" i="15" s="1"/>
  <c r="AK22" s="1"/>
  <c r="T48" i="14"/>
  <c r="AI18" i="15"/>
  <c r="AO18" s="1"/>
  <c r="R48" i="14"/>
  <c r="AG18" i="15" s="1"/>
  <c r="AK18" s="1"/>
  <c r="T44" i="14"/>
  <c r="AI14" i="15"/>
  <c r="AO14" s="1"/>
  <c r="R44" i="14"/>
  <c r="AG14" i="15" s="1"/>
  <c r="AK14" s="1"/>
  <c r="T40" i="14"/>
  <c r="AI10" i="15"/>
  <c r="AO10" s="1"/>
  <c r="R40" i="14"/>
  <c r="AG10" i="15" s="1"/>
  <c r="AK10" s="1"/>
  <c r="T36" i="14"/>
  <c r="AI6" i="15"/>
  <c r="AO6" s="1"/>
  <c r="R36" i="14"/>
  <c r="AG6" i="15" s="1"/>
  <c r="AK6" s="1"/>
  <c r="U34" i="14"/>
  <c r="AJ4" i="15"/>
  <c r="AQ4" s="1"/>
  <c r="S34" i="14"/>
  <c r="AH4" i="15" s="1"/>
  <c r="AM4" s="1"/>
  <c r="M335" i="14"/>
  <c r="L305" i="15"/>
  <c r="R305" s="1"/>
  <c r="K335" i="14"/>
  <c r="J305" i="15" s="1"/>
  <c r="N305" s="1"/>
  <c r="M331" i="14"/>
  <c r="L301" i="15"/>
  <c r="R301" s="1"/>
  <c r="K331" i="14"/>
  <c r="J301" i="15" s="1"/>
  <c r="N301" s="1"/>
  <c r="M327" i="14"/>
  <c r="L297" i="15"/>
  <c r="R297" s="1"/>
  <c r="K327" i="14"/>
  <c r="J297" i="15" s="1"/>
  <c r="N297" s="1"/>
  <c r="M323" i="14"/>
  <c r="L293" i="15"/>
  <c r="R293" s="1"/>
  <c r="K323" i="14"/>
  <c r="J293" i="15" s="1"/>
  <c r="N293" s="1"/>
  <c r="M319" i="14"/>
  <c r="L289" i="15"/>
  <c r="R289" s="1"/>
  <c r="K319" i="14"/>
  <c r="J289" i="15" s="1"/>
  <c r="N289" s="1"/>
  <c r="M315" i="14"/>
  <c r="L285" i="15"/>
  <c r="R285" s="1"/>
  <c r="K315" i="14"/>
  <c r="J285" i="15" s="1"/>
  <c r="N285" s="1"/>
  <c r="M311" i="14"/>
  <c r="L281" i="15"/>
  <c r="R281" s="1"/>
  <c r="K311" i="14"/>
  <c r="J281" i="15" s="1"/>
  <c r="N281" s="1"/>
  <c r="M307" i="14"/>
  <c r="L277" i="15"/>
  <c r="R277" s="1"/>
  <c r="K307" i="14"/>
  <c r="J277" i="15" s="1"/>
  <c r="N277" s="1"/>
  <c r="M303" i="14"/>
  <c r="L273" i="15"/>
  <c r="R273" s="1"/>
  <c r="K303" i="14"/>
  <c r="J273" i="15" s="1"/>
  <c r="N273" s="1"/>
  <c r="M299" i="14"/>
  <c r="L269" i="15"/>
  <c r="R269" s="1"/>
  <c r="K299" i="14"/>
  <c r="J269" i="15" s="1"/>
  <c r="N269" s="1"/>
  <c r="M295" i="14"/>
  <c r="L265" i="15"/>
  <c r="R265" s="1"/>
  <c r="K295" i="14"/>
  <c r="J265" i="15" s="1"/>
  <c r="N265" s="1"/>
  <c r="M291" i="14"/>
  <c r="L261" i="15"/>
  <c r="R261" s="1"/>
  <c r="K291" i="14"/>
  <c r="J261" i="15" s="1"/>
  <c r="N261" s="1"/>
  <c r="M287" i="14"/>
  <c r="L257" i="15"/>
  <c r="R257" s="1"/>
  <c r="K287" i="14"/>
  <c r="J257" i="15" s="1"/>
  <c r="N257" s="1"/>
  <c r="M283" i="14"/>
  <c r="L253" i="15"/>
  <c r="R253" s="1"/>
  <c r="K283" i="14"/>
  <c r="J253" i="15" s="1"/>
  <c r="N253" s="1"/>
  <c r="M279" i="14"/>
  <c r="L249" i="15"/>
  <c r="R249" s="1"/>
  <c r="K279" i="14"/>
  <c r="J249" i="15" s="1"/>
  <c r="N249" s="1"/>
  <c r="M275" i="14"/>
  <c r="L245" i="15"/>
  <c r="R245" s="1"/>
  <c r="K275" i="14"/>
  <c r="J245" i="15" s="1"/>
  <c r="N245" s="1"/>
  <c r="M271" i="14"/>
  <c r="L241" i="15"/>
  <c r="R241" s="1"/>
  <c r="K271" i="14"/>
  <c r="J241" i="15" s="1"/>
  <c r="N241" s="1"/>
  <c r="M267" i="14"/>
  <c r="L237" i="15"/>
  <c r="R237" s="1"/>
  <c r="K267" i="14"/>
  <c r="J237" i="15" s="1"/>
  <c r="N237" s="1"/>
  <c r="M263" i="14"/>
  <c r="L233" i="15"/>
  <c r="R233" s="1"/>
  <c r="K263" i="14"/>
  <c r="J233" i="15" s="1"/>
  <c r="N233" s="1"/>
  <c r="M259" i="14"/>
  <c r="L229" i="15"/>
  <c r="R229" s="1"/>
  <c r="K259" i="14"/>
  <c r="J229" i="15" s="1"/>
  <c r="N229" s="1"/>
  <c r="M255" i="14"/>
  <c r="L225" i="15"/>
  <c r="R225" s="1"/>
  <c r="K255" i="14"/>
  <c r="J225" i="15" s="1"/>
  <c r="N225" s="1"/>
  <c r="M251" i="14"/>
  <c r="L221" i="15"/>
  <c r="R221" s="1"/>
  <c r="K251" i="14"/>
  <c r="J221" i="15" s="1"/>
  <c r="N221" s="1"/>
  <c r="M247" i="14"/>
  <c r="L217" i="15"/>
  <c r="R217" s="1"/>
  <c r="K247" i="14"/>
  <c r="J217" i="15" s="1"/>
  <c r="N217" s="1"/>
  <c r="M243" i="14"/>
  <c r="L213" i="15"/>
  <c r="R213" s="1"/>
  <c r="K243" i="14"/>
  <c r="J213" i="15" s="1"/>
  <c r="N213" s="1"/>
  <c r="M239" i="14"/>
  <c r="L209" i="15"/>
  <c r="R209" s="1"/>
  <c r="K239" i="14"/>
  <c r="J209" i="15" s="1"/>
  <c r="N209" s="1"/>
  <c r="M235" i="14"/>
  <c r="L205" i="15"/>
  <c r="R205" s="1"/>
  <c r="K235" i="14"/>
  <c r="J205" i="15" s="1"/>
  <c r="N205" s="1"/>
  <c r="M231" i="14"/>
  <c r="L201" i="15"/>
  <c r="R201" s="1"/>
  <c r="K231" i="14"/>
  <c r="J201" i="15" s="1"/>
  <c r="N201" s="1"/>
  <c r="M227" i="14"/>
  <c r="L197" i="15"/>
  <c r="R197" s="1"/>
  <c r="K227" i="14"/>
  <c r="J197" i="15" s="1"/>
  <c r="N197" s="1"/>
  <c r="M223" i="14"/>
  <c r="L193" i="15"/>
  <c r="R193" s="1"/>
  <c r="K223" i="14"/>
  <c r="J193" i="15" s="1"/>
  <c r="N193" s="1"/>
  <c r="M219" i="14"/>
  <c r="L189" i="15"/>
  <c r="R189" s="1"/>
  <c r="K219" i="14"/>
  <c r="J189" i="15" s="1"/>
  <c r="N189" s="1"/>
  <c r="M215" i="14"/>
  <c r="L185" i="15"/>
  <c r="R185" s="1"/>
  <c r="K215" i="14"/>
  <c r="J185" i="15" s="1"/>
  <c r="N185" s="1"/>
  <c r="M211" i="14"/>
  <c r="L181" i="15"/>
  <c r="R181" s="1"/>
  <c r="K211" i="14"/>
  <c r="J181" i="15" s="1"/>
  <c r="N181" s="1"/>
  <c r="M207" i="14"/>
  <c r="L177" i="15"/>
  <c r="R177" s="1"/>
  <c r="K207" i="14"/>
  <c r="J177" i="15" s="1"/>
  <c r="N177" s="1"/>
  <c r="M203" i="14"/>
  <c r="L173" i="15"/>
  <c r="R173" s="1"/>
  <c r="K203" i="14"/>
  <c r="J173" i="15" s="1"/>
  <c r="N173" s="1"/>
  <c r="M199" i="14"/>
  <c r="L169" i="15"/>
  <c r="R169" s="1"/>
  <c r="K199" i="14"/>
  <c r="J169" i="15" s="1"/>
  <c r="N169" s="1"/>
  <c r="M195" i="14"/>
  <c r="L165" i="15"/>
  <c r="R165" s="1"/>
  <c r="K195" i="14"/>
  <c r="J165" i="15" s="1"/>
  <c r="N165" s="1"/>
  <c r="M191" i="14"/>
  <c r="L161" i="15"/>
  <c r="R161" s="1"/>
  <c r="K191" i="14"/>
  <c r="J161" i="15" s="1"/>
  <c r="N161" s="1"/>
  <c r="M187" i="14"/>
  <c r="L157" i="15"/>
  <c r="R157" s="1"/>
  <c r="K187" i="14"/>
  <c r="J157" i="15" s="1"/>
  <c r="N157" s="1"/>
  <c r="M183" i="14"/>
  <c r="L153" i="15"/>
  <c r="R153" s="1"/>
  <c r="K183" i="14"/>
  <c r="J153" i="15" s="1"/>
  <c r="N153" s="1"/>
  <c r="M179" i="14"/>
  <c r="L149" i="15"/>
  <c r="R149" s="1"/>
  <c r="K179" i="14"/>
  <c r="J149" i="15" s="1"/>
  <c r="N149" s="1"/>
  <c r="M175" i="14"/>
  <c r="L145" i="15"/>
  <c r="R145" s="1"/>
  <c r="K175" i="14"/>
  <c r="J145" i="15" s="1"/>
  <c r="N145" s="1"/>
  <c r="M171" i="14"/>
  <c r="L141" i="15"/>
  <c r="R141" s="1"/>
  <c r="K171" i="14"/>
  <c r="J141" i="15" s="1"/>
  <c r="N141" s="1"/>
  <c r="M167" i="14"/>
  <c r="L137" i="15"/>
  <c r="R137" s="1"/>
  <c r="K167" i="14"/>
  <c r="J137" i="15" s="1"/>
  <c r="N137" s="1"/>
  <c r="M163" i="14"/>
  <c r="L133" i="15"/>
  <c r="R133" s="1"/>
  <c r="K163" i="14"/>
  <c r="J133" i="15" s="1"/>
  <c r="N133" s="1"/>
  <c r="M159" i="14"/>
  <c r="L129" i="15"/>
  <c r="R129" s="1"/>
  <c r="K159" i="14"/>
  <c r="J129" i="15" s="1"/>
  <c r="N129" s="1"/>
  <c r="M155" i="14"/>
  <c r="L125" i="15"/>
  <c r="R125" s="1"/>
  <c r="K155" i="14"/>
  <c r="J125" i="15" s="1"/>
  <c r="N125" s="1"/>
  <c r="M151" i="14"/>
  <c r="L121" i="15"/>
  <c r="R121" s="1"/>
  <c r="K151" i="14"/>
  <c r="J121" i="15" s="1"/>
  <c r="N121" s="1"/>
  <c r="M147" i="14"/>
  <c r="L117" i="15"/>
  <c r="R117" s="1"/>
  <c r="K147" i="14"/>
  <c r="J117" i="15" s="1"/>
  <c r="N117" s="1"/>
  <c r="M143" i="14"/>
  <c r="L113" i="15"/>
  <c r="R113" s="1"/>
  <c r="K143" i="14"/>
  <c r="J113" i="15" s="1"/>
  <c r="N113" s="1"/>
  <c r="M139" i="14"/>
  <c r="L109" i="15"/>
  <c r="R109" s="1"/>
  <c r="K139" i="14"/>
  <c r="J109" i="15" s="1"/>
  <c r="N109" s="1"/>
  <c r="M135" i="14"/>
  <c r="L105" i="15"/>
  <c r="R105" s="1"/>
  <c r="K135" i="14"/>
  <c r="J105" i="15" s="1"/>
  <c r="N105" s="1"/>
  <c r="M131" i="14"/>
  <c r="L101" i="15"/>
  <c r="R101" s="1"/>
  <c r="K131" i="14"/>
  <c r="J101" i="15" s="1"/>
  <c r="N101" s="1"/>
  <c r="M127" i="14"/>
  <c r="L97" i="15"/>
  <c r="R97" s="1"/>
  <c r="K127" i="14"/>
  <c r="J97" i="15" s="1"/>
  <c r="N97" s="1"/>
  <c r="M123" i="14"/>
  <c r="L93" i="15"/>
  <c r="R93" s="1"/>
  <c r="K123" i="14"/>
  <c r="J93" i="15" s="1"/>
  <c r="N93" s="1"/>
  <c r="M119" i="14"/>
  <c r="L89" i="15"/>
  <c r="R89" s="1"/>
  <c r="K119" i="14"/>
  <c r="J89" i="15" s="1"/>
  <c r="N89" s="1"/>
  <c r="M115" i="14"/>
  <c r="L85" i="15"/>
  <c r="R85" s="1"/>
  <c r="K115" i="14"/>
  <c r="J85" i="15" s="1"/>
  <c r="N85" s="1"/>
  <c r="M111" i="14"/>
  <c r="L81" i="15"/>
  <c r="R81" s="1"/>
  <c r="K111" i="14"/>
  <c r="J81" i="15" s="1"/>
  <c r="N81" s="1"/>
  <c r="M107" i="14"/>
  <c r="L77" i="15"/>
  <c r="R77" s="1"/>
  <c r="K107" i="14"/>
  <c r="J77" i="15" s="1"/>
  <c r="N77" s="1"/>
  <c r="M103" i="14"/>
  <c r="L73" i="15"/>
  <c r="R73" s="1"/>
  <c r="K103" i="14"/>
  <c r="J73" i="15" s="1"/>
  <c r="N73" s="1"/>
  <c r="M99" i="14"/>
  <c r="L69" i="15"/>
  <c r="R69" s="1"/>
  <c r="K99" i="14"/>
  <c r="J69" i="15" s="1"/>
  <c r="N69" s="1"/>
  <c r="M95" i="14"/>
  <c r="L65" i="15"/>
  <c r="R65" s="1"/>
  <c r="K95" i="14"/>
  <c r="J65" i="15" s="1"/>
  <c r="N65" s="1"/>
  <c r="M91" i="14"/>
  <c r="L61" i="15"/>
  <c r="R61" s="1"/>
  <c r="K91" i="14"/>
  <c r="J61" i="15" s="1"/>
  <c r="N61" s="1"/>
  <c r="M87" i="14"/>
  <c r="L57" i="15"/>
  <c r="R57" s="1"/>
  <c r="K87" i="14"/>
  <c r="J57" i="15" s="1"/>
  <c r="N57" s="1"/>
  <c r="M83" i="14"/>
  <c r="L53" i="15"/>
  <c r="R53" s="1"/>
  <c r="K83" i="14"/>
  <c r="J53" i="15" s="1"/>
  <c r="N53" s="1"/>
  <c r="M79" i="14"/>
  <c r="L49" i="15"/>
  <c r="R49" s="1"/>
  <c r="K79" i="14"/>
  <c r="J49" i="15" s="1"/>
  <c r="N49" s="1"/>
  <c r="M75" i="14"/>
  <c r="L45" i="15"/>
  <c r="R45" s="1"/>
  <c r="K75" i="14"/>
  <c r="J45" i="15" s="1"/>
  <c r="N45" s="1"/>
  <c r="M71" i="14"/>
  <c r="L41" i="15"/>
  <c r="R41" s="1"/>
  <c r="K71" i="14"/>
  <c r="J41" i="15" s="1"/>
  <c r="N41" s="1"/>
  <c r="M67" i="14"/>
  <c r="L37" i="15"/>
  <c r="R37" s="1"/>
  <c r="K67" i="14"/>
  <c r="J37" i="15" s="1"/>
  <c r="N37" s="1"/>
  <c r="M63" i="14"/>
  <c r="L33" i="15"/>
  <c r="R33" s="1"/>
  <c r="K63" i="14"/>
  <c r="J33" i="15" s="1"/>
  <c r="N33" s="1"/>
  <c r="M59" i="14"/>
  <c r="L29" i="15"/>
  <c r="R29" s="1"/>
  <c r="K59" i="14"/>
  <c r="J29" i="15" s="1"/>
  <c r="N29" s="1"/>
  <c r="M55" i="14"/>
  <c r="L25" i="15"/>
  <c r="R25" s="1"/>
  <c r="K55" i="14"/>
  <c r="J25" i="15" s="1"/>
  <c r="N25" s="1"/>
  <c r="M51" i="14"/>
  <c r="L21" i="15"/>
  <c r="R21" s="1"/>
  <c r="K51" i="14"/>
  <c r="J21" i="15" s="1"/>
  <c r="N21" s="1"/>
  <c r="M47" i="14"/>
  <c r="L17" i="15"/>
  <c r="R17" s="1"/>
  <c r="K47" i="14"/>
  <c r="J17" i="15" s="1"/>
  <c r="N17" s="1"/>
  <c r="M43" i="14"/>
  <c r="L13" i="15"/>
  <c r="R13" s="1"/>
  <c r="K43" i="14"/>
  <c r="J13" i="15" s="1"/>
  <c r="N13" s="1"/>
  <c r="M39" i="14"/>
  <c r="L9" i="15"/>
  <c r="R9" s="1"/>
  <c r="K39" i="14"/>
  <c r="J9" i="15" s="1"/>
  <c r="N9" s="1"/>
  <c r="M35" i="14"/>
  <c r="L5" i="15"/>
  <c r="R5" s="1"/>
  <c r="K35" i="14"/>
  <c r="J5" i="15" s="1"/>
  <c r="N5" s="1"/>
  <c r="K74" i="14"/>
  <c r="J44" i="15"/>
  <c r="N44" s="1"/>
  <c r="M74" i="14"/>
  <c r="L44" i="15" s="1"/>
  <c r="R44" s="1"/>
  <c r="M69" i="14"/>
  <c r="L39" i="15"/>
  <c r="R39" s="1"/>
  <c r="K69" i="14"/>
  <c r="J39" i="15" s="1"/>
  <c r="N39" s="1"/>
  <c r="K66" i="14"/>
  <c r="J36" i="15"/>
  <c r="N36" s="1"/>
  <c r="M66" i="14"/>
  <c r="L36" i="15" s="1"/>
  <c r="R36" s="1"/>
  <c r="M57" i="14"/>
  <c r="L27" i="15"/>
  <c r="R27" s="1"/>
  <c r="K57" i="14"/>
  <c r="J27" i="15" s="1"/>
  <c r="N27" s="1"/>
  <c r="M45" i="14"/>
  <c r="L15" i="15"/>
  <c r="R15" s="1"/>
  <c r="K45" i="14"/>
  <c r="J15" i="15" s="1"/>
  <c r="N15" s="1"/>
  <c r="M41" i="14"/>
  <c r="L11" i="15"/>
  <c r="R11" s="1"/>
  <c r="K41" i="14"/>
  <c r="J11" i="15" s="1"/>
  <c r="N11" s="1"/>
  <c r="K38" i="14"/>
  <c r="J8" i="15"/>
  <c r="N8" s="1"/>
  <c r="M38" i="14"/>
  <c r="L8" i="15" s="1"/>
  <c r="R8" s="1"/>
  <c r="AA83" i="14"/>
  <c r="BG53" i="15"/>
  <c r="BM53" s="1"/>
  <c r="Y83" i="14"/>
  <c r="BE53" i="15" s="1"/>
  <c r="BI53" s="1"/>
  <c r="AA85" i="14"/>
  <c r="BG55" i="15"/>
  <c r="BM55" s="1"/>
  <c r="Y85" i="14"/>
  <c r="BE55" i="15" s="1"/>
  <c r="BI55" s="1"/>
  <c r="AA88" i="14"/>
  <c r="BG58" i="15"/>
  <c r="BM58" s="1"/>
  <c r="Y88" i="14"/>
  <c r="BE58" i="15" s="1"/>
  <c r="BI58" s="1"/>
  <c r="AA95" i="14"/>
  <c r="BG65" i="15"/>
  <c r="BM65" s="1"/>
  <c r="Y95" i="14"/>
  <c r="BE65" i="15" s="1"/>
  <c r="BI65" s="1"/>
  <c r="AA99" i="14"/>
  <c r="BG69" i="15"/>
  <c r="BM69" s="1"/>
  <c r="Y99" i="14"/>
  <c r="BE69" i="15" s="1"/>
  <c r="BI69" s="1"/>
  <c r="AA101" i="14"/>
  <c r="BG71" i="15"/>
  <c r="BM71" s="1"/>
  <c r="Y101" i="14"/>
  <c r="BE71" i="15" s="1"/>
  <c r="BI71" s="1"/>
  <c r="AA104" i="14"/>
  <c r="BG74" i="15"/>
  <c r="BM74" s="1"/>
  <c r="Y104" i="14"/>
  <c r="BE74" i="15" s="1"/>
  <c r="BI74" s="1"/>
  <c r="AA111" i="14"/>
  <c r="BG81" i="15"/>
  <c r="BM81" s="1"/>
  <c r="Y111" i="14"/>
  <c r="BE81" i="15" s="1"/>
  <c r="BI81" s="1"/>
  <c r="AA115" i="14"/>
  <c r="BG85" i="15"/>
  <c r="BM85" s="1"/>
  <c r="Y115" i="14"/>
  <c r="BE85" i="15" s="1"/>
  <c r="BI85" s="1"/>
  <c r="AA117" i="14"/>
  <c r="BG87" i="15"/>
  <c r="BM87" s="1"/>
  <c r="Y117" i="14"/>
  <c r="BE87" i="15" s="1"/>
  <c r="BI87" s="1"/>
  <c r="AA120" i="14"/>
  <c r="BG90" i="15"/>
  <c r="BM90" s="1"/>
  <c r="Y120" i="14"/>
  <c r="BE90" i="15" s="1"/>
  <c r="BI90" s="1"/>
  <c r="AA127" i="14"/>
  <c r="BG97" i="15"/>
  <c r="BM97" s="1"/>
  <c r="Y127" i="14"/>
  <c r="BE97" i="15" s="1"/>
  <c r="BI97" s="1"/>
  <c r="AA131" i="14"/>
  <c r="BG101" i="15"/>
  <c r="BM101" s="1"/>
  <c r="Y131" i="14"/>
  <c r="BE101" i="15" s="1"/>
  <c r="BI101" s="1"/>
  <c r="AA133" i="14"/>
  <c r="BG103" i="15"/>
  <c r="BM103" s="1"/>
  <c r="Y133" i="14"/>
  <c r="BE103" i="15" s="1"/>
  <c r="BI103" s="1"/>
  <c r="AA136" i="14"/>
  <c r="BG106" i="15"/>
  <c r="BM106" s="1"/>
  <c r="Y136" i="14"/>
  <c r="BE106" i="15" s="1"/>
  <c r="BI106" s="1"/>
  <c r="AA142" i="14"/>
  <c r="BG112" i="15"/>
  <c r="BM112" s="1"/>
  <c r="Y142" i="14"/>
  <c r="BE112" i="15" s="1"/>
  <c r="BI112" s="1"/>
  <c r="AA144" i="14"/>
  <c r="BG114" i="15"/>
  <c r="BM114" s="1"/>
  <c r="Y144" i="14"/>
  <c r="BE114" i="15" s="1"/>
  <c r="BI114" s="1"/>
  <c r="AA146" i="14"/>
  <c r="BG116" i="15"/>
  <c r="BM116" s="1"/>
  <c r="Y146" i="14"/>
  <c r="BE116" i="15" s="1"/>
  <c r="BI116" s="1"/>
  <c r="AA148" i="14"/>
  <c r="BG118" i="15"/>
  <c r="BM118" s="1"/>
  <c r="Y148" i="14"/>
  <c r="BE118" i="15" s="1"/>
  <c r="BI118" s="1"/>
  <c r="AA150" i="14"/>
  <c r="BG120" i="15"/>
  <c r="BM120" s="1"/>
  <c r="Y150" i="14"/>
  <c r="BE120" i="15" s="1"/>
  <c r="BI120" s="1"/>
  <c r="AA152" i="14"/>
  <c r="BG122" i="15"/>
  <c r="BM122" s="1"/>
  <c r="Y152" i="14"/>
  <c r="BE122" i="15" s="1"/>
  <c r="BI122" s="1"/>
  <c r="AA154" i="14"/>
  <c r="BG124" i="15"/>
  <c r="BM124" s="1"/>
  <c r="Y154" i="14"/>
  <c r="BE124" i="15" s="1"/>
  <c r="BI124" s="1"/>
  <c r="AA156" i="14"/>
  <c r="BG126" i="15"/>
  <c r="BM126" s="1"/>
  <c r="Y156" i="14"/>
  <c r="BE126" i="15" s="1"/>
  <c r="BI126" s="1"/>
  <c r="AA158" i="14"/>
  <c r="BG128" i="15"/>
  <c r="BM128" s="1"/>
  <c r="Y158" i="14"/>
  <c r="BE128" i="15" s="1"/>
  <c r="BI128" s="1"/>
  <c r="AA160" i="14"/>
  <c r="BG130" i="15"/>
  <c r="BM130" s="1"/>
  <c r="Y160" i="14"/>
  <c r="BE130" i="15" s="1"/>
  <c r="BI130" s="1"/>
  <c r="AA162" i="14"/>
  <c r="BG132" i="15"/>
  <c r="BM132" s="1"/>
  <c r="Y162" i="14"/>
  <c r="BE132" i="15" s="1"/>
  <c r="BI132" s="1"/>
  <c r="AA164" i="14"/>
  <c r="BG134" i="15"/>
  <c r="BM134" s="1"/>
  <c r="Y164" i="14"/>
  <c r="BE134" i="15" s="1"/>
  <c r="BI134" s="1"/>
  <c r="AA166" i="14"/>
  <c r="BG136" i="15"/>
  <c r="BM136" s="1"/>
  <c r="Y166" i="14"/>
  <c r="BE136" i="15" s="1"/>
  <c r="BI136" s="1"/>
  <c r="AA168" i="14"/>
  <c r="BG138" i="15"/>
  <c r="BM138" s="1"/>
  <c r="Y168" i="14"/>
  <c r="BE138" i="15" s="1"/>
  <c r="BI138" s="1"/>
  <c r="AA170" i="14"/>
  <c r="BG140" i="15"/>
  <c r="BM140" s="1"/>
  <c r="Y170" i="14"/>
  <c r="BE140" i="15" s="1"/>
  <c r="BI140" s="1"/>
  <c r="AA172" i="14"/>
  <c r="BG142" i="15"/>
  <c r="BM142" s="1"/>
  <c r="Y172" i="14"/>
  <c r="BE142" i="15" s="1"/>
  <c r="BI142" s="1"/>
  <c r="AA174" i="14"/>
  <c r="BG144" i="15"/>
  <c r="BM144" s="1"/>
  <c r="Y174" i="14"/>
  <c r="BE144" i="15" s="1"/>
  <c r="BI144" s="1"/>
  <c r="AA176" i="14"/>
  <c r="BG146" i="15"/>
  <c r="BM146" s="1"/>
  <c r="Y176" i="14"/>
  <c r="BE146" i="15" s="1"/>
  <c r="BI146" s="1"/>
  <c r="AA178" i="14"/>
  <c r="BG148" i="15"/>
  <c r="BM148" s="1"/>
  <c r="Y178" i="14"/>
  <c r="BE148" i="15" s="1"/>
  <c r="BI148" s="1"/>
  <c r="AA180" i="14"/>
  <c r="BG150" i="15"/>
  <c r="BM150" s="1"/>
  <c r="Y180" i="14"/>
  <c r="BE150" i="15" s="1"/>
  <c r="BI150" s="1"/>
  <c r="AA182" i="14"/>
  <c r="BG152" i="15"/>
  <c r="BM152" s="1"/>
  <c r="Y182" i="14"/>
  <c r="BE152" i="15" s="1"/>
  <c r="BI152" s="1"/>
  <c r="AA184" i="14"/>
  <c r="BG154" i="15"/>
  <c r="BM154" s="1"/>
  <c r="Y184" i="14"/>
  <c r="BE154" i="15" s="1"/>
  <c r="BI154" s="1"/>
  <c r="AA186" i="14"/>
  <c r="BG156" i="15"/>
  <c r="BM156" s="1"/>
  <c r="Y186" i="14"/>
  <c r="BE156" i="15" s="1"/>
  <c r="BI156" s="1"/>
  <c r="AA188" i="14"/>
  <c r="BG158" i="15"/>
  <c r="BM158" s="1"/>
  <c r="Y188" i="14"/>
  <c r="BE158" i="15" s="1"/>
  <c r="BI158" s="1"/>
  <c r="AA190" i="14"/>
  <c r="BG160" i="15"/>
  <c r="BM160" s="1"/>
  <c r="Y190" i="14"/>
  <c r="BE160" i="15" s="1"/>
  <c r="BI160" s="1"/>
  <c r="AA192" i="14"/>
  <c r="BG162" i="15"/>
  <c r="BM162" s="1"/>
  <c r="Y192" i="14"/>
  <c r="BE162" i="15" s="1"/>
  <c r="BI162" s="1"/>
  <c r="AA194" i="14"/>
  <c r="BG164" i="15"/>
  <c r="BM164" s="1"/>
  <c r="Y194" i="14"/>
  <c r="BE164" i="15" s="1"/>
  <c r="BI164" s="1"/>
  <c r="AA196" i="14"/>
  <c r="BG166" i="15"/>
  <c r="BM166" s="1"/>
  <c r="Y196" i="14"/>
  <c r="BE166" i="15" s="1"/>
  <c r="BI166" s="1"/>
  <c r="AA198" i="14"/>
  <c r="BG168" i="15"/>
  <c r="BM168" s="1"/>
  <c r="Y198" i="14"/>
  <c r="BE168" i="15" s="1"/>
  <c r="BI168" s="1"/>
  <c r="AA200" i="14"/>
  <c r="BG170" i="15"/>
  <c r="BM170" s="1"/>
  <c r="Y200" i="14"/>
  <c r="BE170" i="15" s="1"/>
  <c r="BI170" s="1"/>
  <c r="AA202" i="14"/>
  <c r="BG172" i="15"/>
  <c r="BM172" s="1"/>
  <c r="Y202" i="14"/>
  <c r="BE172" i="15" s="1"/>
  <c r="BI172" s="1"/>
  <c r="AA204" i="14"/>
  <c r="BG174" i="15"/>
  <c r="BM174" s="1"/>
  <c r="Y204" i="14"/>
  <c r="BE174" i="15" s="1"/>
  <c r="BI174" s="1"/>
  <c r="AA206" i="14"/>
  <c r="BG176" i="15"/>
  <c r="BM176" s="1"/>
  <c r="Y206" i="14"/>
  <c r="BE176" i="15" s="1"/>
  <c r="BI176" s="1"/>
  <c r="AA208" i="14"/>
  <c r="BG178" i="15"/>
  <c r="BM178" s="1"/>
  <c r="Y208" i="14"/>
  <c r="BE178" i="15" s="1"/>
  <c r="BI178" s="1"/>
  <c r="AA210" i="14"/>
  <c r="BG180" i="15"/>
  <c r="BM180" s="1"/>
  <c r="Y210" i="14"/>
  <c r="BE180" i="15" s="1"/>
  <c r="BI180" s="1"/>
  <c r="AA212" i="14"/>
  <c r="BG182" i="15"/>
  <c r="BM182" s="1"/>
  <c r="Y212" i="14"/>
  <c r="BE182" i="15" s="1"/>
  <c r="BI182" s="1"/>
  <c r="AA215" i="14"/>
  <c r="BG185" i="15"/>
  <c r="BM185" s="1"/>
  <c r="Y215" i="14"/>
  <c r="BE185" i="15" s="1"/>
  <c r="BI185" s="1"/>
  <c r="AA217" i="14"/>
  <c r="BG187" i="15"/>
  <c r="BM187" s="1"/>
  <c r="Y217" i="14"/>
  <c r="BE187" i="15" s="1"/>
  <c r="BI187" s="1"/>
  <c r="AA221" i="14"/>
  <c r="BG191" i="15"/>
  <c r="BM191" s="1"/>
  <c r="Y221" i="14"/>
  <c r="BE191" i="15" s="1"/>
  <c r="BI191" s="1"/>
  <c r="AA228" i="14"/>
  <c r="BG198" i="15"/>
  <c r="BM198" s="1"/>
  <c r="Y228" i="14"/>
  <c r="BE198" i="15" s="1"/>
  <c r="BI198" s="1"/>
  <c r="AA234" i="14"/>
  <c r="BG204" i="15"/>
  <c r="BM204" s="1"/>
  <c r="Y234" i="14"/>
  <c r="BE204" i="15" s="1"/>
  <c r="BI204" s="1"/>
  <c r="AA237" i="14"/>
  <c r="BG207" i="15"/>
  <c r="BM207" s="1"/>
  <c r="Y237" i="14"/>
  <c r="BE207" i="15" s="1"/>
  <c r="BI207" s="1"/>
  <c r="AA244" i="14"/>
  <c r="BG214" i="15"/>
  <c r="BM214" s="1"/>
  <c r="Y244" i="14"/>
  <c r="BE214" i="15" s="1"/>
  <c r="BI214" s="1"/>
  <c r="AA250" i="14"/>
  <c r="BG220" i="15"/>
  <c r="BM220" s="1"/>
  <c r="Y250" i="14"/>
  <c r="BE220" i="15" s="1"/>
  <c r="BI220" s="1"/>
  <c r="AA253" i="14"/>
  <c r="BG223" i="15"/>
  <c r="BM223" s="1"/>
  <c r="Y253" i="14"/>
  <c r="BE223" i="15" s="1"/>
  <c r="BI223" s="1"/>
  <c r="AA260" i="14"/>
  <c r="BG230" i="15"/>
  <c r="BM230" s="1"/>
  <c r="Y260" i="14"/>
  <c r="BE230" i="15" s="1"/>
  <c r="BI230" s="1"/>
  <c r="AA266" i="14"/>
  <c r="BG236" i="15"/>
  <c r="BM236" s="1"/>
  <c r="Y266" i="14"/>
  <c r="BE236" i="15" s="1"/>
  <c r="BI236" s="1"/>
  <c r="AA269" i="14"/>
  <c r="BG239" i="15"/>
  <c r="BM239" s="1"/>
  <c r="Y269" i="14"/>
  <c r="BE239" i="15" s="1"/>
  <c r="BI239" s="1"/>
  <c r="AA276" i="14"/>
  <c r="BG246" i="15"/>
  <c r="BM246" s="1"/>
  <c r="Y276" i="14"/>
  <c r="BE246" i="15" s="1"/>
  <c r="BI246" s="1"/>
  <c r="AA282" i="14"/>
  <c r="BG252" i="15"/>
  <c r="BM252" s="1"/>
  <c r="Y282" i="14"/>
  <c r="BE252" i="15" s="1"/>
  <c r="BI252" s="1"/>
  <c r="AA285" i="14"/>
  <c r="BG255" i="15"/>
  <c r="BM255" s="1"/>
  <c r="Y285" i="14"/>
  <c r="BE255" i="15" s="1"/>
  <c r="BI255" s="1"/>
  <c r="AA292" i="14"/>
  <c r="BG262" i="15"/>
  <c r="BM262" s="1"/>
  <c r="Y292" i="14"/>
  <c r="BE262" i="15" s="1"/>
  <c r="BI262" s="1"/>
  <c r="AA298" i="14"/>
  <c r="BG268" i="15"/>
  <c r="BM268" s="1"/>
  <c r="Y298" i="14"/>
  <c r="BE268" i="15" s="1"/>
  <c r="BI268" s="1"/>
  <c r="AA301" i="14"/>
  <c r="BG271" i="15"/>
  <c r="BM271" s="1"/>
  <c r="Y301" i="14"/>
  <c r="BE271" i="15" s="1"/>
  <c r="BI271" s="1"/>
  <c r="AA308" i="14"/>
  <c r="BG278" i="15"/>
  <c r="BM278" s="1"/>
  <c r="Y308" i="14"/>
  <c r="BE278" i="15" s="1"/>
  <c r="BI278" s="1"/>
  <c r="AA314" i="14"/>
  <c r="BG284" i="15"/>
  <c r="BM284" s="1"/>
  <c r="Y314" i="14"/>
  <c r="BE284" i="15" s="1"/>
  <c r="BI284" s="1"/>
  <c r="AA317" i="14"/>
  <c r="BG287" i="15"/>
  <c r="BM287" s="1"/>
  <c r="Y317" i="14"/>
  <c r="BE287" i="15" s="1"/>
  <c r="BI287" s="1"/>
  <c r="AA324" i="14"/>
  <c r="BG294" i="15"/>
  <c r="BM294" s="1"/>
  <c r="Y324" i="14"/>
  <c r="BE294" i="15" s="1"/>
  <c r="BI294" s="1"/>
  <c r="AA330" i="14"/>
  <c r="BG300" i="15"/>
  <c r="BM300" s="1"/>
  <c r="Y330" i="14"/>
  <c r="BE300" i="15" s="1"/>
  <c r="BI300" s="1"/>
  <c r="AA333" i="14"/>
  <c r="BG303" i="15"/>
  <c r="BM303" s="1"/>
  <c r="Y333" i="14"/>
  <c r="BE303" i="15" s="1"/>
  <c r="BI303" s="1"/>
  <c r="AA102" i="14"/>
  <c r="BG72" i="15"/>
  <c r="BM72" s="1"/>
  <c r="Y102" i="14"/>
  <c r="BE72" i="15" s="1"/>
  <c r="BI72" s="1"/>
  <c r="AA106" i="14"/>
  <c r="BG76" i="15"/>
  <c r="BM76" s="1"/>
  <c r="Y106" i="14"/>
  <c r="BE76" i="15" s="1"/>
  <c r="BI76" s="1"/>
  <c r="Y113" i="14"/>
  <c r="BE83" i="15"/>
  <c r="BI83" s="1"/>
  <c r="AA113" i="14"/>
  <c r="BG83" i="15" s="1"/>
  <c r="BM83" s="1"/>
  <c r="AA118" i="14"/>
  <c r="BG88" i="15"/>
  <c r="BM88" s="1"/>
  <c r="Y118" i="14"/>
  <c r="BE88" i="15" s="1"/>
  <c r="BI88" s="1"/>
  <c r="AA122" i="14"/>
  <c r="BG92" i="15"/>
  <c r="BM92" s="1"/>
  <c r="Y122" i="14"/>
  <c r="BE92" i="15" s="1"/>
  <c r="BI92" s="1"/>
  <c r="Y129" i="14"/>
  <c r="BE99" i="15"/>
  <c r="BI99" s="1"/>
  <c r="AA129" i="14"/>
  <c r="BG99" i="15" s="1"/>
  <c r="BM99" s="1"/>
  <c r="AA134" i="14"/>
  <c r="BG104" i="15"/>
  <c r="BM104" s="1"/>
  <c r="Y134" i="14"/>
  <c r="BE104" i="15" s="1"/>
  <c r="BI104" s="1"/>
  <c r="AA138" i="14"/>
  <c r="BG108" i="15"/>
  <c r="BM108" s="1"/>
  <c r="Y138" i="14"/>
  <c r="BE108" i="15" s="1"/>
  <c r="BI108" s="1"/>
  <c r="AA218" i="14"/>
  <c r="BG188" i="15"/>
  <c r="BM188" s="1"/>
  <c r="Y218" i="14"/>
  <c r="BE188" i="15" s="1"/>
  <c r="BI188" s="1"/>
  <c r="AA222" i="14"/>
  <c r="BG192" i="15"/>
  <c r="BM192" s="1"/>
  <c r="Y222" i="14"/>
  <c r="BE192" i="15" s="1"/>
  <c r="BI192" s="1"/>
  <c r="AA225" i="14"/>
  <c r="BG195" i="15"/>
  <c r="BM195" s="1"/>
  <c r="Y225" i="14"/>
  <c r="BE195" i="15" s="1"/>
  <c r="BI195" s="1"/>
  <c r="AA227" i="14"/>
  <c r="BG197" i="15"/>
  <c r="BM197" s="1"/>
  <c r="Y227" i="14"/>
  <c r="BE197" i="15" s="1"/>
  <c r="BI197" s="1"/>
  <c r="AA231" i="14"/>
  <c r="BG201" i="15"/>
  <c r="BM201" s="1"/>
  <c r="Y231" i="14"/>
  <c r="BE201" i="15" s="1"/>
  <c r="BI201" s="1"/>
  <c r="AA238" i="14"/>
  <c r="BG208" i="15"/>
  <c r="BM208" s="1"/>
  <c r="Y238" i="14"/>
  <c r="BE208" i="15" s="1"/>
  <c r="BI208" s="1"/>
  <c r="AA241" i="14"/>
  <c r="BG211" i="15"/>
  <c r="BM211" s="1"/>
  <c r="Y241" i="14"/>
  <c r="BE211" i="15" s="1"/>
  <c r="BI211" s="1"/>
  <c r="AA243" i="14"/>
  <c r="BG213" i="15"/>
  <c r="BM213" s="1"/>
  <c r="Y243" i="14"/>
  <c r="BE213" i="15" s="1"/>
  <c r="BI213" s="1"/>
  <c r="AA247" i="14"/>
  <c r="BG217" i="15"/>
  <c r="BM217" s="1"/>
  <c r="Y247" i="14"/>
  <c r="BE217" i="15" s="1"/>
  <c r="BI217" s="1"/>
  <c r="AA254" i="14"/>
  <c r="BG224" i="15"/>
  <c r="BM224" s="1"/>
  <c r="Y254" i="14"/>
  <c r="BE224" i="15" s="1"/>
  <c r="BI224" s="1"/>
  <c r="AA257" i="14"/>
  <c r="BG227" i="15"/>
  <c r="BM227" s="1"/>
  <c r="Y257" i="14"/>
  <c r="BE227" i="15" s="1"/>
  <c r="BI227" s="1"/>
  <c r="AA259" i="14"/>
  <c r="BG229" i="15"/>
  <c r="BM229" s="1"/>
  <c r="Y259" i="14"/>
  <c r="BE229" i="15" s="1"/>
  <c r="BI229" s="1"/>
  <c r="AA263" i="14"/>
  <c r="BG233" i="15"/>
  <c r="BM233" s="1"/>
  <c r="Y263" i="14"/>
  <c r="BE233" i="15" s="1"/>
  <c r="BI233" s="1"/>
  <c r="AA270" i="14"/>
  <c r="BG240" i="15"/>
  <c r="BM240" s="1"/>
  <c r="Y270" i="14"/>
  <c r="BE240" i="15" s="1"/>
  <c r="BI240" s="1"/>
  <c r="AA273" i="14"/>
  <c r="BG243" i="15"/>
  <c r="BM243" s="1"/>
  <c r="Y273" i="14"/>
  <c r="BE243" i="15" s="1"/>
  <c r="BI243" s="1"/>
  <c r="AA275" i="14"/>
  <c r="BG245" i="15"/>
  <c r="BM245" s="1"/>
  <c r="Y275" i="14"/>
  <c r="BE245" i="15" s="1"/>
  <c r="BI245" s="1"/>
  <c r="AA279" i="14"/>
  <c r="BG249" i="15"/>
  <c r="BM249" s="1"/>
  <c r="Y279" i="14"/>
  <c r="BE249" i="15" s="1"/>
  <c r="BI249" s="1"/>
  <c r="AA286" i="14"/>
  <c r="BG256" i="15"/>
  <c r="BM256" s="1"/>
  <c r="Y286" i="14"/>
  <c r="BE256" i="15" s="1"/>
  <c r="BI256" s="1"/>
  <c r="AA289" i="14"/>
  <c r="BG259" i="15"/>
  <c r="BM259" s="1"/>
  <c r="Y289" i="14"/>
  <c r="BE259" i="15" s="1"/>
  <c r="BI259" s="1"/>
  <c r="AA291" i="14"/>
  <c r="BG261" i="15"/>
  <c r="BM261" s="1"/>
  <c r="Y291" i="14"/>
  <c r="BE261" i="15" s="1"/>
  <c r="BI261" s="1"/>
  <c r="AA295" i="14"/>
  <c r="BG265" i="15"/>
  <c r="BM265" s="1"/>
  <c r="Y295" i="14"/>
  <c r="BE265" i="15" s="1"/>
  <c r="BI265" s="1"/>
  <c r="AA302" i="14"/>
  <c r="BG272" i="15"/>
  <c r="BM272" s="1"/>
  <c r="Y302" i="14"/>
  <c r="BE272" i="15" s="1"/>
  <c r="BI272" s="1"/>
  <c r="AA305" i="14"/>
  <c r="BG275" i="15"/>
  <c r="BM275" s="1"/>
  <c r="Y305" i="14"/>
  <c r="BE275" i="15" s="1"/>
  <c r="BI275" s="1"/>
  <c r="AA307" i="14"/>
  <c r="BG277" i="15"/>
  <c r="BM277" s="1"/>
  <c r="Y307" i="14"/>
  <c r="BE277" i="15" s="1"/>
  <c r="BI277" s="1"/>
  <c r="AA311" i="14"/>
  <c r="BG281" i="15"/>
  <c r="BM281" s="1"/>
  <c r="Y311" i="14"/>
  <c r="BE281" i="15" s="1"/>
  <c r="BI281" s="1"/>
  <c r="AA318" i="14"/>
  <c r="BG288" i="15"/>
  <c r="BM288" s="1"/>
  <c r="Y318" i="14"/>
  <c r="BE288" i="15" s="1"/>
  <c r="BI288" s="1"/>
  <c r="AA321" i="14"/>
  <c r="BG291" i="15"/>
  <c r="BM291" s="1"/>
  <c r="Y321" i="14"/>
  <c r="BE291" i="15" s="1"/>
  <c r="BI291" s="1"/>
  <c r="AA323" i="14"/>
  <c r="BG293" i="15"/>
  <c r="BM293" s="1"/>
  <c r="Y323" i="14"/>
  <c r="BE293" i="15" s="1"/>
  <c r="BI293" s="1"/>
  <c r="AA327" i="14"/>
  <c r="BG297" i="15"/>
  <c r="BM297" s="1"/>
  <c r="Y327" i="14"/>
  <c r="BE297" i="15" s="1"/>
  <c r="BI297" s="1"/>
  <c r="AA334" i="14"/>
  <c r="BG304" i="15"/>
  <c r="BM304" s="1"/>
  <c r="Y334" i="14"/>
  <c r="BE304" i="15" s="1"/>
  <c r="BI304" s="1"/>
  <c r="AB76" i="14"/>
  <c r="BH46" i="15"/>
  <c r="BO46" s="1"/>
  <c r="Z76" i="14"/>
  <c r="BF46" i="15" s="1"/>
  <c r="BK46" s="1"/>
  <c r="AB78" i="14"/>
  <c r="BH48" i="15"/>
  <c r="BO48" s="1"/>
  <c r="Z78" i="14"/>
  <c r="BF48" i="15" s="1"/>
  <c r="BK48" s="1"/>
  <c r="AB80" i="14"/>
  <c r="BH50" i="15"/>
  <c r="BO50" s="1"/>
  <c r="Z80" i="14"/>
  <c r="BF50" i="15" s="1"/>
  <c r="BK50" s="1"/>
  <c r="Z82" i="14"/>
  <c r="BF52" i="15"/>
  <c r="BK52" s="1"/>
  <c r="AB82" i="14"/>
  <c r="BH52" i="15" s="1"/>
  <c r="BO52" s="1"/>
  <c r="Z98" i="14"/>
  <c r="BF68" i="15"/>
  <c r="BK68" s="1"/>
  <c r="AB98" i="14"/>
  <c r="BH68" i="15" s="1"/>
  <c r="BO68" s="1"/>
  <c r="AB114" i="14"/>
  <c r="BH84" i="15"/>
  <c r="BO84" s="1"/>
  <c r="Z114" i="14"/>
  <c r="BF84" i="15" s="1"/>
  <c r="BK84" s="1"/>
  <c r="AB130" i="14"/>
  <c r="BH100" i="15"/>
  <c r="BO100" s="1"/>
  <c r="Z130" i="14"/>
  <c r="BF100" i="15" s="1"/>
  <c r="BK100" s="1"/>
  <c r="AB214" i="14"/>
  <c r="BH184" i="15"/>
  <c r="BO184" s="1"/>
  <c r="Z214" i="14"/>
  <c r="BF184" i="15" s="1"/>
  <c r="BK184" s="1"/>
  <c r="AB220" i="14"/>
  <c r="BH190" i="15"/>
  <c r="BO190" s="1"/>
  <c r="Z220" i="14"/>
  <c r="BF190" i="15" s="1"/>
  <c r="BK190" s="1"/>
  <c r="AB224" i="14"/>
  <c r="BH194" i="15"/>
  <c r="BO194" s="1"/>
  <c r="Z224" i="14"/>
  <c r="BF194" i="15" s="1"/>
  <c r="BK194" s="1"/>
  <c r="AB226" i="14"/>
  <c r="BH196" i="15"/>
  <c r="BO196" s="1"/>
  <c r="Z226" i="14"/>
  <c r="BF196" i="15" s="1"/>
  <c r="BK196" s="1"/>
  <c r="AB229" i="14"/>
  <c r="BH199" i="15"/>
  <c r="BO199" s="1"/>
  <c r="Z229" i="14"/>
  <c r="BF199" i="15" s="1"/>
  <c r="BK199" s="1"/>
  <c r="AB236" i="14"/>
  <c r="BH206" i="15"/>
  <c r="BO206" s="1"/>
  <c r="Z236" i="14"/>
  <c r="BF206" i="15" s="1"/>
  <c r="BK206" s="1"/>
  <c r="AB240" i="14"/>
  <c r="BH210" i="15"/>
  <c r="BO210" s="1"/>
  <c r="Z240" i="14"/>
  <c r="BF210" i="15" s="1"/>
  <c r="BK210" s="1"/>
  <c r="AB242" i="14"/>
  <c r="BH212" i="15"/>
  <c r="BO212" s="1"/>
  <c r="Z242" i="14"/>
  <c r="BF212" i="15" s="1"/>
  <c r="BK212" s="1"/>
  <c r="AB245" i="14"/>
  <c r="BH215" i="15"/>
  <c r="BO215" s="1"/>
  <c r="Z245" i="14"/>
  <c r="BF215" i="15" s="1"/>
  <c r="BK215" s="1"/>
  <c r="AB252" i="14"/>
  <c r="BH222" i="15"/>
  <c r="BO222" s="1"/>
  <c r="Z252" i="14"/>
  <c r="BF222" i="15" s="1"/>
  <c r="BK222" s="1"/>
  <c r="AB256" i="14"/>
  <c r="BH226" i="15"/>
  <c r="BO226" s="1"/>
  <c r="Z256" i="14"/>
  <c r="BF226" i="15" s="1"/>
  <c r="BK226" s="1"/>
  <c r="AB258" i="14"/>
  <c r="BH228" i="15"/>
  <c r="BO228" s="1"/>
  <c r="Z258" i="14"/>
  <c r="BF228" i="15" s="1"/>
  <c r="BK228" s="1"/>
  <c r="AB261" i="14"/>
  <c r="BH231" i="15"/>
  <c r="BO231" s="1"/>
  <c r="Z261" i="14"/>
  <c r="BF231" i="15" s="1"/>
  <c r="BK231" s="1"/>
  <c r="AB268" i="14"/>
  <c r="BH238" i="15"/>
  <c r="BO238" s="1"/>
  <c r="Z268" i="14"/>
  <c r="BF238" i="15" s="1"/>
  <c r="BK238" s="1"/>
  <c r="AB272" i="14"/>
  <c r="BH242" i="15"/>
  <c r="BO242" s="1"/>
  <c r="Z272" i="14"/>
  <c r="BF242" i="15" s="1"/>
  <c r="BK242" s="1"/>
  <c r="AB274" i="14"/>
  <c r="BH244" i="15"/>
  <c r="BO244" s="1"/>
  <c r="Z274" i="14"/>
  <c r="BF244" i="15" s="1"/>
  <c r="BK244" s="1"/>
  <c r="AB277" i="14"/>
  <c r="BH247" i="15"/>
  <c r="BO247" s="1"/>
  <c r="Z277" i="14"/>
  <c r="BF247" i="15" s="1"/>
  <c r="BK247" s="1"/>
  <c r="AB284" i="14"/>
  <c r="BH254" i="15"/>
  <c r="BO254" s="1"/>
  <c r="Z284" i="14"/>
  <c r="BF254" i="15" s="1"/>
  <c r="BK254" s="1"/>
  <c r="AB288" i="14"/>
  <c r="BH258" i="15"/>
  <c r="BO258" s="1"/>
  <c r="Z288" i="14"/>
  <c r="BF258" i="15" s="1"/>
  <c r="BK258" s="1"/>
  <c r="AB290" i="14"/>
  <c r="BH260" i="15"/>
  <c r="BO260" s="1"/>
  <c r="Z290" i="14"/>
  <c r="BF260" i="15" s="1"/>
  <c r="BK260" s="1"/>
  <c r="AB293" i="14"/>
  <c r="BH263" i="15"/>
  <c r="BO263" s="1"/>
  <c r="Z293" i="14"/>
  <c r="BF263" i="15" s="1"/>
  <c r="BK263" s="1"/>
  <c r="AB300" i="14"/>
  <c r="BH270" i="15"/>
  <c r="BO270" s="1"/>
  <c r="Z300" i="14"/>
  <c r="BF270" i="15" s="1"/>
  <c r="BK270" s="1"/>
  <c r="AB304" i="14"/>
  <c r="BH274" i="15"/>
  <c r="BO274" s="1"/>
  <c r="Z304" i="14"/>
  <c r="BF274" i="15" s="1"/>
  <c r="BK274" s="1"/>
  <c r="AB306" i="14"/>
  <c r="BH276" i="15"/>
  <c r="BO276" s="1"/>
  <c r="Z306" i="14"/>
  <c r="BF276" i="15" s="1"/>
  <c r="BK276" s="1"/>
  <c r="AB309" i="14"/>
  <c r="BH279" i="15"/>
  <c r="BO279" s="1"/>
  <c r="Z309" i="14"/>
  <c r="BF279" i="15" s="1"/>
  <c r="BK279" s="1"/>
  <c r="AB316" i="14"/>
  <c r="BH286" i="15"/>
  <c r="BO286" s="1"/>
  <c r="Z316" i="14"/>
  <c r="BF286" i="15" s="1"/>
  <c r="BK286" s="1"/>
  <c r="AB320" i="14"/>
  <c r="BH290" i="15"/>
  <c r="BO290" s="1"/>
  <c r="Z320" i="14"/>
  <c r="BF290" i="15" s="1"/>
  <c r="BK290" s="1"/>
  <c r="AB322" i="14"/>
  <c r="BH292" i="15"/>
  <c r="BO292" s="1"/>
  <c r="Z322" i="14"/>
  <c r="BF292" i="15" s="1"/>
  <c r="BK292" s="1"/>
  <c r="AB325" i="14"/>
  <c r="BH295" i="15"/>
  <c r="BO295" s="1"/>
  <c r="Z325" i="14"/>
  <c r="BF295" i="15" s="1"/>
  <c r="BK295" s="1"/>
  <c r="AB332" i="14"/>
  <c r="BH302" i="15"/>
  <c r="BO302" s="1"/>
  <c r="Z332" i="14"/>
  <c r="BF302" i="15" s="1"/>
  <c r="BK302" s="1"/>
  <c r="AB336" i="14"/>
  <c r="BH306" i="15"/>
  <c r="BO306" s="1"/>
  <c r="Z336" i="14"/>
  <c r="BF306" i="15" s="1"/>
  <c r="BK306" s="1"/>
  <c r="AB103" i="14"/>
  <c r="BH73" i="15"/>
  <c r="BO73" s="1"/>
  <c r="Z103" i="14"/>
  <c r="BF73" i="15" s="1"/>
  <c r="BK73" s="1"/>
  <c r="AB107" i="14"/>
  <c r="BH77" i="15"/>
  <c r="BO77" s="1"/>
  <c r="Z107" i="14"/>
  <c r="BF77" i="15" s="1"/>
  <c r="BK77" s="1"/>
  <c r="AB109" i="14"/>
  <c r="BH79" i="15"/>
  <c r="BO79" s="1"/>
  <c r="Z109" i="14"/>
  <c r="BF79" i="15" s="1"/>
  <c r="BK79" s="1"/>
  <c r="Z112" i="14"/>
  <c r="BF82" i="15"/>
  <c r="BK82" s="1"/>
  <c r="AB112" i="14"/>
  <c r="BH82" i="15" s="1"/>
  <c r="BO82" s="1"/>
  <c r="AB116" i="14"/>
  <c r="BH86" i="15"/>
  <c r="BO86" s="1"/>
  <c r="Z116" i="14"/>
  <c r="BF86" i="15" s="1"/>
  <c r="BK86" s="1"/>
  <c r="AB119" i="14"/>
  <c r="BH89" i="15"/>
  <c r="BO89" s="1"/>
  <c r="Z119" i="14"/>
  <c r="BF89" i="15" s="1"/>
  <c r="BK89" s="1"/>
  <c r="AB123" i="14"/>
  <c r="BH93" i="15"/>
  <c r="BO93" s="1"/>
  <c r="Z123" i="14"/>
  <c r="BF93" i="15" s="1"/>
  <c r="BK93" s="1"/>
  <c r="AB125" i="14"/>
  <c r="BH95" i="15"/>
  <c r="BO95" s="1"/>
  <c r="Z125" i="14"/>
  <c r="BF95" i="15" s="1"/>
  <c r="BK95" s="1"/>
  <c r="Z128" i="14"/>
  <c r="BF98" i="15"/>
  <c r="BK98" s="1"/>
  <c r="AB128" i="14"/>
  <c r="BH98" i="15" s="1"/>
  <c r="BO98" s="1"/>
  <c r="AB132" i="14"/>
  <c r="BH102" i="15"/>
  <c r="BO102" s="1"/>
  <c r="Z132" i="14"/>
  <c r="BF102" i="15" s="1"/>
  <c r="BK102" s="1"/>
  <c r="AB135" i="14"/>
  <c r="BH105" i="15"/>
  <c r="BO105" s="1"/>
  <c r="Z135" i="14"/>
  <c r="BF105" i="15" s="1"/>
  <c r="BK105" s="1"/>
  <c r="AB139" i="14"/>
  <c r="BH109" i="15"/>
  <c r="BO109" s="1"/>
  <c r="Z139" i="14"/>
  <c r="BF109" i="15" s="1"/>
  <c r="BK109" s="1"/>
  <c r="AB141" i="14"/>
  <c r="BH111" i="15"/>
  <c r="BO111" s="1"/>
  <c r="Z141" i="14"/>
  <c r="BF111" i="15" s="1"/>
  <c r="BK111" s="1"/>
  <c r="AB143" i="14"/>
  <c r="BH113" i="15"/>
  <c r="BO113" s="1"/>
  <c r="Z143" i="14"/>
  <c r="BF113" i="15" s="1"/>
  <c r="BK113" s="1"/>
  <c r="AB145" i="14"/>
  <c r="BH115" i="15"/>
  <c r="BO115"/>
  <c r="Z145" i="14"/>
  <c r="BF115" i="15" s="1"/>
  <c r="BK115" s="1"/>
  <c r="AB147" i="14"/>
  <c r="BH117" i="15" s="1"/>
  <c r="BO117" s="1"/>
  <c r="Z147" i="14"/>
  <c r="BF117" i="15"/>
  <c r="BK117" s="1"/>
  <c r="AB149" i="14"/>
  <c r="BH119" i="15"/>
  <c r="BO119"/>
  <c r="Z149" i="14"/>
  <c r="BF119" i="15" s="1"/>
  <c r="BK119" s="1"/>
  <c r="AB151" i="14"/>
  <c r="BH121" i="15" s="1"/>
  <c r="BO121" s="1"/>
  <c r="Z151" i="14"/>
  <c r="BF121" i="15"/>
  <c r="BK121" s="1"/>
  <c r="AB153" i="14"/>
  <c r="BH123" i="15"/>
  <c r="BO123"/>
  <c r="Z153" i="14"/>
  <c r="BF123" i="15" s="1"/>
  <c r="BK123" s="1"/>
  <c r="AB155" i="14"/>
  <c r="BH125" i="15" s="1"/>
  <c r="BO125" s="1"/>
  <c r="Z155" i="14"/>
  <c r="BF125" i="15"/>
  <c r="BK125" s="1"/>
  <c r="AB157" i="14"/>
  <c r="BH127" i="15"/>
  <c r="BO127"/>
  <c r="Z157" i="14"/>
  <c r="BF127" i="15" s="1"/>
  <c r="BK127" s="1"/>
  <c r="AB159" i="14"/>
  <c r="BH129" i="15" s="1"/>
  <c r="BO129" s="1"/>
  <c r="Z159" i="14"/>
  <c r="BF129" i="15"/>
  <c r="BK129" s="1"/>
  <c r="AB161" i="14"/>
  <c r="BH131" i="15"/>
  <c r="BO131"/>
  <c r="Z161" i="14"/>
  <c r="BF131" i="15" s="1"/>
  <c r="BK131" s="1"/>
  <c r="AB163" i="14"/>
  <c r="BH133" i="15" s="1"/>
  <c r="BO133" s="1"/>
  <c r="Z163" i="14"/>
  <c r="BF133" i="15"/>
  <c r="BK133" s="1"/>
  <c r="AB165" i="14"/>
  <c r="BH135" i="15"/>
  <c r="BO135"/>
  <c r="Z165" i="14"/>
  <c r="BF135" i="15" s="1"/>
  <c r="BK135" s="1"/>
  <c r="AB167" i="14"/>
  <c r="BH137" i="15" s="1"/>
  <c r="BO137" s="1"/>
  <c r="Z167" i="14"/>
  <c r="BF137" i="15"/>
  <c r="BK137" s="1"/>
  <c r="AB169" i="14"/>
  <c r="BH139" i="15"/>
  <c r="BO139"/>
  <c r="Z169" i="14"/>
  <c r="BF139" i="15" s="1"/>
  <c r="BK139" s="1"/>
  <c r="AB171" i="14"/>
  <c r="BH141" i="15" s="1"/>
  <c r="BO141" s="1"/>
  <c r="Z171" i="14"/>
  <c r="BF141" i="15"/>
  <c r="BK141" s="1"/>
  <c r="AB173" i="14"/>
  <c r="BH143" i="15"/>
  <c r="BO143"/>
  <c r="Z173" i="14"/>
  <c r="BF143" i="15" s="1"/>
  <c r="BK143" s="1"/>
  <c r="AB175" i="14"/>
  <c r="BH145" i="15" s="1"/>
  <c r="BO145" s="1"/>
  <c r="Z175" i="14"/>
  <c r="BF145" i="15"/>
  <c r="BK145" s="1"/>
  <c r="AB177" i="14"/>
  <c r="BH147" i="15"/>
  <c r="BO147"/>
  <c r="Z177" i="14"/>
  <c r="BF147" i="15" s="1"/>
  <c r="BK147" s="1"/>
  <c r="AB179" i="14"/>
  <c r="BH149" i="15" s="1"/>
  <c r="BO149" s="1"/>
  <c r="Z179" i="14"/>
  <c r="BF149" i="15"/>
  <c r="BK149" s="1"/>
  <c r="AB181" i="14"/>
  <c r="BH151" i="15"/>
  <c r="BO151"/>
  <c r="Z181" i="14"/>
  <c r="BF151" i="15" s="1"/>
  <c r="BK151" s="1"/>
  <c r="AB183" i="14"/>
  <c r="BH153" i="15" s="1"/>
  <c r="BO153" s="1"/>
  <c r="Z183" i="14"/>
  <c r="BF153" i="15"/>
  <c r="BK153" s="1"/>
  <c r="AB185" i="14"/>
  <c r="BH155" i="15"/>
  <c r="BO155"/>
  <c r="Z185" i="14"/>
  <c r="BF155" i="15" s="1"/>
  <c r="BK155" s="1"/>
  <c r="AB187" i="14"/>
  <c r="BH157" i="15" s="1"/>
  <c r="BO157" s="1"/>
  <c r="Z187" i="14"/>
  <c r="BF157" i="15"/>
  <c r="BK157" s="1"/>
  <c r="AB189" i="14"/>
  <c r="BH159" i="15"/>
  <c r="BO159"/>
  <c r="Z189" i="14"/>
  <c r="BF159" i="15" s="1"/>
  <c r="BK159" s="1"/>
  <c r="AB191" i="14"/>
  <c r="BH161" i="15" s="1"/>
  <c r="BO161" s="1"/>
  <c r="Z191" i="14"/>
  <c r="BF161" i="15"/>
  <c r="BK161" s="1"/>
  <c r="AB193" i="14"/>
  <c r="BH163" i="15"/>
  <c r="BO163"/>
  <c r="Z193" i="14"/>
  <c r="BF163" i="15" s="1"/>
  <c r="BK163" s="1"/>
  <c r="AB195" i="14"/>
  <c r="BH165" i="15" s="1"/>
  <c r="BO165" s="1"/>
  <c r="Z195" i="14"/>
  <c r="BF165" i="15"/>
  <c r="BK165" s="1"/>
  <c r="AB197" i="14"/>
  <c r="BH167" i="15"/>
  <c r="BO167"/>
  <c r="Z197" i="14"/>
  <c r="BF167" i="15" s="1"/>
  <c r="BK167" s="1"/>
  <c r="AB199" i="14"/>
  <c r="BH169" i="15" s="1"/>
  <c r="BO169" s="1"/>
  <c r="Z199" i="14"/>
  <c r="BF169" i="15"/>
  <c r="BK169" s="1"/>
  <c r="AB201" i="14"/>
  <c r="BH171" i="15"/>
  <c r="BO171"/>
  <c r="Z201" i="14"/>
  <c r="BF171" i="15" s="1"/>
  <c r="BK171" s="1"/>
  <c r="AB203" i="14"/>
  <c r="BH173" i="15" s="1"/>
  <c r="BO173" s="1"/>
  <c r="Z203" i="14"/>
  <c r="BF173" i="15"/>
  <c r="BK173" s="1"/>
  <c r="AB205" i="14"/>
  <c r="BH175" i="15"/>
  <c r="BO175"/>
  <c r="Z205" i="14"/>
  <c r="BF175" i="15" s="1"/>
  <c r="BK175" s="1"/>
  <c r="AB207" i="14"/>
  <c r="BH177" i="15" s="1"/>
  <c r="BO177" s="1"/>
  <c r="Z207" i="14"/>
  <c r="BF177" i="15"/>
  <c r="BK177" s="1"/>
  <c r="AB209" i="14"/>
  <c r="BH179" i="15"/>
  <c r="BO179"/>
  <c r="Z209" i="14"/>
  <c r="BF179" i="15" s="1"/>
  <c r="BK179" s="1"/>
  <c r="AB211" i="14"/>
  <c r="BH181" i="15" s="1"/>
  <c r="BO181" s="1"/>
  <c r="Z211" i="14"/>
  <c r="BF181" i="15"/>
  <c r="BK181" s="1"/>
  <c r="AB213" i="14"/>
  <c r="BH183" i="15"/>
  <c r="BO183"/>
  <c r="Z213" i="14"/>
  <c r="BF183" i="15" s="1"/>
  <c r="BK183" s="1"/>
  <c r="AB216" i="14"/>
  <c r="BH186" i="15" s="1"/>
  <c r="BO186" s="1"/>
  <c r="Z216" i="14"/>
  <c r="BF186" i="15"/>
  <c r="BK186" s="1"/>
  <c r="AB219" i="14"/>
  <c r="BH189" i="15"/>
  <c r="BO189"/>
  <c r="Z219" i="14"/>
  <c r="BF189" i="15" s="1"/>
  <c r="BK189" s="1"/>
  <c r="AB223" i="14"/>
  <c r="BH193" i="15" s="1"/>
  <c r="BO193" s="1"/>
  <c r="Z223" i="14"/>
  <c r="BF193" i="15"/>
  <c r="BK193" s="1"/>
  <c r="AB230" i="14"/>
  <c r="BH200" i="15"/>
  <c r="BO200"/>
  <c r="Z230" i="14"/>
  <c r="BF200" i="15" s="1"/>
  <c r="BK200" s="1"/>
  <c r="AB233" i="14"/>
  <c r="BH203" i="15" s="1"/>
  <c r="BO203" s="1"/>
  <c r="Z233" i="14"/>
  <c r="BF203" i="15"/>
  <c r="BK203" s="1"/>
  <c r="AB235" i="14"/>
  <c r="BH205" i="15"/>
  <c r="BO205"/>
  <c r="Z235" i="14"/>
  <c r="BF205" i="15" s="1"/>
  <c r="BK205" s="1"/>
  <c r="AB239" i="14"/>
  <c r="BH209" i="15" s="1"/>
  <c r="BO209" s="1"/>
  <c r="Z239" i="14"/>
  <c r="BF209" i="15"/>
  <c r="BK209" s="1"/>
  <c r="AB246" i="14"/>
  <c r="BH216" i="15"/>
  <c r="BO216"/>
  <c r="Z246" i="14"/>
  <c r="BF216" i="15" s="1"/>
  <c r="BK216" s="1"/>
  <c r="AB249" i="14"/>
  <c r="BH219" i="15" s="1"/>
  <c r="BO219" s="1"/>
  <c r="Z249" i="14"/>
  <c r="BF219" i="15"/>
  <c r="BK219" s="1"/>
  <c r="AB251" i="14"/>
  <c r="BH221" i="15"/>
  <c r="BO221"/>
  <c r="Z251" i="14"/>
  <c r="BF221" i="15" s="1"/>
  <c r="BK221" s="1"/>
  <c r="AB255" i="14"/>
  <c r="BH225" i="15" s="1"/>
  <c r="BO225" s="1"/>
  <c r="Z255" i="14"/>
  <c r="BF225" i="15"/>
  <c r="BK225" s="1"/>
  <c r="AB262" i="14"/>
  <c r="BH232" i="15"/>
  <c r="BO232"/>
  <c r="Z262" i="14"/>
  <c r="BF232" i="15" s="1"/>
  <c r="BK232" s="1"/>
  <c r="AB265" i="14"/>
  <c r="BH235" i="15" s="1"/>
  <c r="BO235" s="1"/>
  <c r="Z265" i="14"/>
  <c r="BF235" i="15"/>
  <c r="BK235" s="1"/>
  <c r="AB267" i="14"/>
  <c r="BH237" i="15"/>
  <c r="BO237"/>
  <c r="Z267" i="14"/>
  <c r="BF237" i="15" s="1"/>
  <c r="BK237" s="1"/>
  <c r="AB271" i="14"/>
  <c r="BH241" i="15" s="1"/>
  <c r="BO241" s="1"/>
  <c r="Z271" i="14"/>
  <c r="BF241" i="15"/>
  <c r="BK241" s="1"/>
  <c r="AB278" i="14"/>
  <c r="BH248" i="15"/>
  <c r="BO248"/>
  <c r="Z278" i="14"/>
  <c r="BF248" i="15" s="1"/>
  <c r="BK248" s="1"/>
  <c r="AB281" i="14"/>
  <c r="BH251" i="15" s="1"/>
  <c r="BO251" s="1"/>
  <c r="Z281" i="14"/>
  <c r="BF251" i="15"/>
  <c r="BK251" s="1"/>
  <c r="AB283" i="14"/>
  <c r="BH253" i="15"/>
  <c r="BO253"/>
  <c r="Z283" i="14"/>
  <c r="BF253" i="15" s="1"/>
  <c r="BK253" s="1"/>
  <c r="AB287" i="14"/>
  <c r="BH257" i="15" s="1"/>
  <c r="BO257" s="1"/>
  <c r="Z287" i="14"/>
  <c r="BF257" i="15"/>
  <c r="BK257" s="1"/>
  <c r="AB294" i="14"/>
  <c r="BH264" i="15"/>
  <c r="BO264"/>
  <c r="Z294" i="14"/>
  <c r="BF264" i="15" s="1"/>
  <c r="BK264" s="1"/>
  <c r="AB297" i="14"/>
  <c r="BH267" i="15" s="1"/>
  <c r="BO267" s="1"/>
  <c r="Z297" i="14"/>
  <c r="BF267" i="15"/>
  <c r="BK267" s="1"/>
  <c r="AB299" i="14"/>
  <c r="BH269" i="15"/>
  <c r="BO269"/>
  <c r="Z299" i="14"/>
  <c r="BF269" i="15" s="1"/>
  <c r="BK269" s="1"/>
  <c r="AB303" i="14"/>
  <c r="BH273" i="15" s="1"/>
  <c r="BO273" s="1"/>
  <c r="Z303" i="14"/>
  <c r="BF273" i="15"/>
  <c r="BK273" s="1"/>
  <c r="AB310" i="14"/>
  <c r="BH280" i="15"/>
  <c r="BO280"/>
  <c r="Z310" i="14"/>
  <c r="BF280" i="15" s="1"/>
  <c r="BK280" s="1"/>
  <c r="AB313" i="14"/>
  <c r="BH283" i="15" s="1"/>
  <c r="BO283" s="1"/>
  <c r="Z313" i="14"/>
  <c r="BF283" i="15"/>
  <c r="BK283" s="1"/>
  <c r="AB315" i="14"/>
  <c r="BH285" i="15"/>
  <c r="BO285"/>
  <c r="Z315" i="14"/>
  <c r="BF285" i="15" s="1"/>
  <c r="BK285" s="1"/>
  <c r="AB319" i="14"/>
  <c r="BH289" i="15" s="1"/>
  <c r="BO289" s="1"/>
  <c r="Z319" i="14"/>
  <c r="BF289" i="15"/>
  <c r="BK289" s="1"/>
  <c r="AB326" i="14"/>
  <c r="BH296" i="15"/>
  <c r="BO296"/>
  <c r="Z326" i="14"/>
  <c r="BF296" i="15" s="1"/>
  <c r="BK296" s="1"/>
  <c r="AB329" i="14"/>
  <c r="BH299" i="15" s="1"/>
  <c r="BO299" s="1"/>
  <c r="Z329" i="14"/>
  <c r="BF299" i="15"/>
  <c r="BK299" s="1"/>
  <c r="AB331" i="14"/>
  <c r="BH301" i="15"/>
  <c r="BO301"/>
  <c r="Z331" i="14"/>
  <c r="BF301" i="15" s="1"/>
  <c r="BK301" s="1"/>
  <c r="AB335" i="14"/>
  <c r="BH305" i="15" s="1"/>
  <c r="BO305" s="1"/>
  <c r="Z335" i="14"/>
  <c r="BF305" i="15"/>
  <c r="BK305" s="1"/>
  <c r="AH84" i="14"/>
  <c r="CD54" i="15"/>
  <c r="CJ54"/>
  <c r="AF84" i="14"/>
  <c r="CB54" i="15" s="1"/>
  <c r="CF54" s="1"/>
  <c r="AH86" i="14"/>
  <c r="CD56" i="15" s="1"/>
  <c r="CJ56" s="1"/>
  <c r="AF86" i="14"/>
  <c r="CB56" i="15"/>
  <c r="CF56" s="1"/>
  <c r="AF93" i="14"/>
  <c r="CB63" i="15"/>
  <c r="CF63"/>
  <c r="AH93" i="14"/>
  <c r="CD63" i="15" s="1"/>
  <c r="CJ63" s="1"/>
  <c r="AH100" i="14"/>
  <c r="CD70" i="15" s="1"/>
  <c r="CJ70" s="1"/>
  <c r="AF100" i="14"/>
  <c r="CB70" i="15"/>
  <c r="CF70" s="1"/>
  <c r="AH102" i="14"/>
  <c r="CD72" i="15"/>
  <c r="CJ72"/>
  <c r="AF102" i="14"/>
  <c r="CB72" i="15" s="1"/>
  <c r="CF72" s="1"/>
  <c r="AF109" i="14"/>
  <c r="CB79" i="15" s="1"/>
  <c r="CF79" s="1"/>
  <c r="AH109" i="14"/>
  <c r="CD79" i="15"/>
  <c r="CJ79" s="1"/>
  <c r="AH116" i="14"/>
  <c r="CD86" i="15"/>
  <c r="CJ86"/>
  <c r="AF116" i="14"/>
  <c r="CB86" i="15" s="1"/>
  <c r="CF86" s="1"/>
  <c r="AH118" i="14"/>
  <c r="CD88" i="15" s="1"/>
  <c r="CJ88" s="1"/>
  <c r="AF118" i="14"/>
  <c r="CB88" i="15"/>
  <c r="CF88" s="1"/>
  <c r="AF125" i="14"/>
  <c r="CB95" i="15"/>
  <c r="CF95"/>
  <c r="AH125" i="14"/>
  <c r="CD95" i="15" s="1"/>
  <c r="CJ95" s="1"/>
  <c r="AH132" i="14"/>
  <c r="CD102" i="15" s="1"/>
  <c r="CJ102" s="1"/>
  <c r="AF132" i="14"/>
  <c r="CB102" i="15"/>
  <c r="CF102" s="1"/>
  <c r="AH134" i="14"/>
  <c r="CD104" i="15"/>
  <c r="CJ104"/>
  <c r="AF134" i="14"/>
  <c r="CB104" i="15" s="1"/>
  <c r="CF104" s="1"/>
  <c r="AF141" i="14"/>
  <c r="CB111" i="15" s="1"/>
  <c r="CF111" s="1"/>
  <c r="AH141" i="14"/>
  <c r="CD111" i="15"/>
  <c r="CJ111" s="1"/>
  <c r="AF143" i="14"/>
  <c r="CB113" i="15"/>
  <c r="CF113"/>
  <c r="AH143" i="14"/>
  <c r="CD113" i="15" s="1"/>
  <c r="CJ113" s="1"/>
  <c r="AF145" i="14"/>
  <c r="CB115" i="15" s="1"/>
  <c r="CF115" s="1"/>
  <c r="AH145" i="14"/>
  <c r="CD115" i="15"/>
  <c r="CJ115" s="1"/>
  <c r="AF147" i="14"/>
  <c r="CB117" i="15"/>
  <c r="CF117"/>
  <c r="AH147" i="14"/>
  <c r="CD117" i="15" s="1"/>
  <c r="CJ117" s="1"/>
  <c r="AF149" i="14"/>
  <c r="CB119" i="15" s="1"/>
  <c r="CF119" s="1"/>
  <c r="AH149" i="14"/>
  <c r="CD119" i="15"/>
  <c r="CJ119" s="1"/>
  <c r="AB269" i="14"/>
  <c r="BH239" i="15"/>
  <c r="BO239"/>
  <c r="Z269" i="14"/>
  <c r="BF239" i="15" s="1"/>
  <c r="BK239" s="1"/>
  <c r="AB276" i="14"/>
  <c r="BH246" i="15" s="1"/>
  <c r="BO246" s="1"/>
  <c r="Z276" i="14"/>
  <c r="BF246" i="15"/>
  <c r="BK246" s="1"/>
  <c r="AB280" i="14"/>
  <c r="BH250" i="15"/>
  <c r="BO250"/>
  <c r="Z280" i="14"/>
  <c r="BF250" i="15" s="1"/>
  <c r="BK250" s="1"/>
  <c r="AB282" i="14"/>
  <c r="BH252" i="15" s="1"/>
  <c r="BO252" s="1"/>
  <c r="Z282" i="14"/>
  <c r="BF252" i="15"/>
  <c r="BK252" s="1"/>
  <c r="AB285" i="14"/>
  <c r="BH255" i="15"/>
  <c r="BO255"/>
  <c r="Z285" i="14"/>
  <c r="BF255" i="15" s="1"/>
  <c r="BK255" s="1"/>
  <c r="AB292" i="14"/>
  <c r="BH262" i="15" s="1"/>
  <c r="BO262" s="1"/>
  <c r="Z292" i="14"/>
  <c r="BF262" i="15"/>
  <c r="BK262" s="1"/>
  <c r="AB296" i="14"/>
  <c r="BH266" i="15"/>
  <c r="BO266"/>
  <c r="Z296" i="14"/>
  <c r="BF266" i="15" s="1"/>
  <c r="BK266" s="1"/>
  <c r="AB298" i="14"/>
  <c r="BH268" i="15" s="1"/>
  <c r="BO268" s="1"/>
  <c r="Z298" i="14"/>
  <c r="BF268" i="15"/>
  <c r="BK268" s="1"/>
  <c r="AB301" i="14"/>
  <c r="BH271" i="15"/>
  <c r="BO271"/>
  <c r="Z301" i="14"/>
  <c r="BF271" i="15" s="1"/>
  <c r="BK271" s="1"/>
  <c r="AB308" i="14"/>
  <c r="BH278" i="15" s="1"/>
  <c r="BO278" s="1"/>
  <c r="Z308" i="14"/>
  <c r="BF278" i="15"/>
  <c r="BK278" s="1"/>
  <c r="AB312" i="14"/>
  <c r="BH282" i="15"/>
  <c r="BO282"/>
  <c r="Z312" i="14"/>
  <c r="BF282" i="15" s="1"/>
  <c r="BK282" s="1"/>
  <c r="AB314" i="14"/>
  <c r="BH284" i="15" s="1"/>
  <c r="BO284" s="1"/>
  <c r="Z314" i="14"/>
  <c r="BF284" i="15"/>
  <c r="BK284" s="1"/>
  <c r="AB317" i="14"/>
  <c r="BH287" i="15"/>
  <c r="BO287"/>
  <c r="Z317" i="14"/>
  <c r="BF287" i="15" s="1"/>
  <c r="BK287" s="1"/>
  <c r="AB324" i="14"/>
  <c r="BH294" i="15" s="1"/>
  <c r="BO294" s="1"/>
  <c r="Z324" i="14"/>
  <c r="BF294" i="15"/>
  <c r="BK294" s="1"/>
  <c r="AB328" i="14"/>
  <c r="BH298" i="15"/>
  <c r="BO298"/>
  <c r="Z328" i="14"/>
  <c r="BF298" i="15" s="1"/>
  <c r="BK298" s="1"/>
  <c r="AB330" i="14"/>
  <c r="BH300" i="15" s="1"/>
  <c r="BO300" s="1"/>
  <c r="Z330" i="14"/>
  <c r="BF300" i="15"/>
  <c r="BK300" s="1"/>
  <c r="AB333" i="14"/>
  <c r="BH303" i="15"/>
  <c r="BO303"/>
  <c r="Z333" i="14"/>
  <c r="BF303" i="15" s="1"/>
  <c r="BK303" s="1"/>
  <c r="AF85" i="14"/>
  <c r="CB55" i="15" s="1"/>
  <c r="CF55" s="1"/>
  <c r="AH85" i="14"/>
  <c r="CD55" i="15"/>
  <c r="CJ55" s="1"/>
  <c r="AH92" i="14"/>
  <c r="CD62" i="15"/>
  <c r="CJ62"/>
  <c r="AF92" i="14"/>
  <c r="CB62" i="15" s="1"/>
  <c r="CF62" s="1"/>
  <c r="AH94" i="14"/>
  <c r="CD64" i="15" s="1"/>
  <c r="CJ64" s="1"/>
  <c r="AF94" i="14"/>
  <c r="CB64" i="15"/>
  <c r="CF64" s="1"/>
  <c r="AF101" i="14"/>
  <c r="CB71" i="15"/>
  <c r="CF71"/>
  <c r="AH101" i="14"/>
  <c r="CD71" i="15" s="1"/>
  <c r="CJ71" s="1"/>
  <c r="AH108" i="14"/>
  <c r="CD78" i="15" s="1"/>
  <c r="CJ78" s="1"/>
  <c r="AF108" i="14"/>
  <c r="CB78" i="15"/>
  <c r="CF78" s="1"/>
  <c r="AH110" i="14"/>
  <c r="CD80" i="15"/>
  <c r="CJ80"/>
  <c r="AF110" i="14"/>
  <c r="CB80" i="15" s="1"/>
  <c r="CF80" s="1"/>
  <c r="AF117" i="14"/>
  <c r="CB87" i="15" s="1"/>
  <c r="CF87" s="1"/>
  <c r="AH117" i="14"/>
  <c r="CD87" i="15"/>
  <c r="CJ87" s="1"/>
  <c r="AH124" i="14"/>
  <c r="CD94" i="15"/>
  <c r="CJ94"/>
  <c r="AF124" i="14"/>
  <c r="CB94" i="15" s="1"/>
  <c r="CF94" s="1"/>
  <c r="AH126" i="14"/>
  <c r="CD96" i="15" s="1"/>
  <c r="CJ96" s="1"/>
  <c r="AF126" i="14"/>
  <c r="CB96" i="15"/>
  <c r="CF96" s="1"/>
  <c r="AF133" i="14"/>
  <c r="CB103" i="15"/>
  <c r="CF103"/>
  <c r="AH133" i="14"/>
  <c r="CD103" i="15" s="1"/>
  <c r="CJ103" s="1"/>
  <c r="AH140" i="14"/>
  <c r="CD110" i="15" s="1"/>
  <c r="CJ110" s="1"/>
  <c r="AF140" i="14"/>
  <c r="CB110" i="15"/>
  <c r="CF110" s="1"/>
  <c r="AH142" i="14"/>
  <c r="CD112" i="15"/>
  <c r="CJ112"/>
  <c r="AF142" i="14"/>
  <c r="CB112" i="15" s="1"/>
  <c r="CF112" s="1"/>
  <c r="AH144" i="14"/>
  <c r="CD114" i="15" s="1"/>
  <c r="CJ114" s="1"/>
  <c r="AF144" i="14"/>
  <c r="CB114" i="15"/>
  <c r="CF114" s="1"/>
  <c r="AH146" i="14"/>
  <c r="CD116" i="15"/>
  <c r="CJ116"/>
  <c r="AF146" i="14"/>
  <c r="CB116" i="15" s="1"/>
  <c r="CF116" s="1"/>
  <c r="AH148" i="14"/>
  <c r="CD118" i="15" s="1"/>
  <c r="CJ118" s="1"/>
  <c r="AF148" i="14"/>
  <c r="CB118" i="15"/>
  <c r="CF118" s="1"/>
  <c r="AH150" i="14"/>
  <c r="CD120" i="15"/>
  <c r="CJ120"/>
  <c r="AF150" i="14"/>
  <c r="CB120" i="15" s="1"/>
  <c r="CF120" s="1"/>
  <c r="AH152" i="14"/>
  <c r="CD122" i="15" s="1"/>
  <c r="CJ122" s="1"/>
  <c r="AF152" i="14"/>
  <c r="CB122" i="15"/>
  <c r="CF122" s="1"/>
  <c r="AH154" i="14"/>
  <c r="CD124" i="15"/>
  <c r="CJ124"/>
  <c r="AF154" i="14"/>
  <c r="CB124" i="15" s="1"/>
  <c r="CF124" s="1"/>
  <c r="AH156" i="14"/>
  <c r="CD126" i="15" s="1"/>
  <c r="CJ126" s="1"/>
  <c r="AF156" i="14"/>
  <c r="CB126" i="15"/>
  <c r="CF126" s="1"/>
  <c r="AH158" i="14"/>
  <c r="CD128" i="15"/>
  <c r="CJ128"/>
  <c r="AF158" i="14"/>
  <c r="CB128" i="15" s="1"/>
  <c r="CF128" s="1"/>
  <c r="AH160" i="14"/>
  <c r="CD130" i="15" s="1"/>
  <c r="CJ130" s="1"/>
  <c r="AF160" i="14"/>
  <c r="CB130" i="15"/>
  <c r="CF130" s="1"/>
  <c r="AH162" i="14"/>
  <c r="CD132" i="15"/>
  <c r="CJ132"/>
  <c r="AF162" i="14"/>
  <c r="CB132" i="15" s="1"/>
  <c r="CF132" s="1"/>
  <c r="AH164" i="14"/>
  <c r="CD134" i="15" s="1"/>
  <c r="CJ134" s="1"/>
  <c r="AF164" i="14"/>
  <c r="CB134" i="15"/>
  <c r="CF134" s="1"/>
  <c r="AH166" i="14"/>
  <c r="CD136" i="15"/>
  <c r="CJ136"/>
  <c r="AF166" i="14"/>
  <c r="CB136" i="15" s="1"/>
  <c r="CF136" s="1"/>
  <c r="AH168" i="14"/>
  <c r="CD138" i="15" s="1"/>
  <c r="CJ138" s="1"/>
  <c r="AF168" i="14"/>
  <c r="CB138" i="15"/>
  <c r="CF138" s="1"/>
  <c r="AH170" i="14"/>
  <c r="CD140" i="15"/>
  <c r="CJ140"/>
  <c r="AF170" i="14"/>
  <c r="CB140" i="15" s="1"/>
  <c r="CF140" s="1"/>
  <c r="AH172" i="14"/>
  <c r="CD142" i="15" s="1"/>
  <c r="CJ142" s="1"/>
  <c r="AF172" i="14"/>
  <c r="CB142" i="15"/>
  <c r="CF142" s="1"/>
  <c r="AH174" i="14"/>
  <c r="CD144" i="15"/>
  <c r="CJ144"/>
  <c r="AF174" i="14"/>
  <c r="CB144" i="15" s="1"/>
  <c r="CF144" s="1"/>
  <c r="AH176" i="14"/>
  <c r="CD146" i="15" s="1"/>
  <c r="CJ146" s="1"/>
  <c r="AF176" i="14"/>
  <c r="CB146" i="15"/>
  <c r="CF146" s="1"/>
  <c r="AH178" i="14"/>
  <c r="CD148" i="15"/>
  <c r="CJ148"/>
  <c r="AF178" i="14"/>
  <c r="CB148" i="15" s="1"/>
  <c r="CF148" s="1"/>
  <c r="AH180" i="14"/>
  <c r="CD150" i="15" s="1"/>
  <c r="CJ150" s="1"/>
  <c r="AF180" i="14"/>
  <c r="CB150" i="15"/>
  <c r="CF150" s="1"/>
  <c r="AH182" i="14"/>
  <c r="CD152" i="15"/>
  <c r="CJ152"/>
  <c r="AF182" i="14"/>
  <c r="CB152" i="15" s="1"/>
  <c r="CF152" s="1"/>
  <c r="AH184" i="14"/>
  <c r="CD154" i="15" s="1"/>
  <c r="CJ154" s="1"/>
  <c r="AF184" i="14"/>
  <c r="CB154" i="15"/>
  <c r="CF154" s="1"/>
  <c r="AH186" i="14"/>
  <c r="CD156" i="15"/>
  <c r="CJ156"/>
  <c r="AF186" i="14"/>
  <c r="CB156" i="15" s="1"/>
  <c r="CF156" s="1"/>
  <c r="AH188" i="14"/>
  <c r="CD158" i="15" s="1"/>
  <c r="CJ158" s="1"/>
  <c r="AF188" i="14"/>
  <c r="CB158" i="15"/>
  <c r="CF158" s="1"/>
  <c r="AH190" i="14"/>
  <c r="CD160" i="15"/>
  <c r="CJ160"/>
  <c r="AF190" i="14"/>
  <c r="CB160" i="15" s="1"/>
  <c r="CF160" s="1"/>
  <c r="AH192" i="14"/>
  <c r="CD162" i="15" s="1"/>
  <c r="CJ162" s="1"/>
  <c r="AF192" i="14"/>
  <c r="CB162" i="15"/>
  <c r="CF162" s="1"/>
  <c r="AH194" i="14"/>
  <c r="CD164" i="15"/>
  <c r="CJ164"/>
  <c r="AF194" i="14"/>
  <c r="CB164" i="15" s="1"/>
  <c r="CF164" s="1"/>
  <c r="AH196" i="14"/>
  <c r="CD166" i="15" s="1"/>
  <c r="CJ166" s="1"/>
  <c r="AF196" i="14"/>
  <c r="CB166" i="15"/>
  <c r="CF166" s="1"/>
  <c r="AH198" i="14"/>
  <c r="CD168" i="15"/>
  <c r="CJ168"/>
  <c r="AF198" i="14"/>
  <c r="CB168" i="15" s="1"/>
  <c r="CF168" s="1"/>
  <c r="AH200" i="14"/>
  <c r="CD170" i="15" s="1"/>
  <c r="CJ170" s="1"/>
  <c r="AF200" i="14"/>
  <c r="CB170" i="15"/>
  <c r="CF170" s="1"/>
  <c r="AH202" i="14"/>
  <c r="CD172" i="15"/>
  <c r="CJ172"/>
  <c r="AF202" i="14"/>
  <c r="CB172" i="15" s="1"/>
  <c r="CF172" s="1"/>
  <c r="AH204" i="14"/>
  <c r="CD174" i="15" s="1"/>
  <c r="CJ174" s="1"/>
  <c r="AF204" i="14"/>
  <c r="CB174" i="15"/>
  <c r="CF174" s="1"/>
  <c r="AH206" i="14"/>
  <c r="CD176" i="15"/>
  <c r="CJ176"/>
  <c r="AF206" i="14"/>
  <c r="CB176" i="15" s="1"/>
  <c r="CF176" s="1"/>
  <c r="AH208" i="14"/>
  <c r="CD178" i="15" s="1"/>
  <c r="CJ178" s="1"/>
  <c r="AF208" i="14"/>
  <c r="CB178" i="15"/>
  <c r="CF178" s="1"/>
  <c r="AH210" i="14"/>
  <c r="CD180" i="15"/>
  <c r="CJ180"/>
  <c r="AF210" i="14"/>
  <c r="CB180" i="15" s="1"/>
  <c r="CF180" s="1"/>
  <c r="AH212" i="14"/>
  <c r="CD182" i="15" s="1"/>
  <c r="CJ182" s="1"/>
  <c r="AF212" i="14"/>
  <c r="CB182" i="15"/>
  <c r="CF182" s="1"/>
  <c r="AF215" i="14"/>
  <c r="CB185" i="15"/>
  <c r="CF185"/>
  <c r="AH215" i="14"/>
  <c r="CD185" i="15" s="1"/>
  <c r="CJ185" s="1"/>
  <c r="AH228" i="14"/>
  <c r="CD198" i="15" s="1"/>
  <c r="CJ198" s="1"/>
  <c r="AF228" i="14"/>
  <c r="CB198" i="15"/>
  <c r="CF198" s="1"/>
  <c r="AH244" i="14"/>
  <c r="CD214" i="15"/>
  <c r="CJ214"/>
  <c r="AF244" i="14"/>
  <c r="CB214" i="15" s="1"/>
  <c r="CF214" s="1"/>
  <c r="AH260" i="14"/>
  <c r="CD230" i="15" s="1"/>
  <c r="CJ230" s="1"/>
  <c r="AF260" i="14"/>
  <c r="CB230" i="15"/>
  <c r="CF230" s="1"/>
  <c r="AH276" i="14"/>
  <c r="CD246" i="15"/>
  <c r="CJ246"/>
  <c r="AF276" i="14"/>
  <c r="CB246" i="15" s="1"/>
  <c r="CF246" s="1"/>
  <c r="AH292" i="14"/>
  <c r="CD262" i="15" s="1"/>
  <c r="CJ262" s="1"/>
  <c r="AF292" i="14"/>
  <c r="CB262" i="15"/>
  <c r="CF262" s="1"/>
  <c r="AH308" i="14"/>
  <c r="CD278" i="15"/>
  <c r="CJ278"/>
  <c r="AF308" i="14"/>
  <c r="CB278" i="15" s="1"/>
  <c r="CF278" s="1"/>
  <c r="AH324" i="14"/>
  <c r="CD294" i="15" s="1"/>
  <c r="CJ294" s="1"/>
  <c r="AF324" i="14"/>
  <c r="CB294" i="15"/>
  <c r="CF294" s="1"/>
  <c r="AH104" i="14"/>
  <c r="CD74" i="15"/>
  <c r="CJ74"/>
  <c r="AF104" i="14"/>
  <c r="CB74" i="15" s="1"/>
  <c r="CF74" s="1"/>
  <c r="AF107" i="14"/>
  <c r="CB77" i="15" s="1"/>
  <c r="CF77" s="1"/>
  <c r="AH107" i="14"/>
  <c r="CD77" i="15"/>
  <c r="CJ77" s="1"/>
  <c r="AF113" i="14"/>
  <c r="CB83" i="15"/>
  <c r="CF83"/>
  <c r="AH113" i="14"/>
  <c r="CD83" i="15" s="1"/>
  <c r="CJ83" s="1"/>
  <c r="AH120" i="14"/>
  <c r="CD90" i="15" s="1"/>
  <c r="CJ90" s="1"/>
  <c r="AF120" i="14"/>
  <c r="CB90" i="15"/>
  <c r="CF90" s="1"/>
  <c r="AF123" i="14"/>
  <c r="CB93" i="15"/>
  <c r="CF93"/>
  <c r="AH123" i="14"/>
  <c r="CD93" i="15" s="1"/>
  <c r="CJ93" s="1"/>
  <c r="AF129" i="14"/>
  <c r="CB99" i="15" s="1"/>
  <c r="CF99" s="1"/>
  <c r="AH129" i="14"/>
  <c r="CD99" i="15"/>
  <c r="CJ99" s="1"/>
  <c r="AH136" i="14"/>
  <c r="CD106" i="15"/>
  <c r="CJ106"/>
  <c r="AF136" i="14"/>
  <c r="CB106" i="15" s="1"/>
  <c r="CF106" s="1"/>
  <c r="AF139" i="14"/>
  <c r="CB109" i="15" s="1"/>
  <c r="CF109" s="1"/>
  <c r="AH139" i="14"/>
  <c r="CD109" i="15"/>
  <c r="CJ109" s="1"/>
  <c r="AF216" i="14"/>
  <c r="CB186" i="15"/>
  <c r="CF186"/>
  <c r="AH216" i="14"/>
  <c r="CD186" i="15" s="1"/>
  <c r="CJ186" s="1"/>
  <c r="AF220" i="14"/>
  <c r="CB190" i="15" s="1"/>
  <c r="CF190" s="1"/>
  <c r="AH220" i="14"/>
  <c r="CD190" i="15"/>
  <c r="CJ190" s="1"/>
  <c r="AF236" i="14"/>
  <c r="CB206" i="15"/>
  <c r="CF206"/>
  <c r="AH236" i="14"/>
  <c r="CD206" i="15" s="1"/>
  <c r="CJ206" s="1"/>
  <c r="AF252" i="14"/>
  <c r="CB222" i="15" s="1"/>
  <c r="CF222" s="1"/>
  <c r="AH252" i="14"/>
  <c r="CD222" i="15"/>
  <c r="CJ222" s="1"/>
  <c r="AF268" i="14"/>
  <c r="CB238" i="15"/>
  <c r="CF238"/>
  <c r="AH268" i="14"/>
  <c r="CD238" i="15" s="1"/>
  <c r="CJ238" s="1"/>
  <c r="AF284" i="14"/>
  <c r="CB254" i="15" s="1"/>
  <c r="CF254" s="1"/>
  <c r="AH284" i="14"/>
  <c r="CD254" i="15"/>
  <c r="CJ254" s="1"/>
  <c r="AF300" i="14"/>
  <c r="CB270" i="15"/>
  <c r="CF270"/>
  <c r="AH300" i="14"/>
  <c r="CD270" i="15" s="1"/>
  <c r="CJ270" s="1"/>
  <c r="AF316" i="14"/>
  <c r="CB286" i="15" s="1"/>
  <c r="CF286" s="1"/>
  <c r="AH316" i="14"/>
  <c r="CD286" i="15"/>
  <c r="CJ286" s="1"/>
  <c r="AF332" i="14"/>
  <c r="CB302" i="15"/>
  <c r="CF302"/>
  <c r="AH332" i="14"/>
  <c r="CD302" i="15" s="1"/>
  <c r="CJ302" s="1"/>
  <c r="AI100" i="14"/>
  <c r="CE70" i="15" s="1"/>
  <c r="CL70" s="1"/>
  <c r="AG100" i="14"/>
  <c r="CC70" i="15"/>
  <c r="CH70" s="1"/>
  <c r="AB96" i="14"/>
  <c r="BH66" i="15"/>
  <c r="BO66"/>
  <c r="Z96" i="14"/>
  <c r="BF66" i="15" s="1"/>
  <c r="BK66" s="1"/>
  <c r="Z93" i="14"/>
  <c r="BF63" i="15" s="1"/>
  <c r="BK63" s="1"/>
  <c r="AB93" i="14"/>
  <c r="BH63" i="15"/>
  <c r="BO63" s="1"/>
  <c r="Z92" i="14"/>
  <c r="BF62" i="15"/>
  <c r="BK62"/>
  <c r="AB92" i="14"/>
  <c r="BH62" i="15" s="1"/>
  <c r="BO62" s="1"/>
  <c r="AF88" i="14"/>
  <c r="CB58" i="15" s="1"/>
  <c r="CF58" s="1"/>
  <c r="AH88" i="14"/>
  <c r="CD58" i="15"/>
  <c r="CJ58" s="1"/>
  <c r="Z87" i="14"/>
  <c r="BF57" i="15"/>
  <c r="BK57"/>
  <c r="AB87" i="14"/>
  <c r="BH57" i="15" s="1"/>
  <c r="BO57" s="1"/>
  <c r="AI84" i="14"/>
  <c r="CE54" i="15" s="1"/>
  <c r="CL54" s="1"/>
  <c r="AG84" i="14"/>
  <c r="CC54" i="15"/>
  <c r="CH54" s="1"/>
  <c r="AH79" i="14"/>
  <c r="CD49" i="15"/>
  <c r="CJ49"/>
  <c r="AF79" i="14"/>
  <c r="CB49" i="15" s="1"/>
  <c r="CF49" s="1"/>
  <c r="AI75" i="14"/>
  <c r="CE45" i="15" s="1"/>
  <c r="CL45" s="1"/>
  <c r="AG75" i="14"/>
  <c r="CC45" i="15"/>
  <c r="CH45" s="1"/>
  <c r="AI74" i="14"/>
  <c r="CE44" i="15" s="1"/>
  <c r="CL44" s="1"/>
  <c r="AG74" i="14"/>
  <c r="CC44" i="15" s="1"/>
  <c r="CH44" s="1"/>
  <c r="AI73" i="14"/>
  <c r="CE43" i="15" s="1"/>
  <c r="CL43" s="1"/>
  <c r="AG73" i="14"/>
  <c r="CC43" i="15"/>
  <c r="CH43" s="1"/>
  <c r="AI72" i="14"/>
  <c r="CE42" i="15"/>
  <c r="CL42"/>
  <c r="AG72" i="14"/>
  <c r="CC42" i="15" s="1"/>
  <c r="CH42" s="1"/>
  <c r="AI71" i="14"/>
  <c r="CE41" i="15" s="1"/>
  <c r="CL41" s="1"/>
  <c r="AG71" i="14"/>
  <c r="CC41" i="15"/>
  <c r="CH41" s="1"/>
  <c r="AI70" i="14"/>
  <c r="CE40" i="15"/>
  <c r="CL40"/>
  <c r="AG70" i="14"/>
  <c r="CC40" i="15" s="1"/>
  <c r="CH40" s="1"/>
  <c r="AI69" i="14"/>
  <c r="CE39" i="15" s="1"/>
  <c r="CL39" s="1"/>
  <c r="AG69" i="14"/>
  <c r="CC39" i="15"/>
  <c r="CH39" s="1"/>
  <c r="AI68" i="14"/>
  <c r="CE38" i="15"/>
  <c r="CL38"/>
  <c r="AG68" i="14"/>
  <c r="CC38" i="15" s="1"/>
  <c r="CH38" s="1"/>
  <c r="AI67" i="14"/>
  <c r="CE37" i="15" s="1"/>
  <c r="CL37" s="1"/>
  <c r="AG67" i="14"/>
  <c r="CC37" i="15"/>
  <c r="CH37" s="1"/>
  <c r="AI66" i="14"/>
  <c r="CE36" i="15" s="1"/>
  <c r="CL36" s="1"/>
  <c r="AG66" i="14"/>
  <c r="CC36" i="15" s="1"/>
  <c r="CH36" s="1"/>
  <c r="AI65" i="14"/>
  <c r="CE35" i="15" s="1"/>
  <c r="CL35" s="1"/>
  <c r="AG65" i="14"/>
  <c r="CC35" i="15"/>
  <c r="CH35" s="1"/>
  <c r="AI64" i="14"/>
  <c r="CE34" i="15"/>
  <c r="CL34"/>
  <c r="AG64" i="14"/>
  <c r="CC34" i="15" s="1"/>
  <c r="CH34" s="1"/>
  <c r="AI63" i="14"/>
  <c r="CE33" i="15" s="1"/>
  <c r="CL33" s="1"/>
  <c r="AG63" i="14"/>
  <c r="CC33" i="15"/>
  <c r="CH33" s="1"/>
  <c r="AI62" i="14"/>
  <c r="CE32" i="15"/>
  <c r="CL32"/>
  <c r="AG62" i="14"/>
  <c r="CC32" i="15" s="1"/>
  <c r="CH32" s="1"/>
  <c r="AI61" i="14"/>
  <c r="CE31" i="15" s="1"/>
  <c r="CL31" s="1"/>
  <c r="AG61" i="14"/>
  <c r="CC31" i="15"/>
  <c r="CH31" s="1"/>
  <c r="AI60" i="14"/>
  <c r="CE30" i="15" s="1"/>
  <c r="CL30" s="1"/>
  <c r="AG60" i="14"/>
  <c r="CC30" i="15" s="1"/>
  <c r="CH30" s="1"/>
  <c r="AI59" i="14"/>
  <c r="CE29" i="15" s="1"/>
  <c r="CL29" s="1"/>
  <c r="AG59" i="14"/>
  <c r="CC29" i="15"/>
  <c r="CH29" s="1"/>
  <c r="AI58" i="14"/>
  <c r="CE28" i="15" s="1"/>
  <c r="CL28" s="1"/>
  <c r="AG58" i="14"/>
  <c r="CC28" i="15" s="1"/>
  <c r="CH28" s="1"/>
  <c r="AI57" i="14"/>
  <c r="CE27" i="15" s="1"/>
  <c r="CL27" s="1"/>
  <c r="AG57" i="14"/>
  <c r="CC27" i="15"/>
  <c r="CH27" s="1"/>
  <c r="AI56" i="14"/>
  <c r="CE26" i="15"/>
  <c r="CL26"/>
  <c r="AG56" i="14"/>
  <c r="CC26" i="15" s="1"/>
  <c r="CH26" s="1"/>
  <c r="AI55" i="14"/>
  <c r="CE25" i="15" s="1"/>
  <c r="CL25" s="1"/>
  <c r="AG55" i="14"/>
  <c r="CC25" i="15"/>
  <c r="CH25" s="1"/>
  <c r="AI54" i="14"/>
  <c r="CE24" i="15"/>
  <c r="CL24"/>
  <c r="AG54" i="14"/>
  <c r="CC24" i="15" s="1"/>
  <c r="CH24" s="1"/>
  <c r="AI53" i="14"/>
  <c r="CE23" i="15" s="1"/>
  <c r="CL23" s="1"/>
  <c r="AG53" i="14"/>
  <c r="CC23" i="15"/>
  <c r="CH23" s="1"/>
  <c r="AI52" i="14"/>
  <c r="CE22" i="15"/>
  <c r="CL22"/>
  <c r="AG52" i="14"/>
  <c r="CC22" i="15" s="1"/>
  <c r="CH22" s="1"/>
  <c r="AI51" i="14"/>
  <c r="CE21" i="15" s="1"/>
  <c r="CL21" s="1"/>
  <c r="AG51" i="14"/>
  <c r="CC21" i="15"/>
  <c r="CH21" s="1"/>
  <c r="AI50" i="14"/>
  <c r="CE20" i="15"/>
  <c r="CL20"/>
  <c r="AG50" i="14"/>
  <c r="CC20" i="15" s="1"/>
  <c r="CH20" s="1"/>
  <c r="AI49" i="14"/>
  <c r="CE19" i="15" s="1"/>
  <c r="CL19" s="1"/>
  <c r="AG49" i="14"/>
  <c r="CC19" i="15"/>
  <c r="CH19" s="1"/>
  <c r="AI48" i="14"/>
  <c r="CE18" i="15"/>
  <c r="CL18"/>
  <c r="AG48" i="14"/>
  <c r="CC18" i="15" s="1"/>
  <c r="CH18" s="1"/>
  <c r="AI47" i="14"/>
  <c r="CE17" i="15" s="1"/>
  <c r="CL17" s="1"/>
  <c r="AG47" i="14"/>
  <c r="CC17" i="15"/>
  <c r="CH17" s="1"/>
  <c r="AI46" i="14"/>
  <c r="CE16" i="15" s="1"/>
  <c r="CL16" s="1"/>
  <c r="AG46" i="14"/>
  <c r="CC16" i="15" s="1"/>
  <c r="CH16" s="1"/>
  <c r="AI45" i="14"/>
  <c r="CE15" i="15" s="1"/>
  <c r="CL15" s="1"/>
  <c r="AG45" i="14"/>
  <c r="CC15" i="15"/>
  <c r="CH15" s="1"/>
  <c r="AI44" i="14"/>
  <c r="CE14" i="15" s="1"/>
  <c r="CL14" s="1"/>
  <c r="AG44" i="14"/>
  <c r="CC14" i="15" s="1"/>
  <c r="CH14" s="1"/>
  <c r="AI43" i="14"/>
  <c r="CE13" i="15" s="1"/>
  <c r="CL13" s="1"/>
  <c r="AG43" i="14"/>
  <c r="CC13" i="15"/>
  <c r="CH13" s="1"/>
  <c r="AI42" i="14"/>
  <c r="CE12" i="15"/>
  <c r="CL12"/>
  <c r="AG42" i="14"/>
  <c r="CC12" i="15" s="1"/>
  <c r="CH12" s="1"/>
  <c r="AI41" i="14"/>
  <c r="CE11" i="15" s="1"/>
  <c r="CL11" s="1"/>
  <c r="AG41" i="14"/>
  <c r="CC11" i="15"/>
  <c r="CH11" s="1"/>
  <c r="AI40" i="14"/>
  <c r="CE10" i="15" s="1"/>
  <c r="CL10" s="1"/>
  <c r="AG40" i="14"/>
  <c r="CC10" i="15" s="1"/>
  <c r="CH10" s="1"/>
  <c r="AI39" i="14"/>
  <c r="CE9" i="15" s="1"/>
  <c r="CL9" s="1"/>
  <c r="AG39" i="14"/>
  <c r="CC9" i="15"/>
  <c r="CH9" s="1"/>
  <c r="AI38" i="14"/>
  <c r="CE8" i="15" s="1"/>
  <c r="CL8" s="1"/>
  <c r="AG38" i="14"/>
  <c r="CC8" i="15" s="1"/>
  <c r="CH8" s="1"/>
  <c r="AI37" i="14"/>
  <c r="CE7" i="15" s="1"/>
  <c r="CL7" s="1"/>
  <c r="AG37" i="14"/>
  <c r="CC7" i="15"/>
  <c r="CH7" s="1"/>
  <c r="AI36" i="14"/>
  <c r="CE6" i="15"/>
  <c r="CL6"/>
  <c r="AG36" i="14"/>
  <c r="CC6" i="15" s="1"/>
  <c r="CH6" s="1"/>
  <c r="AI35" i="14"/>
  <c r="CE5" i="15" s="1"/>
  <c r="CL5" s="1"/>
  <c r="AG35" i="14"/>
  <c r="CC5" i="15"/>
  <c r="CH5" s="1"/>
  <c r="R336" i="14"/>
  <c r="AG306" i="15"/>
  <c r="AK306"/>
  <c r="T336" i="14"/>
  <c r="AI306" i="15" s="1"/>
  <c r="AO306" s="1"/>
  <c r="U332" i="14"/>
  <c r="AJ302" i="15" s="1"/>
  <c r="AQ302" s="1"/>
  <c r="S332" i="14"/>
  <c r="AH302" i="15"/>
  <c r="AM302" s="1"/>
  <c r="R328" i="14"/>
  <c r="AG298" i="15"/>
  <c r="AK298"/>
  <c r="T328" i="14"/>
  <c r="AI298" i="15" s="1"/>
  <c r="AO298" s="1"/>
  <c r="U324" i="14"/>
  <c r="AJ294" i="15" s="1"/>
  <c r="AQ294" s="1"/>
  <c r="S324" i="14"/>
  <c r="AH294" i="15"/>
  <c r="AM294" s="1"/>
  <c r="R320" i="14"/>
  <c r="AG290" i="15"/>
  <c r="AK290"/>
  <c r="T320" i="14"/>
  <c r="AI290" i="15" s="1"/>
  <c r="AO290" s="1"/>
  <c r="U316" i="14"/>
  <c r="AJ286" i="15" s="1"/>
  <c r="AQ286" s="1"/>
  <c r="S316" i="14"/>
  <c r="AH286" i="15"/>
  <c r="AM286" s="1"/>
  <c r="R312" i="14"/>
  <c r="AG282" i="15"/>
  <c r="AK282"/>
  <c r="T312" i="14"/>
  <c r="AI282" i="15" s="1"/>
  <c r="AO282" s="1"/>
  <c r="U308" i="14"/>
  <c r="AJ278" i="15" s="1"/>
  <c r="AQ278" s="1"/>
  <c r="S308" i="14"/>
  <c r="AH278" i="15"/>
  <c r="AM278" s="1"/>
  <c r="R304" i="14"/>
  <c r="AG274" i="15" s="1"/>
  <c r="AK274" s="1"/>
  <c r="T304" i="14"/>
  <c r="AI274" i="15" s="1"/>
  <c r="AO274" s="1"/>
  <c r="U300" i="14"/>
  <c r="AJ270" i="15" s="1"/>
  <c r="AQ270" s="1"/>
  <c r="S300" i="14"/>
  <c r="AH270" i="15"/>
  <c r="AM270" s="1"/>
  <c r="R296" i="14"/>
  <c r="AG266" i="15" s="1"/>
  <c r="AK266" s="1"/>
  <c r="T296" i="14"/>
  <c r="AI266" i="15" s="1"/>
  <c r="AO266" s="1"/>
  <c r="U292" i="14"/>
  <c r="AJ262" i="15" s="1"/>
  <c r="AQ262" s="1"/>
  <c r="S292" i="14"/>
  <c r="AH262" i="15"/>
  <c r="AM262" s="1"/>
  <c r="R288" i="14"/>
  <c r="AG258" i="15" s="1"/>
  <c r="AK258" s="1"/>
  <c r="T288" i="14"/>
  <c r="AI258" i="15" s="1"/>
  <c r="AO258" s="1"/>
  <c r="U284" i="14"/>
  <c r="AJ254" i="15" s="1"/>
  <c r="AQ254" s="1"/>
  <c r="S284" i="14"/>
  <c r="AH254" i="15"/>
  <c r="AM254" s="1"/>
  <c r="R280" i="14"/>
  <c r="AG250" i="15" s="1"/>
  <c r="AK250" s="1"/>
  <c r="T280" i="14"/>
  <c r="AI250" i="15" s="1"/>
  <c r="AO250" s="1"/>
  <c r="U276" i="14"/>
  <c r="AJ246" i="15" s="1"/>
  <c r="AQ246" s="1"/>
  <c r="S276" i="14"/>
  <c r="AH246" i="15"/>
  <c r="AM246" s="1"/>
  <c r="R272" i="14"/>
  <c r="AG242" i="15" s="1"/>
  <c r="AK242" s="1"/>
  <c r="T272" i="14"/>
  <c r="AI242" i="15" s="1"/>
  <c r="AO242" s="1"/>
  <c r="U268" i="14"/>
  <c r="AJ238" i="15" s="1"/>
  <c r="AQ238" s="1"/>
  <c r="S268" i="14"/>
  <c r="AH238" i="15"/>
  <c r="AM238" s="1"/>
  <c r="R264" i="14"/>
  <c r="AG234" i="15" s="1"/>
  <c r="AK234" s="1"/>
  <c r="T264" i="14"/>
  <c r="AI234" i="15" s="1"/>
  <c r="AO234" s="1"/>
  <c r="U260" i="14"/>
  <c r="AJ230" i="15" s="1"/>
  <c r="AQ230" s="1"/>
  <c r="S260" i="14"/>
  <c r="AH230" i="15"/>
  <c r="AM230" s="1"/>
  <c r="R256" i="14"/>
  <c r="AG226" i="15" s="1"/>
  <c r="AK226" s="1"/>
  <c r="T256" i="14"/>
  <c r="AI226" i="15" s="1"/>
  <c r="AO226" s="1"/>
  <c r="U252" i="14"/>
  <c r="AJ222" i="15" s="1"/>
  <c r="AQ222" s="1"/>
  <c r="S252" i="14"/>
  <c r="AH222" i="15"/>
  <c r="AM222" s="1"/>
  <c r="R248" i="14"/>
  <c r="AG218" i="15" s="1"/>
  <c r="AK218" s="1"/>
  <c r="T248" i="14"/>
  <c r="AI218" i="15" s="1"/>
  <c r="AO218" s="1"/>
  <c r="U244" i="14"/>
  <c r="AJ214" i="15" s="1"/>
  <c r="AQ214" s="1"/>
  <c r="S244" i="14"/>
  <c r="AH214" i="15"/>
  <c r="AM214" s="1"/>
  <c r="R240" i="14"/>
  <c r="AG210" i="15" s="1"/>
  <c r="AK210" s="1"/>
  <c r="T240" i="14"/>
  <c r="AI210" i="15" s="1"/>
  <c r="AO210" s="1"/>
  <c r="U236" i="14"/>
  <c r="AJ206" i="15" s="1"/>
  <c r="AQ206" s="1"/>
  <c r="S236" i="14"/>
  <c r="AH206" i="15"/>
  <c r="AM206" s="1"/>
  <c r="U232" i="14"/>
  <c r="AJ202" i="15" s="1"/>
  <c r="AQ202" s="1"/>
  <c r="S232" i="14"/>
  <c r="AH202" i="15" s="1"/>
  <c r="AM202" s="1"/>
  <c r="U228" i="14"/>
  <c r="AJ198" i="15" s="1"/>
  <c r="AQ198" s="1"/>
  <c r="S228" i="14"/>
  <c r="AH198" i="15"/>
  <c r="AM198" s="1"/>
  <c r="U224" i="14"/>
  <c r="AJ194" i="15" s="1"/>
  <c r="AQ194" s="1"/>
  <c r="S224" i="14"/>
  <c r="AH194" i="15" s="1"/>
  <c r="AM194" s="1"/>
  <c r="U220" i="14"/>
  <c r="AJ190" i="15" s="1"/>
  <c r="AQ190" s="1"/>
  <c r="S220" i="14"/>
  <c r="AH190" i="15"/>
  <c r="AM190" s="1"/>
  <c r="U216" i="14"/>
  <c r="AJ186" i="15" s="1"/>
  <c r="AQ186" s="1"/>
  <c r="S216" i="14"/>
  <c r="AH186" i="15" s="1"/>
  <c r="AM186" s="1"/>
  <c r="U212" i="14"/>
  <c r="AJ182" i="15" s="1"/>
  <c r="AQ182" s="1"/>
  <c r="S212" i="14"/>
  <c r="AH182" i="15"/>
  <c r="AM182" s="1"/>
  <c r="U208" i="14"/>
  <c r="AJ178" i="15" s="1"/>
  <c r="AQ178" s="1"/>
  <c r="S208" i="14"/>
  <c r="AH178" i="15" s="1"/>
  <c r="AM178" s="1"/>
  <c r="U204" i="14"/>
  <c r="AJ174" i="15" s="1"/>
  <c r="AQ174" s="1"/>
  <c r="S204" i="14"/>
  <c r="AH174" i="15"/>
  <c r="AM174" s="1"/>
  <c r="U200" i="14"/>
  <c r="AJ170" i="15" s="1"/>
  <c r="AQ170" s="1"/>
  <c r="S200" i="14"/>
  <c r="AH170" i="15" s="1"/>
  <c r="AM170" s="1"/>
  <c r="U196" i="14"/>
  <c r="AJ166" i="15" s="1"/>
  <c r="AQ166" s="1"/>
  <c r="S196" i="14"/>
  <c r="AH166" i="15"/>
  <c r="AM166" s="1"/>
  <c r="U192" i="14"/>
  <c r="AJ162" i="15"/>
  <c r="AQ162"/>
  <c r="S192" i="14"/>
  <c r="AH162" i="15" s="1"/>
  <c r="AM162" s="1"/>
  <c r="U188" i="14"/>
  <c r="AJ158" i="15" s="1"/>
  <c r="AQ158" s="1"/>
  <c r="S188" i="14"/>
  <c r="AH158" i="15"/>
  <c r="AM158" s="1"/>
  <c r="U184" i="14"/>
  <c r="AJ154" i="15" s="1"/>
  <c r="AQ154" s="1"/>
  <c r="S184" i="14"/>
  <c r="AH154" i="15" s="1"/>
  <c r="AM154" s="1"/>
  <c r="U180" i="14"/>
  <c r="AJ150" i="15" s="1"/>
  <c r="AQ150" s="1"/>
  <c r="S180" i="14"/>
  <c r="AH150" i="15"/>
  <c r="AM150" s="1"/>
  <c r="U176" i="14"/>
  <c r="AJ146" i="15"/>
  <c r="AQ146"/>
  <c r="S176" i="14"/>
  <c r="AH146" i="15" s="1"/>
  <c r="AM146" s="1"/>
  <c r="U172" i="14"/>
  <c r="AJ142" i="15" s="1"/>
  <c r="AQ142" s="1"/>
  <c r="S172" i="14"/>
  <c r="AH142" i="15"/>
  <c r="AM142" s="1"/>
  <c r="U168" i="14"/>
  <c r="AJ138" i="15"/>
  <c r="AQ138"/>
  <c r="S168" i="14"/>
  <c r="AH138" i="15" s="1"/>
  <c r="AM138" s="1"/>
  <c r="U164" i="14"/>
  <c r="AJ134" i="15" s="1"/>
  <c r="AQ134" s="1"/>
  <c r="S164" i="14"/>
  <c r="AH134" i="15"/>
  <c r="AM134" s="1"/>
  <c r="U160" i="14"/>
  <c r="AJ130" i="15"/>
  <c r="AQ130"/>
  <c r="S160" i="14"/>
  <c r="AH130" i="15" s="1"/>
  <c r="AM130" s="1"/>
  <c r="U156" i="14"/>
  <c r="AJ126" i="15" s="1"/>
  <c r="AQ126" s="1"/>
  <c r="S156" i="14"/>
  <c r="AH126" i="15"/>
  <c r="AM126" s="1"/>
  <c r="U152" i="14"/>
  <c r="AJ122" i="15"/>
  <c r="AQ122"/>
  <c r="S152" i="14"/>
  <c r="AH122" i="15" s="1"/>
  <c r="AM122" s="1"/>
  <c r="U148" i="14"/>
  <c r="AJ118" i="15" s="1"/>
  <c r="AQ118" s="1"/>
  <c r="S148" i="14"/>
  <c r="AH118" i="15"/>
  <c r="AM118" s="1"/>
  <c r="U144" i="14"/>
  <c r="AJ114" i="15"/>
  <c r="AQ114"/>
  <c r="S144" i="14"/>
  <c r="AH114" i="15" s="1"/>
  <c r="AM114" s="1"/>
  <c r="U140" i="14"/>
  <c r="AJ110" i="15" s="1"/>
  <c r="AQ110" s="1"/>
  <c r="S140" i="14"/>
  <c r="AH110" i="15"/>
  <c r="AM110" s="1"/>
  <c r="U136" i="14"/>
  <c r="AJ106" i="15"/>
  <c r="AQ106"/>
  <c r="S136" i="14"/>
  <c r="AH106" i="15" s="1"/>
  <c r="AM106" s="1"/>
  <c r="U132" i="14"/>
  <c r="AJ102" i="15" s="1"/>
  <c r="AQ102" s="1"/>
  <c r="S132" i="14"/>
  <c r="AH102" i="15"/>
  <c r="AM102" s="1"/>
  <c r="U128" i="14"/>
  <c r="AJ98" i="15"/>
  <c r="AQ98"/>
  <c r="S128" i="14"/>
  <c r="AH98" i="15" s="1"/>
  <c r="AM98" s="1"/>
  <c r="U124" i="14"/>
  <c r="AJ94" i="15" s="1"/>
  <c r="AQ94" s="1"/>
  <c r="S124" i="14"/>
  <c r="AH94" i="15"/>
  <c r="AM94" s="1"/>
  <c r="U120" i="14"/>
  <c r="AJ90" i="15"/>
  <c r="AQ90"/>
  <c r="S120" i="14"/>
  <c r="AH90" i="15" s="1"/>
  <c r="AM90" s="1"/>
  <c r="U116" i="14"/>
  <c r="AJ86" i="15" s="1"/>
  <c r="AQ86" s="1"/>
  <c r="S116" i="14"/>
  <c r="AH86" i="15"/>
  <c r="AM86" s="1"/>
  <c r="U112" i="14"/>
  <c r="AJ82" i="15"/>
  <c r="AQ82"/>
  <c r="S112" i="14"/>
  <c r="AH82" i="15" s="1"/>
  <c r="AM82" s="1"/>
  <c r="AF151" i="14"/>
  <c r="CB121" i="15" s="1"/>
  <c r="CF121" s="1"/>
  <c r="AH151" i="14"/>
  <c r="CD121" i="15"/>
  <c r="CJ121" s="1"/>
  <c r="AF153" i="14"/>
  <c r="CB123" i="15" s="1"/>
  <c r="CF123" s="1"/>
  <c r="AH153" i="14"/>
  <c r="CD123" i="15" s="1"/>
  <c r="CJ123" s="1"/>
  <c r="AF155" i="14"/>
  <c r="CB125" i="15" s="1"/>
  <c r="CF125" s="1"/>
  <c r="AH155" i="14"/>
  <c r="CD125" i="15"/>
  <c r="CJ125" s="1"/>
  <c r="AF157" i="14"/>
  <c r="CB127" i="15" s="1"/>
  <c r="CF127" s="1"/>
  <c r="AH157" i="14"/>
  <c r="CD127" i="15" s="1"/>
  <c r="CJ127" s="1"/>
  <c r="AF159" i="14"/>
  <c r="CB129" i="15" s="1"/>
  <c r="CF129" s="1"/>
  <c r="AH159" i="14"/>
  <c r="CD129" i="15"/>
  <c r="CJ129" s="1"/>
  <c r="AF161" i="14"/>
  <c r="CB131" i="15" s="1"/>
  <c r="CF131" s="1"/>
  <c r="AH161" i="14"/>
  <c r="CD131" i="15" s="1"/>
  <c r="CJ131" s="1"/>
  <c r="AF163" i="14"/>
  <c r="CB133" i="15" s="1"/>
  <c r="CF133" s="1"/>
  <c r="AH163" i="14"/>
  <c r="CD133" i="15"/>
  <c r="CJ133" s="1"/>
  <c r="AF165" i="14"/>
  <c r="CB135" i="15" s="1"/>
  <c r="CF135" s="1"/>
  <c r="AH165" i="14"/>
  <c r="CD135" i="15" s="1"/>
  <c r="CJ135" s="1"/>
  <c r="AF167" i="14"/>
  <c r="CB137" i="15" s="1"/>
  <c r="CF137" s="1"/>
  <c r="AH167" i="14"/>
  <c r="CD137" i="15"/>
  <c r="CJ137" s="1"/>
  <c r="AF169" i="14"/>
  <c r="CB139" i="15" s="1"/>
  <c r="CF139" s="1"/>
  <c r="AH169" i="14"/>
  <c r="CD139" i="15" s="1"/>
  <c r="CJ139" s="1"/>
  <c r="AF171" i="14"/>
  <c r="CB141" i="15" s="1"/>
  <c r="CF141" s="1"/>
  <c r="AH171" i="14"/>
  <c r="CD141" i="15"/>
  <c r="CJ141" s="1"/>
  <c r="AF173" i="14"/>
  <c r="CB143" i="15" s="1"/>
  <c r="CF143" s="1"/>
  <c r="AH173" i="14"/>
  <c r="CD143" i="15" s="1"/>
  <c r="CJ143" s="1"/>
  <c r="AF175" i="14"/>
  <c r="CB145" i="15" s="1"/>
  <c r="CF145" s="1"/>
  <c r="AH175" i="14"/>
  <c r="CD145" i="15"/>
  <c r="CJ145" s="1"/>
  <c r="AF177" i="14"/>
  <c r="CB147" i="15" s="1"/>
  <c r="CF147" s="1"/>
  <c r="AH177" i="14"/>
  <c r="CD147" i="15" s="1"/>
  <c r="CJ147" s="1"/>
  <c r="AF179" i="14"/>
  <c r="CB149" i="15" s="1"/>
  <c r="CF149" s="1"/>
  <c r="AH179" i="14"/>
  <c r="CD149" i="15"/>
  <c r="CJ149" s="1"/>
  <c r="AF181" i="14"/>
  <c r="CB151" i="15" s="1"/>
  <c r="CF151" s="1"/>
  <c r="AH181" i="14"/>
  <c r="CD151" i="15" s="1"/>
  <c r="CJ151" s="1"/>
  <c r="AF183" i="14"/>
  <c r="CB153" i="15" s="1"/>
  <c r="CF153" s="1"/>
  <c r="AH183" i="14"/>
  <c r="CD153" i="15"/>
  <c r="CJ153" s="1"/>
  <c r="AF185" i="14"/>
  <c r="CB155" i="15" s="1"/>
  <c r="CF155" s="1"/>
  <c r="AH185" i="14"/>
  <c r="CD155" i="15" s="1"/>
  <c r="CJ155" s="1"/>
  <c r="AF187" i="14"/>
  <c r="CB157" i="15" s="1"/>
  <c r="CF157" s="1"/>
  <c r="AH187" i="14"/>
  <c r="CD157" i="15"/>
  <c r="CJ157" s="1"/>
  <c r="AF189" i="14"/>
  <c r="CB159" i="15" s="1"/>
  <c r="CF159" s="1"/>
  <c r="AH189" i="14"/>
  <c r="CD159" i="15" s="1"/>
  <c r="CJ159" s="1"/>
  <c r="AF191" i="14"/>
  <c r="CB161" i="15" s="1"/>
  <c r="CF161" s="1"/>
  <c r="AH191" i="14"/>
  <c r="CD161" i="15"/>
  <c r="CJ161" s="1"/>
  <c r="AF193" i="14"/>
  <c r="CB163" i="15" s="1"/>
  <c r="CF163" s="1"/>
  <c r="AH193" i="14"/>
  <c r="CD163" i="15" s="1"/>
  <c r="CJ163" s="1"/>
  <c r="AF195" i="14"/>
  <c r="CB165" i="15" s="1"/>
  <c r="CF165" s="1"/>
  <c r="AH195" i="14"/>
  <c r="CD165" i="15"/>
  <c r="CJ165" s="1"/>
  <c r="AF197" i="14"/>
  <c r="CB167" i="15" s="1"/>
  <c r="CF167" s="1"/>
  <c r="AH197" i="14"/>
  <c r="CD167" i="15" s="1"/>
  <c r="CJ167" s="1"/>
  <c r="AF199" i="14"/>
  <c r="CB169" i="15" s="1"/>
  <c r="CF169" s="1"/>
  <c r="AH199" i="14"/>
  <c r="CD169" i="15"/>
  <c r="CJ169" s="1"/>
  <c r="AF201" i="14"/>
  <c r="CB171" i="15" s="1"/>
  <c r="CF171" s="1"/>
  <c r="AH201" i="14"/>
  <c r="CD171" i="15" s="1"/>
  <c r="CJ171" s="1"/>
  <c r="AF203" i="14"/>
  <c r="CB173" i="15" s="1"/>
  <c r="CF173" s="1"/>
  <c r="AH203" i="14"/>
  <c r="CD173" i="15"/>
  <c r="CJ173" s="1"/>
  <c r="AF205" i="14"/>
  <c r="CB175" i="15" s="1"/>
  <c r="CF175" s="1"/>
  <c r="AH205" i="14"/>
  <c r="CD175" i="15" s="1"/>
  <c r="CJ175" s="1"/>
  <c r="AF207" i="14"/>
  <c r="CB177" i="15" s="1"/>
  <c r="CF177" s="1"/>
  <c r="AH207" i="14"/>
  <c r="CD177" i="15"/>
  <c r="CJ177" s="1"/>
  <c r="AF209" i="14"/>
  <c r="CB179" i="15" s="1"/>
  <c r="CF179" s="1"/>
  <c r="AH209" i="14"/>
  <c r="CD179" i="15" s="1"/>
  <c r="CJ179" s="1"/>
  <c r="AF211" i="14"/>
  <c r="CB181" i="15" s="1"/>
  <c r="CF181" s="1"/>
  <c r="AH211" i="14"/>
  <c r="CD181" i="15"/>
  <c r="CJ181" s="1"/>
  <c r="AF217" i="14"/>
  <c r="CB187" i="15" s="1"/>
  <c r="CF187" s="1"/>
  <c r="AH217" i="14"/>
  <c r="CD187" i="15" s="1"/>
  <c r="CJ187" s="1"/>
  <c r="AH224" i="14"/>
  <c r="CD194" i="15" s="1"/>
  <c r="CJ194" s="1"/>
  <c r="AF224" i="14"/>
  <c r="CB194" i="15"/>
  <c r="CF194" s="1"/>
  <c r="AH230" i="14"/>
  <c r="CD200" i="15" s="1"/>
  <c r="CJ200" s="1"/>
  <c r="AF230" i="14"/>
  <c r="CB200" i="15" s="1"/>
  <c r="CF200" s="1"/>
  <c r="AH234" i="14"/>
  <c r="CD204" i="15" s="1"/>
  <c r="CJ204" s="1"/>
  <c r="AF234" i="14"/>
  <c r="CB204" i="15"/>
  <c r="CF204" s="1"/>
  <c r="AH240" i="14"/>
  <c r="CD210" i="15"/>
  <c r="CJ210"/>
  <c r="AF240" i="14"/>
  <c r="CB210" i="15" s="1"/>
  <c r="CF210" s="1"/>
  <c r="AH246" i="14"/>
  <c r="CD216" i="15" s="1"/>
  <c r="CJ216" s="1"/>
  <c r="AF246" i="14"/>
  <c r="CB216" i="15"/>
  <c r="CF216" s="1"/>
  <c r="AH250" i="14"/>
  <c r="CD220" i="15" s="1"/>
  <c r="CJ220" s="1"/>
  <c r="AF250" i="14"/>
  <c r="CB220" i="15" s="1"/>
  <c r="CF220" s="1"/>
  <c r="AH256" i="14"/>
  <c r="CD226" i="15" s="1"/>
  <c r="CJ226" s="1"/>
  <c r="AF256" i="14"/>
  <c r="CB226" i="15"/>
  <c r="CF226" s="1"/>
  <c r="AH262" i="14"/>
  <c r="CD232" i="15" s="1"/>
  <c r="CJ232" s="1"/>
  <c r="AF262" i="14"/>
  <c r="CB232" i="15" s="1"/>
  <c r="CF232" s="1"/>
  <c r="AH266" i="14"/>
  <c r="CD236" i="15" s="1"/>
  <c r="CJ236" s="1"/>
  <c r="AF266" i="14"/>
  <c r="CB236" i="15"/>
  <c r="CF236" s="1"/>
  <c r="AH272" i="14"/>
  <c r="CD242" i="15"/>
  <c r="CJ242"/>
  <c r="AF272" i="14"/>
  <c r="CB242" i="15" s="1"/>
  <c r="CF242" s="1"/>
  <c r="AH278" i="14"/>
  <c r="CD248" i="15" s="1"/>
  <c r="CJ248" s="1"/>
  <c r="AF278" i="14"/>
  <c r="CB248" i="15"/>
  <c r="CF248" s="1"/>
  <c r="AH282" i="14"/>
  <c r="CD252" i="15" s="1"/>
  <c r="CJ252" s="1"/>
  <c r="AF282" i="14"/>
  <c r="CB252" i="15" s="1"/>
  <c r="CF252" s="1"/>
  <c r="AH288" i="14"/>
  <c r="CD258" i="15" s="1"/>
  <c r="CJ258" s="1"/>
  <c r="AF288" i="14"/>
  <c r="CB258" i="15"/>
  <c r="CF258" s="1"/>
  <c r="AH294" i="14"/>
  <c r="CD264" i="15" s="1"/>
  <c r="CJ264" s="1"/>
  <c r="AF294" i="14"/>
  <c r="CB264" i="15" s="1"/>
  <c r="CF264" s="1"/>
  <c r="AH298" i="14"/>
  <c r="CD268" i="15" s="1"/>
  <c r="CJ268" s="1"/>
  <c r="AF298" i="14"/>
  <c r="CB268" i="15"/>
  <c r="CF268" s="1"/>
  <c r="AH304" i="14"/>
  <c r="CD274" i="15"/>
  <c r="CJ274"/>
  <c r="AF304" i="14"/>
  <c r="CB274" i="15" s="1"/>
  <c r="CF274" s="1"/>
  <c r="AH310" i="14"/>
  <c r="CD280" i="15" s="1"/>
  <c r="CJ280" s="1"/>
  <c r="AF310" i="14"/>
  <c r="CB280" i="15"/>
  <c r="CF280" s="1"/>
  <c r="AH314" i="14"/>
  <c r="CD284" i="15" s="1"/>
  <c r="CJ284" s="1"/>
  <c r="AF314" i="14"/>
  <c r="CB284" i="15" s="1"/>
  <c r="CF284" s="1"/>
  <c r="AH320" i="14"/>
  <c r="CD290" i="15" s="1"/>
  <c r="CJ290" s="1"/>
  <c r="AF320" i="14"/>
  <c r="CB290" i="15"/>
  <c r="CF290" s="1"/>
  <c r="AH326" i="14"/>
  <c r="CD296" i="15" s="1"/>
  <c r="CJ296" s="1"/>
  <c r="AF326" i="14"/>
  <c r="CB296" i="15" s="1"/>
  <c r="CF296" s="1"/>
  <c r="AH330" i="14"/>
  <c r="CD300" i="15" s="1"/>
  <c r="CJ300" s="1"/>
  <c r="AF330" i="14"/>
  <c r="CB300" i="15"/>
  <c r="CF300" s="1"/>
  <c r="AH336" i="14"/>
  <c r="CD306" i="15"/>
  <c r="CJ306"/>
  <c r="AF336" i="14"/>
  <c r="CB306" i="15" s="1"/>
  <c r="CF306" s="1"/>
  <c r="AF105" i="14"/>
  <c r="CB75" i="15" s="1"/>
  <c r="CF75" s="1"/>
  <c r="AH105" i="14"/>
  <c r="CD75" i="15"/>
  <c r="CJ75" s="1"/>
  <c r="AH112" i="14"/>
  <c r="CD82" i="15" s="1"/>
  <c r="CJ82" s="1"/>
  <c r="AF112" i="14"/>
  <c r="CB82" i="15" s="1"/>
  <c r="CF82" s="1"/>
  <c r="AF115" i="14"/>
  <c r="CB85" i="15" s="1"/>
  <c r="CF85" s="1"/>
  <c r="AH115" i="14"/>
  <c r="CD85" i="15"/>
  <c r="CJ85" s="1"/>
  <c r="AF121" i="14"/>
  <c r="CB91" i="15" s="1"/>
  <c r="CF91" s="1"/>
  <c r="AH121" i="14"/>
  <c r="CD91" i="15" s="1"/>
  <c r="CJ91" s="1"/>
  <c r="AH128" i="14"/>
  <c r="CD98" i="15" s="1"/>
  <c r="CJ98" s="1"/>
  <c r="AF128" i="14"/>
  <c r="CB98" i="15"/>
  <c r="CF98" s="1"/>
  <c r="AF131" i="14"/>
  <c r="CB101" i="15" s="1"/>
  <c r="CF101" s="1"/>
  <c r="AH131" i="14"/>
  <c r="CD101" i="15" s="1"/>
  <c r="CJ101" s="1"/>
  <c r="AF137" i="14"/>
  <c r="CB107" i="15" s="1"/>
  <c r="CF107" s="1"/>
  <c r="AH137" i="14"/>
  <c r="CD107" i="15"/>
  <c r="CJ107" s="1"/>
  <c r="AH218" i="14"/>
  <c r="CD188" i="15" s="1"/>
  <c r="CJ188" s="1"/>
  <c r="AF218" i="14"/>
  <c r="CB188" i="15" s="1"/>
  <c r="CF188" s="1"/>
  <c r="AF222" i="14"/>
  <c r="CB192" i="15" s="1"/>
  <c r="CF192" s="1"/>
  <c r="AH222" i="14"/>
  <c r="CD192" i="15"/>
  <c r="CJ192" s="1"/>
  <c r="AF226" i="14"/>
  <c r="CB196" i="15" s="1"/>
  <c r="CF196" s="1"/>
  <c r="AH226" i="14"/>
  <c r="CD196" i="15" s="1"/>
  <c r="CJ196" s="1"/>
  <c r="AF232" i="14"/>
  <c r="CB202" i="15" s="1"/>
  <c r="CF202" s="1"/>
  <c r="AH232" i="14"/>
  <c r="CD202" i="15"/>
  <c r="CJ202" s="1"/>
  <c r="AF238" i="14"/>
  <c r="CB208" i="15" s="1"/>
  <c r="CF208" s="1"/>
  <c r="AH238" i="14"/>
  <c r="CD208" i="15" s="1"/>
  <c r="CJ208" s="1"/>
  <c r="AF242" i="14"/>
  <c r="CB212" i="15" s="1"/>
  <c r="CF212" s="1"/>
  <c r="AH242" i="14"/>
  <c r="CD212" i="15"/>
  <c r="CJ212" s="1"/>
  <c r="AF248" i="14"/>
  <c r="CB218" i="15" s="1"/>
  <c r="CF218" s="1"/>
  <c r="AH248" i="14"/>
  <c r="CD218" i="15" s="1"/>
  <c r="CJ218" s="1"/>
  <c r="AF254" i="14"/>
  <c r="CB224" i="15" s="1"/>
  <c r="CF224" s="1"/>
  <c r="AH254" i="14"/>
  <c r="CD224" i="15"/>
  <c r="CJ224" s="1"/>
  <c r="AF258" i="14"/>
  <c r="CB228" i="15" s="1"/>
  <c r="CF228" s="1"/>
  <c r="AH258" i="14"/>
  <c r="CD228" i="15" s="1"/>
  <c r="CJ228" s="1"/>
  <c r="AF264" i="14"/>
  <c r="CB234" i="15" s="1"/>
  <c r="CF234" s="1"/>
  <c r="AH264" i="14"/>
  <c r="CD234" i="15"/>
  <c r="CJ234" s="1"/>
  <c r="AF270" i="14"/>
  <c r="CB240" i="15" s="1"/>
  <c r="CF240" s="1"/>
  <c r="AH270" i="14"/>
  <c r="CD240" i="15" s="1"/>
  <c r="CJ240" s="1"/>
  <c r="AF274" i="14"/>
  <c r="CB244" i="15" s="1"/>
  <c r="CF244" s="1"/>
  <c r="AH274" i="14"/>
  <c r="CD244" i="15"/>
  <c r="CJ244" s="1"/>
  <c r="AF280" i="14"/>
  <c r="CB250" i="15" s="1"/>
  <c r="CF250" s="1"/>
  <c r="AH280" i="14"/>
  <c r="CD250" i="15" s="1"/>
  <c r="CJ250" s="1"/>
  <c r="AF286" i="14"/>
  <c r="CB256" i="15" s="1"/>
  <c r="CF256" s="1"/>
  <c r="AH286" i="14"/>
  <c r="CD256" i="15"/>
  <c r="CJ256" s="1"/>
  <c r="AF290" i="14"/>
  <c r="CB260" i="15" s="1"/>
  <c r="CF260" s="1"/>
  <c r="AH290" i="14"/>
  <c r="CD260" i="15" s="1"/>
  <c r="CJ260" s="1"/>
  <c r="AF296" i="14"/>
  <c r="CB266" i="15" s="1"/>
  <c r="CF266" s="1"/>
  <c r="AH296" i="14"/>
  <c r="CD266" i="15"/>
  <c r="CJ266" s="1"/>
  <c r="AF302" i="14"/>
  <c r="CB272" i="15" s="1"/>
  <c r="CF272" s="1"/>
  <c r="AH302" i="14"/>
  <c r="CD272" i="15" s="1"/>
  <c r="CJ272" s="1"/>
  <c r="AF306" i="14"/>
  <c r="CB276" i="15" s="1"/>
  <c r="CF276" s="1"/>
  <c r="AH306" i="14"/>
  <c r="CD276" i="15"/>
  <c r="CJ276" s="1"/>
  <c r="AF312" i="14"/>
  <c r="CB282" i="15" s="1"/>
  <c r="CF282" s="1"/>
  <c r="AH312" i="14"/>
  <c r="CD282" i="15" s="1"/>
  <c r="CJ282" s="1"/>
  <c r="AF318" i="14"/>
  <c r="CB288" i="15" s="1"/>
  <c r="CF288" s="1"/>
  <c r="AH318" i="14"/>
  <c r="CD288" i="15"/>
  <c r="CJ288" s="1"/>
  <c r="AF322" i="14"/>
  <c r="CB292" i="15" s="1"/>
  <c r="CF292" s="1"/>
  <c r="AH322" i="14"/>
  <c r="CD292" i="15" s="1"/>
  <c r="CJ292" s="1"/>
  <c r="AF328" i="14"/>
  <c r="CB298" i="15" s="1"/>
  <c r="CF298" s="1"/>
  <c r="AH328" i="14"/>
  <c r="CD298" i="15"/>
  <c r="CJ298" s="1"/>
  <c r="AF334" i="14"/>
  <c r="CB304" i="15" s="1"/>
  <c r="CF304" s="1"/>
  <c r="AH334" i="14"/>
  <c r="CD304" i="15" s="1"/>
  <c r="CJ304" s="1"/>
  <c r="Z95" i="14"/>
  <c r="BF65" i="15" s="1"/>
  <c r="BK65" s="1"/>
  <c r="AB95" i="14"/>
  <c r="BH65" i="15"/>
  <c r="BO65" s="1"/>
  <c r="AI92" i="14"/>
  <c r="CE62" i="15"/>
  <c r="CL62"/>
  <c r="AG92" i="14"/>
  <c r="CC62" i="15" s="1"/>
  <c r="CH62" s="1"/>
  <c r="AB88" i="14"/>
  <c r="BH58" i="15" s="1"/>
  <c r="BO58" s="1"/>
  <c r="Z88" i="14"/>
  <c r="BF58" i="15"/>
  <c r="BK58" s="1"/>
  <c r="Z85" i="14"/>
  <c r="BF55" i="15"/>
  <c r="BK55"/>
  <c r="AB85" i="14"/>
  <c r="BH55" i="15" s="1"/>
  <c r="BO55" s="1"/>
  <c r="Z84" i="14"/>
  <c r="BF54" i="15" s="1"/>
  <c r="BK54" s="1"/>
  <c r="AB84" i="14"/>
  <c r="BH54" i="15"/>
  <c r="BO54" s="1"/>
  <c r="Y80" i="14"/>
  <c r="BE50" i="15" s="1"/>
  <c r="BI50" s="1"/>
  <c r="AA80" i="14"/>
  <c r="BG50" i="15" s="1"/>
  <c r="BM50" s="1"/>
  <c r="AF78" i="14"/>
  <c r="CB48" i="15" s="1"/>
  <c r="CF48" s="1"/>
  <c r="AH78" i="14"/>
  <c r="CD48" i="15"/>
  <c r="CJ48" s="1"/>
  <c r="Y76" i="14"/>
  <c r="BE46" i="15" s="1"/>
  <c r="BI46" s="1"/>
  <c r="AA76" i="14"/>
  <c r="BG46" i="15" s="1"/>
  <c r="BM46" s="1"/>
  <c r="AB74" i="14"/>
  <c r="BH44" i="15" s="1"/>
  <c r="BO44" s="1"/>
  <c r="Z74" i="14"/>
  <c r="BF44" i="15"/>
  <c r="BK44" s="1"/>
  <c r="AB72" i="14"/>
  <c r="BH42" i="15" s="1"/>
  <c r="BO42" s="1"/>
  <c r="Z72" i="14"/>
  <c r="BF42" i="15" s="1"/>
  <c r="BK42" s="1"/>
  <c r="AB70" i="14"/>
  <c r="BH40" i="15" s="1"/>
  <c r="BO40" s="1"/>
  <c r="Z70" i="14"/>
  <c r="BF40" i="15"/>
  <c r="BK40" s="1"/>
  <c r="AB68" i="14"/>
  <c r="BH38" i="15"/>
  <c r="BO38"/>
  <c r="Z68" i="14"/>
  <c r="BF38" i="15" s="1"/>
  <c r="BK38" s="1"/>
  <c r="AB66" i="14"/>
  <c r="BH36" i="15" s="1"/>
  <c r="BO36" s="1"/>
  <c r="Z66" i="14"/>
  <c r="BF36" i="15"/>
  <c r="BK36" s="1"/>
  <c r="AB64" i="14"/>
  <c r="BH34" i="15"/>
  <c r="BO34"/>
  <c r="Z64" i="14"/>
  <c r="BF34" i="15" s="1"/>
  <c r="BK34" s="1"/>
  <c r="AB62" i="14"/>
  <c r="BH32" i="15" s="1"/>
  <c r="BO32" s="1"/>
  <c r="Z62" i="14"/>
  <c r="BF32" i="15"/>
  <c r="BK32" s="1"/>
  <c r="AB60" i="14"/>
  <c r="BH30" i="15"/>
  <c r="BO30"/>
  <c r="Z60" i="14"/>
  <c r="BF30" i="15" s="1"/>
  <c r="BK30" s="1"/>
  <c r="AB58" i="14"/>
  <c r="BH28" i="15" s="1"/>
  <c r="BO28" s="1"/>
  <c r="Z58" i="14"/>
  <c r="BF28" i="15"/>
  <c r="BK28" s="1"/>
  <c r="AB56" i="14"/>
  <c r="BH26" i="15"/>
  <c r="BO26"/>
  <c r="Z56" i="14"/>
  <c r="BF26" i="15" s="1"/>
  <c r="BK26" s="1"/>
  <c r="AB54" i="14"/>
  <c r="BH24" i="15" s="1"/>
  <c r="BO24" s="1"/>
  <c r="Z54" i="14"/>
  <c r="BF24" i="15"/>
  <c r="BK24" s="1"/>
  <c r="AB52" i="14"/>
  <c r="BH22" i="15" s="1"/>
  <c r="BO22" s="1"/>
  <c r="Z52" i="14"/>
  <c r="BF22" i="15" s="1"/>
  <c r="BK22" s="1"/>
  <c r="AB50" i="14"/>
  <c r="BH20" i="15" s="1"/>
  <c r="BO20" s="1"/>
  <c r="Z50" i="14"/>
  <c r="BF20" i="15"/>
  <c r="BK20" s="1"/>
  <c r="AB48" i="14"/>
  <c r="BH18" i="15"/>
  <c r="BO18"/>
  <c r="Z48" i="14"/>
  <c r="BF18" i="15" s="1"/>
  <c r="BK18" s="1"/>
  <c r="AB46" i="14"/>
  <c r="BH16" i="15" s="1"/>
  <c r="BO16" s="1"/>
  <c r="Z46" i="14"/>
  <c r="BF16" i="15"/>
  <c r="BK16" s="1"/>
  <c r="AB44" i="14"/>
  <c r="BH14" i="15" s="1"/>
  <c r="BO14" s="1"/>
  <c r="Z44" i="14"/>
  <c r="BF14" i="15" s="1"/>
  <c r="BK14" s="1"/>
  <c r="AB42" i="14"/>
  <c r="BH12" i="15" s="1"/>
  <c r="BO12" s="1"/>
  <c r="Z42" i="14"/>
  <c r="BF12" i="15"/>
  <c r="BK12" s="1"/>
  <c r="AB40" i="14"/>
  <c r="BH10" i="15"/>
  <c r="BO10"/>
  <c r="Z40" i="14"/>
  <c r="BF10" i="15" s="1"/>
  <c r="BK10" s="1"/>
  <c r="AB38" i="14"/>
  <c r="BH8" i="15" s="1"/>
  <c r="BO8" s="1"/>
  <c r="Z38" i="14"/>
  <c r="BF8" i="15"/>
  <c r="BK8" s="1"/>
  <c r="AB36" i="14"/>
  <c r="BH6" i="15"/>
  <c r="BO6"/>
  <c r="Z36" i="14"/>
  <c r="BF6" i="15" s="1"/>
  <c r="BK6" s="1"/>
  <c r="T333" i="14"/>
  <c r="AI303" i="15" s="1"/>
  <c r="AO303" s="1"/>
  <c r="R333" i="14"/>
  <c r="AG303" i="15"/>
  <c r="AK303" s="1"/>
  <c r="T331" i="14"/>
  <c r="AI301" i="15"/>
  <c r="AO301"/>
  <c r="R331" i="14"/>
  <c r="AG301" i="15" s="1"/>
  <c r="AK301" s="1"/>
  <c r="S329" i="14"/>
  <c r="AH299" i="15" s="1"/>
  <c r="AM299" s="1"/>
  <c r="U329" i="14"/>
  <c r="AJ299" i="15"/>
  <c r="AQ299" s="1"/>
  <c r="T325" i="14"/>
  <c r="AI295" i="15"/>
  <c r="AO295"/>
  <c r="R325" i="14"/>
  <c r="AG295" i="15" s="1"/>
  <c r="AK295" s="1"/>
  <c r="T323" i="14"/>
  <c r="AI293" i="15" s="1"/>
  <c r="AO293" s="1"/>
  <c r="R323" i="14"/>
  <c r="AG293" i="15"/>
  <c r="AK293" s="1"/>
  <c r="S321" i="14"/>
  <c r="AH291" i="15"/>
  <c r="AM291"/>
  <c r="U321" i="14"/>
  <c r="AJ291" i="15" s="1"/>
  <c r="AQ291" s="1"/>
  <c r="T317" i="14"/>
  <c r="AI287" i="15" s="1"/>
  <c r="AO287" s="1"/>
  <c r="R317" i="14"/>
  <c r="AG287" i="15"/>
  <c r="AK287" s="1"/>
  <c r="T315" i="14"/>
  <c r="AI285" i="15"/>
  <c r="AO285"/>
  <c r="R315" i="14"/>
  <c r="AG285" i="15" s="1"/>
  <c r="AK285" s="1"/>
  <c r="S313" i="14"/>
  <c r="AH283" i="15" s="1"/>
  <c r="AM283" s="1"/>
  <c r="U313" i="14"/>
  <c r="AJ283" i="15"/>
  <c r="AQ283" s="1"/>
  <c r="T309" i="14"/>
  <c r="AI279" i="15" s="1"/>
  <c r="AO279" s="1"/>
  <c r="R309" i="14"/>
  <c r="AG279" i="15" s="1"/>
  <c r="AK279" s="1"/>
  <c r="T307" i="14"/>
  <c r="AI277" i="15" s="1"/>
  <c r="AO277" s="1"/>
  <c r="R307" i="14"/>
  <c r="AG277" i="15"/>
  <c r="AK277" s="1"/>
  <c r="S305" i="14"/>
  <c r="AH275" i="15" s="1"/>
  <c r="AM275" s="1"/>
  <c r="U305" i="14"/>
  <c r="AJ275" i="15" s="1"/>
  <c r="AQ275" s="1"/>
  <c r="T301" i="14"/>
  <c r="AI271" i="15" s="1"/>
  <c r="AO271" s="1"/>
  <c r="R301" i="14"/>
  <c r="AG271" i="15"/>
  <c r="AK271" s="1"/>
  <c r="T299" i="14"/>
  <c r="AI269" i="15" s="1"/>
  <c r="AO269" s="1"/>
  <c r="R299" i="14"/>
  <c r="AG269" i="15" s="1"/>
  <c r="AK269" s="1"/>
  <c r="S297" i="14"/>
  <c r="AH267" i="15" s="1"/>
  <c r="AM267" s="1"/>
  <c r="U297" i="14"/>
  <c r="AJ267" i="15"/>
  <c r="AQ267" s="1"/>
  <c r="T293" i="14"/>
  <c r="AI263" i="15" s="1"/>
  <c r="AO263" s="1"/>
  <c r="R293" i="14"/>
  <c r="AG263" i="15" s="1"/>
  <c r="AK263" s="1"/>
  <c r="T291" i="14"/>
  <c r="AI261" i="15" s="1"/>
  <c r="AO261" s="1"/>
  <c r="R291" i="14"/>
  <c r="AG261" i="15"/>
  <c r="AK261" s="1"/>
  <c r="S289" i="14"/>
  <c r="AH259" i="15" s="1"/>
  <c r="AM259" s="1"/>
  <c r="U289" i="14"/>
  <c r="AJ259" i="15" s="1"/>
  <c r="AQ259" s="1"/>
  <c r="T285" i="14"/>
  <c r="AI255" i="15" s="1"/>
  <c r="AO255" s="1"/>
  <c r="R285" i="14"/>
  <c r="AG255" i="15"/>
  <c r="AK255" s="1"/>
  <c r="T283" i="14"/>
  <c r="AI253" i="15" s="1"/>
  <c r="AO253" s="1"/>
  <c r="R283" i="14"/>
  <c r="AG253" i="15" s="1"/>
  <c r="AK253" s="1"/>
  <c r="S281" i="14"/>
  <c r="AH251" i="15" s="1"/>
  <c r="AM251" s="1"/>
  <c r="U281" i="14"/>
  <c r="AJ251" i="15"/>
  <c r="AQ251" s="1"/>
  <c r="T277" i="14"/>
  <c r="AI247" i="15" s="1"/>
  <c r="AO247" s="1"/>
  <c r="R277" i="14"/>
  <c r="AG247" i="15" s="1"/>
  <c r="AK247" s="1"/>
  <c r="T275" i="14"/>
  <c r="AI245" i="15" s="1"/>
  <c r="AO245" s="1"/>
  <c r="R275" i="14"/>
  <c r="AG245" i="15"/>
  <c r="AK245" s="1"/>
  <c r="S273" i="14"/>
  <c r="AH243" i="15" s="1"/>
  <c r="AM243" s="1"/>
  <c r="U273" i="14"/>
  <c r="AJ243" i="15" s="1"/>
  <c r="AQ243" s="1"/>
  <c r="T269" i="14"/>
  <c r="AI239" i="15" s="1"/>
  <c r="AO239" s="1"/>
  <c r="R269" i="14"/>
  <c r="AG239" i="15"/>
  <c r="AK239" s="1"/>
  <c r="T267" i="14"/>
  <c r="AI237" i="15"/>
  <c r="AO237"/>
  <c r="R267" i="14"/>
  <c r="AG237" i="15" s="1"/>
  <c r="AK237" s="1"/>
  <c r="S265" i="14"/>
  <c r="AH235" i="15" s="1"/>
  <c r="AM235" s="1"/>
  <c r="U265" i="14"/>
  <c r="AJ235" i="15"/>
  <c r="AQ235" s="1"/>
  <c r="T261" i="14"/>
  <c r="AI231" i="15" s="1"/>
  <c r="AO231" s="1"/>
  <c r="R261" i="14"/>
  <c r="AG231" i="15" s="1"/>
  <c r="AK231" s="1"/>
  <c r="T259" i="14"/>
  <c r="AI229" i="15" s="1"/>
  <c r="AO229" s="1"/>
  <c r="R259" i="14"/>
  <c r="AG229" i="15"/>
  <c r="AK229" s="1"/>
  <c r="S257" i="14"/>
  <c r="AH227" i="15" s="1"/>
  <c r="AM227" s="1"/>
  <c r="U257" i="14"/>
  <c r="AJ227" i="15" s="1"/>
  <c r="AQ227" s="1"/>
  <c r="T253" i="14"/>
  <c r="AI223" i="15" s="1"/>
  <c r="AO223" s="1"/>
  <c r="R253" i="14"/>
  <c r="AG223" i="15"/>
  <c r="AK223" s="1"/>
  <c r="T251" i="14"/>
  <c r="AI221" i="15" s="1"/>
  <c r="AO221" s="1"/>
  <c r="R251" i="14"/>
  <c r="AG221" i="15" s="1"/>
  <c r="AK221" s="1"/>
  <c r="S249" i="14"/>
  <c r="AH219" i="15" s="1"/>
  <c r="AM219" s="1"/>
  <c r="U249" i="14"/>
  <c r="AJ219" i="15"/>
  <c r="AQ219" s="1"/>
  <c r="T245" i="14"/>
  <c r="AI215" i="15" s="1"/>
  <c r="AO215" s="1"/>
  <c r="R245" i="14"/>
  <c r="AG215" i="15" s="1"/>
  <c r="AK215" s="1"/>
  <c r="T243" i="14"/>
  <c r="AI213" i="15" s="1"/>
  <c r="AO213" s="1"/>
  <c r="R243" i="14"/>
  <c r="AG213" i="15"/>
  <c r="AK213" s="1"/>
  <c r="S241" i="14"/>
  <c r="AH211" i="15" s="1"/>
  <c r="AM211" s="1"/>
  <c r="U241" i="14"/>
  <c r="AJ211" i="15" s="1"/>
  <c r="AQ211" s="1"/>
  <c r="T237" i="14"/>
  <c r="AI207" i="15" s="1"/>
  <c r="AO207" s="1"/>
  <c r="R237" i="14"/>
  <c r="AG207" i="15"/>
  <c r="AK207" s="1"/>
  <c r="T235" i="14"/>
  <c r="AI205" i="15" s="1"/>
  <c r="AO205" s="1"/>
  <c r="R235" i="14"/>
  <c r="AG205" i="15" s="1"/>
  <c r="AK205" s="1"/>
  <c r="S233" i="14"/>
  <c r="AH203" i="15" s="1"/>
  <c r="AM203" s="1"/>
  <c r="U233" i="14"/>
  <c r="AJ203" i="15"/>
  <c r="AQ203" s="1"/>
  <c r="T231" i="14"/>
  <c r="AI201" i="15" s="1"/>
  <c r="AO201" s="1"/>
  <c r="R231" i="14"/>
  <c r="AG201" i="15" s="1"/>
  <c r="AK201" s="1"/>
  <c r="S229" i="14"/>
  <c r="AH199" i="15" s="1"/>
  <c r="AM199" s="1"/>
  <c r="U229" i="14"/>
  <c r="AJ199" i="15"/>
  <c r="AQ199" s="1"/>
  <c r="T227" i="14"/>
  <c r="AI197" i="15" s="1"/>
  <c r="AO197" s="1"/>
  <c r="R227" i="14"/>
  <c r="AG197" i="15" s="1"/>
  <c r="AK197" s="1"/>
  <c r="S225" i="14"/>
  <c r="AH195" i="15" s="1"/>
  <c r="AM195" s="1"/>
  <c r="U225" i="14"/>
  <c r="AJ195" i="15"/>
  <c r="AQ195" s="1"/>
  <c r="T223" i="14"/>
  <c r="AI193" i="15" s="1"/>
  <c r="AO193" s="1"/>
  <c r="R223" i="14"/>
  <c r="AG193" i="15" s="1"/>
  <c r="AK193" s="1"/>
  <c r="S221" i="14"/>
  <c r="AH191" i="15" s="1"/>
  <c r="AM191" s="1"/>
  <c r="U221" i="14"/>
  <c r="AJ191" i="15"/>
  <c r="AQ191" s="1"/>
  <c r="T219" i="14"/>
  <c r="AI189" i="15" s="1"/>
  <c r="AO189" s="1"/>
  <c r="R219" i="14"/>
  <c r="AG189" i="15" s="1"/>
  <c r="AK189" s="1"/>
  <c r="S217" i="14"/>
  <c r="AH187" i="15" s="1"/>
  <c r="AM187" s="1"/>
  <c r="U217" i="14"/>
  <c r="AJ187" i="15"/>
  <c r="AQ187" s="1"/>
  <c r="T215" i="14"/>
  <c r="AI185" i="15" s="1"/>
  <c r="AO185" s="1"/>
  <c r="R215" i="14"/>
  <c r="AG185" i="15" s="1"/>
  <c r="AK185" s="1"/>
  <c r="S213" i="14"/>
  <c r="AH183" i="15" s="1"/>
  <c r="AM183" s="1"/>
  <c r="U213" i="14"/>
  <c r="AJ183" i="15"/>
  <c r="AQ183" s="1"/>
  <c r="T211" i="14"/>
  <c r="AI181" i="15"/>
  <c r="AO181"/>
  <c r="R211" i="14"/>
  <c r="AG181" i="15" s="1"/>
  <c r="AK181" s="1"/>
  <c r="S209" i="14"/>
  <c r="AH179" i="15" s="1"/>
  <c r="AM179" s="1"/>
  <c r="U209" i="14"/>
  <c r="AJ179" i="15"/>
  <c r="AQ179" s="1"/>
  <c r="T207" i="14"/>
  <c r="AI177" i="15" s="1"/>
  <c r="AO177" s="1"/>
  <c r="R207" i="14"/>
  <c r="AG177" i="15" s="1"/>
  <c r="AK177" s="1"/>
  <c r="S205" i="14"/>
  <c r="AH175" i="15" s="1"/>
  <c r="AM175" s="1"/>
  <c r="U205" i="14"/>
  <c r="AJ175" i="15"/>
  <c r="AQ175" s="1"/>
  <c r="T203" i="14"/>
  <c r="AI173" i="15" s="1"/>
  <c r="AO173" s="1"/>
  <c r="R203" i="14"/>
  <c r="AG173" i="15" s="1"/>
  <c r="AK173" s="1"/>
  <c r="S201" i="14"/>
  <c r="AH171" i="15" s="1"/>
  <c r="AM171" s="1"/>
  <c r="U201" i="14"/>
  <c r="AJ171" i="15"/>
  <c r="AQ171" s="1"/>
  <c r="T199" i="14"/>
  <c r="AI169" i="15" s="1"/>
  <c r="AO169" s="1"/>
  <c r="R199" i="14"/>
  <c r="AG169" i="15" s="1"/>
  <c r="AK169" s="1"/>
  <c r="S197" i="14"/>
  <c r="AH167" i="15" s="1"/>
  <c r="AM167" s="1"/>
  <c r="U197" i="14"/>
  <c r="AJ167" i="15"/>
  <c r="AQ167" s="1"/>
  <c r="T195" i="14"/>
  <c r="AI165" i="15" s="1"/>
  <c r="AO165" s="1"/>
  <c r="R195" i="14"/>
  <c r="AG165" i="15" s="1"/>
  <c r="AK165" s="1"/>
  <c r="S193" i="14"/>
  <c r="AH163" i="15" s="1"/>
  <c r="AM163" s="1"/>
  <c r="U193" i="14"/>
  <c r="AJ163" i="15"/>
  <c r="AQ163" s="1"/>
  <c r="T191" i="14"/>
  <c r="AI161" i="15"/>
  <c r="AO161"/>
  <c r="R191" i="14"/>
  <c r="AG161" i="15" s="1"/>
  <c r="AK161" s="1"/>
  <c r="S189" i="14"/>
  <c r="AH159" i="15" s="1"/>
  <c r="AM159" s="1"/>
  <c r="U189" i="14"/>
  <c r="AJ159" i="15"/>
  <c r="AQ159" s="1"/>
  <c r="T187" i="14"/>
  <c r="AI157" i="15"/>
  <c r="AO157"/>
  <c r="R187" i="14"/>
  <c r="AG157" i="15" s="1"/>
  <c r="AK157" s="1"/>
  <c r="S185" i="14"/>
  <c r="AH155" i="15" s="1"/>
  <c r="AM155" s="1"/>
  <c r="U185" i="14"/>
  <c r="AJ155" i="15"/>
  <c r="AQ155" s="1"/>
  <c r="T183" i="14"/>
  <c r="AI153" i="15"/>
  <c r="AO153"/>
  <c r="R183" i="14"/>
  <c r="AG153" i="15" s="1"/>
  <c r="AK153" s="1"/>
  <c r="S181" i="14"/>
  <c r="AH151" i="15" s="1"/>
  <c r="AM151" s="1"/>
  <c r="U181" i="14"/>
  <c r="AJ151" i="15"/>
  <c r="AQ151" s="1"/>
  <c r="T179" i="14"/>
  <c r="AI149" i="15" s="1"/>
  <c r="AO149"/>
  <c r="R179" i="14"/>
  <c r="AG149" i="15" s="1"/>
  <c r="AK149" s="1"/>
  <c r="S177" i="14"/>
  <c r="AH147" i="15" s="1"/>
  <c r="AM147" s="1"/>
  <c r="U177" i="14"/>
  <c r="AJ147" i="15"/>
  <c r="AQ147" s="1"/>
  <c r="T175" i="14"/>
  <c r="AI145" i="15" s="1"/>
  <c r="AO145"/>
  <c r="R175" i="14"/>
  <c r="AG145" i="15" s="1"/>
  <c r="AK145" s="1"/>
  <c r="S173" i="14"/>
  <c r="AH143" i="15" s="1"/>
  <c r="AM143" s="1"/>
  <c r="U173" i="14"/>
  <c r="AJ143" i="15"/>
  <c r="AQ143" s="1"/>
  <c r="T171" i="14"/>
  <c r="AI141" i="15" s="1"/>
  <c r="AO141"/>
  <c r="R171" i="14"/>
  <c r="AG141" i="15" s="1"/>
  <c r="AK141" s="1"/>
  <c r="S169" i="14"/>
  <c r="AH139" i="15" s="1"/>
  <c r="AM139" s="1"/>
  <c r="U169" i="14"/>
  <c r="AJ139" i="15"/>
  <c r="AQ139" s="1"/>
  <c r="T167" i="14"/>
  <c r="AI137" i="15" s="1"/>
  <c r="AO137"/>
  <c r="R167" i="14"/>
  <c r="AG137" i="15" s="1"/>
  <c r="AK137" s="1"/>
  <c r="S165" i="14"/>
  <c r="AH135" i="15" s="1"/>
  <c r="AM135" s="1"/>
  <c r="U165" i="14"/>
  <c r="AJ135" i="15"/>
  <c r="AQ135" s="1"/>
  <c r="T163" i="14"/>
  <c r="AI133" i="15" s="1"/>
  <c r="AO133"/>
  <c r="R163" i="14"/>
  <c r="AG133" i="15" s="1"/>
  <c r="AK133" s="1"/>
  <c r="S161" i="14"/>
  <c r="AH131" i="15" s="1"/>
  <c r="AM131" s="1"/>
  <c r="U161" i="14"/>
  <c r="AJ131" i="15"/>
  <c r="AQ131" s="1"/>
  <c r="T159" i="14"/>
  <c r="AI129" i="15" s="1"/>
  <c r="AO129"/>
  <c r="R159" i="14"/>
  <c r="AG129" i="15" s="1"/>
  <c r="AK129" s="1"/>
  <c r="S157" i="14"/>
  <c r="AH127" i="15" s="1"/>
  <c r="AM127" s="1"/>
  <c r="U157" i="14"/>
  <c r="AJ127" i="15"/>
  <c r="AQ127" s="1"/>
  <c r="T155" i="14"/>
  <c r="AI125" i="15" s="1"/>
  <c r="AO125"/>
  <c r="R155" i="14"/>
  <c r="AG125" i="15" s="1"/>
  <c r="AK125" s="1"/>
  <c r="S153" i="14"/>
  <c r="AH123" i="15" s="1"/>
  <c r="AM123" s="1"/>
  <c r="U153" i="14"/>
  <c r="AJ123" i="15"/>
  <c r="AQ123" s="1"/>
  <c r="T151" i="14"/>
  <c r="AI121" i="15" s="1"/>
  <c r="AO121"/>
  <c r="R151" i="14"/>
  <c r="AG121" i="15" s="1"/>
  <c r="AK121" s="1"/>
  <c r="S149" i="14"/>
  <c r="AH119" i="15" s="1"/>
  <c r="AM119" s="1"/>
  <c r="U149" i="14"/>
  <c r="AJ119" i="15"/>
  <c r="AQ119" s="1"/>
  <c r="T147" i="14"/>
  <c r="AI117" i="15" s="1"/>
  <c r="AO117"/>
  <c r="R147" i="14"/>
  <c r="AG117" i="15" s="1"/>
  <c r="AK117" s="1"/>
  <c r="S145" i="14"/>
  <c r="AH115" i="15" s="1"/>
  <c r="AM115" s="1"/>
  <c r="U145" i="14"/>
  <c r="AJ115" i="15"/>
  <c r="AQ115" s="1"/>
  <c r="T143" i="14"/>
  <c r="AI113" i="15" s="1"/>
  <c r="AO113"/>
  <c r="R143" i="14"/>
  <c r="AG113" i="15" s="1"/>
  <c r="AK113" s="1"/>
  <c r="S141" i="14"/>
  <c r="AH111" i="15" s="1"/>
  <c r="AM111" s="1"/>
  <c r="U141" i="14"/>
  <c r="AJ111" i="15"/>
  <c r="AQ111" s="1"/>
  <c r="T139" i="14"/>
  <c r="AI109" i="15" s="1"/>
  <c r="AO109"/>
  <c r="R139" i="14"/>
  <c r="AG109" i="15" s="1"/>
  <c r="AK109" s="1"/>
  <c r="S137" i="14"/>
  <c r="AH107" i="15" s="1"/>
  <c r="AM107" s="1"/>
  <c r="U137" i="14"/>
  <c r="AJ107" i="15"/>
  <c r="AQ107" s="1"/>
  <c r="T135" i="14"/>
  <c r="AI105" i="15"/>
  <c r="AO105"/>
  <c r="R135" i="14"/>
  <c r="AG105" i="15" s="1"/>
  <c r="AK105" s="1"/>
  <c r="S133" i="14"/>
  <c r="AH103" i="15" s="1"/>
  <c r="AM103" s="1"/>
  <c r="U133" i="14"/>
  <c r="AJ103" i="15"/>
  <c r="AQ103" s="1"/>
  <c r="T131" i="14"/>
  <c r="AI101" i="15" s="1"/>
  <c r="AO101" s="1"/>
  <c r="R131" i="14"/>
  <c r="AG101" i="15" s="1"/>
  <c r="AK101" s="1"/>
  <c r="S129" i="14"/>
  <c r="AH99" i="15" s="1"/>
  <c r="AM99" s="1"/>
  <c r="U129" i="14"/>
  <c r="AJ99" i="15"/>
  <c r="AQ99" s="1"/>
  <c r="T127" i="14"/>
  <c r="AI97" i="15" s="1"/>
  <c r="AO97" s="1"/>
  <c r="R127" i="14"/>
  <c r="AG97" i="15" s="1"/>
  <c r="AK97" s="1"/>
  <c r="S125" i="14"/>
  <c r="AH95" i="15" s="1"/>
  <c r="AM95" s="1"/>
  <c r="U125" i="14"/>
  <c r="AJ95" i="15"/>
  <c r="AQ95" s="1"/>
  <c r="T123" i="14"/>
  <c r="AI93" i="15" s="1"/>
  <c r="AO93" s="1"/>
  <c r="R123" i="14"/>
  <c r="AG93" i="15" s="1"/>
  <c r="AK93" s="1"/>
  <c r="S121" i="14"/>
  <c r="AH91" i="15" s="1"/>
  <c r="AM91" s="1"/>
  <c r="U121" i="14"/>
  <c r="AJ91" i="15"/>
  <c r="AQ91" s="1"/>
  <c r="T119" i="14"/>
  <c r="AI89" i="15" s="1"/>
  <c r="AO89" s="1"/>
  <c r="R119" i="14"/>
  <c r="AG89" i="15" s="1"/>
  <c r="AK89" s="1"/>
  <c r="S117" i="14"/>
  <c r="AH87" i="15" s="1"/>
  <c r="AM87" s="1"/>
  <c r="U117" i="14"/>
  <c r="AJ87" i="15"/>
  <c r="AQ87" s="1"/>
  <c r="T115" i="14"/>
  <c r="AI85" i="15" s="1"/>
  <c r="AO85" s="1"/>
  <c r="R115" i="14"/>
  <c r="AG85" i="15" s="1"/>
  <c r="AK85" s="1"/>
  <c r="S113" i="14"/>
  <c r="AH83" i="15"/>
  <c r="AM83" s="1"/>
  <c r="U113" i="14"/>
  <c r="AJ83" i="15"/>
  <c r="AQ83" s="1"/>
  <c r="T111" i="14"/>
  <c r="AI81" i="15" s="1"/>
  <c r="AO81" s="1"/>
  <c r="R111" i="14"/>
  <c r="AG81" i="15" s="1"/>
  <c r="AK81" s="1"/>
  <c r="S109" i="14"/>
  <c r="AH79" i="15"/>
  <c r="AM79" s="1"/>
  <c r="U109" i="14"/>
  <c r="AJ79" i="15"/>
  <c r="AQ79" s="1"/>
  <c r="T107" i="14"/>
  <c r="AI77" i="15" s="1"/>
  <c r="AO77" s="1"/>
  <c r="R107" i="14"/>
  <c r="AG77" i="15" s="1"/>
  <c r="AK77" s="1"/>
  <c r="S105" i="14"/>
  <c r="AH75" i="15"/>
  <c r="AM75" s="1"/>
  <c r="U105" i="14"/>
  <c r="AJ75" i="15"/>
  <c r="AQ75" s="1"/>
  <c r="T103" i="14"/>
  <c r="AI73" i="15" s="1"/>
  <c r="AO73" s="1"/>
  <c r="R103" i="14"/>
  <c r="AG73" i="15" s="1"/>
  <c r="AK73" s="1"/>
  <c r="S101" i="14"/>
  <c r="AH71" i="15"/>
  <c r="AM71" s="1"/>
  <c r="U101" i="14"/>
  <c r="AJ71" i="15"/>
  <c r="AQ71" s="1"/>
  <c r="T99" i="14"/>
  <c r="AI69" i="15" s="1"/>
  <c r="AO69" s="1"/>
  <c r="R99" i="14"/>
  <c r="AG69" i="15" s="1"/>
  <c r="AK69" s="1"/>
  <c r="S97" i="14"/>
  <c r="AH67" i="15"/>
  <c r="AM67" s="1"/>
  <c r="U97" i="14"/>
  <c r="AJ67" i="15"/>
  <c r="AQ67" s="1"/>
  <c r="T95" i="14"/>
  <c r="AI65" i="15" s="1"/>
  <c r="AO65" s="1"/>
  <c r="R95" i="14"/>
  <c r="AG65" i="15" s="1"/>
  <c r="AK65" s="1"/>
  <c r="S93" i="14"/>
  <c r="AH63" i="15"/>
  <c r="AM63" s="1"/>
  <c r="U93" i="14"/>
  <c r="AJ63" i="15"/>
  <c r="AQ63" s="1"/>
  <c r="T91" i="14"/>
  <c r="AI61" i="15" s="1"/>
  <c r="AO61" s="1"/>
  <c r="R91" i="14"/>
  <c r="AG61" i="15" s="1"/>
  <c r="AK61" s="1"/>
  <c r="S89" i="14"/>
  <c r="AH59" i="15"/>
  <c r="AM59" s="1"/>
  <c r="U89" i="14"/>
  <c r="AJ59" i="15"/>
  <c r="AQ59" s="1"/>
  <c r="T87" i="14"/>
  <c r="AI57" i="15" s="1"/>
  <c r="AO57" s="1"/>
  <c r="R87" i="14"/>
  <c r="AG57" i="15" s="1"/>
  <c r="AK57" s="1"/>
  <c r="S85" i="14"/>
  <c r="AH55" i="15"/>
  <c r="AM55" s="1"/>
  <c r="U85" i="14"/>
  <c r="AJ55" i="15"/>
  <c r="AQ55" s="1"/>
  <c r="T83" i="14"/>
  <c r="AI53" i="15" s="1"/>
  <c r="AO53" s="1"/>
  <c r="R83" i="14"/>
  <c r="AG53" i="15" s="1"/>
  <c r="AK53" s="1"/>
  <c r="S81" i="14"/>
  <c r="AH51" i="15"/>
  <c r="AM51" s="1"/>
  <c r="U81" i="14"/>
  <c r="AJ51" i="15"/>
  <c r="AQ51" s="1"/>
  <c r="T79" i="14"/>
  <c r="AI49" i="15" s="1"/>
  <c r="AO49" s="1"/>
  <c r="R79" i="14"/>
  <c r="AG49" i="15" s="1"/>
  <c r="AK49" s="1"/>
  <c r="S77" i="14"/>
  <c r="AH47" i="15"/>
  <c r="AM47" s="1"/>
  <c r="U77" i="14"/>
  <c r="AJ47" i="15"/>
  <c r="AQ47" s="1"/>
  <c r="T75" i="14"/>
  <c r="AI45" i="15" s="1"/>
  <c r="AO45" s="1"/>
  <c r="R75" i="14"/>
  <c r="AG45" i="15" s="1"/>
  <c r="AK45" s="1"/>
  <c r="S73" i="14"/>
  <c r="AH43" i="15"/>
  <c r="AM43" s="1"/>
  <c r="U73" i="14"/>
  <c r="AJ43" i="15"/>
  <c r="AQ43" s="1"/>
  <c r="T71" i="14"/>
  <c r="AI41" i="15" s="1"/>
  <c r="AO41" s="1"/>
  <c r="R71" i="14"/>
  <c r="AG41" i="15" s="1"/>
  <c r="AK41" s="1"/>
  <c r="S69" i="14"/>
  <c r="AH39" i="15"/>
  <c r="AM39" s="1"/>
  <c r="U69" i="14"/>
  <c r="AJ39" i="15"/>
  <c r="AQ39" s="1"/>
  <c r="T67" i="14"/>
  <c r="AI37" i="15" s="1"/>
  <c r="AO37" s="1"/>
  <c r="R67" i="14"/>
  <c r="AG37" i="15" s="1"/>
  <c r="AK37" s="1"/>
  <c r="S65" i="14"/>
  <c r="AH35" i="15"/>
  <c r="AM35" s="1"/>
  <c r="U65" i="14"/>
  <c r="AJ35" i="15"/>
  <c r="AQ35" s="1"/>
  <c r="T63" i="14"/>
  <c r="AI33" i="15" s="1"/>
  <c r="AO33" s="1"/>
  <c r="R63" i="14"/>
  <c r="AG33" i="15"/>
  <c r="AK33" s="1"/>
  <c r="S61" i="14"/>
  <c r="AH31" i="15" s="1"/>
  <c r="AM31" s="1"/>
  <c r="U61" i="14"/>
  <c r="AJ31" i="15"/>
  <c r="AQ31" s="1"/>
  <c r="T59" i="14"/>
  <c r="AI29" i="15" s="1"/>
  <c r="AO29" s="1"/>
  <c r="R59" i="14"/>
  <c r="AG29" i="15"/>
  <c r="AK29" s="1"/>
  <c r="S57" i="14"/>
  <c r="AH27" i="15" s="1"/>
  <c r="AM27" s="1"/>
  <c r="U57" i="14"/>
  <c r="AJ27" i="15"/>
  <c r="AQ27" s="1"/>
  <c r="T55" i="14"/>
  <c r="AI25" i="15" s="1"/>
  <c r="AO25" s="1"/>
  <c r="R55" i="14"/>
  <c r="AG25" i="15"/>
  <c r="AK25" s="1"/>
  <c r="S53" i="14"/>
  <c r="AH23" i="15" s="1"/>
  <c r="AM23" s="1"/>
  <c r="U53" i="14"/>
  <c r="AJ23" i="15"/>
  <c r="AQ23" s="1"/>
  <c r="T51" i="14"/>
  <c r="AI21" i="15" s="1"/>
  <c r="AO21" s="1"/>
  <c r="R51" i="14"/>
  <c r="AG21" i="15"/>
  <c r="AK21" s="1"/>
  <c r="S49" i="14"/>
  <c r="AH19" i="15" s="1"/>
  <c r="AM19" s="1"/>
  <c r="U49" i="14"/>
  <c r="AJ19" i="15"/>
  <c r="AQ19" s="1"/>
  <c r="T47" i="14"/>
  <c r="AI17" i="15" s="1"/>
  <c r="AO17" s="1"/>
  <c r="R47" i="14"/>
  <c r="AG17" i="15"/>
  <c r="AK17" s="1"/>
  <c r="S45" i="14"/>
  <c r="AH15" i="15" s="1"/>
  <c r="AM15" s="1"/>
  <c r="U45" i="14"/>
  <c r="AJ15" i="15"/>
  <c r="AQ15" s="1"/>
  <c r="T43" i="14"/>
  <c r="AI13" i="15" s="1"/>
  <c r="AO13" s="1"/>
  <c r="R43" i="14"/>
  <c r="AG13" i="15"/>
  <c r="AK13" s="1"/>
  <c r="S41" i="14"/>
  <c r="AH11" i="15" s="1"/>
  <c r="AM11" s="1"/>
  <c r="U41" i="14"/>
  <c r="AJ11" i="15"/>
  <c r="AQ11" s="1"/>
  <c r="T39" i="14"/>
  <c r="AI9" i="15" s="1"/>
  <c r="AO9" s="1"/>
  <c r="R39" i="14"/>
  <c r="AG9" i="15"/>
  <c r="AK9" s="1"/>
  <c r="S37" i="14"/>
  <c r="AH7" i="15" s="1"/>
  <c r="AM7" s="1"/>
  <c r="U37" i="14"/>
  <c r="AJ7" i="15"/>
  <c r="AQ7" s="1"/>
  <c r="T35" i="14"/>
  <c r="AI5" i="15" s="1"/>
  <c r="AO5" s="1"/>
  <c r="R35" i="14"/>
  <c r="AG5" i="15"/>
  <c r="AK5" s="1"/>
  <c r="K334" i="14"/>
  <c r="J304" i="15" s="1"/>
  <c r="N304" s="1"/>
  <c r="M334" i="14"/>
  <c r="L304" i="15"/>
  <c r="R304" s="1"/>
  <c r="K330" i="14"/>
  <c r="J300" i="15" s="1"/>
  <c r="N300" s="1"/>
  <c r="M330" i="14"/>
  <c r="L300" i="15"/>
  <c r="R300" s="1"/>
  <c r="K326" i="14"/>
  <c r="J296" i="15" s="1"/>
  <c r="N296" s="1"/>
  <c r="M326" i="14"/>
  <c r="L296" i="15"/>
  <c r="R296" s="1"/>
  <c r="K322" i="14"/>
  <c r="J292" i="15" s="1"/>
  <c r="N292" s="1"/>
  <c r="M322" i="14"/>
  <c r="L292" i="15"/>
  <c r="R292" s="1"/>
  <c r="K318" i="14"/>
  <c r="J288" i="15" s="1"/>
  <c r="N288" s="1"/>
  <c r="M318" i="14"/>
  <c r="L288" i="15"/>
  <c r="R288" s="1"/>
  <c r="K314" i="14"/>
  <c r="J284" i="15" s="1"/>
  <c r="N284" s="1"/>
  <c r="M314" i="14"/>
  <c r="L284" i="15"/>
  <c r="R284" s="1"/>
  <c r="U108" i="14"/>
  <c r="AJ78" i="15" s="1"/>
  <c r="AQ78" s="1"/>
  <c r="S108" i="14"/>
  <c r="AH78" i="15"/>
  <c r="AM78" s="1"/>
  <c r="U104" i="14"/>
  <c r="AJ74" i="15" s="1"/>
  <c r="AQ74" s="1"/>
  <c r="S104" i="14"/>
  <c r="AH74" i="15"/>
  <c r="AM74" s="1"/>
  <c r="U100" i="14"/>
  <c r="AJ70" i="15" s="1"/>
  <c r="AQ70" s="1"/>
  <c r="S100" i="14"/>
  <c r="AH70" i="15"/>
  <c r="AM70" s="1"/>
  <c r="U96" i="14"/>
  <c r="AJ66" i="15" s="1"/>
  <c r="AQ66" s="1"/>
  <c r="S96" i="14"/>
  <c r="AH66" i="15"/>
  <c r="AM66" s="1"/>
  <c r="U92" i="14"/>
  <c r="AJ62" i="15" s="1"/>
  <c r="AQ62" s="1"/>
  <c r="S92" i="14"/>
  <c r="AH62" i="15"/>
  <c r="AM62" s="1"/>
  <c r="U88" i="14"/>
  <c r="AJ58" i="15" s="1"/>
  <c r="AQ58" s="1"/>
  <c r="S88" i="14"/>
  <c r="AH58" i="15"/>
  <c r="AM58" s="1"/>
  <c r="U84" i="14"/>
  <c r="AJ54" i="15" s="1"/>
  <c r="AQ54" s="1"/>
  <c r="S84" i="14"/>
  <c r="AH54" i="15"/>
  <c r="AM54" s="1"/>
  <c r="U80" i="14"/>
  <c r="AJ50" i="15" s="1"/>
  <c r="AQ50" s="1"/>
  <c r="S80" i="14"/>
  <c r="AH50" i="15"/>
  <c r="AM50" s="1"/>
  <c r="U76" i="14"/>
  <c r="AJ46" i="15" s="1"/>
  <c r="AQ46" s="1"/>
  <c r="S76" i="14"/>
  <c r="AH46" i="15"/>
  <c r="AM46" s="1"/>
  <c r="U72" i="14"/>
  <c r="AJ42" i="15" s="1"/>
  <c r="AQ42" s="1"/>
  <c r="S72" i="14"/>
  <c r="AH42" i="15"/>
  <c r="AM42" s="1"/>
  <c r="U68" i="14"/>
  <c r="AJ38" i="15" s="1"/>
  <c r="AQ38" s="1"/>
  <c r="S68" i="14"/>
  <c r="AH38" i="15"/>
  <c r="AM38" s="1"/>
  <c r="U64" i="14"/>
  <c r="AJ34" i="15" s="1"/>
  <c r="AQ34" s="1"/>
  <c r="S64" i="14"/>
  <c r="AH34" i="15"/>
  <c r="AM34" s="1"/>
  <c r="U60" i="14"/>
  <c r="AJ30" i="15" s="1"/>
  <c r="AQ30" s="1"/>
  <c r="S60" i="14"/>
  <c r="AH30" i="15"/>
  <c r="AM30" s="1"/>
  <c r="U56" i="14"/>
  <c r="AJ26" i="15" s="1"/>
  <c r="AQ26" s="1"/>
  <c r="S56" i="14"/>
  <c r="AH26" i="15"/>
  <c r="AM26" s="1"/>
  <c r="U52" i="14"/>
  <c r="AJ22" i="15" s="1"/>
  <c r="AQ22" s="1"/>
  <c r="S52" i="14"/>
  <c r="AH22" i="15"/>
  <c r="AM22" s="1"/>
  <c r="U48" i="14"/>
  <c r="AJ18" i="15" s="1"/>
  <c r="AQ18" s="1"/>
  <c r="S48" i="14"/>
  <c r="AH18" i="15"/>
  <c r="AM18" s="1"/>
  <c r="U44" i="14"/>
  <c r="AJ14" i="15" s="1"/>
  <c r="AQ14" s="1"/>
  <c r="S44" i="14"/>
  <c r="AH14" i="15"/>
  <c r="AM14" s="1"/>
  <c r="U40" i="14"/>
  <c r="AJ10" i="15" s="1"/>
  <c r="AQ10" s="1"/>
  <c r="S40" i="14"/>
  <c r="AH10" i="15"/>
  <c r="AM10" s="1"/>
  <c r="U36" i="14"/>
  <c r="AJ6" i="15" s="1"/>
  <c r="AQ6" s="1"/>
  <c r="S36" i="14"/>
  <c r="AH6" i="15"/>
  <c r="AM6" s="1"/>
  <c r="T34" i="14"/>
  <c r="AI4" i="15" s="1"/>
  <c r="AO4" s="1"/>
  <c r="R34" i="14"/>
  <c r="AG4" i="15"/>
  <c r="AK4" s="1"/>
  <c r="N335" i="14"/>
  <c r="M305" i="15" s="1"/>
  <c r="T305" s="1"/>
  <c r="L335" i="14"/>
  <c r="K305" i="15"/>
  <c r="P305" s="1"/>
  <c r="M333" i="14"/>
  <c r="L303" i="15" s="1"/>
  <c r="R303" s="1"/>
  <c r="K333" i="14"/>
  <c r="J303" i="15"/>
  <c r="N303" s="1"/>
  <c r="N331" i="14"/>
  <c r="M301" i="15" s="1"/>
  <c r="T301" s="1"/>
  <c r="L331" i="14"/>
  <c r="K301" i="15"/>
  <c r="P301" s="1"/>
  <c r="M329" i="14"/>
  <c r="L299" i="15" s="1"/>
  <c r="R299" s="1"/>
  <c r="K329" i="14"/>
  <c r="J299" i="15"/>
  <c r="N299" s="1"/>
  <c r="N327" i="14"/>
  <c r="M297" i="15" s="1"/>
  <c r="T297" s="1"/>
  <c r="L327" i="14"/>
  <c r="K297" i="15"/>
  <c r="P297" s="1"/>
  <c r="M325" i="14"/>
  <c r="L295" i="15" s="1"/>
  <c r="R295" s="1"/>
  <c r="K325" i="14"/>
  <c r="J295" i="15"/>
  <c r="N295" s="1"/>
  <c r="N323" i="14"/>
  <c r="M293" i="15" s="1"/>
  <c r="T293" s="1"/>
  <c r="L323" i="14"/>
  <c r="K293" i="15"/>
  <c r="P293" s="1"/>
  <c r="M321" i="14"/>
  <c r="L291" i="15" s="1"/>
  <c r="R291" s="1"/>
  <c r="K321" i="14"/>
  <c r="J291" i="15"/>
  <c r="N291" s="1"/>
  <c r="N319" i="14"/>
  <c r="M289" i="15" s="1"/>
  <c r="T289" s="1"/>
  <c r="L319" i="14"/>
  <c r="K289" i="15"/>
  <c r="P289" s="1"/>
  <c r="M317" i="14"/>
  <c r="L287" i="15" s="1"/>
  <c r="R287" s="1"/>
  <c r="K317" i="14"/>
  <c r="J287" i="15"/>
  <c r="N287" s="1"/>
  <c r="N315" i="14"/>
  <c r="M285" i="15" s="1"/>
  <c r="T285" s="1"/>
  <c r="L315" i="14"/>
  <c r="K285" i="15"/>
  <c r="P285" s="1"/>
  <c r="M313" i="14"/>
  <c r="L283" i="15" s="1"/>
  <c r="R283" s="1"/>
  <c r="K313" i="14"/>
  <c r="J283" i="15"/>
  <c r="N283" s="1"/>
  <c r="N311" i="14"/>
  <c r="M281" i="15" s="1"/>
  <c r="T281" s="1"/>
  <c r="L311" i="14"/>
  <c r="K281" i="15"/>
  <c r="P281" s="1"/>
  <c r="M309" i="14"/>
  <c r="L279" i="15" s="1"/>
  <c r="R279" s="1"/>
  <c r="K309" i="14"/>
  <c r="J279" i="15"/>
  <c r="N279" s="1"/>
  <c r="N307" i="14"/>
  <c r="M277" i="15" s="1"/>
  <c r="T277" s="1"/>
  <c r="L307" i="14"/>
  <c r="K277" i="15"/>
  <c r="P277" s="1"/>
  <c r="M305" i="14"/>
  <c r="L275" i="15" s="1"/>
  <c r="R275" s="1"/>
  <c r="K305" i="14"/>
  <c r="J275" i="15"/>
  <c r="N275" s="1"/>
  <c r="N303" i="14"/>
  <c r="M273" i="15" s="1"/>
  <c r="T273" s="1"/>
  <c r="L303" i="14"/>
  <c r="K273" i="15"/>
  <c r="P273" s="1"/>
  <c r="M301" i="14"/>
  <c r="L271" i="15" s="1"/>
  <c r="R271" s="1"/>
  <c r="K301" i="14"/>
  <c r="J271" i="15"/>
  <c r="N271" s="1"/>
  <c r="N299" i="14"/>
  <c r="M269" i="15" s="1"/>
  <c r="T269" s="1"/>
  <c r="L299" i="14"/>
  <c r="K269" i="15"/>
  <c r="P269" s="1"/>
  <c r="M297" i="14"/>
  <c r="L267" i="15" s="1"/>
  <c r="R267" s="1"/>
  <c r="K297" i="14"/>
  <c r="J267" i="15"/>
  <c r="N267" s="1"/>
  <c r="N295" i="14"/>
  <c r="M265" i="15" s="1"/>
  <c r="T265" s="1"/>
  <c r="L295" i="14"/>
  <c r="K265" i="15"/>
  <c r="P265" s="1"/>
  <c r="M293" i="14"/>
  <c r="L263" i="15" s="1"/>
  <c r="R263" s="1"/>
  <c r="K293" i="14"/>
  <c r="J263" i="15"/>
  <c r="N263" s="1"/>
  <c r="N291" i="14"/>
  <c r="M261" i="15" s="1"/>
  <c r="T261" s="1"/>
  <c r="L291" i="14"/>
  <c r="K261" i="15"/>
  <c r="P261" s="1"/>
  <c r="M289" i="14"/>
  <c r="L259" i="15" s="1"/>
  <c r="R259" s="1"/>
  <c r="K289" i="14"/>
  <c r="J259" i="15"/>
  <c r="N259" s="1"/>
  <c r="N287" i="14"/>
  <c r="M257" i="15" s="1"/>
  <c r="T257" s="1"/>
  <c r="L287" i="14"/>
  <c r="K257" i="15"/>
  <c r="P257" s="1"/>
  <c r="M285" i="14"/>
  <c r="L255" i="15" s="1"/>
  <c r="R255" s="1"/>
  <c r="K285" i="14"/>
  <c r="J255" i="15"/>
  <c r="N255" s="1"/>
  <c r="N283" i="14"/>
  <c r="M253" i="15" s="1"/>
  <c r="T253" s="1"/>
  <c r="L283" i="14"/>
  <c r="K253" i="15"/>
  <c r="P253" s="1"/>
  <c r="M281" i="14"/>
  <c r="L251" i="15" s="1"/>
  <c r="R251" s="1"/>
  <c r="K281" i="14"/>
  <c r="J251" i="15"/>
  <c r="N251" s="1"/>
  <c r="N279" i="14"/>
  <c r="M249" i="15" s="1"/>
  <c r="T249" s="1"/>
  <c r="L279" i="14"/>
  <c r="K249" i="15"/>
  <c r="P249" s="1"/>
  <c r="M277" i="14"/>
  <c r="L247" i="15" s="1"/>
  <c r="R247" s="1"/>
  <c r="K277" i="14"/>
  <c r="J247" i="15"/>
  <c r="N247" s="1"/>
  <c r="N275" i="14"/>
  <c r="M245" i="15" s="1"/>
  <c r="T245" s="1"/>
  <c r="L275" i="14"/>
  <c r="K245" i="15"/>
  <c r="P245" s="1"/>
  <c r="M273" i="14"/>
  <c r="L243" i="15" s="1"/>
  <c r="R243" s="1"/>
  <c r="K273" i="14"/>
  <c r="J243" i="15"/>
  <c r="N243" s="1"/>
  <c r="N271" i="14"/>
  <c r="M241" i="15" s="1"/>
  <c r="T241" s="1"/>
  <c r="L271" i="14"/>
  <c r="K241" i="15"/>
  <c r="P241" s="1"/>
  <c r="M269" i="14"/>
  <c r="L239" i="15" s="1"/>
  <c r="R239" s="1"/>
  <c r="K269" i="14"/>
  <c r="J239" i="15"/>
  <c r="N239" s="1"/>
  <c r="N267" i="14"/>
  <c r="M237" i="15" s="1"/>
  <c r="T237" s="1"/>
  <c r="L267" i="14"/>
  <c r="K237" i="15"/>
  <c r="P237" s="1"/>
  <c r="M265" i="14"/>
  <c r="L235" i="15" s="1"/>
  <c r="R235" s="1"/>
  <c r="K265" i="14"/>
  <c r="J235" i="15"/>
  <c r="N235" s="1"/>
  <c r="N263" i="14"/>
  <c r="M233" i="15" s="1"/>
  <c r="T233" s="1"/>
  <c r="L263" i="14"/>
  <c r="K233" i="15"/>
  <c r="P233" s="1"/>
  <c r="M261" i="14"/>
  <c r="L231" i="15" s="1"/>
  <c r="R231" s="1"/>
  <c r="K261" i="14"/>
  <c r="J231" i="15"/>
  <c r="N231" s="1"/>
  <c r="N259" i="14"/>
  <c r="M229" i="15" s="1"/>
  <c r="T229" s="1"/>
  <c r="L259" i="14"/>
  <c r="K229" i="15"/>
  <c r="P229" s="1"/>
  <c r="M257" i="14"/>
  <c r="L227" i="15" s="1"/>
  <c r="R227" s="1"/>
  <c r="K257" i="14"/>
  <c r="J227" i="15"/>
  <c r="N227" s="1"/>
  <c r="N255" i="14"/>
  <c r="M225" i="15" s="1"/>
  <c r="T225" s="1"/>
  <c r="L255" i="14"/>
  <c r="K225" i="15"/>
  <c r="P225" s="1"/>
  <c r="M253" i="14"/>
  <c r="L223" i="15" s="1"/>
  <c r="R223" s="1"/>
  <c r="K253" i="14"/>
  <c r="J223" i="15"/>
  <c r="N223" s="1"/>
  <c r="N251" i="14"/>
  <c r="M221" i="15" s="1"/>
  <c r="T221" s="1"/>
  <c r="L251" i="14"/>
  <c r="K221" i="15"/>
  <c r="P221" s="1"/>
  <c r="M249" i="14"/>
  <c r="L219" i="15" s="1"/>
  <c r="R219" s="1"/>
  <c r="K249" i="14"/>
  <c r="J219" i="15"/>
  <c r="N219" s="1"/>
  <c r="N247" i="14"/>
  <c r="M217" i="15" s="1"/>
  <c r="T217" s="1"/>
  <c r="L247" i="14"/>
  <c r="K217" i="15"/>
  <c r="P217" s="1"/>
  <c r="M245" i="14"/>
  <c r="L215" i="15" s="1"/>
  <c r="R215" s="1"/>
  <c r="K245" i="14"/>
  <c r="J215" i="15"/>
  <c r="N215" s="1"/>
  <c r="N243" i="14"/>
  <c r="M213" i="15" s="1"/>
  <c r="T213" s="1"/>
  <c r="L243" i="14"/>
  <c r="K213" i="15"/>
  <c r="P213" s="1"/>
  <c r="M241" i="14"/>
  <c r="L211" i="15" s="1"/>
  <c r="R211" s="1"/>
  <c r="K241" i="14"/>
  <c r="J211" i="15"/>
  <c r="N211" s="1"/>
  <c r="N239" i="14"/>
  <c r="M209" i="15" s="1"/>
  <c r="T209" s="1"/>
  <c r="L239" i="14"/>
  <c r="K209" i="15"/>
  <c r="P209" s="1"/>
  <c r="M237" i="14"/>
  <c r="L207" i="15" s="1"/>
  <c r="R207" s="1"/>
  <c r="K237" i="14"/>
  <c r="J207" i="15"/>
  <c r="N207" s="1"/>
  <c r="N235" i="14"/>
  <c r="M205" i="15" s="1"/>
  <c r="T205" s="1"/>
  <c r="L235" i="14"/>
  <c r="K205" i="15"/>
  <c r="P205" s="1"/>
  <c r="M233" i="14"/>
  <c r="L203" i="15" s="1"/>
  <c r="R203" s="1"/>
  <c r="K233" i="14"/>
  <c r="J203" i="15"/>
  <c r="N203" s="1"/>
  <c r="N231" i="14"/>
  <c r="M201" i="15" s="1"/>
  <c r="T201" s="1"/>
  <c r="L231" i="14"/>
  <c r="K201" i="15"/>
  <c r="P201" s="1"/>
  <c r="M229" i="14"/>
  <c r="L199" i="15" s="1"/>
  <c r="R199" s="1"/>
  <c r="K229" i="14"/>
  <c r="J199" i="15"/>
  <c r="N199" s="1"/>
  <c r="N227" i="14"/>
  <c r="M197" i="15" s="1"/>
  <c r="T197" s="1"/>
  <c r="L227" i="14"/>
  <c r="K197" i="15"/>
  <c r="P197" s="1"/>
  <c r="M225" i="14"/>
  <c r="L195" i="15" s="1"/>
  <c r="R195" s="1"/>
  <c r="K225" i="14"/>
  <c r="J195" i="15"/>
  <c r="N195" s="1"/>
  <c r="N223" i="14"/>
  <c r="M193" i="15" s="1"/>
  <c r="T193" s="1"/>
  <c r="L223" i="14"/>
  <c r="K193" i="15"/>
  <c r="P193" s="1"/>
  <c r="M221" i="14"/>
  <c r="L191" i="15" s="1"/>
  <c r="R191" s="1"/>
  <c r="K221" i="14"/>
  <c r="J191" i="15"/>
  <c r="N191" s="1"/>
  <c r="N219" i="14"/>
  <c r="M189" i="15" s="1"/>
  <c r="T189" s="1"/>
  <c r="L219" i="14"/>
  <c r="K189" i="15"/>
  <c r="P189" s="1"/>
  <c r="M217" i="14"/>
  <c r="L187" i="15" s="1"/>
  <c r="R187" s="1"/>
  <c r="K217" i="14"/>
  <c r="J187" i="15"/>
  <c r="N187" s="1"/>
  <c r="N215" i="14"/>
  <c r="M185" i="15" s="1"/>
  <c r="T185" s="1"/>
  <c r="L215" i="14"/>
  <c r="K185" i="15"/>
  <c r="P185" s="1"/>
  <c r="M213" i="14"/>
  <c r="L183" i="15" s="1"/>
  <c r="R183" s="1"/>
  <c r="K213" i="14"/>
  <c r="J183" i="15"/>
  <c r="N183" s="1"/>
  <c r="N211" i="14"/>
  <c r="M181" i="15" s="1"/>
  <c r="T181" s="1"/>
  <c r="L211" i="14"/>
  <c r="K181" i="15"/>
  <c r="P181" s="1"/>
  <c r="M209" i="14"/>
  <c r="L179" i="15" s="1"/>
  <c r="R179" s="1"/>
  <c r="K209" i="14"/>
  <c r="J179" i="15"/>
  <c r="N179" s="1"/>
  <c r="N207" i="14"/>
  <c r="M177" i="15" s="1"/>
  <c r="T177" s="1"/>
  <c r="L207" i="14"/>
  <c r="K177" i="15"/>
  <c r="P177" s="1"/>
  <c r="M205" i="14"/>
  <c r="L175" i="15" s="1"/>
  <c r="R175" s="1"/>
  <c r="K205" i="14"/>
  <c r="J175" i="15"/>
  <c r="N175" s="1"/>
  <c r="N203" i="14"/>
  <c r="M173" i="15" s="1"/>
  <c r="T173" s="1"/>
  <c r="L203" i="14"/>
  <c r="K173" i="15"/>
  <c r="P173" s="1"/>
  <c r="M201" i="14"/>
  <c r="L171" i="15" s="1"/>
  <c r="R171" s="1"/>
  <c r="K201" i="14"/>
  <c r="J171" i="15"/>
  <c r="N171" s="1"/>
  <c r="N199" i="14"/>
  <c r="M169" i="15" s="1"/>
  <c r="T169" s="1"/>
  <c r="L199" i="14"/>
  <c r="K169" i="15"/>
  <c r="P169" s="1"/>
  <c r="M197" i="14"/>
  <c r="L167" i="15" s="1"/>
  <c r="R167" s="1"/>
  <c r="K197" i="14"/>
  <c r="J167" i="15"/>
  <c r="N167" s="1"/>
  <c r="N195" i="14"/>
  <c r="M165" i="15" s="1"/>
  <c r="T165" s="1"/>
  <c r="L195" i="14"/>
  <c r="K165" i="15"/>
  <c r="P165" s="1"/>
  <c r="M193" i="14"/>
  <c r="L163" i="15" s="1"/>
  <c r="R163" s="1"/>
  <c r="K193" i="14"/>
  <c r="J163" i="15"/>
  <c r="N163" s="1"/>
  <c r="N191" i="14"/>
  <c r="M161" i="15" s="1"/>
  <c r="T161" s="1"/>
  <c r="L191" i="14"/>
  <c r="K161" i="15"/>
  <c r="P161" s="1"/>
  <c r="M189" i="14"/>
  <c r="L159" i="15" s="1"/>
  <c r="R159" s="1"/>
  <c r="K189" i="14"/>
  <c r="J159" i="15"/>
  <c r="N159" s="1"/>
  <c r="N187" i="14"/>
  <c r="M157" i="15" s="1"/>
  <c r="T157" s="1"/>
  <c r="L187" i="14"/>
  <c r="K157" i="15"/>
  <c r="P157" s="1"/>
  <c r="M185" i="14"/>
  <c r="L155" i="15" s="1"/>
  <c r="R155" s="1"/>
  <c r="K185" i="14"/>
  <c r="J155" i="15"/>
  <c r="N155" s="1"/>
  <c r="N183" i="14"/>
  <c r="M153" i="15" s="1"/>
  <c r="T153" s="1"/>
  <c r="L183" i="14"/>
  <c r="K153" i="15"/>
  <c r="P153" s="1"/>
  <c r="M181" i="14"/>
  <c r="L151" i="15" s="1"/>
  <c r="R151" s="1"/>
  <c r="K181" i="14"/>
  <c r="J151" i="15"/>
  <c r="N151" s="1"/>
  <c r="N179" i="14"/>
  <c r="M149" i="15" s="1"/>
  <c r="T149" s="1"/>
  <c r="L179" i="14"/>
  <c r="K149" i="15"/>
  <c r="P149" s="1"/>
  <c r="M177" i="14"/>
  <c r="L147" i="15" s="1"/>
  <c r="R147" s="1"/>
  <c r="K177" i="14"/>
  <c r="J147" i="15"/>
  <c r="N147" s="1"/>
  <c r="N175" i="14"/>
  <c r="M145" i="15" s="1"/>
  <c r="T145" s="1"/>
  <c r="L175" i="14"/>
  <c r="K145" i="15"/>
  <c r="P145" s="1"/>
  <c r="M173" i="14"/>
  <c r="L143" i="15" s="1"/>
  <c r="R143" s="1"/>
  <c r="K173" i="14"/>
  <c r="J143" i="15"/>
  <c r="N143" s="1"/>
  <c r="N171" i="14"/>
  <c r="M141" i="15" s="1"/>
  <c r="T141" s="1"/>
  <c r="L171" i="14"/>
  <c r="K141" i="15"/>
  <c r="P141" s="1"/>
  <c r="M169" i="14"/>
  <c r="L139" i="15" s="1"/>
  <c r="R139" s="1"/>
  <c r="K169" i="14"/>
  <c r="J139" i="15"/>
  <c r="N139" s="1"/>
  <c r="N167" i="14"/>
  <c r="M137" i="15" s="1"/>
  <c r="T137" s="1"/>
  <c r="L167" i="14"/>
  <c r="K137" i="15"/>
  <c r="P137" s="1"/>
  <c r="M165" i="14"/>
  <c r="L135" i="15" s="1"/>
  <c r="R135" s="1"/>
  <c r="K165" i="14"/>
  <c r="J135" i="15"/>
  <c r="N135" s="1"/>
  <c r="N163" i="14"/>
  <c r="M133" i="15" s="1"/>
  <c r="T133" s="1"/>
  <c r="L163" i="14"/>
  <c r="K133" i="15"/>
  <c r="P133" s="1"/>
  <c r="M161" i="14"/>
  <c r="L131" i="15" s="1"/>
  <c r="R131" s="1"/>
  <c r="K161" i="14"/>
  <c r="J131" i="15"/>
  <c r="N131" s="1"/>
  <c r="N159" i="14"/>
  <c r="M129" i="15" s="1"/>
  <c r="T129" s="1"/>
  <c r="L159" i="14"/>
  <c r="K129" i="15"/>
  <c r="P129" s="1"/>
  <c r="M157" i="14"/>
  <c r="L127" i="15" s="1"/>
  <c r="R127" s="1"/>
  <c r="K157" i="14"/>
  <c r="J127" i="15"/>
  <c r="N127" s="1"/>
  <c r="N155" i="14"/>
  <c r="M125" i="15" s="1"/>
  <c r="T125" s="1"/>
  <c r="L155" i="14"/>
  <c r="K125" i="15"/>
  <c r="P125" s="1"/>
  <c r="M153" i="14"/>
  <c r="L123" i="15" s="1"/>
  <c r="R123" s="1"/>
  <c r="K153" i="14"/>
  <c r="J123" i="15"/>
  <c r="N123" s="1"/>
  <c r="N151" i="14"/>
  <c r="M121" i="15" s="1"/>
  <c r="T121" s="1"/>
  <c r="L151" i="14"/>
  <c r="K121" i="15"/>
  <c r="P121" s="1"/>
  <c r="M149" i="14"/>
  <c r="L119" i="15" s="1"/>
  <c r="R119" s="1"/>
  <c r="K149" i="14"/>
  <c r="J119" i="15"/>
  <c r="N119" s="1"/>
  <c r="N147" i="14"/>
  <c r="M117" i="15" s="1"/>
  <c r="T117" s="1"/>
  <c r="L147" i="14"/>
  <c r="K117" i="15"/>
  <c r="P117" s="1"/>
  <c r="M145" i="14"/>
  <c r="L115" i="15" s="1"/>
  <c r="R115" s="1"/>
  <c r="K145" i="14"/>
  <c r="J115" i="15"/>
  <c r="N115" s="1"/>
  <c r="N143" i="14"/>
  <c r="M113" i="15" s="1"/>
  <c r="T113" s="1"/>
  <c r="L143" i="14"/>
  <c r="K113" i="15"/>
  <c r="P113" s="1"/>
  <c r="M141" i="14"/>
  <c r="L111" i="15" s="1"/>
  <c r="R111" s="1"/>
  <c r="K141" i="14"/>
  <c r="J111" i="15"/>
  <c r="N111" s="1"/>
  <c r="N139" i="14"/>
  <c r="M109" i="15" s="1"/>
  <c r="T109" s="1"/>
  <c r="L139" i="14"/>
  <c r="K109" i="15"/>
  <c r="P109" s="1"/>
  <c r="M137" i="14"/>
  <c r="L107" i="15" s="1"/>
  <c r="R107" s="1"/>
  <c r="K137" i="14"/>
  <c r="J107" i="15"/>
  <c r="N107" s="1"/>
  <c r="N135" i="14"/>
  <c r="M105" i="15" s="1"/>
  <c r="T105" s="1"/>
  <c r="L135" i="14"/>
  <c r="K105" i="15"/>
  <c r="P105" s="1"/>
  <c r="M133" i="14"/>
  <c r="L103" i="15" s="1"/>
  <c r="R103" s="1"/>
  <c r="K133" i="14"/>
  <c r="J103" i="15"/>
  <c r="N103" s="1"/>
  <c r="N131" i="14"/>
  <c r="M101" i="15" s="1"/>
  <c r="T101" s="1"/>
  <c r="L131" i="14"/>
  <c r="K101" i="15"/>
  <c r="P101" s="1"/>
  <c r="M129" i="14"/>
  <c r="L99" i="15" s="1"/>
  <c r="R99" s="1"/>
  <c r="K129" i="14"/>
  <c r="J99" i="15"/>
  <c r="N99" s="1"/>
  <c r="N127" i="14"/>
  <c r="M97" i="15" s="1"/>
  <c r="T97" s="1"/>
  <c r="L127" i="14"/>
  <c r="K97" i="15"/>
  <c r="P97" s="1"/>
  <c r="M125" i="14"/>
  <c r="L95" i="15" s="1"/>
  <c r="R95" s="1"/>
  <c r="K125" i="14"/>
  <c r="J95" i="15"/>
  <c r="N95" s="1"/>
  <c r="N123" i="14"/>
  <c r="M93" i="15" s="1"/>
  <c r="T93" s="1"/>
  <c r="L123" i="14"/>
  <c r="K93" i="15"/>
  <c r="P93" s="1"/>
  <c r="M121" i="14"/>
  <c r="L91" i="15" s="1"/>
  <c r="R91" s="1"/>
  <c r="K121" i="14"/>
  <c r="J91" i="15"/>
  <c r="N91" s="1"/>
  <c r="N119" i="14"/>
  <c r="M89" i="15" s="1"/>
  <c r="T89" s="1"/>
  <c r="L119" i="14"/>
  <c r="K89" i="15"/>
  <c r="P89" s="1"/>
  <c r="M117" i="14"/>
  <c r="L87" i="15" s="1"/>
  <c r="R87" s="1"/>
  <c r="K117" i="14"/>
  <c r="J87" i="15"/>
  <c r="N87" s="1"/>
  <c r="N115" i="14"/>
  <c r="M85" i="15" s="1"/>
  <c r="T85" s="1"/>
  <c r="L115" i="14"/>
  <c r="K85" i="15"/>
  <c r="P85" s="1"/>
  <c r="M113" i="14"/>
  <c r="L83" i="15" s="1"/>
  <c r="R83" s="1"/>
  <c r="K113" i="14"/>
  <c r="J83" i="15"/>
  <c r="N83" s="1"/>
  <c r="N111" i="14"/>
  <c r="M81" i="15" s="1"/>
  <c r="T81" s="1"/>
  <c r="L111" i="14"/>
  <c r="K81" i="15"/>
  <c r="P81" s="1"/>
  <c r="M109" i="14"/>
  <c r="L79" i="15" s="1"/>
  <c r="R79" s="1"/>
  <c r="K109" i="14"/>
  <c r="J79" i="15"/>
  <c r="N79" s="1"/>
  <c r="N107" i="14"/>
  <c r="M77" i="15" s="1"/>
  <c r="T77" s="1"/>
  <c r="L107" i="14"/>
  <c r="K77" i="15"/>
  <c r="P77" s="1"/>
  <c r="M105" i="14"/>
  <c r="L75" i="15" s="1"/>
  <c r="R75" s="1"/>
  <c r="K105" i="14"/>
  <c r="J75" i="15"/>
  <c r="N75" s="1"/>
  <c r="N103" i="14"/>
  <c r="M73" i="15" s="1"/>
  <c r="T73" s="1"/>
  <c r="L103" i="14"/>
  <c r="K73" i="15"/>
  <c r="P73" s="1"/>
  <c r="M101" i="14"/>
  <c r="L71" i="15" s="1"/>
  <c r="R71" s="1"/>
  <c r="K101" i="14"/>
  <c r="J71" i="15"/>
  <c r="N71" s="1"/>
  <c r="N99" i="14"/>
  <c r="M69" i="15" s="1"/>
  <c r="T69" s="1"/>
  <c r="L99" i="14"/>
  <c r="K69" i="15"/>
  <c r="P69" s="1"/>
  <c r="M97" i="14"/>
  <c r="L67" i="15" s="1"/>
  <c r="R67" s="1"/>
  <c r="K97" i="14"/>
  <c r="J67" i="15"/>
  <c r="N67" s="1"/>
  <c r="N95" i="14"/>
  <c r="M65" i="15" s="1"/>
  <c r="T65" s="1"/>
  <c r="L95" i="14"/>
  <c r="K65" i="15"/>
  <c r="P65" s="1"/>
  <c r="M93" i="14"/>
  <c r="L63" i="15" s="1"/>
  <c r="R63" s="1"/>
  <c r="K93" i="14"/>
  <c r="J63" i="15"/>
  <c r="N63" s="1"/>
  <c r="N91" i="14"/>
  <c r="M61" i="15" s="1"/>
  <c r="T61" s="1"/>
  <c r="L91" i="14"/>
  <c r="K61" i="15"/>
  <c r="P61" s="1"/>
  <c r="M89" i="14"/>
  <c r="L59" i="15" s="1"/>
  <c r="R59" s="1"/>
  <c r="K89" i="14"/>
  <c r="J59" i="15"/>
  <c r="N59" s="1"/>
  <c r="N87" i="14"/>
  <c r="M57" i="15" s="1"/>
  <c r="T57" s="1"/>
  <c r="L87" i="14"/>
  <c r="K57" i="15"/>
  <c r="P57" s="1"/>
  <c r="M85" i="14"/>
  <c r="L55" i="15" s="1"/>
  <c r="R55" s="1"/>
  <c r="K85" i="14"/>
  <c r="J55" i="15"/>
  <c r="N55" s="1"/>
  <c r="N83" i="14"/>
  <c r="M53" i="15" s="1"/>
  <c r="T53" s="1"/>
  <c r="L83" i="14"/>
  <c r="K53" i="15"/>
  <c r="P53" s="1"/>
  <c r="M81" i="14"/>
  <c r="L51" i="15" s="1"/>
  <c r="R51" s="1"/>
  <c r="K81" i="14"/>
  <c r="J51" i="15"/>
  <c r="N51" s="1"/>
  <c r="M77" i="14"/>
  <c r="L47" i="15" s="1"/>
  <c r="R47" s="1"/>
  <c r="K77" i="14"/>
  <c r="J47" i="15"/>
  <c r="N47" s="1"/>
  <c r="M61" i="14"/>
  <c r="L31" i="15" s="1"/>
  <c r="R31" s="1"/>
  <c r="K61" i="14"/>
  <c r="J31" i="15"/>
  <c r="N31" s="1"/>
  <c r="K54" i="14"/>
  <c r="J24" i="15" s="1"/>
  <c r="N24" s="1"/>
  <c r="M54" i="14"/>
  <c r="L24" i="15"/>
  <c r="R24" s="1"/>
  <c r="K50" i="14"/>
  <c r="J20" i="15" s="1"/>
  <c r="N20" s="1"/>
  <c r="M50" i="14"/>
  <c r="L20" i="15"/>
  <c r="R20" s="1"/>
  <c r="AI76" i="14"/>
  <c r="CE46" i="15" s="1"/>
  <c r="CL46" s="1"/>
  <c r="AG76" i="14"/>
  <c r="CC46" i="15"/>
  <c r="CH46" s="1"/>
  <c r="AI78" i="14"/>
  <c r="CE48" i="15" s="1"/>
  <c r="CL48" s="1"/>
  <c r="AG78" i="14"/>
  <c r="CC48" i="15"/>
  <c r="CH48" s="1"/>
  <c r="AI80" i="14"/>
  <c r="CE50" i="15" s="1"/>
  <c r="CL50" s="1"/>
  <c r="AG80" i="14"/>
  <c r="CC50" i="15"/>
  <c r="CH50" s="1"/>
  <c r="AI83" i="14"/>
  <c r="CE53" i="15" s="1"/>
  <c r="CL53" s="1"/>
  <c r="AG83" i="14"/>
  <c r="CC53" i="15"/>
  <c r="CH53" s="1"/>
  <c r="AI89" i="14"/>
  <c r="CE59" i="15" s="1"/>
  <c r="CL59" s="1"/>
  <c r="AG89" i="14"/>
  <c r="CC59" i="15"/>
  <c r="CH59" s="1"/>
  <c r="AI96" i="14"/>
  <c r="CE66" i="15" s="1"/>
  <c r="CL66" s="1"/>
  <c r="AG96" i="14"/>
  <c r="CC66" i="15"/>
  <c r="CH66" s="1"/>
  <c r="AI99" i="14"/>
  <c r="CE69" i="15" s="1"/>
  <c r="CL69" s="1"/>
  <c r="AG99" i="14"/>
  <c r="CC69" i="15"/>
  <c r="CH69" s="1"/>
  <c r="AI105" i="14"/>
  <c r="CE75" i="15" s="1"/>
  <c r="CL75" s="1"/>
  <c r="AG105" i="14"/>
  <c r="CC75" i="15"/>
  <c r="CH75" s="1"/>
  <c r="AI112" i="14"/>
  <c r="CE82" i="15" s="1"/>
  <c r="CL82" s="1"/>
  <c r="AG112" i="14"/>
  <c r="CC82" i="15"/>
  <c r="CH82" s="1"/>
  <c r="AI115" i="14"/>
  <c r="CE85" i="15" s="1"/>
  <c r="CL85" s="1"/>
  <c r="AG115" i="14"/>
  <c r="CC85" i="15"/>
  <c r="CH85" s="1"/>
  <c r="AI121" i="14"/>
  <c r="CE91" i="15" s="1"/>
  <c r="CL91" s="1"/>
  <c r="AG121" i="14"/>
  <c r="CC91" i="15"/>
  <c r="CH91" s="1"/>
  <c r="AI128" i="14"/>
  <c r="CE98" i="15" s="1"/>
  <c r="CL98" s="1"/>
  <c r="AG128" i="14"/>
  <c r="CC98" i="15"/>
  <c r="CH98" s="1"/>
  <c r="AI131" i="14"/>
  <c r="CE101" i="15" s="1"/>
  <c r="CL101" s="1"/>
  <c r="AG131" i="14"/>
  <c r="CC101" i="15"/>
  <c r="CH101" s="1"/>
  <c r="AI137" i="14"/>
  <c r="CE107" i="15" s="1"/>
  <c r="CL107" s="1"/>
  <c r="AG137" i="14"/>
  <c r="CC107" i="15"/>
  <c r="CH107" s="1"/>
  <c r="AG214" i="14"/>
  <c r="CC184" i="15" s="1"/>
  <c r="CH184" s="1"/>
  <c r="AI214" i="14"/>
  <c r="CE184" i="15"/>
  <c r="CL184" s="1"/>
  <c r="AG222" i="14"/>
  <c r="CC192" i="15" s="1"/>
  <c r="CH192" s="1"/>
  <c r="AI222" i="14"/>
  <c r="CE192" i="15"/>
  <c r="CL192" s="1"/>
  <c r="AG229" i="14"/>
  <c r="CC199" i="15" s="1"/>
  <c r="CH199" s="1"/>
  <c r="AI229" i="14"/>
  <c r="CE199" i="15"/>
  <c r="CL199" s="1"/>
  <c r="AG232" i="14"/>
  <c r="CC202" i="15" s="1"/>
  <c r="CH202" s="1"/>
  <c r="AI232" i="14"/>
  <c r="CE202" i="15"/>
  <c r="CL202" s="1"/>
  <c r="AG238" i="14"/>
  <c r="CC208" i="15" s="1"/>
  <c r="CH208" s="1"/>
  <c r="AI238" i="14"/>
  <c r="CE208" i="15"/>
  <c r="CL208" s="1"/>
  <c r="AG245" i="14"/>
  <c r="CC215" i="15" s="1"/>
  <c r="CH215" s="1"/>
  <c r="AI245" i="14"/>
  <c r="CE215" i="15"/>
  <c r="CL215" s="1"/>
  <c r="AG248" i="14"/>
  <c r="CC218" i="15" s="1"/>
  <c r="CH218" s="1"/>
  <c r="AI248" i="14"/>
  <c r="CE218" i="15"/>
  <c r="CL218" s="1"/>
  <c r="AG254" i="14"/>
  <c r="CC224" i="15" s="1"/>
  <c r="CH224" s="1"/>
  <c r="AI254" i="14"/>
  <c r="CE224" i="15"/>
  <c r="CL224" s="1"/>
  <c r="AG261" i="14"/>
  <c r="CC231" i="15" s="1"/>
  <c r="CH231" s="1"/>
  <c r="AI261" i="14"/>
  <c r="CE231" i="15"/>
  <c r="CL231" s="1"/>
  <c r="AG264" i="14"/>
  <c r="CC234" i="15" s="1"/>
  <c r="CH234" s="1"/>
  <c r="AI264" i="14"/>
  <c r="CE234" i="15"/>
  <c r="CL234" s="1"/>
  <c r="AG270" i="14"/>
  <c r="CC240" i="15" s="1"/>
  <c r="CH240" s="1"/>
  <c r="AI270" i="14"/>
  <c r="CE240" i="15"/>
  <c r="CL240" s="1"/>
  <c r="AG277" i="14"/>
  <c r="CC247" i="15" s="1"/>
  <c r="CH247" s="1"/>
  <c r="AI277" i="14"/>
  <c r="CE247" i="15"/>
  <c r="CL247" s="1"/>
  <c r="AG280" i="14"/>
  <c r="CC250" i="15" s="1"/>
  <c r="CH250" s="1"/>
  <c r="AI280" i="14"/>
  <c r="CE250" i="15"/>
  <c r="CL250" s="1"/>
  <c r="AG286" i="14"/>
  <c r="CC256" i="15" s="1"/>
  <c r="CH256" s="1"/>
  <c r="AI286" i="14"/>
  <c r="CE256" i="15"/>
  <c r="CL256" s="1"/>
  <c r="AG293" i="14"/>
  <c r="CC263" i="15" s="1"/>
  <c r="CH263" s="1"/>
  <c r="AI293" i="14"/>
  <c r="CE263" i="15"/>
  <c r="CL263" s="1"/>
  <c r="AG296" i="14"/>
  <c r="CC266" i="15" s="1"/>
  <c r="CH266" s="1"/>
  <c r="AI296" i="14"/>
  <c r="CE266" i="15"/>
  <c r="CL266" s="1"/>
  <c r="AG302" i="14"/>
  <c r="CC272" i="15" s="1"/>
  <c r="CH272" s="1"/>
  <c r="AI302" i="14"/>
  <c r="CE272" i="15"/>
  <c r="CL272" s="1"/>
  <c r="AG309" i="14"/>
  <c r="CC279" i="15" s="1"/>
  <c r="CH279" s="1"/>
  <c r="AI309" i="14"/>
  <c r="CE279" i="15"/>
  <c r="CL279" s="1"/>
  <c r="AG312" i="14"/>
  <c r="CC282" i="15" s="1"/>
  <c r="CH282" s="1"/>
  <c r="AI312" i="14"/>
  <c r="CE282" i="15"/>
  <c r="CL282" s="1"/>
  <c r="AG318" i="14"/>
  <c r="CC288" i="15" s="1"/>
  <c r="CH288" s="1"/>
  <c r="AI318" i="14"/>
  <c r="CE288" i="15"/>
  <c r="CL288" s="1"/>
  <c r="AG325" i="14"/>
  <c r="CC295" i="15" s="1"/>
  <c r="CH295" s="1"/>
  <c r="AI325" i="14"/>
  <c r="CE295" i="15"/>
  <c r="CL295" s="1"/>
  <c r="AG328" i="14"/>
  <c r="CC298" i="15" s="1"/>
  <c r="CH298" s="1"/>
  <c r="AI328" i="14"/>
  <c r="CE298" i="15"/>
  <c r="CL298" s="1"/>
  <c r="AG334" i="14"/>
  <c r="CC304" i="15" s="1"/>
  <c r="CH304" s="1"/>
  <c r="AI334" i="14"/>
  <c r="CE304" i="15"/>
  <c r="CL304" s="1"/>
  <c r="AI102" i="14"/>
  <c r="CE72" i="15" s="1"/>
  <c r="CL72" s="1"/>
  <c r="AG102" i="14"/>
  <c r="CC72" i="15"/>
  <c r="CH72" s="1"/>
  <c r="AI109" i="14"/>
  <c r="CE79" i="15" s="1"/>
  <c r="CL79" s="1"/>
  <c r="AG109" i="14"/>
  <c r="CC79" i="15"/>
  <c r="CH79" s="1"/>
  <c r="AI116" i="14"/>
  <c r="CE86" i="15" s="1"/>
  <c r="CL86" s="1"/>
  <c r="AG116" i="14"/>
  <c r="CC86" i="15"/>
  <c r="CH86" s="1"/>
  <c r="AI118" i="14"/>
  <c r="CE88" i="15" s="1"/>
  <c r="CL88" s="1"/>
  <c r="AG118" i="14"/>
  <c r="CC88" i="15"/>
  <c r="CH88" s="1"/>
  <c r="AI125" i="14"/>
  <c r="CE95" i="15" s="1"/>
  <c r="CL95" s="1"/>
  <c r="AG125" i="14"/>
  <c r="CC95" i="15"/>
  <c r="CH95" s="1"/>
  <c r="AI132" i="14"/>
  <c r="CE102" i="15" s="1"/>
  <c r="CL102" s="1"/>
  <c r="AG132" i="14"/>
  <c r="CC102" i="15"/>
  <c r="CH102" s="1"/>
  <c r="AI134" i="14"/>
  <c r="CE104" i="15" s="1"/>
  <c r="CL104" s="1"/>
  <c r="AG134" i="14"/>
  <c r="CC104" i="15"/>
  <c r="CH104" s="1"/>
  <c r="AG141" i="14"/>
  <c r="CC111" i="15" s="1"/>
  <c r="CH111" s="1"/>
  <c r="AI141" i="14"/>
  <c r="CE111" i="15"/>
  <c r="CL111" s="1"/>
  <c r="AG143" i="14"/>
  <c r="CC113" i="15" s="1"/>
  <c r="CH113" s="1"/>
  <c r="AI143" i="14"/>
  <c r="CE113" i="15"/>
  <c r="CL113" s="1"/>
  <c r="AG145" i="14"/>
  <c r="CC115" i="15" s="1"/>
  <c r="CH115" s="1"/>
  <c r="AI145" i="14"/>
  <c r="CE115" i="15"/>
  <c r="CL115" s="1"/>
  <c r="AG147" i="14"/>
  <c r="CC117" i="15" s="1"/>
  <c r="CH117" s="1"/>
  <c r="AI147" i="14"/>
  <c r="CE117" i="15"/>
  <c r="CL117" s="1"/>
  <c r="AG149" i="14"/>
  <c r="CC119" i="15" s="1"/>
  <c r="CH119" s="1"/>
  <c r="AI149" i="14"/>
  <c r="CE119" i="15"/>
  <c r="CL119" s="1"/>
  <c r="AG151" i="14"/>
  <c r="CC121" i="15" s="1"/>
  <c r="CH121" s="1"/>
  <c r="AI151" i="14"/>
  <c r="CE121" i="15"/>
  <c r="CL121" s="1"/>
  <c r="AG153" i="14"/>
  <c r="CC123" i="15" s="1"/>
  <c r="CH123" s="1"/>
  <c r="AI153" i="14"/>
  <c r="CE123" i="15"/>
  <c r="CL123" s="1"/>
  <c r="AG155" i="14"/>
  <c r="CC125" i="15" s="1"/>
  <c r="CH125" s="1"/>
  <c r="AI155" i="14"/>
  <c r="CE125" i="15"/>
  <c r="CL125" s="1"/>
  <c r="AG157" i="14"/>
  <c r="CC127" i="15" s="1"/>
  <c r="CH127" s="1"/>
  <c r="AI157" i="14"/>
  <c r="CE127" i="15"/>
  <c r="CL127" s="1"/>
  <c r="AG159" i="14"/>
  <c r="CC129" i="15" s="1"/>
  <c r="CH129" s="1"/>
  <c r="AI159" i="14"/>
  <c r="CE129" i="15"/>
  <c r="CL129" s="1"/>
  <c r="AG161" i="14"/>
  <c r="CC131" i="15" s="1"/>
  <c r="CH131" s="1"/>
  <c r="AI161" i="14"/>
  <c r="CE131" i="15"/>
  <c r="CL131" s="1"/>
  <c r="AG163" i="14"/>
  <c r="CC133" i="15" s="1"/>
  <c r="CH133" s="1"/>
  <c r="AI163" i="14"/>
  <c r="CE133" i="15"/>
  <c r="CL133" s="1"/>
  <c r="AG165" i="14"/>
  <c r="CC135" i="15" s="1"/>
  <c r="CH135" s="1"/>
  <c r="AI165" i="14"/>
  <c r="CE135" i="15"/>
  <c r="CL135" s="1"/>
  <c r="AG167" i="14"/>
  <c r="CC137" i="15" s="1"/>
  <c r="CH137" s="1"/>
  <c r="AI167" i="14"/>
  <c r="CE137" i="15"/>
  <c r="CL137" s="1"/>
  <c r="AG169" i="14"/>
  <c r="CC139" i="15" s="1"/>
  <c r="CH139" s="1"/>
  <c r="AI169" i="14"/>
  <c r="CE139" i="15"/>
  <c r="CL139" s="1"/>
  <c r="AG171" i="14"/>
  <c r="CC141" i="15" s="1"/>
  <c r="CH141" s="1"/>
  <c r="AI171" i="14"/>
  <c r="CE141" i="15"/>
  <c r="CL141" s="1"/>
  <c r="AG173" i="14"/>
  <c r="CC143" i="15" s="1"/>
  <c r="CH143" s="1"/>
  <c r="AI173" i="14"/>
  <c r="CE143" i="15"/>
  <c r="CL143" s="1"/>
  <c r="AG175" i="14"/>
  <c r="CC145" i="15" s="1"/>
  <c r="CH145" s="1"/>
  <c r="AI175" i="14"/>
  <c r="CE145" i="15"/>
  <c r="CL145" s="1"/>
  <c r="AG177" i="14"/>
  <c r="CC147" i="15" s="1"/>
  <c r="CH147" s="1"/>
  <c r="AI177" i="14"/>
  <c r="CE147" i="15"/>
  <c r="CL147" s="1"/>
  <c r="AG179" i="14"/>
  <c r="CC149" i="15" s="1"/>
  <c r="CH149" s="1"/>
  <c r="AI179" i="14"/>
  <c r="CE149" i="15"/>
  <c r="CL149" s="1"/>
  <c r="AG181" i="14"/>
  <c r="CC151" i="15" s="1"/>
  <c r="CH151" s="1"/>
  <c r="AI181" i="14"/>
  <c r="CE151" i="15"/>
  <c r="CL151" s="1"/>
  <c r="AG183" i="14"/>
  <c r="CC153" i="15" s="1"/>
  <c r="CH153" s="1"/>
  <c r="AI183" i="14"/>
  <c r="CE153" i="15"/>
  <c r="CL153" s="1"/>
  <c r="AG185" i="14"/>
  <c r="CC155" i="15" s="1"/>
  <c r="CH155" s="1"/>
  <c r="AI185" i="14"/>
  <c r="CE155" i="15"/>
  <c r="CL155" s="1"/>
  <c r="AG187" i="14"/>
  <c r="CC157" i="15" s="1"/>
  <c r="CH157" s="1"/>
  <c r="AI187" i="14"/>
  <c r="CE157" i="15"/>
  <c r="CL157" s="1"/>
  <c r="AG189" i="14"/>
  <c r="CC159" i="15" s="1"/>
  <c r="CH159" s="1"/>
  <c r="AI189" i="14"/>
  <c r="CE159" i="15"/>
  <c r="CL159" s="1"/>
  <c r="AG191" i="14"/>
  <c r="CC161" i="15" s="1"/>
  <c r="CH161" s="1"/>
  <c r="AI191" i="14"/>
  <c r="CE161" i="15"/>
  <c r="CL161" s="1"/>
  <c r="AG193" i="14"/>
  <c r="CC163" i="15" s="1"/>
  <c r="CH163" s="1"/>
  <c r="AI193" i="14"/>
  <c r="CE163" i="15"/>
  <c r="CL163" s="1"/>
  <c r="AG195" i="14"/>
  <c r="CC165" i="15" s="1"/>
  <c r="CH165" s="1"/>
  <c r="AI195" i="14"/>
  <c r="CE165" i="15"/>
  <c r="CL165" s="1"/>
  <c r="AG197" i="14"/>
  <c r="CC167" i="15" s="1"/>
  <c r="CH167" s="1"/>
  <c r="AI197" i="14"/>
  <c r="CE167" i="15"/>
  <c r="CL167" s="1"/>
  <c r="AG199" i="14"/>
  <c r="CC169" i="15" s="1"/>
  <c r="CH169" s="1"/>
  <c r="AI199" i="14"/>
  <c r="CE169" i="15"/>
  <c r="CL169" s="1"/>
  <c r="AG201" i="14"/>
  <c r="CC171" i="15" s="1"/>
  <c r="CH171" s="1"/>
  <c r="AI201" i="14"/>
  <c r="CE171" i="15"/>
  <c r="CL171" s="1"/>
  <c r="AG203" i="14"/>
  <c r="CC173" i="15" s="1"/>
  <c r="CH173" s="1"/>
  <c r="AI203" i="14"/>
  <c r="CE173" i="15"/>
  <c r="CL173" s="1"/>
  <c r="AG205" i="14"/>
  <c r="CC175" i="15" s="1"/>
  <c r="CH175" s="1"/>
  <c r="AI205" i="14"/>
  <c r="CE175" i="15"/>
  <c r="CL175" s="1"/>
  <c r="AG207" i="14"/>
  <c r="CC177" i="15" s="1"/>
  <c r="CH177" s="1"/>
  <c r="AI207" i="14"/>
  <c r="CE177" i="15"/>
  <c r="CL177" s="1"/>
  <c r="AG209" i="14"/>
  <c r="CC179" i="15" s="1"/>
  <c r="CH179" s="1"/>
  <c r="AI209" i="14"/>
  <c r="CE179" i="15"/>
  <c r="CL179" s="1"/>
  <c r="AG211" i="14"/>
  <c r="CC181" i="15" s="1"/>
  <c r="CH181" s="1"/>
  <c r="AI211" i="14"/>
  <c r="CE181" i="15"/>
  <c r="CL181" s="1"/>
  <c r="AG213" i="14"/>
  <c r="CC183" i="15" s="1"/>
  <c r="CH183" s="1"/>
  <c r="AI213" i="14"/>
  <c r="CE183" i="15"/>
  <c r="CL183" s="1"/>
  <c r="AG221" i="14"/>
  <c r="CC191" i="15" s="1"/>
  <c r="CH191" s="1"/>
  <c r="AI221" i="14"/>
  <c r="CE191" i="15"/>
  <c r="CL191" s="1"/>
  <c r="AG224" i="14"/>
  <c r="CC194" i="15" s="1"/>
  <c r="CH194" s="1"/>
  <c r="AI224" i="14"/>
  <c r="CE194" i="15"/>
  <c r="CL194" s="1"/>
  <c r="AG230" i="14"/>
  <c r="CC200" i="15" s="1"/>
  <c r="CH200" s="1"/>
  <c r="AI230" i="14"/>
  <c r="CE200" i="15"/>
  <c r="CL200" s="1"/>
  <c r="AG237" i="14"/>
  <c r="CC207" i="15" s="1"/>
  <c r="CH207" s="1"/>
  <c r="AI237" i="14"/>
  <c r="CE207" i="15"/>
  <c r="CL207" s="1"/>
  <c r="AG240" i="14"/>
  <c r="CC210" i="15" s="1"/>
  <c r="CH210" s="1"/>
  <c r="AI240" i="14"/>
  <c r="CE210" i="15"/>
  <c r="CL210" s="1"/>
  <c r="AG246" i="14"/>
  <c r="CC216" i="15" s="1"/>
  <c r="CH216" s="1"/>
  <c r="AI246" i="14"/>
  <c r="CE216" i="15"/>
  <c r="CL216" s="1"/>
  <c r="AG253" i="14"/>
  <c r="CC223" i="15" s="1"/>
  <c r="CH223" s="1"/>
  <c r="AI253" i="14"/>
  <c r="CE223" i="15"/>
  <c r="CL223" s="1"/>
  <c r="AG256" i="14"/>
  <c r="CC226" i="15" s="1"/>
  <c r="CH226" s="1"/>
  <c r="AI256" i="14"/>
  <c r="CE226" i="15"/>
  <c r="CL226" s="1"/>
  <c r="AG262" i="14"/>
  <c r="CC232" i="15" s="1"/>
  <c r="CH232" s="1"/>
  <c r="AI262" i="14"/>
  <c r="CE232" i="15"/>
  <c r="CL232" s="1"/>
  <c r="AG269" i="14"/>
  <c r="CC239" i="15" s="1"/>
  <c r="CH239" s="1"/>
  <c r="AI269" i="14"/>
  <c r="CE239" i="15"/>
  <c r="CL239" s="1"/>
  <c r="AG272" i="14"/>
  <c r="CC242" i="15" s="1"/>
  <c r="CH242" s="1"/>
  <c r="AI272" i="14"/>
  <c r="CE242" i="15"/>
  <c r="CL242" s="1"/>
  <c r="AG278" i="14"/>
  <c r="CC248" i="15" s="1"/>
  <c r="CH248" s="1"/>
  <c r="AI278" i="14"/>
  <c r="CE248" i="15"/>
  <c r="CL248" s="1"/>
  <c r="AG285" i="14"/>
  <c r="CC255" i="15" s="1"/>
  <c r="CH255" s="1"/>
  <c r="AI285" i="14"/>
  <c r="CE255" i="15"/>
  <c r="CL255" s="1"/>
  <c r="AG288" i="14"/>
  <c r="CC258" i="15" s="1"/>
  <c r="CH258" s="1"/>
  <c r="AI288" i="14"/>
  <c r="CE258" i="15"/>
  <c r="CL258" s="1"/>
  <c r="AG294" i="14"/>
  <c r="CC264" i="15" s="1"/>
  <c r="CH264" s="1"/>
  <c r="AI294" i="14"/>
  <c r="CE264" i="15"/>
  <c r="CL264" s="1"/>
  <c r="AG301" i="14"/>
  <c r="CC271" i="15" s="1"/>
  <c r="CH271" s="1"/>
  <c r="AI301" i="14"/>
  <c r="CE271" i="15"/>
  <c r="CL271" s="1"/>
  <c r="AG304" i="14"/>
  <c r="CC274" i="15" s="1"/>
  <c r="CH274" s="1"/>
  <c r="AI304" i="14"/>
  <c r="CE274" i="15"/>
  <c r="CL274" s="1"/>
  <c r="AG310" i="14"/>
  <c r="CC280" i="15" s="1"/>
  <c r="CH280" s="1"/>
  <c r="AI310" i="14"/>
  <c r="CE280" i="15"/>
  <c r="CL280" s="1"/>
  <c r="AG317" i="14"/>
  <c r="CC287" i="15" s="1"/>
  <c r="CH287" s="1"/>
  <c r="AI317" i="14"/>
  <c r="CE287" i="15"/>
  <c r="CL287" s="1"/>
  <c r="AG320" i="14"/>
  <c r="CC290" i="15" s="1"/>
  <c r="CH290" s="1"/>
  <c r="AI320" i="14"/>
  <c r="CE290" i="15"/>
  <c r="CL290" s="1"/>
  <c r="AG326" i="14"/>
  <c r="CC296" i="15" s="1"/>
  <c r="CH296" s="1"/>
  <c r="AI326" i="14"/>
  <c r="CE296" i="15"/>
  <c r="CL296" s="1"/>
  <c r="AG333" i="14"/>
  <c r="CC303" i="15" s="1"/>
  <c r="CH303" s="1"/>
  <c r="AI333" i="14"/>
  <c r="CE303" i="15"/>
  <c r="CL303" s="1"/>
  <c r="AG336" i="14"/>
  <c r="CC306" i="15" s="1"/>
  <c r="CH306" s="1"/>
  <c r="AI336" i="14"/>
  <c r="CE306" i="15"/>
  <c r="CL306" s="1"/>
  <c r="K310" i="14"/>
  <c r="J280" i="15" s="1"/>
  <c r="N280" s="1"/>
  <c r="M310" i="14"/>
  <c r="L280" i="15"/>
  <c r="R280" s="1"/>
  <c r="K306" i="14"/>
  <c r="J276" i="15" s="1"/>
  <c r="N276" s="1"/>
  <c r="M306" i="14"/>
  <c r="L276" i="15"/>
  <c r="R276" s="1"/>
  <c r="K302" i="14"/>
  <c r="J272" i="15" s="1"/>
  <c r="N272" s="1"/>
  <c r="M302" i="14"/>
  <c r="L272" i="15"/>
  <c r="R272" s="1"/>
  <c r="K298" i="14"/>
  <c r="J268" i="15" s="1"/>
  <c r="N268" s="1"/>
  <c r="M298" i="14"/>
  <c r="L268" i="15"/>
  <c r="R268" s="1"/>
  <c r="K294" i="14"/>
  <c r="J264" i="15" s="1"/>
  <c r="N264" s="1"/>
  <c r="M294" i="14"/>
  <c r="L264" i="15"/>
  <c r="R264" s="1"/>
  <c r="K290" i="14"/>
  <c r="J260" i="15" s="1"/>
  <c r="N260" s="1"/>
  <c r="M290" i="14"/>
  <c r="L260" i="15"/>
  <c r="R260" s="1"/>
  <c r="K286" i="14"/>
  <c r="J256" i="15" s="1"/>
  <c r="N256" s="1"/>
  <c r="M286" i="14"/>
  <c r="L256" i="15"/>
  <c r="R256" s="1"/>
  <c r="K282" i="14"/>
  <c r="J252" i="15" s="1"/>
  <c r="N252" s="1"/>
  <c r="M282" i="14"/>
  <c r="L252" i="15"/>
  <c r="R252" s="1"/>
  <c r="K278" i="14"/>
  <c r="J248" i="15" s="1"/>
  <c r="N248" s="1"/>
  <c r="M278" i="14"/>
  <c r="L248" i="15"/>
  <c r="R248" s="1"/>
  <c r="K274" i="14"/>
  <c r="J244" i="15" s="1"/>
  <c r="N244" s="1"/>
  <c r="M274" i="14"/>
  <c r="L244" i="15"/>
  <c r="R244" s="1"/>
  <c r="K270" i="14"/>
  <c r="J240" i="15" s="1"/>
  <c r="N240" s="1"/>
  <c r="M270" i="14"/>
  <c r="L240" i="15"/>
  <c r="R240" s="1"/>
  <c r="K266" i="14"/>
  <c r="J236" i="15" s="1"/>
  <c r="N236" s="1"/>
  <c r="M266" i="14"/>
  <c r="L236" i="15"/>
  <c r="R236" s="1"/>
  <c r="K262" i="14"/>
  <c r="J232" i="15" s="1"/>
  <c r="N232" s="1"/>
  <c r="M262" i="14"/>
  <c r="L232" i="15"/>
  <c r="R232" s="1"/>
  <c r="K258" i="14"/>
  <c r="J228" i="15" s="1"/>
  <c r="N228" s="1"/>
  <c r="M258" i="14"/>
  <c r="L228" i="15"/>
  <c r="R228" s="1"/>
  <c r="K254" i="14"/>
  <c r="J224" i="15" s="1"/>
  <c r="N224" s="1"/>
  <c r="M254" i="14"/>
  <c r="L224" i="15"/>
  <c r="R224" s="1"/>
  <c r="K250" i="14"/>
  <c r="J220" i="15" s="1"/>
  <c r="N220" s="1"/>
  <c r="M250" i="14"/>
  <c r="L220" i="15"/>
  <c r="R220" s="1"/>
  <c r="K246" i="14"/>
  <c r="J216" i="15" s="1"/>
  <c r="N216" s="1"/>
  <c r="M246" i="14"/>
  <c r="L216" i="15"/>
  <c r="R216" s="1"/>
  <c r="K242" i="14"/>
  <c r="J212" i="15" s="1"/>
  <c r="N212" s="1"/>
  <c r="M242" i="14"/>
  <c r="L212" i="15"/>
  <c r="R212" s="1"/>
  <c r="K238" i="14"/>
  <c r="J208" i="15" s="1"/>
  <c r="N208" s="1"/>
  <c r="M238" i="14"/>
  <c r="L208" i="15"/>
  <c r="R208" s="1"/>
  <c r="K234" i="14"/>
  <c r="J204" i="15" s="1"/>
  <c r="N204" s="1"/>
  <c r="M234" i="14"/>
  <c r="L204" i="15"/>
  <c r="R204" s="1"/>
  <c r="K230" i="14"/>
  <c r="J200" i="15" s="1"/>
  <c r="N200" s="1"/>
  <c r="M230" i="14"/>
  <c r="L200" i="15"/>
  <c r="R200" s="1"/>
  <c r="K226" i="14"/>
  <c r="J196" i="15" s="1"/>
  <c r="N196" s="1"/>
  <c r="M226" i="14"/>
  <c r="L196" i="15"/>
  <c r="R196" s="1"/>
  <c r="K222" i="14"/>
  <c r="J192" i="15" s="1"/>
  <c r="N192" s="1"/>
  <c r="M222" i="14"/>
  <c r="L192" i="15"/>
  <c r="R192" s="1"/>
  <c r="K218" i="14"/>
  <c r="J188" i="15" s="1"/>
  <c r="N188" s="1"/>
  <c r="M218" i="14"/>
  <c r="L188" i="15"/>
  <c r="R188" s="1"/>
  <c r="K214" i="14"/>
  <c r="J184" i="15" s="1"/>
  <c r="N184" s="1"/>
  <c r="M214" i="14"/>
  <c r="L184" i="15"/>
  <c r="R184" s="1"/>
  <c r="K210" i="14"/>
  <c r="J180" i="15" s="1"/>
  <c r="N180" s="1"/>
  <c r="M210" i="14"/>
  <c r="L180" i="15"/>
  <c r="R180" s="1"/>
  <c r="K206" i="14"/>
  <c r="J176" i="15" s="1"/>
  <c r="N176" s="1"/>
  <c r="M206" i="14"/>
  <c r="L176" i="15"/>
  <c r="R176" s="1"/>
  <c r="K202" i="14"/>
  <c r="J172" i="15" s="1"/>
  <c r="N172" s="1"/>
  <c r="M202" i="14"/>
  <c r="L172" i="15"/>
  <c r="R172" s="1"/>
  <c r="K198" i="14"/>
  <c r="J168" i="15" s="1"/>
  <c r="N168" s="1"/>
  <c r="M198" i="14"/>
  <c r="L168" i="15"/>
  <c r="R168" s="1"/>
  <c r="K194" i="14"/>
  <c r="J164" i="15" s="1"/>
  <c r="N164" s="1"/>
  <c r="M194" i="14"/>
  <c r="L164" i="15"/>
  <c r="R164" s="1"/>
  <c r="K190" i="14"/>
  <c r="J160" i="15" s="1"/>
  <c r="N160" s="1"/>
  <c r="M190" i="14"/>
  <c r="L160" i="15"/>
  <c r="R160" s="1"/>
  <c r="K186" i="14"/>
  <c r="J156" i="15" s="1"/>
  <c r="N156" s="1"/>
  <c r="M186" i="14"/>
  <c r="L156" i="15"/>
  <c r="R156" s="1"/>
  <c r="K182" i="14"/>
  <c r="J152" i="15" s="1"/>
  <c r="N152" s="1"/>
  <c r="M182" i="14"/>
  <c r="L152" i="15"/>
  <c r="R152" s="1"/>
  <c r="K178" i="14"/>
  <c r="J148" i="15" s="1"/>
  <c r="N148" s="1"/>
  <c r="M178" i="14"/>
  <c r="L148" i="15"/>
  <c r="R148" s="1"/>
  <c r="K174" i="14"/>
  <c r="J144" i="15" s="1"/>
  <c r="N144" s="1"/>
  <c r="M174" i="14"/>
  <c r="L144" i="15"/>
  <c r="R144" s="1"/>
  <c r="K170" i="14"/>
  <c r="J140" i="15" s="1"/>
  <c r="N140" s="1"/>
  <c r="M170" i="14"/>
  <c r="L140" i="15"/>
  <c r="R140" s="1"/>
  <c r="K166" i="14"/>
  <c r="J136" i="15" s="1"/>
  <c r="N136" s="1"/>
  <c r="M166" i="14"/>
  <c r="L136" i="15"/>
  <c r="R136" s="1"/>
  <c r="K162" i="14"/>
  <c r="J132" i="15" s="1"/>
  <c r="N132" s="1"/>
  <c r="M162" i="14"/>
  <c r="L132" i="15"/>
  <c r="R132" s="1"/>
  <c r="K158" i="14"/>
  <c r="J128" i="15" s="1"/>
  <c r="N128" s="1"/>
  <c r="M158" i="14"/>
  <c r="L128" i="15"/>
  <c r="R128" s="1"/>
  <c r="K154" i="14"/>
  <c r="J124" i="15" s="1"/>
  <c r="N124" s="1"/>
  <c r="M154" i="14"/>
  <c r="L124" i="15"/>
  <c r="R124" s="1"/>
  <c r="K150" i="14"/>
  <c r="J120" i="15" s="1"/>
  <c r="N120" s="1"/>
  <c r="M150" i="14"/>
  <c r="L120" i="15"/>
  <c r="R120" s="1"/>
  <c r="K146" i="14"/>
  <c r="J116" i="15" s="1"/>
  <c r="N116" s="1"/>
  <c r="M146" i="14"/>
  <c r="L116" i="15"/>
  <c r="R116" s="1"/>
  <c r="K142" i="14"/>
  <c r="J112" i="15" s="1"/>
  <c r="N112" s="1"/>
  <c r="M142" i="14"/>
  <c r="L112" i="15"/>
  <c r="R112" s="1"/>
  <c r="K138" i="14"/>
  <c r="J108" i="15" s="1"/>
  <c r="N108" s="1"/>
  <c r="M138" i="14"/>
  <c r="L108" i="15"/>
  <c r="R108" s="1"/>
  <c r="K134" i="14"/>
  <c r="J104" i="15" s="1"/>
  <c r="N104" s="1"/>
  <c r="M134" i="14"/>
  <c r="L104" i="15"/>
  <c r="R104" s="1"/>
  <c r="K130" i="14"/>
  <c r="J100" i="15" s="1"/>
  <c r="N100" s="1"/>
  <c r="M130" i="14"/>
  <c r="L100" i="15"/>
  <c r="R100" s="1"/>
  <c r="K126" i="14"/>
  <c r="J96" i="15" s="1"/>
  <c r="N96" s="1"/>
  <c r="M126" i="14"/>
  <c r="L96" i="15"/>
  <c r="R96" s="1"/>
  <c r="K122" i="14"/>
  <c r="J92" i="15" s="1"/>
  <c r="N92" s="1"/>
  <c r="M122" i="14"/>
  <c r="L92" i="15"/>
  <c r="R92" s="1"/>
  <c r="K118" i="14"/>
  <c r="J88" i="15" s="1"/>
  <c r="N88" s="1"/>
  <c r="M118" i="14"/>
  <c r="L88" i="15"/>
  <c r="R88" s="1"/>
  <c r="K114" i="14"/>
  <c r="J84" i="15" s="1"/>
  <c r="N84" s="1"/>
  <c r="M114" i="14"/>
  <c r="L84" i="15"/>
  <c r="R84" s="1"/>
  <c r="K110" i="14"/>
  <c r="J80" i="15" s="1"/>
  <c r="N80" s="1"/>
  <c r="M110" i="14"/>
  <c r="L80" i="15"/>
  <c r="R80" s="1"/>
  <c r="K106" i="14"/>
  <c r="J76" i="15" s="1"/>
  <c r="N76" s="1"/>
  <c r="M106" i="14"/>
  <c r="L76" i="15"/>
  <c r="R76" s="1"/>
  <c r="K102" i="14"/>
  <c r="J72" i="15" s="1"/>
  <c r="N72" s="1"/>
  <c r="M102" i="14"/>
  <c r="L72" i="15"/>
  <c r="R72" s="1"/>
  <c r="K98" i="14"/>
  <c r="J68" i="15" s="1"/>
  <c r="N68" s="1"/>
  <c r="M98" i="14"/>
  <c r="L68" i="15"/>
  <c r="R68" s="1"/>
  <c r="K94" i="14"/>
  <c r="J64" i="15" s="1"/>
  <c r="N64" s="1"/>
  <c r="M94" i="14"/>
  <c r="L64" i="15"/>
  <c r="R64" s="1"/>
  <c r="K90" i="14"/>
  <c r="J60" i="15" s="1"/>
  <c r="N60" s="1"/>
  <c r="M90" i="14"/>
  <c r="L60" i="15"/>
  <c r="R60" s="1"/>
  <c r="K86" i="14"/>
  <c r="J56" i="15" s="1"/>
  <c r="N56" s="1"/>
  <c r="M86" i="14"/>
  <c r="L56" i="15"/>
  <c r="R56" s="1"/>
  <c r="K82" i="14"/>
  <c r="J52" i="15" s="1"/>
  <c r="N52" s="1"/>
  <c r="M82" i="14"/>
  <c r="L52" i="15"/>
  <c r="R52" s="1"/>
  <c r="K78" i="14"/>
  <c r="J48" i="15" s="1"/>
  <c r="N48" s="1"/>
  <c r="M78" i="14"/>
  <c r="L48" i="15"/>
  <c r="R48" s="1"/>
  <c r="M73" i="14"/>
  <c r="L43" i="15" s="1"/>
  <c r="R43" s="1"/>
  <c r="K73" i="14"/>
  <c r="J43" i="15"/>
  <c r="N43" s="1"/>
  <c r="K70" i="14"/>
  <c r="J40" i="15" s="1"/>
  <c r="N40" s="1"/>
  <c r="M70" i="14"/>
  <c r="L40" i="15"/>
  <c r="R40" s="1"/>
  <c r="K62" i="14"/>
  <c r="J32" i="15" s="1"/>
  <c r="N32" s="1"/>
  <c r="M62" i="14"/>
  <c r="L32" i="15"/>
  <c r="R32" s="1"/>
  <c r="M53" i="14"/>
  <c r="L23" i="15" s="1"/>
  <c r="R23" s="1"/>
  <c r="K53" i="14"/>
  <c r="J23" i="15"/>
  <c r="N23" s="1"/>
  <c r="M37" i="14"/>
  <c r="L7" i="15" s="1"/>
  <c r="R7" s="1"/>
  <c r="K37" i="14"/>
  <c r="J7" i="15"/>
  <c r="N7" s="1"/>
  <c r="AI77" i="14"/>
  <c r="CE47" i="15" s="1"/>
  <c r="CL47" s="1"/>
  <c r="AG77" i="14"/>
  <c r="CC47" i="15"/>
  <c r="CH47" s="1"/>
  <c r="AI79" i="14"/>
  <c r="CE49" i="15" s="1"/>
  <c r="CL49" s="1"/>
  <c r="AG79" i="14"/>
  <c r="CC49" i="15"/>
  <c r="CH49" s="1"/>
  <c r="AI81" i="14"/>
  <c r="CE51" i="15" s="1"/>
  <c r="CL51" s="1"/>
  <c r="AG81" i="14"/>
  <c r="CC51" i="15"/>
  <c r="CH51" s="1"/>
  <c r="AI88" i="14"/>
  <c r="CE58" i="15" s="1"/>
  <c r="CL58" s="1"/>
  <c r="AG88" i="14"/>
  <c r="CC58" i="15"/>
  <c r="CH58" s="1"/>
  <c r="AI91" i="14"/>
  <c r="CE61" i="15" s="1"/>
  <c r="CL61" s="1"/>
  <c r="AG91" i="14"/>
  <c r="CC61" i="15"/>
  <c r="CH61" s="1"/>
  <c r="AI97" i="14"/>
  <c r="CE67" i="15" s="1"/>
  <c r="CL67" s="1"/>
  <c r="AG97" i="14"/>
  <c r="CC67" i="15"/>
  <c r="CH67" s="1"/>
  <c r="AI104" i="14"/>
  <c r="CE74" i="15" s="1"/>
  <c r="CL74" s="1"/>
  <c r="AG104" i="14"/>
  <c r="CC74" i="15"/>
  <c r="CH74" s="1"/>
  <c r="AI107" i="14"/>
  <c r="CE77" i="15" s="1"/>
  <c r="CL77" s="1"/>
  <c r="AG107" i="14"/>
  <c r="CC77" i="15"/>
  <c r="CH77" s="1"/>
  <c r="AI113" i="14"/>
  <c r="CE83" i="15" s="1"/>
  <c r="CL83" s="1"/>
  <c r="AG113" i="14"/>
  <c r="CC83" i="15"/>
  <c r="CH83" s="1"/>
  <c r="AI120" i="14"/>
  <c r="CE90" i="15" s="1"/>
  <c r="CL90" s="1"/>
  <c r="AG120" i="14"/>
  <c r="CC90" i="15"/>
  <c r="CH90" s="1"/>
  <c r="AI123" i="14"/>
  <c r="CE93" i="15" s="1"/>
  <c r="CL93" s="1"/>
  <c r="AG123" i="14"/>
  <c r="CC93" i="15"/>
  <c r="CH93" s="1"/>
  <c r="AI129" i="14"/>
  <c r="CE99" i="15" s="1"/>
  <c r="CL99" s="1"/>
  <c r="AG129" i="14"/>
  <c r="CC99" i="15"/>
  <c r="CH99" s="1"/>
  <c r="AI136" i="14"/>
  <c r="CE106" i="15" s="1"/>
  <c r="CL106" s="1"/>
  <c r="AG136" i="14"/>
  <c r="CC106" i="15"/>
  <c r="CH106" s="1"/>
  <c r="AI139" i="14"/>
  <c r="CE109" i="15" s="1"/>
  <c r="CL109" s="1"/>
  <c r="AG139" i="14"/>
  <c r="CC109" i="15"/>
  <c r="CH109" s="1"/>
  <c r="AG216" i="14"/>
  <c r="CC186" i="15" s="1"/>
  <c r="CH186" s="1"/>
  <c r="AI216" i="14"/>
  <c r="CE186" i="15"/>
  <c r="CL186" s="1"/>
  <c r="AG220" i="14"/>
  <c r="CC190" i="15" s="1"/>
  <c r="CH190" s="1"/>
  <c r="AI220" i="14"/>
  <c r="CE190" i="15"/>
  <c r="CL190" s="1"/>
  <c r="AG227" i="14"/>
  <c r="CC197" i="15" s="1"/>
  <c r="CH197" s="1"/>
  <c r="AI227" i="14"/>
  <c r="CE197" i="15"/>
  <c r="CL197" s="1"/>
  <c r="AG231" i="14"/>
  <c r="CC201" i="15" s="1"/>
  <c r="CH201" s="1"/>
  <c r="AI231" i="14"/>
  <c r="CE201" i="15"/>
  <c r="CL201" s="1"/>
  <c r="AG236" i="14"/>
  <c r="CC206" i="15" s="1"/>
  <c r="CH206" s="1"/>
  <c r="AI236" i="14"/>
  <c r="CE206" i="15"/>
  <c r="CL206" s="1"/>
  <c r="AG243" i="14"/>
  <c r="CC213" i="15" s="1"/>
  <c r="CH213" s="1"/>
  <c r="AI243" i="14"/>
  <c r="CE213" i="15"/>
  <c r="CL213" s="1"/>
  <c r="AG247" i="14"/>
  <c r="CC217" i="15" s="1"/>
  <c r="CH217" s="1"/>
  <c r="AI247" i="14"/>
  <c r="CE217" i="15"/>
  <c r="CL217" s="1"/>
  <c r="AG252" i="14"/>
  <c r="CC222" i="15" s="1"/>
  <c r="CH222" s="1"/>
  <c r="AI252" i="14"/>
  <c r="CE222" i="15"/>
  <c r="CL222" s="1"/>
  <c r="AG259" i="14"/>
  <c r="CC229" i="15" s="1"/>
  <c r="CH229" s="1"/>
  <c r="AI259" i="14"/>
  <c r="CE229" i="15"/>
  <c r="CL229" s="1"/>
  <c r="AG263" i="14"/>
  <c r="CC233" i="15" s="1"/>
  <c r="CH233" s="1"/>
  <c r="AI263" i="14"/>
  <c r="CE233" i="15"/>
  <c r="CL233" s="1"/>
  <c r="AG268" i="14"/>
  <c r="CC238" i="15" s="1"/>
  <c r="CH238" s="1"/>
  <c r="AI268" i="14"/>
  <c r="CE238" i="15"/>
  <c r="CL238" s="1"/>
  <c r="AG275" i="14"/>
  <c r="CC245" i="15" s="1"/>
  <c r="CH245" s="1"/>
  <c r="AI275" i="14"/>
  <c r="CE245" i="15"/>
  <c r="CL245" s="1"/>
  <c r="AG279" i="14"/>
  <c r="CC249" i="15" s="1"/>
  <c r="CH249" s="1"/>
  <c r="AI279" i="14"/>
  <c r="CE249" i="15"/>
  <c r="CL249" s="1"/>
  <c r="AG284" i="14"/>
  <c r="CC254" i="15" s="1"/>
  <c r="CH254" s="1"/>
  <c r="AI284" i="14"/>
  <c r="CE254" i="15"/>
  <c r="CL254" s="1"/>
  <c r="AG291" i="14"/>
  <c r="CC261" i="15" s="1"/>
  <c r="CH261" s="1"/>
  <c r="AI291" i="14"/>
  <c r="CE261" i="15"/>
  <c r="CL261" s="1"/>
  <c r="AG295" i="14"/>
  <c r="CC265" i="15" s="1"/>
  <c r="CH265" s="1"/>
  <c r="AI295" i="14"/>
  <c r="CE265" i="15"/>
  <c r="CL265" s="1"/>
  <c r="AG300" i="14"/>
  <c r="CC270" i="15" s="1"/>
  <c r="CH270" s="1"/>
  <c r="AI300" i="14"/>
  <c r="CE270" i="15"/>
  <c r="CL270" s="1"/>
  <c r="AG307" i="14"/>
  <c r="CC277" i="15" s="1"/>
  <c r="CH277" s="1"/>
  <c r="AI307" i="14"/>
  <c r="CE277" i="15"/>
  <c r="CL277" s="1"/>
  <c r="AG311" i="14"/>
  <c r="CC281" i="15" s="1"/>
  <c r="CH281" s="1"/>
  <c r="AI311" i="14"/>
  <c r="CE281" i="15"/>
  <c r="CL281" s="1"/>
  <c r="AG316" i="14"/>
  <c r="CC286" i="15" s="1"/>
  <c r="CH286" s="1"/>
  <c r="AI316" i="14"/>
  <c r="CE286" i="15"/>
  <c r="CL286" s="1"/>
  <c r="AG323" i="14"/>
  <c r="CC293" i="15" s="1"/>
  <c r="CH293" s="1"/>
  <c r="AI323" i="14"/>
  <c r="CE293" i="15"/>
  <c r="CL293" s="1"/>
  <c r="AG327" i="14"/>
  <c r="CC297" i="15" s="1"/>
  <c r="CH297" s="1"/>
  <c r="AI327" i="14"/>
  <c r="CE297" i="15"/>
  <c r="CL297" s="1"/>
  <c r="AG332" i="14"/>
  <c r="CC302" i="15" s="1"/>
  <c r="CH302" s="1"/>
  <c r="AI332" i="14"/>
  <c r="CE302" i="15"/>
  <c r="CL302" s="1"/>
  <c r="AI101" i="14"/>
  <c r="CE71" i="15" s="1"/>
  <c r="CL71" s="1"/>
  <c r="AG101" i="14"/>
  <c r="CC71" i="15"/>
  <c r="CH71" s="1"/>
  <c r="AI108" i="14"/>
  <c r="CE78" i="15" s="1"/>
  <c r="CL78" s="1"/>
  <c r="AG108" i="14"/>
  <c r="CC78" i="15"/>
  <c r="CH78" s="1"/>
  <c r="AI110" i="14"/>
  <c r="CE80" i="15" s="1"/>
  <c r="CL80" s="1"/>
  <c r="AG110" i="14"/>
  <c r="CC80" i="15"/>
  <c r="CH80" s="1"/>
  <c r="AI117" i="14"/>
  <c r="CE87" i="15" s="1"/>
  <c r="CL87" s="1"/>
  <c r="AG117" i="14"/>
  <c r="CC87" i="15"/>
  <c r="CH87" s="1"/>
  <c r="AI124" i="14"/>
  <c r="CE94" i="15" s="1"/>
  <c r="CL94" s="1"/>
  <c r="AG124" i="14"/>
  <c r="CC94" i="15"/>
  <c r="CH94" s="1"/>
  <c r="AI126" i="14"/>
  <c r="CE96" i="15" s="1"/>
  <c r="CL96" s="1"/>
  <c r="AG126" i="14"/>
  <c r="CC96" i="15"/>
  <c r="CH96" s="1"/>
  <c r="AI133" i="14"/>
  <c r="CE103" i="15" s="1"/>
  <c r="CL103" s="1"/>
  <c r="AG133" i="14"/>
  <c r="CC103" i="15"/>
  <c r="CH103" s="1"/>
  <c r="AI140" i="14"/>
  <c r="CE110" i="15" s="1"/>
  <c r="CL110" s="1"/>
  <c r="AG140" i="14"/>
  <c r="CC110" i="15"/>
  <c r="CH110" s="1"/>
  <c r="AI142" i="14"/>
  <c r="CE112" i="15" s="1"/>
  <c r="CL112" s="1"/>
  <c r="AG142" i="14"/>
  <c r="CC112" i="15"/>
  <c r="CH112" s="1"/>
  <c r="AI144" i="14"/>
  <c r="CE114" i="15" s="1"/>
  <c r="CL114" s="1"/>
  <c r="AG144" i="14"/>
  <c r="CC114" i="15"/>
  <c r="CH114" s="1"/>
  <c r="AI146" i="14"/>
  <c r="CE116" i="15" s="1"/>
  <c r="CL116" s="1"/>
  <c r="AG146" i="14"/>
  <c r="CC116" i="15"/>
  <c r="CH116" s="1"/>
  <c r="AI148" i="14"/>
  <c r="CE118" i="15" s="1"/>
  <c r="CL118" s="1"/>
  <c r="AG148" i="14"/>
  <c r="CC118" i="15"/>
  <c r="CH118" s="1"/>
  <c r="AI150" i="14"/>
  <c r="CE120" i="15" s="1"/>
  <c r="CL120" s="1"/>
  <c r="AG150" i="14"/>
  <c r="CC120" i="15"/>
  <c r="CH120" s="1"/>
  <c r="AI152" i="14"/>
  <c r="CE122" i="15" s="1"/>
  <c r="CL122" s="1"/>
  <c r="AG152" i="14"/>
  <c r="CC122" i="15"/>
  <c r="CH122" s="1"/>
  <c r="AI154" i="14"/>
  <c r="CE124" i="15" s="1"/>
  <c r="CL124" s="1"/>
  <c r="AG154" i="14"/>
  <c r="CC124" i="15"/>
  <c r="CH124" s="1"/>
  <c r="AI156" i="14"/>
  <c r="CE126" i="15" s="1"/>
  <c r="CL126" s="1"/>
  <c r="AG156" i="14"/>
  <c r="CC126" i="15"/>
  <c r="CH126" s="1"/>
  <c r="AI158" i="14"/>
  <c r="CE128" i="15" s="1"/>
  <c r="CL128" s="1"/>
  <c r="AG158" i="14"/>
  <c r="CC128" i="15"/>
  <c r="CH128" s="1"/>
  <c r="AI160" i="14"/>
  <c r="CE130" i="15" s="1"/>
  <c r="CL130" s="1"/>
  <c r="AG160" i="14"/>
  <c r="CC130" i="15"/>
  <c r="CH130" s="1"/>
  <c r="AI162" i="14"/>
  <c r="CE132" i="15" s="1"/>
  <c r="CL132" s="1"/>
  <c r="AG162" i="14"/>
  <c r="CC132" i="15"/>
  <c r="CH132" s="1"/>
  <c r="AI164" i="14"/>
  <c r="CE134" i="15" s="1"/>
  <c r="CL134" s="1"/>
  <c r="AG164" i="14"/>
  <c r="CC134" i="15"/>
  <c r="CH134" s="1"/>
  <c r="AI166" i="14"/>
  <c r="CE136" i="15" s="1"/>
  <c r="CL136" s="1"/>
  <c r="AG166" i="14"/>
  <c r="CC136" i="15"/>
  <c r="CH136" s="1"/>
  <c r="AI168" i="14"/>
  <c r="CE138" i="15" s="1"/>
  <c r="CL138" s="1"/>
  <c r="AG168" i="14"/>
  <c r="CC138" i="15"/>
  <c r="CH138" s="1"/>
  <c r="AI170" i="14"/>
  <c r="CE140" i="15" s="1"/>
  <c r="CL140" s="1"/>
  <c r="AG170" i="14"/>
  <c r="CC140" i="15"/>
  <c r="CH140" s="1"/>
  <c r="AI172" i="14"/>
  <c r="CE142" i="15" s="1"/>
  <c r="CL142" s="1"/>
  <c r="AG172" i="14"/>
  <c r="CC142" i="15"/>
  <c r="CH142" s="1"/>
  <c r="AI174" i="14"/>
  <c r="CE144" i="15" s="1"/>
  <c r="CL144" s="1"/>
  <c r="AG174" i="14"/>
  <c r="CC144" i="15"/>
  <c r="CH144" s="1"/>
  <c r="AI176" i="14"/>
  <c r="CE146" i="15" s="1"/>
  <c r="CL146" s="1"/>
  <c r="AG176" i="14"/>
  <c r="CC146" i="15"/>
  <c r="CH146" s="1"/>
  <c r="AI178" i="14"/>
  <c r="CE148" i="15" s="1"/>
  <c r="CL148" s="1"/>
  <c r="AG178" i="14"/>
  <c r="CC148" i="15"/>
  <c r="CH148" s="1"/>
  <c r="AI180" i="14"/>
  <c r="CE150" i="15" s="1"/>
  <c r="CL150" s="1"/>
  <c r="AG180" i="14"/>
  <c r="CC150" i="15"/>
  <c r="CH150" s="1"/>
  <c r="AI182" i="14"/>
  <c r="CE152" i="15" s="1"/>
  <c r="CL152" s="1"/>
  <c r="AG182" i="14"/>
  <c r="CC152" i="15"/>
  <c r="CH152" s="1"/>
  <c r="AI184" i="14"/>
  <c r="CE154" i="15" s="1"/>
  <c r="CL154" s="1"/>
  <c r="AG184" i="14"/>
  <c r="CC154" i="15"/>
  <c r="CH154" s="1"/>
  <c r="AI186" i="14"/>
  <c r="CE156" i="15" s="1"/>
  <c r="CL156" s="1"/>
  <c r="AG186" i="14"/>
  <c r="CC156" i="15"/>
  <c r="CH156" s="1"/>
  <c r="AI188" i="14"/>
  <c r="CE158" i="15" s="1"/>
  <c r="CL158" s="1"/>
  <c r="AG188" i="14"/>
  <c r="CC158" i="15"/>
  <c r="CH158" s="1"/>
  <c r="AI190" i="14"/>
  <c r="CE160" i="15" s="1"/>
  <c r="CL160" s="1"/>
  <c r="AG190" i="14"/>
  <c r="CC160" i="15"/>
  <c r="CH160" s="1"/>
  <c r="AI192" i="14"/>
  <c r="CE162" i="15" s="1"/>
  <c r="CL162" s="1"/>
  <c r="AG192" i="14"/>
  <c r="CC162" i="15"/>
  <c r="CH162" s="1"/>
  <c r="AI194" i="14"/>
  <c r="CE164" i="15" s="1"/>
  <c r="CL164" s="1"/>
  <c r="AG194" i="14"/>
  <c r="CC164" i="15"/>
  <c r="CH164" s="1"/>
  <c r="AI196" i="14"/>
  <c r="CE166" i="15" s="1"/>
  <c r="CL166" s="1"/>
  <c r="AG196" i="14"/>
  <c r="CC166" i="15"/>
  <c r="CH166" s="1"/>
  <c r="AI198" i="14"/>
  <c r="CE168" i="15" s="1"/>
  <c r="CL168" s="1"/>
  <c r="AG198" i="14"/>
  <c r="CC168" i="15"/>
  <c r="CH168" s="1"/>
  <c r="AI200" i="14"/>
  <c r="CE170" i="15" s="1"/>
  <c r="CL170" s="1"/>
  <c r="AG200" i="14"/>
  <c r="CC170" i="15"/>
  <c r="CH170" s="1"/>
  <c r="AI202" i="14"/>
  <c r="CE172" i="15" s="1"/>
  <c r="CL172" s="1"/>
  <c r="AG202" i="14"/>
  <c r="CC172" i="15"/>
  <c r="CH172" s="1"/>
  <c r="AI204" i="14"/>
  <c r="CE174" i="15" s="1"/>
  <c r="CL174" s="1"/>
  <c r="AG204" i="14"/>
  <c r="CC174" i="15"/>
  <c r="CH174" s="1"/>
  <c r="AI206" i="14"/>
  <c r="CE176" i="15" s="1"/>
  <c r="CL176" s="1"/>
  <c r="AG206" i="14"/>
  <c r="CC176" i="15"/>
  <c r="CH176" s="1"/>
  <c r="AI208" i="14"/>
  <c r="CE178" i="15" s="1"/>
  <c r="CL178" s="1"/>
  <c r="AG208" i="14"/>
  <c r="CC178" i="15"/>
  <c r="CH178" s="1"/>
  <c r="AI210" i="14"/>
  <c r="CE180" i="15" s="1"/>
  <c r="CL180" s="1"/>
  <c r="AG210" i="14"/>
  <c r="CC180" i="15"/>
  <c r="CH180" s="1"/>
  <c r="AG215" i="14"/>
  <c r="CC185" i="15" s="1"/>
  <c r="CH185" s="1"/>
  <c r="AI215" i="14"/>
  <c r="CE185" i="15"/>
  <c r="CL185" s="1"/>
  <c r="AG219" i="14"/>
  <c r="CC189" i="15" s="1"/>
  <c r="CH189" s="1"/>
  <c r="AI219" i="14"/>
  <c r="CE189" i="15"/>
  <c r="CL189" s="1"/>
  <c r="AG223" i="14"/>
  <c r="CC193" i="15" s="1"/>
  <c r="CH193" s="1"/>
  <c r="AI223" i="14"/>
  <c r="CE193" i="15"/>
  <c r="CL193" s="1"/>
  <c r="AG228" i="14"/>
  <c r="CC198" i="15" s="1"/>
  <c r="CH198" s="1"/>
  <c r="AI228" i="14"/>
  <c r="CE198" i="15"/>
  <c r="CL198" s="1"/>
  <c r="AG235" i="14"/>
  <c r="CC205" i="15" s="1"/>
  <c r="CH205" s="1"/>
  <c r="AI235" i="14"/>
  <c r="CE205" i="15"/>
  <c r="CL205" s="1"/>
  <c r="AG239" i="14"/>
  <c r="CC209" i="15" s="1"/>
  <c r="CH209" s="1"/>
  <c r="AI239" i="14"/>
  <c r="CE209" i="15"/>
  <c r="CL209" s="1"/>
  <c r="AG244" i="14"/>
  <c r="CC214" i="15" s="1"/>
  <c r="CH214" s="1"/>
  <c r="AI244" i="14"/>
  <c r="CE214" i="15"/>
  <c r="CL214" s="1"/>
  <c r="AG251" i="14"/>
  <c r="CC221" i="15" s="1"/>
  <c r="CH221" s="1"/>
  <c r="AI251" i="14"/>
  <c r="CE221" i="15"/>
  <c r="CL221" s="1"/>
  <c r="AG255" i="14"/>
  <c r="CC225" i="15" s="1"/>
  <c r="CH225" s="1"/>
  <c r="AI255" i="14"/>
  <c r="CE225" i="15"/>
  <c r="CL225" s="1"/>
  <c r="AG260" i="14"/>
  <c r="CC230" i="15" s="1"/>
  <c r="CH230" s="1"/>
  <c r="AI260" i="14"/>
  <c r="CE230" i="15"/>
  <c r="CL230" s="1"/>
  <c r="AG267" i="14"/>
  <c r="CC237" i="15" s="1"/>
  <c r="CH237" s="1"/>
  <c r="AI267" i="14"/>
  <c r="CE237" i="15"/>
  <c r="CL237" s="1"/>
  <c r="AG271" i="14"/>
  <c r="CC241" i="15" s="1"/>
  <c r="CH241" s="1"/>
  <c r="AI271" i="14"/>
  <c r="CE241" i="15"/>
  <c r="CL241" s="1"/>
  <c r="AG276" i="14"/>
  <c r="CC246" i="15" s="1"/>
  <c r="CH246" s="1"/>
  <c r="AI276" i="14"/>
  <c r="CE246" i="15"/>
  <c r="CL246" s="1"/>
  <c r="AG283" i="14"/>
  <c r="CC253" i="15" s="1"/>
  <c r="CH253" s="1"/>
  <c r="AI283" i="14"/>
  <c r="CE253" i="15"/>
  <c r="CL253" s="1"/>
  <c r="AG287" i="14"/>
  <c r="CC257" i="15" s="1"/>
  <c r="CH257" s="1"/>
  <c r="AI287" i="14"/>
  <c r="CE257" i="15"/>
  <c r="CL257" s="1"/>
  <c r="AG292" i="14"/>
  <c r="CC262" i="15" s="1"/>
  <c r="CH262" s="1"/>
  <c r="AI292" i="14"/>
  <c r="CE262" i="15"/>
  <c r="CL262" s="1"/>
  <c r="AG299" i="14"/>
  <c r="CC269" i="15" s="1"/>
  <c r="CH269" s="1"/>
  <c r="AI299" i="14"/>
  <c r="CE269" i="15"/>
  <c r="CL269" s="1"/>
  <c r="AG303" i="14"/>
  <c r="CC273" i="15" s="1"/>
  <c r="CH273" s="1"/>
  <c r="AI303" i="14"/>
  <c r="CE273" i="15"/>
  <c r="CL273" s="1"/>
  <c r="AG308" i="14"/>
  <c r="CC278" i="15" s="1"/>
  <c r="CH278" s="1"/>
  <c r="AI308" i="14"/>
  <c r="CE278" i="15"/>
  <c r="CL278" s="1"/>
  <c r="AG315" i="14"/>
  <c r="CC285" i="15" s="1"/>
  <c r="CH285" s="1"/>
  <c r="AI315" i="14"/>
  <c r="CE285" i="15"/>
  <c r="CL285" s="1"/>
  <c r="AG319" i="14"/>
  <c r="CC289" i="15" s="1"/>
  <c r="CH289" s="1"/>
  <c r="AI319" i="14"/>
  <c r="CE289" i="15"/>
  <c r="CL289" s="1"/>
  <c r="AG324" i="14"/>
  <c r="CC294" i="15" s="1"/>
  <c r="CH294" s="1"/>
  <c r="AI324" i="14"/>
  <c r="CE294" i="15"/>
  <c r="CL294" s="1"/>
  <c r="AG331" i="14"/>
  <c r="CC301" i="15" s="1"/>
  <c r="CH301" s="1"/>
  <c r="AI331" i="14"/>
  <c r="CE301" i="15"/>
  <c r="CL301" s="1"/>
  <c r="AG335" i="14"/>
  <c r="CC305" i="15" s="1"/>
  <c r="CH305" s="1"/>
  <c r="AI335" i="14"/>
  <c r="CE305" i="15"/>
  <c r="CL305" s="1"/>
  <c r="I35" i="18"/>
  <c r="M7" i="19" s="1"/>
  <c r="T7" s="1"/>
  <c r="U7" s="1"/>
  <c r="I59" i="18"/>
  <c r="M31" i="19" s="1"/>
  <c r="T31"/>
  <c r="U31" s="1"/>
  <c r="I43" i="18"/>
  <c r="M15" i="19" s="1"/>
  <c r="T15" s="1"/>
  <c r="U15" s="1"/>
  <c r="I53" i="18"/>
  <c r="M25" i="19" s="1"/>
  <c r="T25"/>
  <c r="U25" s="1"/>
  <c r="I41" i="18"/>
  <c r="M13" i="19" s="1"/>
  <c r="T13" s="1"/>
  <c r="U13" s="1"/>
  <c r="I33" i="18"/>
  <c r="M5" i="19" s="1"/>
  <c r="T5"/>
  <c r="U5" s="1"/>
  <c r="I37" i="18"/>
  <c r="M9" i="19" s="1"/>
  <c r="T9" s="1"/>
  <c r="U9" s="1"/>
  <c r="I62" i="18"/>
  <c r="M34" i="19" s="1"/>
  <c r="T34"/>
  <c r="U34" s="1"/>
  <c r="C18" i="18"/>
  <c r="C19"/>
  <c r="I63"/>
  <c r="M35" i="19" s="1"/>
  <c r="T35"/>
  <c r="U35" s="1"/>
  <c r="I55" i="18"/>
  <c r="M27" i="19" s="1"/>
  <c r="T27" s="1"/>
  <c r="U27" s="1"/>
  <c r="I47" i="18"/>
  <c r="M19" i="19" s="1"/>
  <c r="T19"/>
  <c r="U19" s="1"/>
  <c r="I39" i="18"/>
  <c r="M11" i="19" s="1"/>
  <c r="T11" s="1"/>
  <c r="U11" s="1"/>
  <c r="Q38" i="18"/>
  <c r="Z10" i="19" s="1"/>
  <c r="AG10"/>
  <c r="AH10" s="1"/>
  <c r="Q50" i="18"/>
  <c r="Z22" i="19" s="1"/>
  <c r="AG22" s="1"/>
  <c r="AH22" s="1"/>
  <c r="Q40" i="18"/>
  <c r="Z12" i="19" s="1"/>
  <c r="AG12"/>
  <c r="AH12" s="1"/>
  <c r="Q60" i="18"/>
  <c r="Z32" i="19" s="1"/>
  <c r="AG32" s="1"/>
  <c r="AH32" s="1"/>
  <c r="Q52" i="18"/>
  <c r="Z24" i="19" s="1"/>
  <c r="AG24"/>
  <c r="AH24" s="1"/>
  <c r="Q44" i="18"/>
  <c r="Z16" i="19" s="1"/>
  <c r="AG16" s="1"/>
  <c r="AH16" s="1"/>
  <c r="Q42" i="18"/>
  <c r="Z14" i="19" s="1"/>
  <c r="AG14"/>
  <c r="AH14" s="1"/>
  <c r="Q34" i="18"/>
  <c r="Z6" i="19" s="1"/>
  <c r="AG6" s="1"/>
  <c r="AH6" s="1"/>
  <c r="G56" i="18"/>
  <c r="K28" i="19" s="1"/>
  <c r="P28"/>
  <c r="Q28" s="1"/>
  <c r="I56" i="18"/>
  <c r="M28" i="19" s="1"/>
  <c r="T28" s="1"/>
  <c r="U28" s="1"/>
  <c r="G48" i="18"/>
  <c r="K20" i="19" s="1"/>
  <c r="P20"/>
  <c r="Q20" s="1"/>
  <c r="I48" i="18"/>
  <c r="M20" i="19" s="1"/>
  <c r="T20" s="1"/>
  <c r="U20" s="1"/>
  <c r="G40" i="18"/>
  <c r="K12" i="19" s="1"/>
  <c r="P12"/>
  <c r="Q12" s="1"/>
  <c r="I40" i="18"/>
  <c r="M12" i="19" s="1"/>
  <c r="T12" s="1"/>
  <c r="U12" s="1"/>
  <c r="Q55" i="18"/>
  <c r="Z27" i="19" s="1"/>
  <c r="AG27"/>
  <c r="AH27" s="1"/>
  <c r="O55" i="18"/>
  <c r="X27" i="19" s="1"/>
  <c r="AC27" s="1"/>
  <c r="AD27" s="1"/>
  <c r="Q47" i="18"/>
  <c r="Z19" i="19" s="1"/>
  <c r="AG19"/>
  <c r="AH19" s="1"/>
  <c r="O47" i="18"/>
  <c r="X19" i="19" s="1"/>
  <c r="AC19" s="1"/>
  <c r="AD19" s="1"/>
  <c r="Q39" i="18"/>
  <c r="Z11" i="19" s="1"/>
  <c r="AG11"/>
  <c r="AH11" s="1"/>
  <c r="O39" i="18"/>
  <c r="X11" i="19" s="1"/>
  <c r="AC11" s="1"/>
  <c r="AD11" s="1"/>
  <c r="Q43" i="18"/>
  <c r="Z15" i="19" s="1"/>
  <c r="AG15"/>
  <c r="AH15" s="1"/>
  <c r="O43" i="18"/>
  <c r="X15" i="19" s="1"/>
  <c r="AC15" s="1"/>
  <c r="AD15" s="1"/>
  <c r="I58" i="18"/>
  <c r="M30" i="19" s="1"/>
  <c r="T30"/>
  <c r="U30" s="1"/>
  <c r="G58" i="18"/>
  <c r="K30" i="19" s="1"/>
  <c r="P30" s="1"/>
  <c r="Q30" s="1"/>
  <c r="I50" i="18"/>
  <c r="M22" i="19" s="1"/>
  <c r="T22"/>
  <c r="U22" s="1"/>
  <c r="G50" i="18"/>
  <c r="K22" i="19" s="1"/>
  <c r="P22" s="1"/>
  <c r="Q22" s="1"/>
  <c r="I42" i="18"/>
  <c r="M14" i="19" s="1"/>
  <c r="T14"/>
  <c r="U14" s="1"/>
  <c r="G42" i="18"/>
  <c r="K14" i="19" s="1"/>
  <c r="P14" s="1"/>
  <c r="Q14" s="1"/>
  <c r="I34" i="18"/>
  <c r="M6" i="19" s="1"/>
  <c r="T6"/>
  <c r="U6" s="1"/>
  <c r="G34" i="18"/>
  <c r="K6" i="19" s="1"/>
  <c r="P6" s="1"/>
  <c r="Q6" s="1"/>
  <c r="Q57" i="18"/>
  <c r="Z29" i="19" s="1"/>
  <c r="AG29"/>
  <c r="AH29" s="1"/>
  <c r="O57" i="18"/>
  <c r="X29" i="19" s="1"/>
  <c r="AC29" s="1"/>
  <c r="AD29" s="1"/>
  <c r="Q49" i="18"/>
  <c r="Z21" i="19" s="1"/>
  <c r="AG21"/>
  <c r="AH21" s="1"/>
  <c r="O49" i="18"/>
  <c r="X21" i="19" s="1"/>
  <c r="AC21" s="1"/>
  <c r="AD21" s="1"/>
  <c r="Q41" i="18"/>
  <c r="Z13" i="19" s="1"/>
  <c r="AG13"/>
  <c r="AH13" s="1"/>
  <c r="O41" i="18"/>
  <c r="X13" i="19" s="1"/>
  <c r="AC13" s="1"/>
  <c r="AD13" s="1"/>
  <c r="Q33" i="18"/>
  <c r="O33"/>
  <c r="X5" i="19"/>
  <c r="AC5" s="1"/>
  <c r="AD5" s="1"/>
  <c r="M65" i="18"/>
  <c r="Q35"/>
  <c r="Z7" i="19" s="1"/>
  <c r="AG7" s="1"/>
  <c r="AH7" s="1"/>
  <c r="O35" i="18"/>
  <c r="X7" i="19" s="1"/>
  <c r="AC7"/>
  <c r="AD7" s="1"/>
  <c r="I54" i="18"/>
  <c r="M26" i="19" s="1"/>
  <c r="T26"/>
  <c r="U26"/>
  <c r="G54" i="18"/>
  <c r="K26" i="19" s="1"/>
  <c r="P26" s="1"/>
  <c r="Q26" s="1"/>
  <c r="G46" i="18"/>
  <c r="K18" i="19" s="1"/>
  <c r="P18" s="1"/>
  <c r="Q18" s="1"/>
  <c r="I46" i="18"/>
  <c r="M18" i="19" s="1"/>
  <c r="T18" s="1"/>
  <c r="U18" s="1"/>
  <c r="G38" i="18"/>
  <c r="K10" i="19" s="1"/>
  <c r="P10" s="1"/>
  <c r="Q10" s="1"/>
  <c r="I38" i="18"/>
  <c r="M10" i="19" s="1"/>
  <c r="T10" s="1"/>
  <c r="U10" s="1"/>
  <c r="Q61" i="18"/>
  <c r="Z33" i="19" s="1"/>
  <c r="AG33" s="1"/>
  <c r="AH33" s="1"/>
  <c r="O61" i="18"/>
  <c r="X33" i="19" s="1"/>
  <c r="AC33" s="1"/>
  <c r="AD33" s="1"/>
  <c r="Q53" i="18"/>
  <c r="Z25" i="19" s="1"/>
  <c r="AG25" s="1"/>
  <c r="AH25" s="1"/>
  <c r="O53" i="18"/>
  <c r="X25" i="19" s="1"/>
  <c r="AC25" s="1"/>
  <c r="AD25" s="1"/>
  <c r="Q45" i="18"/>
  <c r="Z17" i="19" s="1"/>
  <c r="AG17" s="1"/>
  <c r="AH17" s="1"/>
  <c r="O45" i="18"/>
  <c r="X17" i="19" s="1"/>
  <c r="AC17" s="1"/>
  <c r="AD17" s="1"/>
  <c r="Q37" i="18"/>
  <c r="Z9" i="19" s="1"/>
  <c r="AG9" s="1"/>
  <c r="AH9" s="1"/>
  <c r="O37" i="18"/>
  <c r="X9" i="19" s="1"/>
  <c r="AC9" s="1"/>
  <c r="AD9" s="1"/>
  <c r="G60" i="18"/>
  <c r="K32" i="19" s="1"/>
  <c r="P32" s="1"/>
  <c r="Q32" s="1"/>
  <c r="I60" i="18"/>
  <c r="M32" i="19" s="1"/>
  <c r="T32" s="1"/>
  <c r="U32" s="1"/>
  <c r="G52" i="18"/>
  <c r="K24" i="19" s="1"/>
  <c r="P24" s="1"/>
  <c r="Q24" s="1"/>
  <c r="I52" i="18"/>
  <c r="M24" i="19" s="1"/>
  <c r="T24" s="1"/>
  <c r="U24" s="1"/>
  <c r="I44" i="18"/>
  <c r="M16" i="19" s="1"/>
  <c r="T16" s="1"/>
  <c r="U16" s="1"/>
  <c r="G44" i="18"/>
  <c r="K16" i="19" s="1"/>
  <c r="P16" s="1"/>
  <c r="Q16" s="1"/>
  <c r="I36" i="18"/>
  <c r="M8" i="19" s="1"/>
  <c r="T8" s="1"/>
  <c r="U8" s="1"/>
  <c r="G36" i="18"/>
  <c r="K8" i="19" s="1"/>
  <c r="P8" s="1"/>
  <c r="Q8" s="1"/>
  <c r="Q59" i="18"/>
  <c r="Z31" i="19" s="1"/>
  <c r="AG31" s="1"/>
  <c r="AH31" s="1"/>
  <c r="O59" i="18"/>
  <c r="X31" i="19" s="1"/>
  <c r="AC31" s="1"/>
  <c r="AD31" s="1"/>
  <c r="Q51" i="18"/>
  <c r="Z23" i="19" s="1"/>
  <c r="AG23" s="1"/>
  <c r="AH23" s="1"/>
  <c r="O51" i="18"/>
  <c r="X23" i="19" s="1"/>
  <c r="AC23" s="1"/>
  <c r="AD23" s="1"/>
  <c r="E65" i="18"/>
  <c r="G32"/>
  <c r="K4" i="19" s="1"/>
  <c r="P4" s="1"/>
  <c r="Q4" s="1"/>
  <c r="I32" i="18"/>
  <c r="M4" i="19" s="1"/>
  <c r="T4" s="1"/>
  <c r="U4" s="1"/>
  <c r="F28" i="14"/>
  <c r="L28" s="1"/>
  <c r="N28" s="1"/>
  <c r="F19"/>
  <c r="L19" s="1"/>
  <c r="N19" s="1"/>
  <c r="E27"/>
  <c r="K27"/>
  <c r="M27" s="1"/>
  <c r="E28"/>
  <c r="K28"/>
  <c r="M28"/>
  <c r="E19"/>
  <c r="K19" s="1"/>
  <c r="M19" s="1"/>
  <c r="E20"/>
  <c r="K20" s="1"/>
  <c r="M20" s="1"/>
  <c r="O36" i="12"/>
  <c r="S36"/>
  <c r="BT6" i="10" s="1"/>
  <c r="CA6" s="1"/>
  <c r="O47" i="12"/>
  <c r="Q47"/>
  <c r="BR17" i="10" s="1"/>
  <c r="BW17" s="1"/>
  <c r="O52" i="12"/>
  <c r="S52"/>
  <c r="BT22" i="10" s="1"/>
  <c r="CA22" s="1"/>
  <c r="O63" i="12"/>
  <c r="Q63"/>
  <c r="BR33" i="10" s="1"/>
  <c r="BW33" s="1"/>
  <c r="O77" i="12"/>
  <c r="Q77"/>
  <c r="BR47" i="10" s="1"/>
  <c r="BW47" s="1"/>
  <c r="O83" i="12"/>
  <c r="Q83"/>
  <c r="BR53" i="10" s="1"/>
  <c r="BW53" s="1"/>
  <c r="O90" i="12"/>
  <c r="Q90"/>
  <c r="BR60" i="10" s="1"/>
  <c r="BW60" s="1"/>
  <c r="O98" i="12"/>
  <c r="Q98"/>
  <c r="BR68" i="10" s="1"/>
  <c r="BW68" s="1"/>
  <c r="O105" i="12"/>
  <c r="S105"/>
  <c r="BT75" i="10" s="1"/>
  <c r="CA75" s="1"/>
  <c r="O111" i="12"/>
  <c r="Q111"/>
  <c r="BR81" i="10" s="1"/>
  <c r="BW81" s="1"/>
  <c r="O118" i="12"/>
  <c r="Q118"/>
  <c r="BR88" i="10" s="1"/>
  <c r="BW88" s="1"/>
  <c r="O125" i="12"/>
  <c r="S125"/>
  <c r="BT95" i="10" s="1"/>
  <c r="CA95" s="1"/>
  <c r="O133" i="12"/>
  <c r="Q133"/>
  <c r="BR103" i="10" s="1"/>
  <c r="BW103" s="1"/>
  <c r="O154" i="12"/>
  <c r="Q154"/>
  <c r="BR124" i="10" s="1"/>
  <c r="BW124" s="1"/>
  <c r="O165" i="12"/>
  <c r="Q165"/>
  <c r="BR135" i="10" s="1"/>
  <c r="BW135" s="1"/>
  <c r="O177" i="12"/>
  <c r="S177"/>
  <c r="BT147" i="10" s="1"/>
  <c r="CA147" s="1"/>
  <c r="O189" i="12"/>
  <c r="Q189"/>
  <c r="BR159" i="10" s="1"/>
  <c r="BW159" s="1"/>
  <c r="O201" i="12"/>
  <c r="S201"/>
  <c r="BT171" i="10" s="1"/>
  <c r="CA171" s="1"/>
  <c r="O213" i="12"/>
  <c r="S213"/>
  <c r="BT183" i="10" s="1"/>
  <c r="CA183" s="1"/>
  <c r="O225" i="12"/>
  <c r="S225"/>
  <c r="BT195" i="10" s="1"/>
  <c r="CA195" s="1"/>
  <c r="O238" i="12"/>
  <c r="Q238"/>
  <c r="BR208" i="10" s="1"/>
  <c r="BW208" s="1"/>
  <c r="O250" i="12"/>
  <c r="Q250"/>
  <c r="BR220" i="10" s="1"/>
  <c r="BW220" s="1"/>
  <c r="O262" i="12"/>
  <c r="Q262"/>
  <c r="BR232" i="10" s="1"/>
  <c r="BW232" s="1"/>
  <c r="O277" i="12"/>
  <c r="Q277"/>
  <c r="BR247" i="10" s="1"/>
  <c r="BW247" s="1"/>
  <c r="O293" i="12"/>
  <c r="S293"/>
  <c r="BT263" i="10" s="1"/>
  <c r="CA263" s="1"/>
  <c r="O41" i="12"/>
  <c r="Q41"/>
  <c r="BR11" i="10" s="1"/>
  <c r="BW11" s="1"/>
  <c r="O46" i="12"/>
  <c r="S46"/>
  <c r="BT16" i="10" s="1"/>
  <c r="CA16" s="1"/>
  <c r="O57" i="12"/>
  <c r="Q57"/>
  <c r="BR27" i="10" s="1"/>
  <c r="BW27" s="1"/>
  <c r="O62" i="12"/>
  <c r="S62"/>
  <c r="BT32" i="10" s="1"/>
  <c r="CA32" s="1"/>
  <c r="O70" i="12"/>
  <c r="Q70"/>
  <c r="BR40" i="10" s="1"/>
  <c r="BW40" s="1"/>
  <c r="O89" i="12"/>
  <c r="S89"/>
  <c r="BT59" i="10" s="1"/>
  <c r="CA59" s="1"/>
  <c r="O97" i="12"/>
  <c r="S97"/>
  <c r="BT67" i="10" s="1"/>
  <c r="CA67" s="1"/>
  <c r="O117" i="12"/>
  <c r="Q117"/>
  <c r="BR87" i="10" s="1"/>
  <c r="BW87" s="1"/>
  <c r="O142" i="12"/>
  <c r="Q142"/>
  <c r="BR112" i="10" s="1"/>
  <c r="BW112" s="1"/>
  <c r="O153" i="12"/>
  <c r="Q153"/>
  <c r="BR123" i="10" s="1"/>
  <c r="BW123" s="1"/>
  <c r="O237" i="12"/>
  <c r="Q237"/>
  <c r="BR207" i="10" s="1"/>
  <c r="BW207" s="1"/>
  <c r="O249" i="12"/>
  <c r="Q249"/>
  <c r="BR219" i="10" s="1"/>
  <c r="BW219" s="1"/>
  <c r="O261" i="12"/>
  <c r="Q261"/>
  <c r="BR231" i="10" s="1"/>
  <c r="BW231" s="1"/>
  <c r="O274" i="12"/>
  <c r="S274"/>
  <c r="BT244" i="10" s="1"/>
  <c r="CA244" s="1"/>
  <c r="O290" i="12"/>
  <c r="S290"/>
  <c r="BT260" i="10" s="1"/>
  <c r="CA260" s="1"/>
  <c r="O270" i="12"/>
  <c r="S270"/>
  <c r="BT240" i="10" s="1"/>
  <c r="CA240" s="1"/>
  <c r="O295" i="12"/>
  <c r="Q295"/>
  <c r="BR265" i="10" s="1"/>
  <c r="BW265" s="1"/>
  <c r="O39" i="12"/>
  <c r="Q39"/>
  <c r="BR9" i="10" s="1"/>
  <c r="BW9" s="1"/>
  <c r="O44" i="12"/>
  <c r="S44"/>
  <c r="BT14" i="10" s="1"/>
  <c r="CA14" s="1"/>
  <c r="O55" i="12"/>
  <c r="Q55"/>
  <c r="BR25" i="10" s="1"/>
  <c r="BW25" s="1"/>
  <c r="O60" i="12"/>
  <c r="S60"/>
  <c r="BT30" i="10" s="1"/>
  <c r="CA30" s="1"/>
  <c r="O67" i="12"/>
  <c r="Q67"/>
  <c r="BR37" i="10" s="1"/>
  <c r="BW37" s="1"/>
  <c r="O74" i="12"/>
  <c r="Q74"/>
  <c r="BR44" i="10" s="1"/>
  <c r="BW44" s="1"/>
  <c r="O94" i="12"/>
  <c r="S94"/>
  <c r="BT64" i="10" s="1"/>
  <c r="CA64" s="1"/>
  <c r="O102" i="12"/>
  <c r="Q102"/>
  <c r="BR72" i="10" s="1"/>
  <c r="BW72" s="1"/>
  <c r="O121" i="12"/>
  <c r="S121"/>
  <c r="BT91" i="10" s="1"/>
  <c r="CA91" s="1"/>
  <c r="O129" i="12"/>
  <c r="S129"/>
  <c r="BT99" i="10" s="1"/>
  <c r="CA99" s="1"/>
  <c r="O138" i="12"/>
  <c r="Q138"/>
  <c r="BR108" i="10" s="1"/>
  <c r="BW108" s="1"/>
  <c r="O149" i="12"/>
  <c r="Q149"/>
  <c r="BR119" i="10" s="1"/>
  <c r="BW119" s="1"/>
  <c r="O170" i="12"/>
  <c r="Q170"/>
  <c r="BR140" i="10" s="1"/>
  <c r="BW140" s="1"/>
  <c r="O182" i="12"/>
  <c r="S182"/>
  <c r="BT152" i="10" s="1"/>
  <c r="CA152" s="1"/>
  <c r="O194" i="12"/>
  <c r="Q194"/>
  <c r="BR164" i="10" s="1"/>
  <c r="BW164" s="1"/>
  <c r="O269" i="12"/>
  <c r="Q269"/>
  <c r="BR239" i="10" s="1"/>
  <c r="BW239" s="1"/>
  <c r="O285" i="12"/>
  <c r="S285"/>
  <c r="BT255" i="10" s="1"/>
  <c r="CA255" s="1"/>
  <c r="C26" i="12"/>
  <c r="O50"/>
  <c r="S50" s="1"/>
  <c r="BT20" i="10" s="1"/>
  <c r="CA20" s="1"/>
  <c r="O81" i="12"/>
  <c r="Q81" s="1"/>
  <c r="BR51" i="10" s="1"/>
  <c r="BW51" s="1"/>
  <c r="O95" i="12"/>
  <c r="Q95" s="1"/>
  <c r="BR65" i="10" s="1"/>
  <c r="BW65" s="1"/>
  <c r="O109" i="12"/>
  <c r="S109" s="1"/>
  <c r="BT79" i="10" s="1"/>
  <c r="CA79" s="1"/>
  <c r="O122" i="12"/>
  <c r="Q122" s="1"/>
  <c r="BR92" i="10" s="1"/>
  <c r="BW92" s="1"/>
  <c r="O150" i="12"/>
  <c r="Q150" s="1"/>
  <c r="BR120" i="10" s="1"/>
  <c r="BW120" s="1"/>
  <c r="O173" i="12"/>
  <c r="Q173" s="1"/>
  <c r="BR143" i="10" s="1"/>
  <c r="BW143" s="1"/>
  <c r="O286" i="12"/>
  <c r="Q286" s="1"/>
  <c r="BR256" i="10" s="1"/>
  <c r="BW256" s="1"/>
  <c r="S123" i="12"/>
  <c r="BT93" i="10" s="1"/>
  <c r="CA93" s="1"/>
  <c r="O38" i="12"/>
  <c r="S38"/>
  <c r="BT8" i="10" s="1"/>
  <c r="CA8" s="1"/>
  <c r="O49" i="12"/>
  <c r="Q49"/>
  <c r="BR19" i="10" s="1"/>
  <c r="BW19" s="1"/>
  <c r="O54" i="12"/>
  <c r="S54"/>
  <c r="BT24" i="10" s="1"/>
  <c r="CA24" s="1"/>
  <c r="O66" i="12"/>
  <c r="Q66"/>
  <c r="BR36" i="10" s="1"/>
  <c r="BW36" s="1"/>
  <c r="O73" i="12"/>
  <c r="Q73"/>
  <c r="BR43" i="10" s="1"/>
  <c r="BW43" s="1"/>
  <c r="O79" i="12"/>
  <c r="Q79"/>
  <c r="BR49" i="10" s="1"/>
  <c r="BW49" s="1"/>
  <c r="O86" i="12"/>
  <c r="Q86"/>
  <c r="BR56" i="10" s="1"/>
  <c r="BW56" s="1"/>
  <c r="O93" i="12"/>
  <c r="S93"/>
  <c r="BT63" i="10" s="1"/>
  <c r="CA63" s="1"/>
  <c r="O101" i="12"/>
  <c r="Q101"/>
  <c r="BR71" i="10" s="1"/>
  <c r="BW71" s="1"/>
  <c r="O107" i="12"/>
  <c r="Q107"/>
  <c r="BR77" i="10" s="1"/>
  <c r="BW77" s="1"/>
  <c r="O114" i="12"/>
  <c r="Q114"/>
  <c r="BR84" i="10" s="1"/>
  <c r="BW84" s="1"/>
  <c r="O137" i="12"/>
  <c r="Q137"/>
  <c r="BR107" i="10" s="1"/>
  <c r="BW107" s="1"/>
  <c r="O158" i="12"/>
  <c r="Q158"/>
  <c r="BR128" i="10" s="1"/>
  <c r="BW128" s="1"/>
  <c r="O169" i="12"/>
  <c r="Q169"/>
  <c r="BR139" i="10" s="1"/>
  <c r="BW139" s="1"/>
  <c r="O181" i="12"/>
  <c r="Q181"/>
  <c r="BR151" i="10" s="1"/>
  <c r="BW151" s="1"/>
  <c r="O193" i="12"/>
  <c r="S193"/>
  <c r="BT163" i="10" s="1"/>
  <c r="CA163" s="1"/>
  <c r="O206" i="12"/>
  <c r="Q206"/>
  <c r="BR176" i="10" s="1"/>
  <c r="BW176" s="1"/>
  <c r="O218" i="12"/>
  <c r="Q218"/>
  <c r="BR188" i="10" s="1"/>
  <c r="BW188" s="1"/>
  <c r="O230" i="12"/>
  <c r="Q230"/>
  <c r="BR200" i="10" s="1"/>
  <c r="BW200" s="1"/>
  <c r="O242" i="12"/>
  <c r="Q242"/>
  <c r="BR212" i="10" s="1"/>
  <c r="BW212" s="1"/>
  <c r="O254" i="12"/>
  <c r="Q254"/>
  <c r="BR224" i="10" s="1"/>
  <c r="BW224" s="1"/>
  <c r="O266" i="12"/>
  <c r="Q266"/>
  <c r="BR236" i="10" s="1"/>
  <c r="BW236" s="1"/>
  <c r="O282" i="12"/>
  <c r="S282"/>
  <c r="BT252" i="10" s="1"/>
  <c r="CA252" s="1"/>
  <c r="O298" i="12"/>
  <c r="S298"/>
  <c r="BT268" i="10" s="1"/>
  <c r="CA268" s="1"/>
  <c r="O34" i="12"/>
  <c r="Q34"/>
  <c r="BR4" i="10" s="1"/>
  <c r="BW4" s="1"/>
  <c r="O45" i="12"/>
  <c r="Q45"/>
  <c r="BR15" i="10" s="1"/>
  <c r="BW15" s="1"/>
  <c r="O61" i="12"/>
  <c r="Q61"/>
  <c r="BR31" i="10" s="1"/>
  <c r="BW31" s="1"/>
  <c r="O87" i="12"/>
  <c r="Q87"/>
  <c r="BR57" i="10" s="1"/>
  <c r="BW57" s="1"/>
  <c r="O115" i="12"/>
  <c r="Q115"/>
  <c r="BR85" i="10" s="1"/>
  <c r="BW85" s="1"/>
  <c r="O130" i="12"/>
  <c r="Q130"/>
  <c r="BR100" i="10" s="1"/>
  <c r="BW100" s="1"/>
  <c r="O161" i="12"/>
  <c r="Q161"/>
  <c r="BR131" i="10" s="1"/>
  <c r="BW131" s="1"/>
  <c r="O185" i="12"/>
  <c r="Q185"/>
  <c r="BR155" i="10" s="1"/>
  <c r="BW155" s="1"/>
  <c r="O197" i="12"/>
  <c r="Q197"/>
  <c r="BR167" i="10" s="1"/>
  <c r="BW167" s="1"/>
  <c r="O209" i="12"/>
  <c r="Q209"/>
  <c r="BR179" i="10" s="1"/>
  <c r="BW179" s="1"/>
  <c r="O221" i="12"/>
  <c r="S221"/>
  <c r="BT191" i="10" s="1"/>
  <c r="CA191" s="1"/>
  <c r="O233" i="12"/>
  <c r="Q233"/>
  <c r="BR203" i="10" s="1"/>
  <c r="BW203" s="1"/>
  <c r="O245" i="12"/>
  <c r="Q245"/>
  <c r="BR215" i="10" s="1"/>
  <c r="BW215" s="1"/>
  <c r="O257" i="12"/>
  <c r="Q257"/>
  <c r="BR227" i="10" s="1"/>
  <c r="BW227" s="1"/>
  <c r="O43" i="12"/>
  <c r="Q43"/>
  <c r="BR13" i="10" s="1"/>
  <c r="BW13" s="1"/>
  <c r="O48" i="12"/>
  <c r="S48"/>
  <c r="BT18" i="10" s="1"/>
  <c r="CA18" s="1"/>
  <c r="O59" i="12"/>
  <c r="Q59"/>
  <c r="BR29" i="10" s="1"/>
  <c r="BW29" s="1"/>
  <c r="O65" i="12"/>
  <c r="Q65"/>
  <c r="BR35" i="10" s="1"/>
  <c r="BW35" s="1"/>
  <c r="O85" i="12"/>
  <c r="Q85"/>
  <c r="BR55" i="10" s="1"/>
  <c r="BW55" s="1"/>
  <c r="O113" i="12"/>
  <c r="Q113"/>
  <c r="BR83" i="10" s="1"/>
  <c r="BW83" s="1"/>
  <c r="O119" i="12"/>
  <c r="Q119"/>
  <c r="BR89" i="10" s="1"/>
  <c r="BW89" s="1"/>
  <c r="O127" i="12"/>
  <c r="Q127"/>
  <c r="BR97" i="10" s="1"/>
  <c r="BW97" s="1"/>
  <c r="O146" i="12"/>
  <c r="Q146"/>
  <c r="BR116" i="10" s="1"/>
  <c r="BW116" s="1"/>
  <c r="O157" i="12"/>
  <c r="Q157"/>
  <c r="BR127" i="10" s="1"/>
  <c r="BW127" s="1"/>
  <c r="O205" i="12"/>
  <c r="Q205"/>
  <c r="BR175" i="10" s="1"/>
  <c r="BW175" s="1"/>
  <c r="O217" i="12"/>
  <c r="S217"/>
  <c r="BT187" i="10" s="1"/>
  <c r="CA187" s="1"/>
  <c r="O229" i="12"/>
  <c r="Q229"/>
  <c r="BR199" i="10" s="1"/>
  <c r="BW199" s="1"/>
  <c r="O241" i="12"/>
  <c r="Q241"/>
  <c r="BR211" i="10" s="1"/>
  <c r="BW211" s="1"/>
  <c r="O253" i="12"/>
  <c r="Q253"/>
  <c r="BR223" i="10" s="1"/>
  <c r="BW223" s="1"/>
  <c r="O265" i="12"/>
  <c r="Q265"/>
  <c r="BR235" i="10" s="1"/>
  <c r="BW235" s="1"/>
  <c r="O281" i="12"/>
  <c r="S281"/>
  <c r="BT251" i="10" s="1"/>
  <c r="CA251" s="1"/>
  <c r="N63" i="12"/>
  <c r="R63"/>
  <c r="BS33" i="10" s="1"/>
  <c r="BY33" s="1"/>
  <c r="N152" i="12"/>
  <c r="R152"/>
  <c r="BS122" i="10" s="1"/>
  <c r="BY122" s="1"/>
  <c r="N136" i="12"/>
  <c r="R136"/>
  <c r="BS106" i="10" s="1"/>
  <c r="BY106" s="1"/>
  <c r="N184" i="12"/>
  <c r="R184"/>
  <c r="BS154" i="10" s="1"/>
  <c r="BY154" s="1"/>
  <c r="N228" i="12"/>
  <c r="R228"/>
  <c r="BS198" i="10" s="1"/>
  <c r="BY198" s="1"/>
  <c r="N84" i="12"/>
  <c r="P84"/>
  <c r="BQ54" i="10" s="1"/>
  <c r="BU54" s="1"/>
  <c r="N88" i="12"/>
  <c r="R88"/>
  <c r="BS58" i="10" s="1"/>
  <c r="BY58" s="1"/>
  <c r="N216" i="12"/>
  <c r="R216"/>
  <c r="BS186" i="10" s="1"/>
  <c r="BY186" s="1"/>
  <c r="N260" i="12"/>
  <c r="P260"/>
  <c r="BQ230" i="10" s="1"/>
  <c r="BU230" s="1"/>
  <c r="N118" i="12"/>
  <c r="R118"/>
  <c r="BS88" i="10" s="1"/>
  <c r="BY88" s="1"/>
  <c r="N82" i="12"/>
  <c r="P82"/>
  <c r="BQ52" i="10" s="1"/>
  <c r="BU52" s="1"/>
  <c r="N116" i="12"/>
  <c r="P116"/>
  <c r="BQ86" i="10" s="1"/>
  <c r="BU86" s="1"/>
  <c r="N196" i="12"/>
  <c r="R196"/>
  <c r="BS166" i="10" s="1"/>
  <c r="BY166" s="1"/>
  <c r="N162" i="12"/>
  <c r="R162"/>
  <c r="BS132" i="10" s="1"/>
  <c r="BY132" s="1"/>
  <c r="N248" i="12"/>
  <c r="R248"/>
  <c r="BS218" i="10" s="1"/>
  <c r="BY218" s="1"/>
  <c r="N144" i="12"/>
  <c r="P144"/>
  <c r="BQ114" i="10" s="1"/>
  <c r="BU114" s="1"/>
  <c r="N86" i="12"/>
  <c r="R86"/>
  <c r="BS56" i="10" s="1"/>
  <c r="BY56" s="1"/>
  <c r="N288" i="12"/>
  <c r="P288"/>
  <c r="BQ258" i="10" s="1"/>
  <c r="BU258" s="1"/>
  <c r="N154" i="12"/>
  <c r="R154"/>
  <c r="BS124" i="10" s="1"/>
  <c r="BY124" s="1"/>
  <c r="N168" i="12"/>
  <c r="P168"/>
  <c r="BQ138" i="10" s="1"/>
  <c r="BU138" s="1"/>
  <c r="N138" i="12"/>
  <c r="R138"/>
  <c r="BS108" i="10" s="1"/>
  <c r="BY108" s="1"/>
  <c r="N120" i="12"/>
  <c r="R120"/>
  <c r="BS90" i="10" s="1"/>
  <c r="BY90" s="1"/>
  <c r="N276" i="12"/>
  <c r="R276"/>
  <c r="BS246" i="10" s="1"/>
  <c r="BY246" s="1"/>
  <c r="N114" i="12"/>
  <c r="R114"/>
  <c r="BS84" i="10" s="1"/>
  <c r="BY84" s="1"/>
  <c r="N146" i="12"/>
  <c r="R146"/>
  <c r="BS116" i="10" s="1"/>
  <c r="BY116" s="1"/>
  <c r="E59" i="12"/>
  <c r="G59"/>
  <c r="AV29" i="10" s="1"/>
  <c r="BA29" s="1"/>
  <c r="E51" i="12"/>
  <c r="G51"/>
  <c r="AV21" i="10" s="1"/>
  <c r="BA21" s="1"/>
  <c r="E62" i="12"/>
  <c r="G62"/>
  <c r="AV32" i="10" s="1"/>
  <c r="BA32" s="1"/>
  <c r="E37" i="12"/>
  <c r="G37"/>
  <c r="AV7" i="10" s="1"/>
  <c r="BA7" s="1"/>
  <c r="E41" i="12"/>
  <c r="G41"/>
  <c r="AV11" i="10" s="1"/>
  <c r="BA11" s="1"/>
  <c r="E47" i="12"/>
  <c r="G47"/>
  <c r="AV17" i="10" s="1"/>
  <c r="BA17" s="1"/>
  <c r="E61" i="12"/>
  <c r="G61"/>
  <c r="AV31" i="10" s="1"/>
  <c r="BA31" s="1"/>
  <c r="E43" i="12"/>
  <c r="G43"/>
  <c r="AV13" i="10" s="1"/>
  <c r="BA13" s="1"/>
  <c r="E53" i="12"/>
  <c r="G53"/>
  <c r="AV23" i="10" s="1"/>
  <c r="BA23" s="1"/>
  <c r="E57" i="12"/>
  <c r="G57"/>
  <c r="AV27" i="10" s="1"/>
  <c r="BA27" s="1"/>
  <c r="E45" i="12"/>
  <c r="G45"/>
  <c r="AV15" i="10" s="1"/>
  <c r="BA15" s="1"/>
  <c r="E55" i="12"/>
  <c r="G55"/>
  <c r="AV25" i="10" s="1"/>
  <c r="BA25" s="1"/>
  <c r="E35" i="12"/>
  <c r="G35"/>
  <c r="AV5" i="10" s="1"/>
  <c r="BA5" s="1"/>
  <c r="E39" i="12"/>
  <c r="G39"/>
  <c r="AV9" i="10" s="1"/>
  <c r="BA9" s="1"/>
  <c r="P160" i="12"/>
  <c r="BQ130" i="10"/>
  <c r="BU130" s="1"/>
  <c r="C19" i="12"/>
  <c r="B19"/>
  <c r="Q294"/>
  <c r="BR264" i="10" s="1"/>
  <c r="BW264" s="1"/>
  <c r="S294" i="12"/>
  <c r="BT264" i="10"/>
  <c r="CA264" s="1"/>
  <c r="N295" i="12"/>
  <c r="N291"/>
  <c r="N287"/>
  <c r="N283"/>
  <c r="N279"/>
  <c r="N275"/>
  <c r="N271"/>
  <c r="N267"/>
  <c r="N263"/>
  <c r="N259"/>
  <c r="N255"/>
  <c r="N251"/>
  <c r="N247"/>
  <c r="N243"/>
  <c r="N239"/>
  <c r="N235"/>
  <c r="N231"/>
  <c r="N227"/>
  <c r="N223"/>
  <c r="N219"/>
  <c r="N215"/>
  <c r="N211"/>
  <c r="N207"/>
  <c r="N203"/>
  <c r="N199"/>
  <c r="N195"/>
  <c r="N191"/>
  <c r="N187"/>
  <c r="N183"/>
  <c r="N179"/>
  <c r="N175"/>
  <c r="N171"/>
  <c r="N167"/>
  <c r="N163"/>
  <c r="N159"/>
  <c r="N155"/>
  <c r="N151"/>
  <c r="N147"/>
  <c r="N143"/>
  <c r="N139"/>
  <c r="N135"/>
  <c r="N131"/>
  <c r="N127"/>
  <c r="N123"/>
  <c r="N119"/>
  <c r="N115"/>
  <c r="N111"/>
  <c r="N107"/>
  <c r="N103"/>
  <c r="N99"/>
  <c r="N95"/>
  <c r="N91"/>
  <c r="N87"/>
  <c r="N83"/>
  <c r="N79"/>
  <c r="N75"/>
  <c r="N71"/>
  <c r="N67"/>
  <c r="N61"/>
  <c r="N59"/>
  <c r="N57"/>
  <c r="N55"/>
  <c r="N53"/>
  <c r="N51"/>
  <c r="N49"/>
  <c r="N47"/>
  <c r="N45"/>
  <c r="N43"/>
  <c r="N41"/>
  <c r="N39"/>
  <c r="N37"/>
  <c r="N35"/>
  <c r="B26"/>
  <c r="N286"/>
  <c r="N262"/>
  <c r="N250"/>
  <c r="N246"/>
  <c r="N230"/>
  <c r="N218"/>
  <c r="N214"/>
  <c r="N194"/>
  <c r="N190"/>
  <c r="N298"/>
  <c r="N278"/>
  <c r="N274"/>
  <c r="N270"/>
  <c r="N258"/>
  <c r="N242"/>
  <c r="N238"/>
  <c r="N226"/>
  <c r="N222"/>
  <c r="N210"/>
  <c r="N198"/>
  <c r="N186"/>
  <c r="N174"/>
  <c r="N170"/>
  <c r="N297"/>
  <c r="N293"/>
  <c r="N289"/>
  <c r="N285"/>
  <c r="N281"/>
  <c r="N277"/>
  <c r="N273"/>
  <c r="N269"/>
  <c r="N265"/>
  <c r="N261"/>
  <c r="N257"/>
  <c r="N253"/>
  <c r="N249"/>
  <c r="N245"/>
  <c r="N241"/>
  <c r="N237"/>
  <c r="N233"/>
  <c r="N229"/>
  <c r="N225"/>
  <c r="N221"/>
  <c r="N217"/>
  <c r="N213"/>
  <c r="N209"/>
  <c r="N205"/>
  <c r="N201"/>
  <c r="N197"/>
  <c r="N193"/>
  <c r="N189"/>
  <c r="N185"/>
  <c r="N181"/>
  <c r="N177"/>
  <c r="N173"/>
  <c r="N169"/>
  <c r="N165"/>
  <c r="N161"/>
  <c r="N157"/>
  <c r="N153"/>
  <c r="N149"/>
  <c r="N145"/>
  <c r="N141"/>
  <c r="N137"/>
  <c r="N133"/>
  <c r="N129"/>
  <c r="N125"/>
  <c r="N121"/>
  <c r="N117"/>
  <c r="N113"/>
  <c r="N109"/>
  <c r="N105"/>
  <c r="N101"/>
  <c r="N97"/>
  <c r="N93"/>
  <c r="N89"/>
  <c r="N85"/>
  <c r="N81"/>
  <c r="N77"/>
  <c r="N73"/>
  <c r="N69"/>
  <c r="N65"/>
  <c r="N62"/>
  <c r="N60"/>
  <c r="N58"/>
  <c r="N56"/>
  <c r="N54"/>
  <c r="N52"/>
  <c r="N50"/>
  <c r="N48"/>
  <c r="N46"/>
  <c r="N44"/>
  <c r="N42"/>
  <c r="N40"/>
  <c r="N38"/>
  <c r="N36"/>
  <c r="N34"/>
  <c r="N294"/>
  <c r="N290"/>
  <c r="N282"/>
  <c r="N266"/>
  <c r="N254"/>
  <c r="N234"/>
  <c r="N206"/>
  <c r="N202"/>
  <c r="N182"/>
  <c r="N178"/>
  <c r="S40"/>
  <c r="BT10" i="10"/>
  <c r="CA10"/>
  <c r="Q40" i="12"/>
  <c r="BR10" i="10" s="1"/>
  <c r="BW10" s="1"/>
  <c r="S56" i="12"/>
  <c r="BT26" i="10" s="1"/>
  <c r="CA26" s="1"/>
  <c r="Q56" i="12"/>
  <c r="BR26" i="10"/>
  <c r="BW26" s="1"/>
  <c r="S69" i="12"/>
  <c r="BT39" i="10"/>
  <c r="CA39"/>
  <c r="DA39" s="1"/>
  <c r="Q69" i="12"/>
  <c r="BR39" i="10" s="1"/>
  <c r="BW39" s="1"/>
  <c r="S141" i="12"/>
  <c r="BT111" i="10" s="1"/>
  <c r="CA111" s="1"/>
  <c r="Q141" i="12"/>
  <c r="BR111" i="10"/>
  <c r="BW111" s="1"/>
  <c r="Q213" i="12"/>
  <c r="BR183" i="10"/>
  <c r="BW183"/>
  <c r="D47" i="12"/>
  <c r="D48"/>
  <c r="S71"/>
  <c r="BT41" i="10"/>
  <c r="CA41" s="1"/>
  <c r="S103" i="12"/>
  <c r="BT73" i="10"/>
  <c r="CA73"/>
  <c r="S126" i="12"/>
  <c r="BT96" i="10"/>
  <c r="CA96"/>
  <c r="S246" i="12"/>
  <c r="BT216" i="10" s="1"/>
  <c r="CA216" s="1"/>
  <c r="D37" i="12"/>
  <c r="D38"/>
  <c r="S47"/>
  <c r="BT17" i="10" s="1"/>
  <c r="CA17" s="1"/>
  <c r="D53" i="12"/>
  <c r="D54"/>
  <c r="N64"/>
  <c r="N94"/>
  <c r="N96"/>
  <c r="S106"/>
  <c r="BT76" i="10" s="1"/>
  <c r="CA76" s="1"/>
  <c r="N126" i="12"/>
  <c r="N128"/>
  <c r="N192"/>
  <c r="S210"/>
  <c r="BT180" i="10"/>
  <c r="CA180" s="1"/>
  <c r="N224" i="12"/>
  <c r="N256"/>
  <c r="N280"/>
  <c r="S289"/>
  <c r="BT259" i="10" s="1"/>
  <c r="CA259" s="1"/>
  <c r="S37" i="12"/>
  <c r="BT7" i="10" s="1"/>
  <c r="CA7" s="1"/>
  <c r="D43" i="12"/>
  <c r="D44"/>
  <c r="I49"/>
  <c r="AX19" i="10" s="1"/>
  <c r="BE19" s="1"/>
  <c r="S53" i="12"/>
  <c r="BT23" i="10" s="1"/>
  <c r="CA23" s="1"/>
  <c r="D59" i="12"/>
  <c r="D60"/>
  <c r="N74"/>
  <c r="N76"/>
  <c r="N106"/>
  <c r="N108"/>
  <c r="S162"/>
  <c r="BT132" i="10" s="1"/>
  <c r="CA132" s="1"/>
  <c r="S174" i="12"/>
  <c r="BT144" i="10" s="1"/>
  <c r="CA144" s="1"/>
  <c r="N188" i="12"/>
  <c r="N220"/>
  <c r="N252"/>
  <c r="N284"/>
  <c r="S42"/>
  <c r="BT12" i="10"/>
  <c r="CA12" s="1"/>
  <c r="Q42" i="12"/>
  <c r="BR12" i="10"/>
  <c r="BW12"/>
  <c r="S58" i="12"/>
  <c r="BT28" i="10"/>
  <c r="CA28"/>
  <c r="Q58" i="12"/>
  <c r="BR28" i="10" s="1"/>
  <c r="BW28" s="1"/>
  <c r="S173" i="12"/>
  <c r="BT143" i="10"/>
  <c r="CA143" s="1"/>
  <c r="Q278" i="12"/>
  <c r="BR248" i="10"/>
  <c r="BW248"/>
  <c r="S278" i="12"/>
  <c r="BT248" i="10"/>
  <c r="CA248"/>
  <c r="D34" i="12"/>
  <c r="D50"/>
  <c r="S75"/>
  <c r="BT45" i="10"/>
  <c r="CA45"/>
  <c r="S202" i="12"/>
  <c r="BT172" i="10" s="1"/>
  <c r="CA172" s="1"/>
  <c r="S234" i="12"/>
  <c r="BT204" i="10" s="1"/>
  <c r="CA204" s="1"/>
  <c r="S297" i="12"/>
  <c r="BT267" i="10"/>
  <c r="CA267" s="1"/>
  <c r="D39" i="12"/>
  <c r="D40"/>
  <c r="D55"/>
  <c r="D56"/>
  <c r="N66"/>
  <c r="N68"/>
  <c r="S78"/>
  <c r="BT48" i="10" s="1"/>
  <c r="CA48" s="1"/>
  <c r="N98" i="12"/>
  <c r="N100"/>
  <c r="S110"/>
  <c r="BT80" i="10" s="1"/>
  <c r="CA80" s="1"/>
  <c r="N130" i="12"/>
  <c r="N132"/>
  <c r="N140"/>
  <c r="N148"/>
  <c r="N156"/>
  <c r="N164"/>
  <c r="N180"/>
  <c r="S198"/>
  <c r="BT168" i="10"/>
  <c r="CA168" s="1"/>
  <c r="N212" i="12"/>
  <c r="N244"/>
  <c r="N292"/>
  <c r="Q48"/>
  <c r="BR18" i="10"/>
  <c r="BW18"/>
  <c r="S145" i="12"/>
  <c r="BT115" i="10" s="1"/>
  <c r="CA115" s="1"/>
  <c r="Q145" i="12"/>
  <c r="BR115" i="10"/>
  <c r="BW115" s="1"/>
  <c r="Q97" i="12"/>
  <c r="BR67" i="10"/>
  <c r="BW67"/>
  <c r="D49" i="12"/>
  <c r="S98"/>
  <c r="BT68" i="10"/>
  <c r="CA68"/>
  <c r="D45" i="12"/>
  <c r="D46"/>
  <c r="D61"/>
  <c r="D62"/>
  <c r="N78"/>
  <c r="N80"/>
  <c r="S99"/>
  <c r="BT69" i="10"/>
  <c r="CA69" s="1"/>
  <c r="N110" i="12"/>
  <c r="N112"/>
  <c r="S131"/>
  <c r="BT101" i="10" s="1"/>
  <c r="CA101" s="1"/>
  <c r="N176" i="12"/>
  <c r="N208"/>
  <c r="S226"/>
  <c r="BT196" i="10" s="1"/>
  <c r="CA196" s="1"/>
  <c r="N240" i="12"/>
  <c r="S258"/>
  <c r="BT228" i="10" s="1"/>
  <c r="CA228" s="1"/>
  <c r="S273" i="12"/>
  <c r="BT243" i="10" s="1"/>
  <c r="CA243" s="1"/>
  <c r="N296" i="12"/>
  <c r="D35"/>
  <c r="D36"/>
  <c r="D51"/>
  <c r="D52"/>
  <c r="N90"/>
  <c r="N92"/>
  <c r="N122"/>
  <c r="N124"/>
  <c r="S134"/>
  <c r="BT104" i="10" s="1"/>
  <c r="CA104" s="1"/>
  <c r="S166" i="12"/>
  <c r="BT136" i="10"/>
  <c r="CA136" s="1"/>
  <c r="N172" i="12"/>
  <c r="S190"/>
  <c r="BT160" i="10"/>
  <c r="CA160" s="1"/>
  <c r="N204" i="12"/>
  <c r="S222"/>
  <c r="BT192" i="10"/>
  <c r="CA192" s="1"/>
  <c r="N236" i="12"/>
  <c r="N268"/>
  <c r="Q109"/>
  <c r="BR79" i="10" s="1"/>
  <c r="BW79" s="1"/>
  <c r="S35" i="12"/>
  <c r="BT5" i="10"/>
  <c r="CA5" s="1"/>
  <c r="D41" i="12"/>
  <c r="D42"/>
  <c r="S51"/>
  <c r="BT21" i="10" s="1"/>
  <c r="CA21" s="1"/>
  <c r="D57" i="12"/>
  <c r="D58"/>
  <c r="N70"/>
  <c r="N72"/>
  <c r="S82"/>
  <c r="BT52" i="10"/>
  <c r="CA52" s="1"/>
  <c r="S91" i="12"/>
  <c r="BT61" i="10"/>
  <c r="CA61"/>
  <c r="N102" i="12"/>
  <c r="N104"/>
  <c r="Q126"/>
  <c r="BR96" i="10"/>
  <c r="BW96" s="1"/>
  <c r="N134" i="12"/>
  <c r="N142"/>
  <c r="N150"/>
  <c r="N158"/>
  <c r="R160"/>
  <c r="BS130" i="10"/>
  <c r="BY130"/>
  <c r="CX130" s="1"/>
  <c r="N166" i="12"/>
  <c r="S186"/>
  <c r="BT156" i="10"/>
  <c r="CA156"/>
  <c r="DA156" s="1"/>
  <c r="N200" i="12"/>
  <c r="Q214"/>
  <c r="BR184" i="10"/>
  <c r="BW184"/>
  <c r="S218" i="12"/>
  <c r="BT188" i="10" s="1"/>
  <c r="CA188" s="1"/>
  <c r="N232" i="12"/>
  <c r="Q246"/>
  <c r="BR216" i="10" s="1"/>
  <c r="BW216" s="1"/>
  <c r="N264" i="12"/>
  <c r="N272"/>
  <c r="E34"/>
  <c r="E36"/>
  <c r="E38"/>
  <c r="E40"/>
  <c r="E42"/>
  <c r="E44"/>
  <c r="E46"/>
  <c r="E48"/>
  <c r="E50"/>
  <c r="E52"/>
  <c r="E54"/>
  <c r="E56"/>
  <c r="E58"/>
  <c r="E60"/>
  <c r="O64"/>
  <c r="O68"/>
  <c r="O72"/>
  <c r="O76"/>
  <c r="O80"/>
  <c r="O84"/>
  <c r="O88"/>
  <c r="O92"/>
  <c r="O96"/>
  <c r="O100"/>
  <c r="O104"/>
  <c r="O108"/>
  <c r="O112"/>
  <c r="O116"/>
  <c r="O120"/>
  <c r="O124"/>
  <c r="O128"/>
  <c r="O132"/>
  <c r="O136"/>
  <c r="O140"/>
  <c r="O144"/>
  <c r="O148"/>
  <c r="O152"/>
  <c r="O156"/>
  <c r="O160"/>
  <c r="O164"/>
  <c r="O168"/>
  <c r="O172"/>
  <c r="O176"/>
  <c r="O180"/>
  <c r="O184"/>
  <c r="O188"/>
  <c r="O192"/>
  <c r="O196"/>
  <c r="O200"/>
  <c r="O204"/>
  <c r="O208"/>
  <c r="O212"/>
  <c r="O216"/>
  <c r="O220"/>
  <c r="O224"/>
  <c r="O228"/>
  <c r="O232"/>
  <c r="O236"/>
  <c r="O240"/>
  <c r="O244"/>
  <c r="O248"/>
  <c r="O252"/>
  <c r="O256"/>
  <c r="O260"/>
  <c r="O264"/>
  <c r="O268"/>
  <c r="O272"/>
  <c r="Q273"/>
  <c r="BR243" i="10" s="1"/>
  <c r="BW243" s="1"/>
  <c r="O276" i="12"/>
  <c r="O280"/>
  <c r="O284"/>
  <c r="O288"/>
  <c r="Q289"/>
  <c r="BR259" i="10" s="1"/>
  <c r="BW259" s="1"/>
  <c r="O292" i="12"/>
  <c r="O296"/>
  <c r="Q297"/>
  <c r="BR267" i="10" s="1"/>
  <c r="BW267" s="1"/>
  <c r="O135" i="12"/>
  <c r="O139"/>
  <c r="O143"/>
  <c r="O147"/>
  <c r="O151"/>
  <c r="O155"/>
  <c r="O159"/>
  <c r="O163"/>
  <c r="O167"/>
  <c r="O171"/>
  <c r="O175"/>
  <c r="O179"/>
  <c r="O183"/>
  <c r="O187"/>
  <c r="O191"/>
  <c r="O195"/>
  <c r="O199"/>
  <c r="O203"/>
  <c r="O207"/>
  <c r="O211"/>
  <c r="O215"/>
  <c r="O219"/>
  <c r="O223"/>
  <c r="O227"/>
  <c r="O231"/>
  <c r="O235"/>
  <c r="O239"/>
  <c r="O243"/>
  <c r="O247"/>
  <c r="O251"/>
  <c r="O255"/>
  <c r="O259"/>
  <c r="O263"/>
  <c r="O267"/>
  <c r="O271"/>
  <c r="O275"/>
  <c r="O279"/>
  <c r="O283"/>
  <c r="O287"/>
  <c r="O291"/>
  <c r="C24" i="5"/>
  <c r="B24"/>
  <c r="C17"/>
  <c r="C24" i="8"/>
  <c r="O38"/>
  <c r="Q38" s="1"/>
  <c r="B24"/>
  <c r="N63" s="1"/>
  <c r="C17"/>
  <c r="B17"/>
  <c r="B17" i="5"/>
  <c r="E12"/>
  <c r="D12"/>
  <c r="C12"/>
  <c r="B12"/>
  <c r="E10"/>
  <c r="D10"/>
  <c r="C10"/>
  <c r="B10"/>
  <c r="C64" i="8"/>
  <c r="C63"/>
  <c r="C62"/>
  <c r="C61"/>
  <c r="C60"/>
  <c r="C59"/>
  <c r="C58"/>
  <c r="C57"/>
  <c r="C56"/>
  <c r="C55"/>
  <c r="C54"/>
  <c r="C53"/>
  <c r="C52"/>
  <c r="C51"/>
  <c r="C50"/>
  <c r="C49"/>
  <c r="C48"/>
  <c r="C47"/>
  <c r="C46"/>
  <c r="C45"/>
  <c r="C44"/>
  <c r="C43"/>
  <c r="C42"/>
  <c r="C41"/>
  <c r="C40"/>
  <c r="C39"/>
  <c r="C38"/>
  <c r="C37"/>
  <c r="C36"/>
  <c r="C35"/>
  <c r="C34"/>
  <c r="C33"/>
  <c r="B5"/>
  <c r="B9"/>
  <c r="E13"/>
  <c r="D13"/>
  <c r="C13"/>
  <c r="B13"/>
  <c r="E11"/>
  <c r="D11"/>
  <c r="C11"/>
  <c r="B11"/>
  <c r="S261" i="12"/>
  <c r="BT231" i="10" s="1"/>
  <c r="CA231" s="1"/>
  <c r="P154" i="12"/>
  <c r="BQ124" i="10"/>
  <c r="BU124" s="1"/>
  <c r="CT35" i="15"/>
  <c r="CT43"/>
  <c r="CT51"/>
  <c r="DG268"/>
  <c r="DG300"/>
  <c r="CK195"/>
  <c r="CZ37"/>
  <c r="DH272"/>
  <c r="DH264"/>
  <c r="CV25"/>
  <c r="DI184"/>
  <c r="DK300"/>
  <c r="DM300" s="1"/>
  <c r="CW110"/>
  <c r="CT21"/>
  <c r="CT83"/>
  <c r="DG84"/>
  <c r="DG108"/>
  <c r="DG228"/>
  <c r="DK168"/>
  <c r="DD84"/>
  <c r="S65" i="12"/>
  <c r="BT35" i="10"/>
  <c r="CA35" s="1"/>
  <c r="Q52" i="12"/>
  <c r="BR22" i="10"/>
  <c r="BW22"/>
  <c r="S277" i="12"/>
  <c r="BT247" i="10"/>
  <c r="CA247"/>
  <c r="Q221" i="12"/>
  <c r="BR191" i="10" s="1"/>
  <c r="BW191" s="1"/>
  <c r="S230" i="12"/>
  <c r="BT200" i="10"/>
  <c r="CA200" s="1"/>
  <c r="Q182" i="12"/>
  <c r="BR152" i="10"/>
  <c r="BW152"/>
  <c r="S114" i="12"/>
  <c r="BT84" i="10" s="1"/>
  <c r="CA84" s="1"/>
  <c r="CW298" i="15"/>
  <c r="Q54" i="12"/>
  <c r="BR24" i="10" s="1"/>
  <c r="BW24" s="1"/>
  <c r="Q217" i="12"/>
  <c r="BR187" i="10" s="1"/>
  <c r="BW187" s="1"/>
  <c r="Q281" i="12"/>
  <c r="BR251" i="10"/>
  <c r="BW251" s="1"/>
  <c r="Q290" i="12"/>
  <c r="BR260" i="10"/>
  <c r="BW260" s="1"/>
  <c r="S39" i="12"/>
  <c r="BT9" i="10"/>
  <c r="CA9" s="1"/>
  <c r="S229" i="12"/>
  <c r="BT199" i="10"/>
  <c r="CA199"/>
  <c r="DA199" s="1"/>
  <c r="Q177" i="12"/>
  <c r="BR147" i="10"/>
  <c r="BW147"/>
  <c r="R288" i="12"/>
  <c r="BS258" i="10" s="1"/>
  <c r="BY258" s="1"/>
  <c r="DD68" i="15"/>
  <c r="Q60" i="12"/>
  <c r="BR30" i="10"/>
  <c r="BW30"/>
  <c r="CU30" s="1"/>
  <c r="S185" i="12"/>
  <c r="BT155" i="10"/>
  <c r="CA155"/>
  <c r="DG252" i="15"/>
  <c r="CQ70"/>
  <c r="O46" i="8"/>
  <c r="O64"/>
  <c r="Q64" s="1"/>
  <c r="P162" i="12"/>
  <c r="BQ132" i="10"/>
  <c r="BU132"/>
  <c r="BV132" s="1"/>
  <c r="S119" i="12"/>
  <c r="BT89" i="10"/>
  <c r="CA89"/>
  <c r="P248" i="12"/>
  <c r="BQ218" i="10" s="1"/>
  <c r="BU218" s="1"/>
  <c r="Q121" i="12"/>
  <c r="BR91" i="10" s="1"/>
  <c r="BW91" s="1"/>
  <c r="BX91" s="1"/>
  <c r="S70" i="12"/>
  <c r="BT40" i="10" s="1"/>
  <c r="CA40" s="1"/>
  <c r="I39" i="12"/>
  <c r="AX9" i="10" s="1"/>
  <c r="BE9" s="1"/>
  <c r="S205" i="12"/>
  <c r="BT175" i="10" s="1"/>
  <c r="CA175" s="1"/>
  <c r="S206" i="12"/>
  <c r="BT176" i="10" s="1"/>
  <c r="CA176" s="1"/>
  <c r="Q89" i="12"/>
  <c r="BR59" i="10"/>
  <c r="BW59" s="1"/>
  <c r="P152" i="12"/>
  <c r="BQ122" i="10"/>
  <c r="BU122" s="1"/>
  <c r="CT7" i="15"/>
  <c r="CZ21"/>
  <c r="CT15"/>
  <c r="DD100"/>
  <c r="DM204"/>
  <c r="DJ108"/>
  <c r="DG52"/>
  <c r="CW266"/>
  <c r="CB39" i="10"/>
  <c r="CI262" i="15"/>
  <c r="DF262"/>
  <c r="BX248" i="10"/>
  <c r="CU248"/>
  <c r="Q105" i="12"/>
  <c r="BR75" i="10" s="1"/>
  <c r="BW75" s="1"/>
  <c r="CM269" i="15"/>
  <c r="DL269"/>
  <c r="DM269"/>
  <c r="S74" i="12"/>
  <c r="BT44" i="10"/>
  <c r="CA44" s="1"/>
  <c r="BZ130"/>
  <c r="I47" i="12"/>
  <c r="AX17" i="10"/>
  <c r="BE17"/>
  <c r="S61" i="12"/>
  <c r="BT31" i="10"/>
  <c r="CA31"/>
  <c r="S130" i="12"/>
  <c r="BT100" i="10"/>
  <c r="CA100" s="1"/>
  <c r="S169" i="12"/>
  <c r="BT139" i="10"/>
  <c r="CA139"/>
  <c r="S85" i="12"/>
  <c r="BT55" i="10"/>
  <c r="CA55"/>
  <c r="S49" i="12"/>
  <c r="BT19" i="10"/>
  <c r="CA19"/>
  <c r="S266" i="12"/>
  <c r="BT236" i="10" s="1"/>
  <c r="CA236" s="1"/>
  <c r="S107" i="12"/>
  <c r="BT77" i="10" s="1"/>
  <c r="CA77" s="1"/>
  <c r="CB28"/>
  <c r="DA28"/>
  <c r="Q93" i="12"/>
  <c r="BR63" i="10" s="1"/>
  <c r="BW63" s="1"/>
  <c r="CB96"/>
  <c r="DA96"/>
  <c r="P276" i="12"/>
  <c r="BQ246" i="10"/>
  <c r="BU246"/>
  <c r="P136" i="12"/>
  <c r="BQ106" i="10" s="1"/>
  <c r="BU106" s="1"/>
  <c r="CM305" i="15"/>
  <c r="DL305"/>
  <c r="CM294"/>
  <c r="DL294"/>
  <c r="CM285"/>
  <c r="DL285"/>
  <c r="CM273"/>
  <c r="DL273"/>
  <c r="CM262"/>
  <c r="DL262"/>
  <c r="CM253"/>
  <c r="DL253"/>
  <c r="CM241"/>
  <c r="DL241"/>
  <c r="CM230"/>
  <c r="DL230"/>
  <c r="CM221"/>
  <c r="DL221"/>
  <c r="CM209"/>
  <c r="DL209"/>
  <c r="CM198"/>
  <c r="DL198"/>
  <c r="CM189"/>
  <c r="DL189"/>
  <c r="CI180"/>
  <c r="DF180"/>
  <c r="CI176"/>
  <c r="DF176"/>
  <c r="CI172"/>
  <c r="DF172"/>
  <c r="CI168"/>
  <c r="DF168"/>
  <c r="CI164"/>
  <c r="DF164"/>
  <c r="CI160"/>
  <c r="DF160"/>
  <c r="CI156"/>
  <c r="DF156"/>
  <c r="CI152"/>
  <c r="DF152"/>
  <c r="CI148"/>
  <c r="DF148"/>
  <c r="CI144"/>
  <c r="DF144"/>
  <c r="CI140"/>
  <c r="DF140"/>
  <c r="CI136"/>
  <c r="DF136"/>
  <c r="CI132"/>
  <c r="DF132"/>
  <c r="CI128"/>
  <c r="DF128"/>
  <c r="CI124"/>
  <c r="DF124"/>
  <c r="CI120"/>
  <c r="DF120"/>
  <c r="CI116"/>
  <c r="DF116"/>
  <c r="CI112"/>
  <c r="DF112"/>
  <c r="CI103"/>
  <c r="DF103"/>
  <c r="CI94"/>
  <c r="DF94"/>
  <c r="CI80"/>
  <c r="DF80"/>
  <c r="CI71"/>
  <c r="DF71"/>
  <c r="CM297"/>
  <c r="DL297"/>
  <c r="CM286"/>
  <c r="DL286"/>
  <c r="CM277"/>
  <c r="DL277"/>
  <c r="CM265"/>
  <c r="DL265"/>
  <c r="CM254"/>
  <c r="DL254"/>
  <c r="CM245"/>
  <c r="DL245"/>
  <c r="CM233"/>
  <c r="DL233"/>
  <c r="CM222"/>
  <c r="DL222"/>
  <c r="CM213"/>
  <c r="DL213"/>
  <c r="CM201"/>
  <c r="DL201"/>
  <c r="CM190"/>
  <c r="DL190"/>
  <c r="CI109"/>
  <c r="DF109"/>
  <c r="CI99"/>
  <c r="DF99"/>
  <c r="CI90"/>
  <c r="DF90"/>
  <c r="CI77"/>
  <c r="DF77"/>
  <c r="CI67"/>
  <c r="DF67"/>
  <c r="CI58"/>
  <c r="DF58"/>
  <c r="CI49"/>
  <c r="DF49"/>
  <c r="O7"/>
  <c r="CO7"/>
  <c r="CQ7" s="1"/>
  <c r="S32"/>
  <c r="CU32"/>
  <c r="O43"/>
  <c r="CO43"/>
  <c r="CQ43"/>
  <c r="S52"/>
  <c r="CU52"/>
  <c r="S60"/>
  <c r="CU60"/>
  <c r="S68"/>
  <c r="CU68"/>
  <c r="S76"/>
  <c r="CU76"/>
  <c r="S84"/>
  <c r="CU84"/>
  <c r="S92"/>
  <c r="CU92"/>
  <c r="S100"/>
  <c r="CU100"/>
  <c r="S108"/>
  <c r="CU108"/>
  <c r="S116"/>
  <c r="CU116"/>
  <c r="S124"/>
  <c r="CU124"/>
  <c r="S132"/>
  <c r="CU132"/>
  <c r="S140"/>
  <c r="CU140"/>
  <c r="S148"/>
  <c r="CU148"/>
  <c r="S156"/>
  <c r="CU156"/>
  <c r="S164"/>
  <c r="CU164"/>
  <c r="S172"/>
  <c r="CU172"/>
  <c r="S180"/>
  <c r="CU180"/>
  <c r="S188"/>
  <c r="CU188"/>
  <c r="S196"/>
  <c r="CU196"/>
  <c r="S204"/>
  <c r="CU204"/>
  <c r="S212"/>
  <c r="CU212"/>
  <c r="S220"/>
  <c r="CU220"/>
  <c r="S228"/>
  <c r="CU228"/>
  <c r="S236"/>
  <c r="CU236"/>
  <c r="S244"/>
  <c r="CU244"/>
  <c r="S252"/>
  <c r="CU252"/>
  <c r="S260"/>
  <c r="CU260"/>
  <c r="S268"/>
  <c r="CU268"/>
  <c r="S276"/>
  <c r="CU276"/>
  <c r="CM306"/>
  <c r="DL306"/>
  <c r="CM296"/>
  <c r="DL296"/>
  <c r="CM287"/>
  <c r="DL287"/>
  <c r="CM274"/>
  <c r="DL274"/>
  <c r="CM264"/>
  <c r="DL264"/>
  <c r="CM255"/>
  <c r="DL255"/>
  <c r="CM242"/>
  <c r="DL242"/>
  <c r="CM232"/>
  <c r="DL232"/>
  <c r="CM223"/>
  <c r="DL223"/>
  <c r="CM210"/>
  <c r="DL210"/>
  <c r="CM200"/>
  <c r="DL200"/>
  <c r="CM191"/>
  <c r="DL191"/>
  <c r="CM181"/>
  <c r="DL181"/>
  <c r="CM177"/>
  <c r="DL177"/>
  <c r="CM173"/>
  <c r="DL173"/>
  <c r="CM169"/>
  <c r="DL169"/>
  <c r="CM165"/>
  <c r="DL165"/>
  <c r="CM161"/>
  <c r="DL161"/>
  <c r="CM157"/>
  <c r="DL157"/>
  <c r="CM153"/>
  <c r="DL153"/>
  <c r="CM149"/>
  <c r="DL149"/>
  <c r="CM145"/>
  <c r="DL145"/>
  <c r="CM141"/>
  <c r="DL141"/>
  <c r="CM137"/>
  <c r="DL137"/>
  <c r="CM133"/>
  <c r="DL133"/>
  <c r="CM129"/>
  <c r="DL129"/>
  <c r="CM125"/>
  <c r="DL125"/>
  <c r="CM121"/>
  <c r="DL121"/>
  <c r="CM117"/>
  <c r="DL117"/>
  <c r="CM113"/>
  <c r="DL113"/>
  <c r="CI104"/>
  <c r="DF104"/>
  <c r="CI95"/>
  <c r="DF95"/>
  <c r="CI86"/>
  <c r="DF86"/>
  <c r="CI72"/>
  <c r="DF72"/>
  <c r="CM298"/>
  <c r="DL298"/>
  <c r="CM288"/>
  <c r="DL288"/>
  <c r="CM279"/>
  <c r="DL279"/>
  <c r="CM266"/>
  <c r="DL266"/>
  <c r="CM256"/>
  <c r="DL256"/>
  <c r="CM247"/>
  <c r="DL247"/>
  <c r="CM234"/>
  <c r="DL234"/>
  <c r="CM224"/>
  <c r="DL224"/>
  <c r="CM215"/>
  <c r="DL215"/>
  <c r="CM202"/>
  <c r="DL202"/>
  <c r="CM192"/>
  <c r="DL192"/>
  <c r="CI107"/>
  <c r="DF107"/>
  <c r="CI98"/>
  <c r="DF98"/>
  <c r="CI85"/>
  <c r="DF85"/>
  <c r="CI75"/>
  <c r="DF75"/>
  <c r="CI66"/>
  <c r="DF66"/>
  <c r="CI53"/>
  <c r="DF53"/>
  <c r="CI48"/>
  <c r="DF48"/>
  <c r="S20"/>
  <c r="CU20"/>
  <c r="O31"/>
  <c r="CO31"/>
  <c r="CQ31" s="1"/>
  <c r="O51"/>
  <c r="CO51"/>
  <c r="CQ51" s="1"/>
  <c r="O55"/>
  <c r="CO55"/>
  <c r="O59"/>
  <c r="CO59"/>
  <c r="O63"/>
  <c r="CO63"/>
  <c r="O67"/>
  <c r="CO67"/>
  <c r="O71"/>
  <c r="CO71"/>
  <c r="O75"/>
  <c r="CO75"/>
  <c r="O79"/>
  <c r="CO79"/>
  <c r="O83"/>
  <c r="CO83"/>
  <c r="O87"/>
  <c r="CO87"/>
  <c r="O91"/>
  <c r="CO91"/>
  <c r="O95"/>
  <c r="CO95"/>
  <c r="O99"/>
  <c r="CO99"/>
  <c r="O103"/>
  <c r="CO103"/>
  <c r="O107"/>
  <c r="CO107"/>
  <c r="O111"/>
  <c r="CO111"/>
  <c r="O115"/>
  <c r="CO115"/>
  <c r="O119"/>
  <c r="CO119"/>
  <c r="O123"/>
  <c r="CO123"/>
  <c r="O127"/>
  <c r="CO127"/>
  <c r="O131"/>
  <c r="CO131"/>
  <c r="O135"/>
  <c r="CO135"/>
  <c r="O139"/>
  <c r="CO139"/>
  <c r="O143"/>
  <c r="CO143"/>
  <c r="O147"/>
  <c r="CO147"/>
  <c r="O151"/>
  <c r="CO151"/>
  <c r="O155"/>
  <c r="CO155"/>
  <c r="O159"/>
  <c r="CO159"/>
  <c r="O163"/>
  <c r="CO163"/>
  <c r="O167"/>
  <c r="CO167"/>
  <c r="O171"/>
  <c r="CO171"/>
  <c r="O175"/>
  <c r="CO175"/>
  <c r="O179"/>
  <c r="CO179"/>
  <c r="O183"/>
  <c r="CO183"/>
  <c r="O187"/>
  <c r="CO187"/>
  <c r="O191"/>
  <c r="CO191"/>
  <c r="O195"/>
  <c r="CO195"/>
  <c r="O199"/>
  <c r="CO199"/>
  <c r="O203"/>
  <c r="CO203"/>
  <c r="O207"/>
  <c r="CO207"/>
  <c r="O211"/>
  <c r="CO211"/>
  <c r="O215"/>
  <c r="CO215"/>
  <c r="O219"/>
  <c r="CO219"/>
  <c r="O223"/>
  <c r="CO223"/>
  <c r="O227"/>
  <c r="CO227"/>
  <c r="O231"/>
  <c r="CO231"/>
  <c r="CB156" i="10"/>
  <c r="BX18"/>
  <c r="CU18"/>
  <c r="CB148"/>
  <c r="DA148"/>
  <c r="BX183"/>
  <c r="CU183"/>
  <c r="CI273" i="15"/>
  <c r="DF273"/>
  <c r="CI253"/>
  <c r="DF253"/>
  <c r="CI241"/>
  <c r="DF241"/>
  <c r="CI230"/>
  <c r="DF230"/>
  <c r="CI221"/>
  <c r="DF221"/>
  <c r="CI209"/>
  <c r="DF209"/>
  <c r="CI198"/>
  <c r="DF198"/>
  <c r="CI189"/>
  <c r="DF189"/>
  <c r="CM180"/>
  <c r="DL180"/>
  <c r="CM176"/>
  <c r="DL176"/>
  <c r="CM172"/>
  <c r="DL172"/>
  <c r="CM168"/>
  <c r="DL168"/>
  <c r="CM164"/>
  <c r="DL164"/>
  <c r="CM160"/>
  <c r="DL160"/>
  <c r="CM156"/>
  <c r="DL156"/>
  <c r="CM152"/>
  <c r="DL152"/>
  <c r="CM148"/>
  <c r="DL148"/>
  <c r="CM144"/>
  <c r="DL144"/>
  <c r="CM140"/>
  <c r="DL140"/>
  <c r="CM136"/>
  <c r="DL136"/>
  <c r="CM132"/>
  <c r="DL132"/>
  <c r="CM128"/>
  <c r="DL128"/>
  <c r="CM124"/>
  <c r="DL124"/>
  <c r="CM120"/>
  <c r="DL120"/>
  <c r="CM116"/>
  <c r="DL116"/>
  <c r="CM112"/>
  <c r="DL112"/>
  <c r="CM103"/>
  <c r="DL103"/>
  <c r="CM94"/>
  <c r="DL94"/>
  <c r="CM80"/>
  <c r="DL80"/>
  <c r="CM71"/>
  <c r="DL71"/>
  <c r="CI297"/>
  <c r="DF297"/>
  <c r="CI286"/>
  <c r="DF286"/>
  <c r="CI277"/>
  <c r="DF277"/>
  <c r="CI265"/>
  <c r="DF265"/>
  <c r="CI254"/>
  <c r="DF254"/>
  <c r="CI245"/>
  <c r="DF245"/>
  <c r="CI233"/>
  <c r="DF233"/>
  <c r="CI222"/>
  <c r="DF222"/>
  <c r="CI213"/>
  <c r="DF213"/>
  <c r="CI201"/>
  <c r="DF201"/>
  <c r="CI190"/>
  <c r="DF190"/>
  <c r="CM109"/>
  <c r="DL109"/>
  <c r="CM99"/>
  <c r="DL99"/>
  <c r="CM90"/>
  <c r="DL90"/>
  <c r="CM77"/>
  <c r="DL77"/>
  <c r="CM67"/>
  <c r="DL67"/>
  <c r="CM58"/>
  <c r="DL58"/>
  <c r="CM49"/>
  <c r="DL49"/>
  <c r="S7"/>
  <c r="CU7"/>
  <c r="O32"/>
  <c r="CO32"/>
  <c r="S43"/>
  <c r="CU43"/>
  <c r="O52"/>
  <c r="CO52"/>
  <c r="O60"/>
  <c r="CO60"/>
  <c r="O68"/>
  <c r="CO68"/>
  <c r="O76"/>
  <c r="CO76"/>
  <c r="O84"/>
  <c r="CO84"/>
  <c r="O92"/>
  <c r="CO92"/>
  <c r="O100"/>
  <c r="CO100"/>
  <c r="O108"/>
  <c r="CO108"/>
  <c r="O116"/>
  <c r="CO116"/>
  <c r="O124"/>
  <c r="CO124"/>
  <c r="O132"/>
  <c r="CO132"/>
  <c r="O140"/>
  <c r="CO140"/>
  <c r="O148"/>
  <c r="CO148"/>
  <c r="O156"/>
  <c r="CO156"/>
  <c r="O164"/>
  <c r="CO164"/>
  <c r="O172"/>
  <c r="CO172"/>
  <c r="O180"/>
  <c r="CO180"/>
  <c r="O188"/>
  <c r="CO188"/>
  <c r="O196"/>
  <c r="CO196"/>
  <c r="O204"/>
  <c r="CO204"/>
  <c r="O212"/>
  <c r="CO212"/>
  <c r="O220"/>
  <c r="CO220"/>
  <c r="O228"/>
  <c r="CO228"/>
  <c r="O236"/>
  <c r="CO236"/>
  <c r="O244"/>
  <c r="CO244"/>
  <c r="O252"/>
  <c r="CO252"/>
  <c r="O260"/>
  <c r="CO260"/>
  <c r="O268"/>
  <c r="CO268"/>
  <c r="O276"/>
  <c r="CO276"/>
  <c r="CI306"/>
  <c r="DF306"/>
  <c r="CI296"/>
  <c r="DF296"/>
  <c r="CI287"/>
  <c r="DF287"/>
  <c r="CI274"/>
  <c r="DF274"/>
  <c r="CI264"/>
  <c r="DF264"/>
  <c r="CI255"/>
  <c r="DF255"/>
  <c r="CI242"/>
  <c r="DF242"/>
  <c r="CI232"/>
  <c r="DF232"/>
  <c r="CI223"/>
  <c r="DF223"/>
  <c r="CI210"/>
  <c r="DF210"/>
  <c r="CI200"/>
  <c r="DF200"/>
  <c r="CI191"/>
  <c r="DF191"/>
  <c r="CI181"/>
  <c r="DF181"/>
  <c r="CI177"/>
  <c r="DF177"/>
  <c r="CI173"/>
  <c r="DF173"/>
  <c r="CI169"/>
  <c r="DF169"/>
  <c r="CI165"/>
  <c r="DF165"/>
  <c r="CI161"/>
  <c r="DF161"/>
  <c r="CI157"/>
  <c r="DF157"/>
  <c r="CI153"/>
  <c r="DF153"/>
  <c r="CI149"/>
  <c r="DF149"/>
  <c r="CI145"/>
  <c r="DF145"/>
  <c r="CI141"/>
  <c r="DF141"/>
  <c r="CI137"/>
  <c r="DF137"/>
  <c r="CI133"/>
  <c r="DF133"/>
  <c r="CI129"/>
  <c r="DF129"/>
  <c r="CI125"/>
  <c r="DF125"/>
  <c r="CI121"/>
  <c r="DF121"/>
  <c r="CI117"/>
  <c r="DF117"/>
  <c r="CI113"/>
  <c r="DF113"/>
  <c r="CM104"/>
  <c r="DL104"/>
  <c r="CM95"/>
  <c r="DL95"/>
  <c r="CM86"/>
  <c r="DL86"/>
  <c r="CM72"/>
  <c r="DL72"/>
  <c r="CI298"/>
  <c r="DF298"/>
  <c r="CI288"/>
  <c r="DF288"/>
  <c r="CI279"/>
  <c r="DF279"/>
  <c r="CI266"/>
  <c r="DF266"/>
  <c r="CI256"/>
  <c r="DF256"/>
  <c r="CI247"/>
  <c r="DF247"/>
  <c r="CI234"/>
  <c r="DF234"/>
  <c r="CI224"/>
  <c r="DF224"/>
  <c r="CI215"/>
  <c r="DF215"/>
  <c r="CI202"/>
  <c r="DF202"/>
  <c r="CI192"/>
  <c r="DF192"/>
  <c r="CM107"/>
  <c r="DL107"/>
  <c r="CM98"/>
  <c r="DL98"/>
  <c r="CM85"/>
  <c r="DL85"/>
  <c r="CM75"/>
  <c r="DL75"/>
  <c r="CM66"/>
  <c r="DL66"/>
  <c r="CM53"/>
  <c r="DL53"/>
  <c r="CM48"/>
  <c r="DL48"/>
  <c r="O20"/>
  <c r="CO20"/>
  <c r="S31"/>
  <c r="CU31"/>
  <c r="S51"/>
  <c r="CU51"/>
  <c r="CW51" s="1"/>
  <c r="S55"/>
  <c r="CU55"/>
  <c r="S59"/>
  <c r="CU59"/>
  <c r="S63"/>
  <c r="CU63"/>
  <c r="S67"/>
  <c r="CU67"/>
  <c r="S71"/>
  <c r="CU71"/>
  <c r="S75"/>
  <c r="CU75"/>
  <c r="S79"/>
  <c r="CU79"/>
  <c r="S83"/>
  <c r="CU83"/>
  <c r="S87"/>
  <c r="CU87"/>
  <c r="S91"/>
  <c r="CU91"/>
  <c r="S95"/>
  <c r="CU95"/>
  <c r="S99"/>
  <c r="CU99"/>
  <c r="S103"/>
  <c r="CU103"/>
  <c r="S107"/>
  <c r="CU107"/>
  <c r="S111"/>
  <c r="CU111"/>
  <c r="S115"/>
  <c r="CU115"/>
  <c r="S119"/>
  <c r="CU119"/>
  <c r="S123"/>
  <c r="CU123"/>
  <c r="S127"/>
  <c r="CU127"/>
  <c r="S131"/>
  <c r="CU131"/>
  <c r="S135"/>
  <c r="CU135"/>
  <c r="S139"/>
  <c r="CU139"/>
  <c r="S143"/>
  <c r="CU143"/>
  <c r="S147"/>
  <c r="CU147"/>
  <c r="S151"/>
  <c r="CU151"/>
  <c r="S155"/>
  <c r="CU155"/>
  <c r="S159"/>
  <c r="CU159"/>
  <c r="S163"/>
  <c r="CU163"/>
  <c r="S167"/>
  <c r="CU167"/>
  <c r="S171"/>
  <c r="CU171"/>
  <c r="S175"/>
  <c r="CU175"/>
  <c r="S179"/>
  <c r="CU179"/>
  <c r="S183"/>
  <c r="CU183"/>
  <c r="S187"/>
  <c r="CU187"/>
  <c r="S191"/>
  <c r="CU191"/>
  <c r="S195"/>
  <c r="CU195"/>
  <c r="S199"/>
  <c r="CU199"/>
  <c r="S203"/>
  <c r="CU203"/>
  <c r="S207"/>
  <c r="CU207"/>
  <c r="S211"/>
  <c r="CU211"/>
  <c r="S215"/>
  <c r="CU215"/>
  <c r="S219"/>
  <c r="CU219"/>
  <c r="S223"/>
  <c r="CU223"/>
  <c r="S227"/>
  <c r="CU227"/>
  <c r="S231"/>
  <c r="CU231"/>
  <c r="S235"/>
  <c r="CU235"/>
  <c r="S239"/>
  <c r="CU239"/>
  <c r="S243"/>
  <c r="CU243"/>
  <c r="S247"/>
  <c r="CU247"/>
  <c r="S251"/>
  <c r="CU251"/>
  <c r="S255"/>
  <c r="CU255"/>
  <c r="S259"/>
  <c r="CU259"/>
  <c r="S263"/>
  <c r="CU263"/>
  <c r="S267"/>
  <c r="CU267"/>
  <c r="S271"/>
  <c r="CU271"/>
  <c r="S275"/>
  <c r="CU275"/>
  <c r="S279"/>
  <c r="CU279"/>
  <c r="S283"/>
  <c r="CU283"/>
  <c r="S287"/>
  <c r="CU287"/>
  <c r="S291"/>
  <c r="CU291"/>
  <c r="S295"/>
  <c r="CU295"/>
  <c r="S299"/>
  <c r="CU299"/>
  <c r="S303"/>
  <c r="CU303"/>
  <c r="AP4"/>
  <c r="DH4"/>
  <c r="AR10"/>
  <c r="DK10"/>
  <c r="AR18"/>
  <c r="DK18"/>
  <c r="AR26"/>
  <c r="DK26"/>
  <c r="AR34"/>
  <c r="DK34"/>
  <c r="AR42"/>
  <c r="DK42"/>
  <c r="AR50"/>
  <c r="DK50"/>
  <c r="AR58"/>
  <c r="DK58"/>
  <c r="AR66"/>
  <c r="DK66"/>
  <c r="AR74"/>
  <c r="DK74"/>
  <c r="O284"/>
  <c r="CO284"/>
  <c r="O292"/>
  <c r="CO292"/>
  <c r="O300"/>
  <c r="CO300"/>
  <c r="AP5"/>
  <c r="DH5"/>
  <c r="AP9"/>
  <c r="DH9"/>
  <c r="AP13"/>
  <c r="DH13"/>
  <c r="AP17"/>
  <c r="DH17"/>
  <c r="AP21"/>
  <c r="DH21"/>
  <c r="AP25"/>
  <c r="DH25"/>
  <c r="AP29"/>
  <c r="DH29"/>
  <c r="AP33"/>
  <c r="DH33"/>
  <c r="AP37"/>
  <c r="DH37"/>
  <c r="AP41"/>
  <c r="DH41"/>
  <c r="AP45"/>
  <c r="DH45"/>
  <c r="AP49"/>
  <c r="DH49"/>
  <c r="AP53"/>
  <c r="DH53"/>
  <c r="AP57"/>
  <c r="DH57"/>
  <c r="DJ57"/>
  <c r="AP61"/>
  <c r="DH61"/>
  <c r="AP65"/>
  <c r="DH65"/>
  <c r="DJ65"/>
  <c r="AP69"/>
  <c r="DH69"/>
  <c r="AP73"/>
  <c r="DH73"/>
  <c r="AP77"/>
  <c r="DH77"/>
  <c r="AP81"/>
  <c r="DH81"/>
  <c r="DJ81" s="1"/>
  <c r="AP85"/>
  <c r="DH85"/>
  <c r="AP89"/>
  <c r="DH89"/>
  <c r="AP93"/>
  <c r="DH93"/>
  <c r="AP97"/>
  <c r="DH97"/>
  <c r="AP101"/>
  <c r="DH101"/>
  <c r="AP105"/>
  <c r="DH105"/>
  <c r="DJ105" s="1"/>
  <c r="AP109"/>
  <c r="DH109"/>
  <c r="AP113"/>
  <c r="DH113"/>
  <c r="AP117"/>
  <c r="DH117"/>
  <c r="AP121"/>
  <c r="DH121"/>
  <c r="AP125"/>
  <c r="DH125"/>
  <c r="AP129"/>
  <c r="DH129"/>
  <c r="AP133"/>
  <c r="DH133"/>
  <c r="AP137"/>
  <c r="DH137"/>
  <c r="AP141"/>
  <c r="DH141"/>
  <c r="AP145"/>
  <c r="DH145"/>
  <c r="AP149"/>
  <c r="DH149"/>
  <c r="AP153"/>
  <c r="DH153"/>
  <c r="AP157"/>
  <c r="DH157"/>
  <c r="AP161"/>
  <c r="DH161"/>
  <c r="AP165"/>
  <c r="DH165"/>
  <c r="AP169"/>
  <c r="DH169"/>
  <c r="AP173"/>
  <c r="DH173"/>
  <c r="AP177"/>
  <c r="DH177"/>
  <c r="AP181"/>
  <c r="DH181"/>
  <c r="AP185"/>
  <c r="DH185"/>
  <c r="AP189"/>
  <c r="DH189"/>
  <c r="DJ189" s="1"/>
  <c r="AP193"/>
  <c r="DH193"/>
  <c r="DJ193"/>
  <c r="AP197"/>
  <c r="DH197"/>
  <c r="AP201"/>
  <c r="DH201"/>
  <c r="DJ201" s="1"/>
  <c r="AP205"/>
  <c r="DH205"/>
  <c r="DJ205" s="1"/>
  <c r="AN211"/>
  <c r="DE211"/>
  <c r="DG211"/>
  <c r="AP215"/>
  <c r="DH215"/>
  <c r="DJ215"/>
  <c r="AP221"/>
  <c r="DH221"/>
  <c r="DJ221"/>
  <c r="AN227"/>
  <c r="DE227"/>
  <c r="DG227" s="1"/>
  <c r="AP231"/>
  <c r="DH231"/>
  <c r="DJ231"/>
  <c r="AP237"/>
  <c r="DH237"/>
  <c r="DJ237"/>
  <c r="AN243"/>
  <c r="DE243"/>
  <c r="DG243" s="1"/>
  <c r="AP247"/>
  <c r="DH247"/>
  <c r="DJ247" s="1"/>
  <c r="AP253"/>
  <c r="DH253"/>
  <c r="DJ253"/>
  <c r="AN259"/>
  <c r="DE259"/>
  <c r="DG259"/>
  <c r="AP263"/>
  <c r="DH263"/>
  <c r="DJ263"/>
  <c r="AP269"/>
  <c r="DH269"/>
  <c r="DJ269" s="1"/>
  <c r="AN275"/>
  <c r="DE275"/>
  <c r="DG275"/>
  <c r="AP279"/>
  <c r="DH279"/>
  <c r="DJ279"/>
  <c r="AP285"/>
  <c r="DH285"/>
  <c r="DJ285"/>
  <c r="AN291"/>
  <c r="DE291"/>
  <c r="DG291" s="1"/>
  <c r="AP295"/>
  <c r="DH295"/>
  <c r="DJ295"/>
  <c r="AP301"/>
  <c r="DH301"/>
  <c r="DJ301"/>
  <c r="BP6"/>
  <c r="CY6"/>
  <c r="BP10"/>
  <c r="CY10"/>
  <c r="BP14"/>
  <c r="CY14"/>
  <c r="BP18"/>
  <c r="CY18"/>
  <c r="BP22"/>
  <c r="CY22"/>
  <c r="BP26"/>
  <c r="CY26"/>
  <c r="BP30"/>
  <c r="CY30"/>
  <c r="BP34"/>
  <c r="CY34"/>
  <c r="BP38"/>
  <c r="CY38"/>
  <c r="BP42"/>
  <c r="CY42"/>
  <c r="BJ46"/>
  <c r="CP46"/>
  <c r="BJ50"/>
  <c r="CP50"/>
  <c r="BL55"/>
  <c r="CS55"/>
  <c r="CM62"/>
  <c r="DL62"/>
  <c r="CG304"/>
  <c r="DC304"/>
  <c r="CG292"/>
  <c r="DC292"/>
  <c r="CG282"/>
  <c r="DC282"/>
  <c r="CG272"/>
  <c r="DC272"/>
  <c r="CG260"/>
  <c r="DC260"/>
  <c r="CG250"/>
  <c r="DC250"/>
  <c r="CG240"/>
  <c r="DC240"/>
  <c r="CG228"/>
  <c r="DC228"/>
  <c r="CG218"/>
  <c r="DC218"/>
  <c r="CG208"/>
  <c r="DC208"/>
  <c r="CG196"/>
  <c r="DC196"/>
  <c r="CK188"/>
  <c r="DI188"/>
  <c r="CG101"/>
  <c r="DC101"/>
  <c r="CG91"/>
  <c r="DC91"/>
  <c r="CK82"/>
  <c r="DI82"/>
  <c r="CK306"/>
  <c r="DI306"/>
  <c r="CK296"/>
  <c r="DI296"/>
  <c r="CK284"/>
  <c r="DI284"/>
  <c r="CK274"/>
  <c r="DI274"/>
  <c r="CK264"/>
  <c r="DI264"/>
  <c r="CK252"/>
  <c r="DI252"/>
  <c r="CK242"/>
  <c r="DI242"/>
  <c r="CK232"/>
  <c r="DI232"/>
  <c r="CK220"/>
  <c r="DI220"/>
  <c r="CK210"/>
  <c r="DI210"/>
  <c r="CK200"/>
  <c r="DI200"/>
  <c r="CG187"/>
  <c r="DC187"/>
  <c r="CG179"/>
  <c r="DC179"/>
  <c r="CG175"/>
  <c r="DC175"/>
  <c r="CG171"/>
  <c r="DC171"/>
  <c r="CG167"/>
  <c r="DC167"/>
  <c r="CG163"/>
  <c r="DC163"/>
  <c r="CG159"/>
  <c r="DC159"/>
  <c r="CG155"/>
  <c r="DC155"/>
  <c r="CG151"/>
  <c r="DC151"/>
  <c r="CG147"/>
  <c r="DC147"/>
  <c r="CG143"/>
  <c r="DC143"/>
  <c r="CG139"/>
  <c r="DC139"/>
  <c r="CG135"/>
  <c r="DC135"/>
  <c r="CG131"/>
  <c r="DC131"/>
  <c r="CG127"/>
  <c r="DC127"/>
  <c r="CG123"/>
  <c r="DC123"/>
  <c r="AR82"/>
  <c r="DK82"/>
  <c r="AR90"/>
  <c r="DK90"/>
  <c r="DM90"/>
  <c r="AR98"/>
  <c r="DK98"/>
  <c r="DM98"/>
  <c r="AR106"/>
  <c r="DK106"/>
  <c r="AR114"/>
  <c r="DK114"/>
  <c r="AR122"/>
  <c r="DK122"/>
  <c r="AR130"/>
  <c r="DK130"/>
  <c r="AR138"/>
  <c r="DK138"/>
  <c r="AR146"/>
  <c r="DK146"/>
  <c r="AR154"/>
  <c r="DK154"/>
  <c r="AR162"/>
  <c r="DK162"/>
  <c r="AR170"/>
  <c r="DK170"/>
  <c r="AR178"/>
  <c r="DK178"/>
  <c r="AR186"/>
  <c r="DK186"/>
  <c r="AR194"/>
  <c r="DK194"/>
  <c r="AR202"/>
  <c r="DK202"/>
  <c r="DM202"/>
  <c r="AL210"/>
  <c r="DB210"/>
  <c r="AL218"/>
  <c r="DB218"/>
  <c r="AL226"/>
  <c r="DB226"/>
  <c r="AL234"/>
  <c r="DB234"/>
  <c r="AL242"/>
  <c r="DB242"/>
  <c r="AL250"/>
  <c r="DB250"/>
  <c r="DD250"/>
  <c r="AL258"/>
  <c r="DB258"/>
  <c r="AL266"/>
  <c r="DB266"/>
  <c r="AL274"/>
  <c r="DB274"/>
  <c r="AL282"/>
  <c r="DB282"/>
  <c r="AL290"/>
  <c r="DB290"/>
  <c r="AL298"/>
  <c r="DB298"/>
  <c r="AL306"/>
  <c r="DB306"/>
  <c r="CM6"/>
  <c r="DL6"/>
  <c r="CM8"/>
  <c r="DL8"/>
  <c r="CM10"/>
  <c r="DL10"/>
  <c r="CM12"/>
  <c r="DL12"/>
  <c r="CM14"/>
  <c r="DL14"/>
  <c r="CM16"/>
  <c r="DL16"/>
  <c r="CM18"/>
  <c r="DL18"/>
  <c r="DM18"/>
  <c r="CM20"/>
  <c r="DL20"/>
  <c r="CM22"/>
  <c r="DL22"/>
  <c r="CM24"/>
  <c r="DL24"/>
  <c r="CM26"/>
  <c r="DL26"/>
  <c r="CM28"/>
  <c r="DL28"/>
  <c r="CM30"/>
  <c r="DL30"/>
  <c r="CM32"/>
  <c r="DL32"/>
  <c r="CM34"/>
  <c r="DL34"/>
  <c r="DM34" s="1"/>
  <c r="CM36"/>
  <c r="DL36"/>
  <c r="CM38"/>
  <c r="DL38"/>
  <c r="CM40"/>
  <c r="DL40"/>
  <c r="CM42"/>
  <c r="DL42"/>
  <c r="CM44"/>
  <c r="DL44"/>
  <c r="CK49"/>
  <c r="DI49"/>
  <c r="BL57"/>
  <c r="CS57"/>
  <c r="BL62"/>
  <c r="CS62"/>
  <c r="BP66"/>
  <c r="CY66"/>
  <c r="CG302"/>
  <c r="DC302"/>
  <c r="CG270"/>
  <c r="DC270"/>
  <c r="CG238"/>
  <c r="DC238"/>
  <c r="CG206"/>
  <c r="DC206"/>
  <c r="CG186"/>
  <c r="DC186"/>
  <c r="CK106"/>
  <c r="DI106"/>
  <c r="CG93"/>
  <c r="DC93"/>
  <c r="CG83"/>
  <c r="DC83"/>
  <c r="CK74"/>
  <c r="DI74"/>
  <c r="CK278"/>
  <c r="DI278"/>
  <c r="CK246"/>
  <c r="DI246"/>
  <c r="CK214"/>
  <c r="DI214"/>
  <c r="CG185"/>
  <c r="DC185"/>
  <c r="CK180"/>
  <c r="DI180"/>
  <c r="CK176"/>
  <c r="DI176"/>
  <c r="CB68" i="10"/>
  <c r="DA68"/>
  <c r="CB248"/>
  <c r="DA248"/>
  <c r="CB155"/>
  <c r="DA155"/>
  <c r="CB247"/>
  <c r="DA247"/>
  <c r="BX22"/>
  <c r="CU22"/>
  <c r="BX147"/>
  <c r="CU147"/>
  <c r="CM301" i="15"/>
  <c r="DL301"/>
  <c r="CM289"/>
  <c r="DL289"/>
  <c r="CM257"/>
  <c r="DL257"/>
  <c r="CM246"/>
  <c r="DL246"/>
  <c r="CM237"/>
  <c r="DL237"/>
  <c r="CM225"/>
  <c r="DL225"/>
  <c r="CM214"/>
  <c r="DL214"/>
  <c r="CM205"/>
  <c r="DL205"/>
  <c r="CM193"/>
  <c r="DL193"/>
  <c r="CM185"/>
  <c r="DL185"/>
  <c r="CI178"/>
  <c r="DF178"/>
  <c r="CI174"/>
  <c r="DF174"/>
  <c r="CI170"/>
  <c r="DF170"/>
  <c r="CI166"/>
  <c r="DF166"/>
  <c r="CI162"/>
  <c r="DF162"/>
  <c r="CI158"/>
  <c r="DF158"/>
  <c r="CI154"/>
  <c r="DF154"/>
  <c r="CI150"/>
  <c r="DF150"/>
  <c r="CI146"/>
  <c r="DF146"/>
  <c r="CI142"/>
  <c r="DF142"/>
  <c r="CI138"/>
  <c r="DF138"/>
  <c r="CI134"/>
  <c r="DF134"/>
  <c r="CI130"/>
  <c r="DF130"/>
  <c r="CI126"/>
  <c r="DF126"/>
  <c r="CI122"/>
  <c r="DF122"/>
  <c r="CI118"/>
  <c r="DF118"/>
  <c r="CI114"/>
  <c r="DF114"/>
  <c r="CI110"/>
  <c r="DF110"/>
  <c r="CI96"/>
  <c r="DF96"/>
  <c r="CI87"/>
  <c r="DF87"/>
  <c r="CI78"/>
  <c r="DF78"/>
  <c r="CM302"/>
  <c r="DL302"/>
  <c r="CM293"/>
  <c r="DL293"/>
  <c r="CM281"/>
  <c r="DL281"/>
  <c r="CM270"/>
  <c r="DL270"/>
  <c r="CM261"/>
  <c r="DL261"/>
  <c r="CM249"/>
  <c r="DL249"/>
  <c r="CM238"/>
  <c r="DL238"/>
  <c r="CM229"/>
  <c r="DL229"/>
  <c r="CM217"/>
  <c r="DL217"/>
  <c r="CM206"/>
  <c r="DL206"/>
  <c r="CM197"/>
  <c r="DL197"/>
  <c r="CM186"/>
  <c r="DL186"/>
  <c r="CI106"/>
  <c r="DF106"/>
  <c r="CI93"/>
  <c r="DF93"/>
  <c r="CI83"/>
  <c r="DF83"/>
  <c r="CI74"/>
  <c r="DF74"/>
  <c r="CI61"/>
  <c r="DF61"/>
  <c r="CI51"/>
  <c r="DF51"/>
  <c r="CI47"/>
  <c r="DF47"/>
  <c r="O23"/>
  <c r="CO23"/>
  <c r="CQ23"/>
  <c r="S40"/>
  <c r="CU40"/>
  <c r="S48"/>
  <c r="CU48"/>
  <c r="S56"/>
  <c r="CU56"/>
  <c r="S64"/>
  <c r="CU64"/>
  <c r="S72"/>
  <c r="CU72"/>
  <c r="S80"/>
  <c r="CU80"/>
  <c r="S88"/>
  <c r="CU88"/>
  <c r="S96"/>
  <c r="CU96"/>
  <c r="S104"/>
  <c r="CU104"/>
  <c r="S112"/>
  <c r="CU112"/>
  <c r="S120"/>
  <c r="CU120"/>
  <c r="S128"/>
  <c r="CU128"/>
  <c r="S136"/>
  <c r="CU136"/>
  <c r="S144"/>
  <c r="CU144"/>
  <c r="S152"/>
  <c r="CU152"/>
  <c r="S160"/>
  <c r="CU160"/>
  <c r="S168"/>
  <c r="CU168"/>
  <c r="S176"/>
  <c r="CU176"/>
  <c r="S184"/>
  <c r="CU184"/>
  <c r="S192"/>
  <c r="CU192"/>
  <c r="S200"/>
  <c r="CU200"/>
  <c r="S208"/>
  <c r="CU208"/>
  <c r="S216"/>
  <c r="CU216"/>
  <c r="S224"/>
  <c r="CU224"/>
  <c r="S232"/>
  <c r="CU232"/>
  <c r="S240"/>
  <c r="CU240"/>
  <c r="S248"/>
  <c r="CU248"/>
  <c r="S256"/>
  <c r="CU256"/>
  <c r="S264"/>
  <c r="CU264"/>
  <c r="S272"/>
  <c r="CU272"/>
  <c r="S280"/>
  <c r="CU280"/>
  <c r="CM303"/>
  <c r="DL303"/>
  <c r="CM290"/>
  <c r="DL290"/>
  <c r="CM280"/>
  <c r="DL280"/>
  <c r="CM271"/>
  <c r="DL271"/>
  <c r="CM258"/>
  <c r="DL258"/>
  <c r="CM248"/>
  <c r="DL248"/>
  <c r="CM239"/>
  <c r="DL239"/>
  <c r="CM226"/>
  <c r="DL226"/>
  <c r="CM216"/>
  <c r="DL216"/>
  <c r="CM207"/>
  <c r="DL207"/>
  <c r="CM194"/>
  <c r="DL194"/>
  <c r="CM183"/>
  <c r="DL183"/>
  <c r="CM179"/>
  <c r="DL179"/>
  <c r="DM179" s="1"/>
  <c r="CM175"/>
  <c r="DL175"/>
  <c r="CM171"/>
  <c r="DL171"/>
  <c r="CM167"/>
  <c r="DL167"/>
  <c r="CM163"/>
  <c r="DL163"/>
  <c r="DM163" s="1"/>
  <c r="CM159"/>
  <c r="DL159"/>
  <c r="CM155"/>
  <c r="DL155"/>
  <c r="CM151"/>
  <c r="DL151"/>
  <c r="CM147"/>
  <c r="DL147"/>
  <c r="DM147" s="1"/>
  <c r="CM143"/>
  <c r="DL143"/>
  <c r="CM139"/>
  <c r="DL139"/>
  <c r="CM135"/>
  <c r="DL135"/>
  <c r="CM131"/>
  <c r="DL131"/>
  <c r="DM131" s="1"/>
  <c r="CM127"/>
  <c r="DL127"/>
  <c r="CM123"/>
  <c r="DL123"/>
  <c r="CM119"/>
  <c r="DL119"/>
  <c r="CM115"/>
  <c r="DL115"/>
  <c r="DM115" s="1"/>
  <c r="CM111"/>
  <c r="DL111"/>
  <c r="CI102"/>
  <c r="DF102"/>
  <c r="DG102" s="1"/>
  <c r="CI88"/>
  <c r="DF88"/>
  <c r="CI79"/>
  <c r="DF79"/>
  <c r="CM304"/>
  <c r="DL304"/>
  <c r="CM295"/>
  <c r="DL295"/>
  <c r="CM282"/>
  <c r="DL282"/>
  <c r="CM272"/>
  <c r="DL272"/>
  <c r="CM263"/>
  <c r="DL263"/>
  <c r="CM250"/>
  <c r="DL250"/>
  <c r="CM240"/>
  <c r="DL240"/>
  <c r="CM231"/>
  <c r="DL231"/>
  <c r="CM218"/>
  <c r="DL218"/>
  <c r="CM208"/>
  <c r="DL208"/>
  <c r="CM199"/>
  <c r="DL199"/>
  <c r="CM184"/>
  <c r="DL184"/>
  <c r="CI101"/>
  <c r="DF101"/>
  <c r="CI91"/>
  <c r="DF91"/>
  <c r="CI82"/>
  <c r="DF82"/>
  <c r="CI69"/>
  <c r="DF69"/>
  <c r="CI59"/>
  <c r="DF59"/>
  <c r="CI50"/>
  <c r="DF50"/>
  <c r="CI46"/>
  <c r="DF46"/>
  <c r="S24"/>
  <c r="CU24"/>
  <c r="O47"/>
  <c r="CO47"/>
  <c r="CQ47"/>
  <c r="Q53"/>
  <c r="CR53"/>
  <c r="Q57"/>
  <c r="CR57"/>
  <c r="Q61"/>
  <c r="CR61"/>
  <c r="Q65"/>
  <c r="CR65"/>
  <c r="Q69"/>
  <c r="CR69"/>
  <c r="Q73"/>
  <c r="CR73"/>
  <c r="Q77"/>
  <c r="CR77"/>
  <c r="Q81"/>
  <c r="CR81"/>
  <c r="Q85"/>
  <c r="CR85"/>
  <c r="Q89"/>
  <c r="CR89"/>
  <c r="Q93"/>
  <c r="CR93"/>
  <c r="Q97"/>
  <c r="CR97"/>
  <c r="Q101"/>
  <c r="CR101"/>
  <c r="Q105"/>
  <c r="CR105"/>
  <c r="Q109"/>
  <c r="CR109"/>
  <c r="Q113"/>
  <c r="CR113"/>
  <c r="Q117"/>
  <c r="CR117"/>
  <c r="Q121"/>
  <c r="CR121"/>
  <c r="Q125"/>
  <c r="CR125"/>
  <c r="Q129"/>
  <c r="CR129"/>
  <c r="Q133"/>
  <c r="CR133"/>
  <c r="Q137"/>
  <c r="CR137"/>
  <c r="Q141"/>
  <c r="CR141"/>
  <c r="Q145"/>
  <c r="CR145"/>
  <c r="Q149"/>
  <c r="CR149"/>
  <c r="Q153"/>
  <c r="CR153"/>
  <c r="Q157"/>
  <c r="CR157"/>
  <c r="Q161"/>
  <c r="CR161"/>
  <c r="Q165"/>
  <c r="CR165"/>
  <c r="Q169"/>
  <c r="CR169"/>
  <c r="Q173"/>
  <c r="CR173"/>
  <c r="Q177"/>
  <c r="CR177"/>
  <c r="Q181"/>
  <c r="CR181"/>
  <c r="Q185"/>
  <c r="CR185"/>
  <c r="Q189"/>
  <c r="CR189"/>
  <c r="Q193"/>
  <c r="CR193"/>
  <c r="Q197"/>
  <c r="CR197"/>
  <c r="Q201"/>
  <c r="CR201"/>
  <c r="Q205"/>
  <c r="CR205"/>
  <c r="Q209"/>
  <c r="CR209"/>
  <c r="Q213"/>
  <c r="CR213"/>
  <c r="Q217"/>
  <c r="CR217"/>
  <c r="Q221"/>
  <c r="CR221"/>
  <c r="Q225"/>
  <c r="CR225"/>
  <c r="Q229"/>
  <c r="CR229"/>
  <c r="Q233"/>
  <c r="CR233"/>
  <c r="Q237"/>
  <c r="CR237"/>
  <c r="Q241"/>
  <c r="CR241"/>
  <c r="Q245"/>
  <c r="CR245"/>
  <c r="Q249"/>
  <c r="CR249"/>
  <c r="Q253"/>
  <c r="CR253"/>
  <c r="Q257"/>
  <c r="CR257"/>
  <c r="Q261"/>
  <c r="CR261"/>
  <c r="Q265"/>
  <c r="CR265"/>
  <c r="Q269"/>
  <c r="CR269"/>
  <c r="Q273"/>
  <c r="CR273"/>
  <c r="Q277"/>
  <c r="CR277"/>
  <c r="Q281"/>
  <c r="CR281"/>
  <c r="Q285"/>
  <c r="CR285"/>
  <c r="Q289"/>
  <c r="CR289"/>
  <c r="Q293"/>
  <c r="CR293"/>
  <c r="Q297"/>
  <c r="CR297"/>
  <c r="Q301"/>
  <c r="CR301"/>
  <c r="Q305"/>
  <c r="CR305"/>
  <c r="AN6"/>
  <c r="DE6"/>
  <c r="AN14"/>
  <c r="DE14"/>
  <c r="AN22"/>
  <c r="DE22"/>
  <c r="AN30"/>
  <c r="DE30"/>
  <c r="AN38"/>
  <c r="DE38"/>
  <c r="AN46"/>
  <c r="DE46"/>
  <c r="DG46"/>
  <c r="AN54"/>
  <c r="DE54"/>
  <c r="AN62"/>
  <c r="DE62"/>
  <c r="AN70"/>
  <c r="DE70"/>
  <c r="AN78"/>
  <c r="DE78"/>
  <c r="S288"/>
  <c r="CU288"/>
  <c r="S296"/>
  <c r="CU296"/>
  <c r="S304"/>
  <c r="CU304"/>
  <c r="AR7"/>
  <c r="DK7"/>
  <c r="AR11"/>
  <c r="DK11"/>
  <c r="AR15"/>
  <c r="DK15"/>
  <c r="AR19"/>
  <c r="DK19"/>
  <c r="AR23"/>
  <c r="DK23"/>
  <c r="AR27"/>
  <c r="DK27"/>
  <c r="AR31"/>
  <c r="DK31"/>
  <c r="AR35"/>
  <c r="DK35"/>
  <c r="AR39"/>
  <c r="DK39"/>
  <c r="AR43"/>
  <c r="DK43"/>
  <c r="AR47"/>
  <c r="DK47"/>
  <c r="AR51"/>
  <c r="DK51"/>
  <c r="AR55"/>
  <c r="DK55"/>
  <c r="AR59"/>
  <c r="DK59"/>
  <c r="AR63"/>
  <c r="DK63"/>
  <c r="AR67"/>
  <c r="DK67"/>
  <c r="DM67"/>
  <c r="AR71"/>
  <c r="DK71"/>
  <c r="DM71" s="1"/>
  <c r="AR75"/>
  <c r="DK75"/>
  <c r="DM75" s="1"/>
  <c r="AR79"/>
  <c r="DK79"/>
  <c r="AR83"/>
  <c r="DK83"/>
  <c r="AR87"/>
  <c r="DK87"/>
  <c r="AR91"/>
  <c r="DK91"/>
  <c r="AR95"/>
  <c r="DK95"/>
  <c r="DM95"/>
  <c r="AR99"/>
  <c r="DK99"/>
  <c r="DM99"/>
  <c r="AR103"/>
  <c r="DK103"/>
  <c r="DM103" s="1"/>
  <c r="AR107"/>
  <c r="DK107"/>
  <c r="DM107" s="1"/>
  <c r="AR111"/>
  <c r="DK111"/>
  <c r="DM111"/>
  <c r="AR115"/>
  <c r="DK115"/>
  <c r="AR119"/>
  <c r="DK119"/>
  <c r="DM119" s="1"/>
  <c r="AR123"/>
  <c r="DK123"/>
  <c r="DM123" s="1"/>
  <c r="AR127"/>
  <c r="DK127"/>
  <c r="DM127"/>
  <c r="AR131"/>
  <c r="DK131"/>
  <c r="AR135"/>
  <c r="DK135"/>
  <c r="DM135" s="1"/>
  <c r="AR139"/>
  <c r="DK139"/>
  <c r="DM139" s="1"/>
  <c r="AR143"/>
  <c r="DK143"/>
  <c r="DM143"/>
  <c r="AR147"/>
  <c r="DK147"/>
  <c r="AR151"/>
  <c r="DK151"/>
  <c r="DM151" s="1"/>
  <c r="AR155"/>
  <c r="DK155"/>
  <c r="DM155" s="1"/>
  <c r="AR159"/>
  <c r="DK159"/>
  <c r="DM159"/>
  <c r="AR163"/>
  <c r="DK163"/>
  <c r="AR167"/>
  <c r="DK167"/>
  <c r="DM167" s="1"/>
  <c r="AR171"/>
  <c r="DK171"/>
  <c r="DM171" s="1"/>
  <c r="AR175"/>
  <c r="DK175"/>
  <c r="DM175"/>
  <c r="AR179"/>
  <c r="DK179"/>
  <c r="AR183"/>
  <c r="DK183"/>
  <c r="DM183" s="1"/>
  <c r="AR187"/>
  <c r="DK187"/>
  <c r="AR191"/>
  <c r="DK191"/>
  <c r="DM191"/>
  <c r="AR195"/>
  <c r="DK195"/>
  <c r="AR199"/>
  <c r="DK199"/>
  <c r="DM199" s="1"/>
  <c r="AR203"/>
  <c r="DK203"/>
  <c r="DM203"/>
  <c r="AL207"/>
  <c r="DB207"/>
  <c r="DD207"/>
  <c r="AL213"/>
  <c r="DB213"/>
  <c r="DD213"/>
  <c r="AR219"/>
  <c r="DK219"/>
  <c r="AL223"/>
  <c r="DB223"/>
  <c r="DD223"/>
  <c r="AL229"/>
  <c r="DB229"/>
  <c r="AR235"/>
  <c r="DK235"/>
  <c r="AL239"/>
  <c r="DB239"/>
  <c r="DD239" s="1"/>
  <c r="AL245"/>
  <c r="DB245"/>
  <c r="DD245"/>
  <c r="AR251"/>
  <c r="DK251"/>
  <c r="DM251"/>
  <c r="AL255"/>
  <c r="DB255"/>
  <c r="DD255"/>
  <c r="AL261"/>
  <c r="DB261"/>
  <c r="DD261" s="1"/>
  <c r="AR267"/>
  <c r="DK267"/>
  <c r="DM267"/>
  <c r="AL271"/>
  <c r="DB271"/>
  <c r="DD271"/>
  <c r="AL277"/>
  <c r="DB277"/>
  <c r="AR283"/>
  <c r="DK283"/>
  <c r="AL287"/>
  <c r="DB287"/>
  <c r="DD287"/>
  <c r="AL293"/>
  <c r="DB293"/>
  <c r="DD293"/>
  <c r="AR299"/>
  <c r="DK299"/>
  <c r="DM299" s="1"/>
  <c r="AL303"/>
  <c r="DB303"/>
  <c r="DD303" s="1"/>
  <c r="BL8"/>
  <c r="CS8"/>
  <c r="BL12"/>
  <c r="CS12"/>
  <c r="BL16"/>
  <c r="CS16"/>
  <c r="BL20"/>
  <c r="CS20"/>
  <c r="BL24"/>
  <c r="CS24"/>
  <c r="BL28"/>
  <c r="CS28"/>
  <c r="BL32"/>
  <c r="CS32"/>
  <c r="BL36"/>
  <c r="CS36"/>
  <c r="BL40"/>
  <c r="CS40"/>
  <c r="BL44"/>
  <c r="CS44"/>
  <c r="CK48"/>
  <c r="DI48"/>
  <c r="BP54"/>
  <c r="CY54"/>
  <c r="BL58"/>
  <c r="CS58"/>
  <c r="BP65"/>
  <c r="CY65"/>
  <c r="CK298"/>
  <c r="DI298"/>
  <c r="CK288"/>
  <c r="DI288"/>
  <c r="CK276"/>
  <c r="DI276"/>
  <c r="CK266"/>
  <c r="DI266"/>
  <c r="CK256"/>
  <c r="DI256"/>
  <c r="CK244"/>
  <c r="DI244"/>
  <c r="CK234"/>
  <c r="DI234"/>
  <c r="CK224"/>
  <c r="DI224"/>
  <c r="CK212"/>
  <c r="DI212"/>
  <c r="CK202"/>
  <c r="DI202"/>
  <c r="CK192"/>
  <c r="DI192"/>
  <c r="CK107"/>
  <c r="DI107"/>
  <c r="CG98"/>
  <c r="DC98"/>
  <c r="CK85"/>
  <c r="DI85"/>
  <c r="CK75"/>
  <c r="DI75"/>
  <c r="CG300"/>
  <c r="DC300"/>
  <c r="CG290"/>
  <c r="DC290"/>
  <c r="CG280"/>
  <c r="DC280"/>
  <c r="CG268"/>
  <c r="DC268"/>
  <c r="CG258"/>
  <c r="DC258"/>
  <c r="CG248"/>
  <c r="DC248"/>
  <c r="CG236"/>
  <c r="DC236"/>
  <c r="CG226"/>
  <c r="DC226"/>
  <c r="CG216"/>
  <c r="DC216"/>
  <c r="CG204"/>
  <c r="DC204"/>
  <c r="CG194"/>
  <c r="DC194"/>
  <c r="CK181"/>
  <c r="DI181"/>
  <c r="CK177"/>
  <c r="DI177"/>
  <c r="CK173"/>
  <c r="DI173"/>
  <c r="CK169"/>
  <c r="DI169"/>
  <c r="CK165"/>
  <c r="DI165"/>
  <c r="CK161"/>
  <c r="DI161"/>
  <c r="CK157"/>
  <c r="DI157"/>
  <c r="CK153"/>
  <c r="DI153"/>
  <c r="CK149"/>
  <c r="DI149"/>
  <c r="CK145"/>
  <c r="DI145"/>
  <c r="CK141"/>
  <c r="DI141"/>
  <c r="CK137"/>
  <c r="DI137"/>
  <c r="CK133"/>
  <c r="DI133"/>
  <c r="CK129"/>
  <c r="DI129"/>
  <c r="CK125"/>
  <c r="DI125"/>
  <c r="CK121"/>
  <c r="DI121"/>
  <c r="AN86"/>
  <c r="DE86"/>
  <c r="DG86"/>
  <c r="AN94"/>
  <c r="DE94"/>
  <c r="DG94"/>
  <c r="AN102"/>
  <c r="DE102"/>
  <c r="AN110"/>
  <c r="DE110"/>
  <c r="DG110" s="1"/>
  <c r="AN118"/>
  <c r="DE118"/>
  <c r="AN126"/>
  <c r="DE126"/>
  <c r="DG126"/>
  <c r="AN134"/>
  <c r="DE134"/>
  <c r="AN142"/>
  <c r="DE142"/>
  <c r="DG142"/>
  <c r="AN150"/>
  <c r="DE150"/>
  <c r="AN158"/>
  <c r="DE158"/>
  <c r="DG158"/>
  <c r="AN166"/>
  <c r="DE166"/>
  <c r="Q46" i="8"/>
  <c r="AX17" i="6"/>
  <c r="CB61" i="10"/>
  <c r="DA61"/>
  <c r="CB45"/>
  <c r="DA45"/>
  <c r="BX12"/>
  <c r="CU12"/>
  <c r="CB73"/>
  <c r="DA73"/>
  <c r="CB10"/>
  <c r="DA10"/>
  <c r="BX152"/>
  <c r="CU152"/>
  <c r="BX67"/>
  <c r="CU67"/>
  <c r="CM278" i="15"/>
  <c r="DL278"/>
  <c r="BX184" i="10"/>
  <c r="CU184"/>
  <c r="CB89"/>
  <c r="DA89"/>
  <c r="CI278" i="15"/>
  <c r="DF278"/>
  <c r="CI269"/>
  <c r="DF269"/>
  <c r="CI257"/>
  <c r="DF257"/>
  <c r="CI246"/>
  <c r="DF246"/>
  <c r="CI237"/>
  <c r="DF237"/>
  <c r="CI225"/>
  <c r="DF225"/>
  <c r="CI214"/>
  <c r="DF214"/>
  <c r="CI205"/>
  <c r="DF205"/>
  <c r="CI193"/>
  <c r="DF193"/>
  <c r="CI185"/>
  <c r="DF185"/>
  <c r="CM178"/>
  <c r="DL178"/>
  <c r="CM174"/>
  <c r="DL174"/>
  <c r="CM170"/>
  <c r="DL170"/>
  <c r="CM166"/>
  <c r="DL166"/>
  <c r="CM162"/>
  <c r="DL162"/>
  <c r="CM158"/>
  <c r="DL158"/>
  <c r="CM154"/>
  <c r="DL154"/>
  <c r="CM150"/>
  <c r="DL150"/>
  <c r="CM146"/>
  <c r="DL146"/>
  <c r="CM142"/>
  <c r="DL142"/>
  <c r="CM138"/>
  <c r="DL138"/>
  <c r="CM134"/>
  <c r="DL134"/>
  <c r="CM130"/>
  <c r="DL130"/>
  <c r="CM126"/>
  <c r="DL126"/>
  <c r="CM122"/>
  <c r="DL122"/>
  <c r="CM118"/>
  <c r="DL118"/>
  <c r="CM114"/>
  <c r="DL114"/>
  <c r="CM110"/>
  <c r="DL110"/>
  <c r="CM96"/>
  <c r="DL96"/>
  <c r="CM87"/>
  <c r="DL87"/>
  <c r="CM78"/>
  <c r="DL78"/>
  <c r="CI302"/>
  <c r="DF302"/>
  <c r="CI293"/>
  <c r="DF293"/>
  <c r="CI281"/>
  <c r="DF281"/>
  <c r="CI270"/>
  <c r="DF270"/>
  <c r="CI261"/>
  <c r="DF261"/>
  <c r="CI249"/>
  <c r="DF249"/>
  <c r="CI238"/>
  <c r="DF238"/>
  <c r="CI229"/>
  <c r="DF229"/>
  <c r="CI217"/>
  <c r="DF217"/>
  <c r="CI206"/>
  <c r="DF206"/>
  <c r="CI197"/>
  <c r="DF197"/>
  <c r="CI186"/>
  <c r="DF186"/>
  <c r="CM106"/>
  <c r="DL106"/>
  <c r="CM93"/>
  <c r="DL93"/>
  <c r="CM83"/>
  <c r="DL83"/>
  <c r="CM74"/>
  <c r="DL74"/>
  <c r="CM61"/>
  <c r="DL61"/>
  <c r="CM51"/>
  <c r="DL51"/>
  <c r="CM47"/>
  <c r="DL47"/>
  <c r="S23"/>
  <c r="CU23"/>
  <c r="O40"/>
  <c r="CO40"/>
  <c r="O48"/>
  <c r="CO48"/>
  <c r="O56"/>
  <c r="CO56"/>
  <c r="O64"/>
  <c r="CO64"/>
  <c r="O72"/>
  <c r="CO72"/>
  <c r="O80"/>
  <c r="CO80"/>
  <c r="O88"/>
  <c r="CO88"/>
  <c r="O96"/>
  <c r="CO96"/>
  <c r="O104"/>
  <c r="CO104"/>
  <c r="O112"/>
  <c r="CO112"/>
  <c r="O120"/>
  <c r="CO120"/>
  <c r="O128"/>
  <c r="CO128"/>
  <c r="O136"/>
  <c r="CO136"/>
  <c r="O144"/>
  <c r="CO144"/>
  <c r="O152"/>
  <c r="CO152"/>
  <c r="O160"/>
  <c r="CO160"/>
  <c r="O168"/>
  <c r="CO168"/>
  <c r="O176"/>
  <c r="CO176"/>
  <c r="O184"/>
  <c r="CO184"/>
  <c r="O192"/>
  <c r="CO192"/>
  <c r="O200"/>
  <c r="CO200"/>
  <c r="O208"/>
  <c r="CO208"/>
  <c r="O216"/>
  <c r="CO216"/>
  <c r="O224"/>
  <c r="CO224"/>
  <c r="O232"/>
  <c r="CO232"/>
  <c r="O240"/>
  <c r="CO240"/>
  <c r="O248"/>
  <c r="CO248"/>
  <c r="O256"/>
  <c r="CO256"/>
  <c r="O264"/>
  <c r="CO264"/>
  <c r="O272"/>
  <c r="CO272"/>
  <c r="O280"/>
  <c r="CO280"/>
  <c r="CI303"/>
  <c r="DF303"/>
  <c r="CI290"/>
  <c r="DF290"/>
  <c r="CI280"/>
  <c r="DF280"/>
  <c r="CI271"/>
  <c r="DF271"/>
  <c r="CI258"/>
  <c r="DF258"/>
  <c r="CI248"/>
  <c r="DF248"/>
  <c r="CI239"/>
  <c r="DF239"/>
  <c r="CI226"/>
  <c r="DF226"/>
  <c r="CI216"/>
  <c r="DF216"/>
  <c r="CI207"/>
  <c r="DF207"/>
  <c r="CI194"/>
  <c r="DF194"/>
  <c r="CI183"/>
  <c r="DF183"/>
  <c r="CI179"/>
  <c r="DF179"/>
  <c r="DG179" s="1"/>
  <c r="CI175"/>
  <c r="DF175"/>
  <c r="CI171"/>
  <c r="DF171"/>
  <c r="CI167"/>
  <c r="DF167"/>
  <c r="CI163"/>
  <c r="DF163"/>
  <c r="DG163" s="1"/>
  <c r="CI159"/>
  <c r="DF159"/>
  <c r="CI155"/>
  <c r="DF155"/>
  <c r="CI151"/>
  <c r="DF151"/>
  <c r="CI147"/>
  <c r="DF147"/>
  <c r="DG147" s="1"/>
  <c r="CI143"/>
  <c r="DF143"/>
  <c r="CI139"/>
  <c r="DF139"/>
  <c r="CI135"/>
  <c r="DF135"/>
  <c r="CI131"/>
  <c r="DF131"/>
  <c r="DG131" s="1"/>
  <c r="CI127"/>
  <c r="DF127"/>
  <c r="CI123"/>
  <c r="DF123"/>
  <c r="CI119"/>
  <c r="DF119"/>
  <c r="CI115"/>
  <c r="DF115"/>
  <c r="DG115" s="1"/>
  <c r="CI111"/>
  <c r="DF111"/>
  <c r="CM102"/>
  <c r="DL102"/>
  <c r="CM88"/>
  <c r="DL88"/>
  <c r="CM79"/>
  <c r="DL79"/>
  <c r="CI304"/>
  <c r="DF304"/>
  <c r="CI295"/>
  <c r="DF295"/>
  <c r="CI282"/>
  <c r="DF282"/>
  <c r="CI272"/>
  <c r="DF272"/>
  <c r="CI263"/>
  <c r="DF263"/>
  <c r="CI250"/>
  <c r="DF250"/>
  <c r="CI240"/>
  <c r="DF240"/>
  <c r="CI231"/>
  <c r="DF231"/>
  <c r="CI218"/>
  <c r="DF218"/>
  <c r="CI208"/>
  <c r="DF208"/>
  <c r="CI199"/>
  <c r="DF199"/>
  <c r="CI184"/>
  <c r="DF184"/>
  <c r="CM101"/>
  <c r="DL101"/>
  <c r="CM91"/>
  <c r="DL91"/>
  <c r="CM82"/>
  <c r="DL82"/>
  <c r="DM82"/>
  <c r="CM69"/>
  <c r="DL69"/>
  <c r="CM59"/>
  <c r="DL59"/>
  <c r="CM50"/>
  <c r="DL50"/>
  <c r="DM50"/>
  <c r="CM46"/>
  <c r="DL46"/>
  <c r="O24"/>
  <c r="CO24"/>
  <c r="S47"/>
  <c r="CU47"/>
  <c r="CW47" s="1"/>
  <c r="U53"/>
  <c r="CX53"/>
  <c r="U57"/>
  <c r="CX57"/>
  <c r="U61"/>
  <c r="CX61"/>
  <c r="U65"/>
  <c r="CX65"/>
  <c r="CZ65"/>
  <c r="U69"/>
  <c r="CX69"/>
  <c r="U73"/>
  <c r="CX73"/>
  <c r="U77"/>
  <c r="CX77"/>
  <c r="U81"/>
  <c r="CX81"/>
  <c r="U85"/>
  <c r="CX85"/>
  <c r="U89"/>
  <c r="CX89"/>
  <c r="U93"/>
  <c r="CX93"/>
  <c r="U97"/>
  <c r="CX97"/>
  <c r="U101"/>
  <c r="CX101"/>
  <c r="U105"/>
  <c r="CX105"/>
  <c r="U109"/>
  <c r="CX109"/>
  <c r="U113"/>
  <c r="CX113"/>
  <c r="U117"/>
  <c r="CX117"/>
  <c r="U121"/>
  <c r="CX121"/>
  <c r="U125"/>
  <c r="CX125"/>
  <c r="U129"/>
  <c r="CX129"/>
  <c r="U133"/>
  <c r="CX133"/>
  <c r="U137"/>
  <c r="CX137"/>
  <c r="U141"/>
  <c r="CX141"/>
  <c r="U145"/>
  <c r="CX145"/>
  <c r="U149"/>
  <c r="CX149"/>
  <c r="U153"/>
  <c r="CX153"/>
  <c r="U157"/>
  <c r="CX157"/>
  <c r="U161"/>
  <c r="CX161"/>
  <c r="U165"/>
  <c r="CX165"/>
  <c r="U169"/>
  <c r="CX169"/>
  <c r="U173"/>
  <c r="CX173"/>
  <c r="U177"/>
  <c r="CX177"/>
  <c r="U181"/>
  <c r="CX181"/>
  <c r="U185"/>
  <c r="CX185"/>
  <c r="U189"/>
  <c r="CX189"/>
  <c r="U193"/>
  <c r="CX193"/>
  <c r="U197"/>
  <c r="CX197"/>
  <c r="U201"/>
  <c r="CX201"/>
  <c r="U205"/>
  <c r="CX205"/>
  <c r="U209"/>
  <c r="CX209"/>
  <c r="U213"/>
  <c r="CX213"/>
  <c r="U217"/>
  <c r="CX217"/>
  <c r="U221"/>
  <c r="CX221"/>
  <c r="U225"/>
  <c r="CX225"/>
  <c r="U229"/>
  <c r="CX229"/>
  <c r="U233"/>
  <c r="CX233"/>
  <c r="U237"/>
  <c r="CX237"/>
  <c r="U241"/>
  <c r="CX241"/>
  <c r="U245"/>
  <c r="CX245"/>
  <c r="U249"/>
  <c r="CX249"/>
  <c r="U253"/>
  <c r="CX253"/>
  <c r="U257"/>
  <c r="CX257"/>
  <c r="U261"/>
  <c r="CX261"/>
  <c r="U265"/>
  <c r="CX265"/>
  <c r="U269"/>
  <c r="CX269"/>
  <c r="U273"/>
  <c r="CX273"/>
  <c r="U277"/>
  <c r="CX277"/>
  <c r="U281"/>
  <c r="CX281"/>
  <c r="U285"/>
  <c r="CX285"/>
  <c r="U289"/>
  <c r="CX289"/>
  <c r="U293"/>
  <c r="CX293"/>
  <c r="U297"/>
  <c r="CX297"/>
  <c r="U301"/>
  <c r="CX301"/>
  <c r="U305"/>
  <c r="CX305"/>
  <c r="AR6"/>
  <c r="DK6"/>
  <c r="DM6" s="1"/>
  <c r="AR14"/>
  <c r="DK14"/>
  <c r="DM14"/>
  <c r="AR22"/>
  <c r="DK22"/>
  <c r="DM22"/>
  <c r="AR30"/>
  <c r="DK30"/>
  <c r="DM30" s="1"/>
  <c r="AR38"/>
  <c r="DK38"/>
  <c r="DM38" s="1"/>
  <c r="AR46"/>
  <c r="DK46"/>
  <c r="DM46"/>
  <c r="AR54"/>
  <c r="DK54"/>
  <c r="AR62"/>
  <c r="DK62"/>
  <c r="DM62" s="1"/>
  <c r="AR70"/>
  <c r="DK70"/>
  <c r="AR78"/>
  <c r="DK78"/>
  <c r="O288"/>
  <c r="CO288"/>
  <c r="O296"/>
  <c r="CO296"/>
  <c r="O304"/>
  <c r="CO304"/>
  <c r="AN7"/>
  <c r="DE7"/>
  <c r="AN11"/>
  <c r="DE11"/>
  <c r="AN15"/>
  <c r="DE15"/>
  <c r="AN19"/>
  <c r="DE19"/>
  <c r="AN23"/>
  <c r="DE23"/>
  <c r="AN27"/>
  <c r="DE27"/>
  <c r="AN31"/>
  <c r="DE31"/>
  <c r="AN35"/>
  <c r="DE35"/>
  <c r="AN39"/>
  <c r="DE39"/>
  <c r="AN43"/>
  <c r="DE43"/>
  <c r="AN47"/>
  <c r="DE47"/>
  <c r="DG47"/>
  <c r="AN51"/>
  <c r="DE51"/>
  <c r="DG51" s="1"/>
  <c r="AN55"/>
  <c r="DE55"/>
  <c r="AN59"/>
  <c r="DE59"/>
  <c r="AN63"/>
  <c r="DE63"/>
  <c r="AN67"/>
  <c r="DE67"/>
  <c r="DG67" s="1"/>
  <c r="AN71"/>
  <c r="DE71"/>
  <c r="DG71" s="1"/>
  <c r="AN75"/>
  <c r="DE75"/>
  <c r="DG75"/>
  <c r="AN79"/>
  <c r="DE79"/>
  <c r="DG79"/>
  <c r="AN83"/>
  <c r="DE83"/>
  <c r="DG83" s="1"/>
  <c r="AN87"/>
  <c r="DE87"/>
  <c r="DG87" s="1"/>
  <c r="AN91"/>
  <c r="DE91"/>
  <c r="DG91"/>
  <c r="AN95"/>
  <c r="DE95"/>
  <c r="DG95"/>
  <c r="AN99"/>
  <c r="DE99"/>
  <c r="DG99" s="1"/>
  <c r="AN103"/>
  <c r="DE103"/>
  <c r="DG103" s="1"/>
  <c r="AN107"/>
  <c r="DE107"/>
  <c r="DG107"/>
  <c r="AN111"/>
  <c r="DE111"/>
  <c r="DG111"/>
  <c r="AN115"/>
  <c r="DE115"/>
  <c r="AN119"/>
  <c r="DE119"/>
  <c r="DG119" s="1"/>
  <c r="AN123"/>
  <c r="DE123"/>
  <c r="DG123"/>
  <c r="AN127"/>
  <c r="DE127"/>
  <c r="DG127"/>
  <c r="AN131"/>
  <c r="DE131"/>
  <c r="AN135"/>
  <c r="DE135"/>
  <c r="DG135" s="1"/>
  <c r="AN139"/>
  <c r="DE139"/>
  <c r="DG139"/>
  <c r="AN143"/>
  <c r="DE143"/>
  <c r="DG143"/>
  <c r="AN147"/>
  <c r="DE147"/>
  <c r="AN151"/>
  <c r="DE151"/>
  <c r="DG151" s="1"/>
  <c r="AN155"/>
  <c r="DE155"/>
  <c r="DG155"/>
  <c r="AN159"/>
  <c r="DE159"/>
  <c r="DG159"/>
  <c r="AN163"/>
  <c r="DE163"/>
  <c r="AN167"/>
  <c r="DE167"/>
  <c r="DG167" s="1"/>
  <c r="AN171"/>
  <c r="DE171"/>
  <c r="DG171"/>
  <c r="AN175"/>
  <c r="DE175"/>
  <c r="DG175"/>
  <c r="AN179"/>
  <c r="DE179"/>
  <c r="AN183"/>
  <c r="DE183"/>
  <c r="DG183" s="1"/>
  <c r="AN187"/>
  <c r="DE187"/>
  <c r="DG187"/>
  <c r="AN191"/>
  <c r="DE191"/>
  <c r="DG191"/>
  <c r="AN195"/>
  <c r="DE195"/>
  <c r="DG195"/>
  <c r="AN199"/>
  <c r="DE199"/>
  <c r="DG199" s="1"/>
  <c r="AN203"/>
  <c r="DE203"/>
  <c r="DG203"/>
  <c r="AP207"/>
  <c r="DH207"/>
  <c r="DJ207"/>
  <c r="AP213"/>
  <c r="DH213"/>
  <c r="DJ213"/>
  <c r="AN219"/>
  <c r="DE219"/>
  <c r="DG219" s="1"/>
  <c r="AP223"/>
  <c r="DH223"/>
  <c r="DJ223"/>
  <c r="AP229"/>
  <c r="DH229"/>
  <c r="DJ229"/>
  <c r="AN235"/>
  <c r="DE235"/>
  <c r="DG235"/>
  <c r="AP239"/>
  <c r="DH239"/>
  <c r="DJ239" s="1"/>
  <c r="AP245"/>
  <c r="DH245"/>
  <c r="DJ245"/>
  <c r="AN251"/>
  <c r="DE251"/>
  <c r="DG251"/>
  <c r="AP255"/>
  <c r="DH255"/>
  <c r="DJ255"/>
  <c r="AP261"/>
  <c r="DH261"/>
  <c r="DJ261" s="1"/>
  <c r="AN267"/>
  <c r="DE267"/>
  <c r="DG267"/>
  <c r="AP271"/>
  <c r="DH271"/>
  <c r="DJ271"/>
  <c r="AP277"/>
  <c r="DH277"/>
  <c r="AN283"/>
  <c r="DE283"/>
  <c r="DG283" s="1"/>
  <c r="AP287"/>
  <c r="DH287"/>
  <c r="DJ287"/>
  <c r="AP293"/>
  <c r="DH293"/>
  <c r="AN299"/>
  <c r="DE299"/>
  <c r="DG299"/>
  <c r="AP303"/>
  <c r="DH303"/>
  <c r="DJ303" s="1"/>
  <c r="BP8"/>
  <c r="CY8"/>
  <c r="BP12"/>
  <c r="CY12"/>
  <c r="BP16"/>
  <c r="CY16"/>
  <c r="BP20"/>
  <c r="CY20"/>
  <c r="BP24"/>
  <c r="CY24"/>
  <c r="BP28"/>
  <c r="CY28"/>
  <c r="BP32"/>
  <c r="CY32"/>
  <c r="BP36"/>
  <c r="CY36"/>
  <c r="BP40"/>
  <c r="CY40"/>
  <c r="BP44"/>
  <c r="CY44"/>
  <c r="CG48"/>
  <c r="DC48"/>
  <c r="BL54"/>
  <c r="CS54"/>
  <c r="BP58"/>
  <c r="CY58"/>
  <c r="BL65"/>
  <c r="CS65"/>
  <c r="CG298"/>
  <c r="DC298"/>
  <c r="CG288"/>
  <c r="DC288"/>
  <c r="CG276"/>
  <c r="DC276"/>
  <c r="CG266"/>
  <c r="DC266"/>
  <c r="CG256"/>
  <c r="DC256"/>
  <c r="CG244"/>
  <c r="DC244"/>
  <c r="CG234"/>
  <c r="DC234"/>
  <c r="CG224"/>
  <c r="DC224"/>
  <c r="DD224"/>
  <c r="CG212"/>
  <c r="DC212"/>
  <c r="CG202"/>
  <c r="DC202"/>
  <c r="CG192"/>
  <c r="DC192"/>
  <c r="CG107"/>
  <c r="DC107"/>
  <c r="CK98"/>
  <c r="DI98"/>
  <c r="CG85"/>
  <c r="DC85"/>
  <c r="CG75"/>
  <c r="DC75"/>
  <c r="CK300"/>
  <c r="DI300"/>
  <c r="CK290"/>
  <c r="DI290"/>
  <c r="CK280"/>
  <c r="DI280"/>
  <c r="CK268"/>
  <c r="DI268"/>
  <c r="CK258"/>
  <c r="DI258"/>
  <c r="CK248"/>
  <c r="DI248"/>
  <c r="CK236"/>
  <c r="DI236"/>
  <c r="CK226"/>
  <c r="DI226"/>
  <c r="CK216"/>
  <c r="DI216"/>
  <c r="CK204"/>
  <c r="DI204"/>
  <c r="CK194"/>
  <c r="DI194"/>
  <c r="CG181"/>
  <c r="DC181"/>
  <c r="CG177"/>
  <c r="DC177"/>
  <c r="CG173"/>
  <c r="DC173"/>
  <c r="CG169"/>
  <c r="DC169"/>
  <c r="CG165"/>
  <c r="DC165"/>
  <c r="CG161"/>
  <c r="DC161"/>
  <c r="CG157"/>
  <c r="DC157"/>
  <c r="CG153"/>
  <c r="DC153"/>
  <c r="CG149"/>
  <c r="DC149"/>
  <c r="CG145"/>
  <c r="DC145"/>
  <c r="CG141"/>
  <c r="DC141"/>
  <c r="CG137"/>
  <c r="DC137"/>
  <c r="CG133"/>
  <c r="DC133"/>
  <c r="CG129"/>
  <c r="DC129"/>
  <c r="CG125"/>
  <c r="DC125"/>
  <c r="CG121"/>
  <c r="DC121"/>
  <c r="AR86"/>
  <c r="DK86"/>
  <c r="DM86" s="1"/>
  <c r="AR94"/>
  <c r="DK94"/>
  <c r="DM94" s="1"/>
  <c r="AR102"/>
  <c r="DK102"/>
  <c r="DM102"/>
  <c r="AR110"/>
  <c r="DK110"/>
  <c r="DM110"/>
  <c r="AR118"/>
  <c r="DK118"/>
  <c r="CK172"/>
  <c r="DI172"/>
  <c r="CK168"/>
  <c r="DI168"/>
  <c r="CK164"/>
  <c r="DI164"/>
  <c r="CK160"/>
  <c r="DI160"/>
  <c r="CK156"/>
  <c r="DI156"/>
  <c r="CK152"/>
  <c r="DI152"/>
  <c r="CK148"/>
  <c r="DI148"/>
  <c r="CK144"/>
  <c r="DI144"/>
  <c r="CK140"/>
  <c r="DI140"/>
  <c r="CK136"/>
  <c r="DI136"/>
  <c r="CK132"/>
  <c r="DI132"/>
  <c r="CK128"/>
  <c r="DI128"/>
  <c r="CK124"/>
  <c r="DI124"/>
  <c r="CK120"/>
  <c r="DI120"/>
  <c r="CK116"/>
  <c r="DI116"/>
  <c r="CK112"/>
  <c r="DI112"/>
  <c r="CG103"/>
  <c r="DC103"/>
  <c r="CK94"/>
  <c r="DI94"/>
  <c r="CK80"/>
  <c r="DI80"/>
  <c r="CG71"/>
  <c r="DC71"/>
  <c r="CK62"/>
  <c r="DI62"/>
  <c r="BP303"/>
  <c r="CY303"/>
  <c r="BP298"/>
  <c r="CY298"/>
  <c r="BP287"/>
  <c r="CY287"/>
  <c r="BP282"/>
  <c r="CY282"/>
  <c r="BP271"/>
  <c r="CY271"/>
  <c r="BP266"/>
  <c r="CY266"/>
  <c r="BP255"/>
  <c r="CY255"/>
  <c r="BP250"/>
  <c r="CY250"/>
  <c r="BP239"/>
  <c r="CY239"/>
  <c r="CG117"/>
  <c r="DC117"/>
  <c r="CG113"/>
  <c r="DC113"/>
  <c r="CK104"/>
  <c r="DI104"/>
  <c r="DJ104"/>
  <c r="CG95"/>
  <c r="DC95"/>
  <c r="CK86"/>
  <c r="DI86"/>
  <c r="CK72"/>
  <c r="DI72"/>
  <c r="CG63"/>
  <c r="DC63"/>
  <c r="CK54"/>
  <c r="DI54"/>
  <c r="BP301"/>
  <c r="CY301"/>
  <c r="BP296"/>
  <c r="CY296"/>
  <c r="BP285"/>
  <c r="CY285"/>
  <c r="BP280"/>
  <c r="CY280"/>
  <c r="BP269"/>
  <c r="CY269"/>
  <c r="BP264"/>
  <c r="CY264"/>
  <c r="BP253"/>
  <c r="CY253"/>
  <c r="BP248"/>
  <c r="CY248"/>
  <c r="BP237"/>
  <c r="CY237"/>
  <c r="BP232"/>
  <c r="CY232"/>
  <c r="BP221"/>
  <c r="CY221"/>
  <c r="BP216"/>
  <c r="CY216"/>
  <c r="BP205"/>
  <c r="CY205"/>
  <c r="BP200"/>
  <c r="CY200"/>
  <c r="BP189"/>
  <c r="CY189"/>
  <c r="BP183"/>
  <c r="CY183"/>
  <c r="BP179"/>
  <c r="CY179"/>
  <c r="BP175"/>
  <c r="CY175"/>
  <c r="BP171"/>
  <c r="CY171"/>
  <c r="BP167"/>
  <c r="CY167"/>
  <c r="BP163"/>
  <c r="CY163"/>
  <c r="BP159"/>
  <c r="CY159"/>
  <c r="BP155"/>
  <c r="CY155"/>
  <c r="BP151"/>
  <c r="CY151"/>
  <c r="BP147"/>
  <c r="CY147"/>
  <c r="CZ147"/>
  <c r="BP143"/>
  <c r="CY143"/>
  <c r="BP139"/>
  <c r="CY139"/>
  <c r="BP135"/>
  <c r="CY135"/>
  <c r="BP131"/>
  <c r="CY131"/>
  <c r="BP127"/>
  <c r="CY127"/>
  <c r="BP123"/>
  <c r="CY123"/>
  <c r="BP119"/>
  <c r="CY119"/>
  <c r="BP115"/>
  <c r="CY115"/>
  <c r="BP111"/>
  <c r="CY111"/>
  <c r="BP105"/>
  <c r="CY105"/>
  <c r="BL98"/>
  <c r="CS98"/>
  <c r="BP93"/>
  <c r="CY93"/>
  <c r="BP86"/>
  <c r="CY86"/>
  <c r="BP79"/>
  <c r="CY79"/>
  <c r="BP73"/>
  <c r="CY73"/>
  <c r="BP302"/>
  <c r="CY302"/>
  <c r="BP292"/>
  <c r="CY292"/>
  <c r="BP286"/>
  <c r="CY286"/>
  <c r="BP276"/>
  <c r="CY276"/>
  <c r="BP270"/>
  <c r="CY270"/>
  <c r="BP260"/>
  <c r="CY260"/>
  <c r="BP254"/>
  <c r="CY254"/>
  <c r="BP244"/>
  <c r="CY244"/>
  <c r="BP238"/>
  <c r="CY238"/>
  <c r="BP228"/>
  <c r="CY228"/>
  <c r="BP222"/>
  <c r="CY222"/>
  <c r="BP212"/>
  <c r="CY212"/>
  <c r="BP206"/>
  <c r="CY206"/>
  <c r="BP196"/>
  <c r="CY196"/>
  <c r="BP190"/>
  <c r="CY190"/>
  <c r="BP100"/>
  <c r="CY100"/>
  <c r="BL68"/>
  <c r="CS68"/>
  <c r="BP50"/>
  <c r="CY50"/>
  <c r="BP46"/>
  <c r="CY46"/>
  <c r="BN297"/>
  <c r="CV297"/>
  <c r="BN291"/>
  <c r="CV291"/>
  <c r="BN281"/>
  <c r="CV281"/>
  <c r="BN275"/>
  <c r="CV275"/>
  <c r="BN265"/>
  <c r="CV265"/>
  <c r="BN259"/>
  <c r="CV259"/>
  <c r="BN249"/>
  <c r="CV249"/>
  <c r="BN243"/>
  <c r="CV243"/>
  <c r="BN233"/>
  <c r="CV233"/>
  <c r="BN227"/>
  <c r="CV227"/>
  <c r="BN217"/>
  <c r="CV217"/>
  <c r="BN211"/>
  <c r="CV211"/>
  <c r="BN201"/>
  <c r="CV201"/>
  <c r="BN195"/>
  <c r="CV195"/>
  <c r="BN188"/>
  <c r="CV188"/>
  <c r="BN104"/>
  <c r="CV104"/>
  <c r="BN92"/>
  <c r="CV92"/>
  <c r="BJ83"/>
  <c r="CP83"/>
  <c r="BN72"/>
  <c r="CV72"/>
  <c r="BN300"/>
  <c r="CV300"/>
  <c r="BN287"/>
  <c r="CV287"/>
  <c r="BN278"/>
  <c r="CV278"/>
  <c r="CW278"/>
  <c r="BN268"/>
  <c r="CV268"/>
  <c r="BN255"/>
  <c r="CV255"/>
  <c r="BN246"/>
  <c r="CV246"/>
  <c r="BN236"/>
  <c r="CV236"/>
  <c r="BN223"/>
  <c r="CV223"/>
  <c r="BN214"/>
  <c r="CV214"/>
  <c r="BN204"/>
  <c r="CV204"/>
  <c r="BN191"/>
  <c r="CV191"/>
  <c r="BN185"/>
  <c r="CV185"/>
  <c r="BN180"/>
  <c r="CV180"/>
  <c r="BN176"/>
  <c r="CV176"/>
  <c r="BN172"/>
  <c r="CV172"/>
  <c r="BN168"/>
  <c r="CV168"/>
  <c r="BN164"/>
  <c r="CV164"/>
  <c r="BN160"/>
  <c r="CV160"/>
  <c r="BN156"/>
  <c r="CV156"/>
  <c r="BN152"/>
  <c r="CV152"/>
  <c r="BN148"/>
  <c r="CV148"/>
  <c r="BN144"/>
  <c r="CV144"/>
  <c r="BN140"/>
  <c r="CV140"/>
  <c r="BN136"/>
  <c r="CV136"/>
  <c r="BN132"/>
  <c r="CV132"/>
  <c r="BN128"/>
  <c r="CV128"/>
  <c r="BN124"/>
  <c r="CV124"/>
  <c r="BN120"/>
  <c r="CV120"/>
  <c r="BN116"/>
  <c r="CV116"/>
  <c r="BN112"/>
  <c r="CV112"/>
  <c r="BN103"/>
  <c r="CV103"/>
  <c r="BN97"/>
  <c r="CV97"/>
  <c r="BN87"/>
  <c r="CV87"/>
  <c r="BN81"/>
  <c r="CV81"/>
  <c r="BN71"/>
  <c r="CV71"/>
  <c r="BN65"/>
  <c r="CV65"/>
  <c r="BN55"/>
  <c r="CV55"/>
  <c r="O8"/>
  <c r="CO8"/>
  <c r="S15"/>
  <c r="CU15"/>
  <c r="O36"/>
  <c r="CO36"/>
  <c r="O44"/>
  <c r="CO44"/>
  <c r="S9"/>
  <c r="CU9"/>
  <c r="S17"/>
  <c r="CU17"/>
  <c r="S25"/>
  <c r="CU25"/>
  <c r="CW25"/>
  <c r="S33"/>
  <c r="CU33"/>
  <c r="S41"/>
  <c r="CU41"/>
  <c r="S49"/>
  <c r="CU49"/>
  <c r="S57"/>
  <c r="CU57"/>
  <c r="S65"/>
  <c r="CU65"/>
  <c r="S73"/>
  <c r="CU73"/>
  <c r="S81"/>
  <c r="CU81"/>
  <c r="S89"/>
  <c r="CU89"/>
  <c r="S97"/>
  <c r="CU97"/>
  <c r="S105"/>
  <c r="CU105"/>
  <c r="S113"/>
  <c r="CU113"/>
  <c r="S121"/>
  <c r="CU121"/>
  <c r="S129"/>
  <c r="CU129"/>
  <c r="S137"/>
  <c r="CU137"/>
  <c r="S145"/>
  <c r="CU145"/>
  <c r="S153"/>
  <c r="CU153"/>
  <c r="S161"/>
  <c r="CU161"/>
  <c r="S169"/>
  <c r="CU169"/>
  <c r="S177"/>
  <c r="CU177"/>
  <c r="S185"/>
  <c r="CU185"/>
  <c r="CW185" s="1"/>
  <c r="S193"/>
  <c r="CU193"/>
  <c r="S201"/>
  <c r="CU201"/>
  <c r="CW201"/>
  <c r="S209"/>
  <c r="CU209"/>
  <c r="S217"/>
  <c r="CU217"/>
  <c r="CW217"/>
  <c r="S225"/>
  <c r="CU225"/>
  <c r="S233"/>
  <c r="CU233"/>
  <c r="CW233" s="1"/>
  <c r="S241"/>
  <c r="CU241"/>
  <c r="S249"/>
  <c r="CU249"/>
  <c r="CW249" s="1"/>
  <c r="S257"/>
  <c r="CU257"/>
  <c r="S265"/>
  <c r="CU265"/>
  <c r="CW265"/>
  <c r="S273"/>
  <c r="CU273"/>
  <c r="S281"/>
  <c r="CU281"/>
  <c r="CW281"/>
  <c r="S289"/>
  <c r="CU289"/>
  <c r="S297"/>
  <c r="CU297"/>
  <c r="CW297" s="1"/>
  <c r="S305"/>
  <c r="CU305"/>
  <c r="AP6"/>
  <c r="DH6"/>
  <c r="AP14"/>
  <c r="DH14"/>
  <c r="AP22"/>
  <c r="DH22"/>
  <c r="AP30"/>
  <c r="DH30"/>
  <c r="AP38"/>
  <c r="DH38"/>
  <c r="AP46"/>
  <c r="DH46"/>
  <c r="AP54"/>
  <c r="DH54"/>
  <c r="DJ54" s="1"/>
  <c r="AP62"/>
  <c r="DH62"/>
  <c r="DJ62" s="1"/>
  <c r="AP70"/>
  <c r="DH70"/>
  <c r="AP78"/>
  <c r="DH78"/>
  <c r="AP86"/>
  <c r="DH86"/>
  <c r="AP94"/>
  <c r="DH94"/>
  <c r="AP102"/>
  <c r="DH102"/>
  <c r="AP110"/>
  <c r="DH110"/>
  <c r="AP118"/>
  <c r="DH118"/>
  <c r="AP126"/>
  <c r="DH126"/>
  <c r="AP134"/>
  <c r="DH134"/>
  <c r="AP142"/>
  <c r="DH142"/>
  <c r="AP150"/>
  <c r="DH150"/>
  <c r="AP158"/>
  <c r="DH158"/>
  <c r="AP166"/>
  <c r="DH166"/>
  <c r="AP174"/>
  <c r="DH174"/>
  <c r="AP182"/>
  <c r="DH182"/>
  <c r="AP190"/>
  <c r="DH190"/>
  <c r="AP198"/>
  <c r="DH198"/>
  <c r="AL206"/>
  <c r="DB206"/>
  <c r="DD206" s="1"/>
  <c r="AL214"/>
  <c r="DB214"/>
  <c r="AL222"/>
  <c r="DB222"/>
  <c r="AL230"/>
  <c r="DB230"/>
  <c r="AL238"/>
  <c r="DB238"/>
  <c r="DD238" s="1"/>
  <c r="AL246"/>
  <c r="DB246"/>
  <c r="AL254"/>
  <c r="DB254"/>
  <c r="AL262"/>
  <c r="DB262"/>
  <c r="AL270"/>
  <c r="DB270"/>
  <c r="DD270"/>
  <c r="AL278"/>
  <c r="DB278"/>
  <c r="AL286"/>
  <c r="DB286"/>
  <c r="AL294"/>
  <c r="DB294"/>
  <c r="AL302"/>
  <c r="DB302"/>
  <c r="DD302"/>
  <c r="CK5"/>
  <c r="DI5"/>
  <c r="CK7"/>
  <c r="DI7"/>
  <c r="CK9"/>
  <c r="DI9"/>
  <c r="CK11"/>
  <c r="DI11"/>
  <c r="CK13"/>
  <c r="DI13"/>
  <c r="CK15"/>
  <c r="DI15"/>
  <c r="CK17"/>
  <c r="DI17"/>
  <c r="CK19"/>
  <c r="DI19"/>
  <c r="CK21"/>
  <c r="DI21"/>
  <c r="CK23"/>
  <c r="DI23"/>
  <c r="CK25"/>
  <c r="DI25"/>
  <c r="CK27"/>
  <c r="DI27"/>
  <c r="CK29"/>
  <c r="DI29"/>
  <c r="CK31"/>
  <c r="DI31"/>
  <c r="CK33"/>
  <c r="DI33"/>
  <c r="CK35"/>
  <c r="DI35"/>
  <c r="CK37"/>
  <c r="DI37"/>
  <c r="CK39"/>
  <c r="DI39"/>
  <c r="CK41"/>
  <c r="DI41"/>
  <c r="CK43"/>
  <c r="DI43"/>
  <c r="CK45"/>
  <c r="DI45"/>
  <c r="CG51"/>
  <c r="DC51"/>
  <c r="CM55"/>
  <c r="DL55"/>
  <c r="BN59"/>
  <c r="CV59"/>
  <c r="CG61"/>
  <c r="DC61"/>
  <c r="CG67"/>
  <c r="DC67"/>
  <c r="BP236"/>
  <c r="CY236"/>
  <c r="BP230"/>
  <c r="CY230"/>
  <c r="BP220"/>
  <c r="CY220"/>
  <c r="BP214"/>
  <c r="CY214"/>
  <c r="BP204"/>
  <c r="CY204"/>
  <c r="BP198"/>
  <c r="CY198"/>
  <c r="BP187"/>
  <c r="CY187"/>
  <c r="BP182"/>
  <c r="CY182"/>
  <c r="CZ182" s="1"/>
  <c r="BP178"/>
  <c r="CY178"/>
  <c r="BP174"/>
  <c r="CY174"/>
  <c r="BP170"/>
  <c r="CY170"/>
  <c r="BP166"/>
  <c r="CY166"/>
  <c r="BP162"/>
  <c r="CY162"/>
  <c r="BP158"/>
  <c r="CY158"/>
  <c r="BP154"/>
  <c r="CY154"/>
  <c r="BP150"/>
  <c r="CY150"/>
  <c r="BP146"/>
  <c r="CY146"/>
  <c r="BP142"/>
  <c r="CY142"/>
  <c r="BP138"/>
  <c r="CY138"/>
  <c r="BP134"/>
  <c r="CY134"/>
  <c r="BP130"/>
  <c r="CY130"/>
  <c r="BP126"/>
  <c r="CY126"/>
  <c r="BP122"/>
  <c r="CY122"/>
  <c r="BP118"/>
  <c r="CY118"/>
  <c r="CZ118" s="1"/>
  <c r="BP114"/>
  <c r="CY114"/>
  <c r="BP110"/>
  <c r="CY110"/>
  <c r="BP103"/>
  <c r="CY103"/>
  <c r="BP97"/>
  <c r="CY97"/>
  <c r="BL90"/>
  <c r="CS90"/>
  <c r="BP85"/>
  <c r="CY85"/>
  <c r="BP78"/>
  <c r="CY78"/>
  <c r="BP71"/>
  <c r="CY71"/>
  <c r="BP297"/>
  <c r="CY297"/>
  <c r="BP291"/>
  <c r="CY291"/>
  <c r="BP281"/>
  <c r="CY281"/>
  <c r="BP275"/>
  <c r="CY275"/>
  <c r="BP265"/>
  <c r="CY265"/>
  <c r="BP259"/>
  <c r="CY259"/>
  <c r="BP249"/>
  <c r="CY249"/>
  <c r="BP243"/>
  <c r="CY243"/>
  <c r="BP233"/>
  <c r="CY233"/>
  <c r="BP227"/>
  <c r="CY227"/>
  <c r="BP217"/>
  <c r="CY217"/>
  <c r="BP211"/>
  <c r="CY211"/>
  <c r="BP201"/>
  <c r="CY201"/>
  <c r="BP195"/>
  <c r="CY195"/>
  <c r="BP188"/>
  <c r="CY188"/>
  <c r="BP92"/>
  <c r="CY92"/>
  <c r="BL60"/>
  <c r="CS60"/>
  <c r="BN295"/>
  <c r="CV295"/>
  <c r="BN286"/>
  <c r="CV286"/>
  <c r="BN276"/>
  <c r="CV276"/>
  <c r="BN263"/>
  <c r="CV263"/>
  <c r="BN254"/>
  <c r="CV254"/>
  <c r="BN244"/>
  <c r="CV244"/>
  <c r="BN231"/>
  <c r="CV231"/>
  <c r="BN222"/>
  <c r="CV222"/>
  <c r="BN212"/>
  <c r="CV212"/>
  <c r="BN199"/>
  <c r="CV199"/>
  <c r="BN190"/>
  <c r="CV190"/>
  <c r="BJ107"/>
  <c r="CP107"/>
  <c r="BN96"/>
  <c r="CV96"/>
  <c r="BN84"/>
  <c r="CV84"/>
  <c r="BJ75"/>
  <c r="CP75"/>
  <c r="BN301"/>
  <c r="CV301"/>
  <c r="BN296"/>
  <c r="CV296"/>
  <c r="BN285"/>
  <c r="CV285"/>
  <c r="BN280"/>
  <c r="CV280"/>
  <c r="BN269"/>
  <c r="CV269"/>
  <c r="BN264"/>
  <c r="CV264"/>
  <c r="BN253"/>
  <c r="CV253"/>
  <c r="BN248"/>
  <c r="CV248"/>
  <c r="BN237"/>
  <c r="CV237"/>
  <c r="BN232"/>
  <c r="CV232"/>
  <c r="BN221"/>
  <c r="CV221"/>
  <c r="BN216"/>
  <c r="CV216"/>
  <c r="BN205"/>
  <c r="CV205"/>
  <c r="BN200"/>
  <c r="CV200"/>
  <c r="BN189"/>
  <c r="CV189"/>
  <c r="BN181"/>
  <c r="CV181"/>
  <c r="BN177"/>
  <c r="CV177"/>
  <c r="BN173"/>
  <c r="CV173"/>
  <c r="BN169"/>
  <c r="CV169"/>
  <c r="BN165"/>
  <c r="CV165"/>
  <c r="BN161"/>
  <c r="CV161"/>
  <c r="BN157"/>
  <c r="CV157"/>
  <c r="BN153"/>
  <c r="CV153"/>
  <c r="BN149"/>
  <c r="CV149"/>
  <c r="BN145"/>
  <c r="CV145"/>
  <c r="BN141"/>
  <c r="CV141"/>
  <c r="BN137"/>
  <c r="CV137"/>
  <c r="BN133"/>
  <c r="CV133"/>
  <c r="BN129"/>
  <c r="CV129"/>
  <c r="BN125"/>
  <c r="CV125"/>
  <c r="BN121"/>
  <c r="CV121"/>
  <c r="BN117"/>
  <c r="CV117"/>
  <c r="BN113"/>
  <c r="CV113"/>
  <c r="BN109"/>
  <c r="CV109"/>
  <c r="BN98"/>
  <c r="CV98"/>
  <c r="BN93"/>
  <c r="CV93"/>
  <c r="BN82"/>
  <c r="CV82"/>
  <c r="BN77"/>
  <c r="CV77"/>
  <c r="BN66"/>
  <c r="CV66"/>
  <c r="BN61"/>
  <c r="CV61"/>
  <c r="O12"/>
  <c r="CO12"/>
  <c r="S19"/>
  <c r="CU19"/>
  <c r="S35"/>
  <c r="CU35"/>
  <c r="U6"/>
  <c r="CX6"/>
  <c r="CZ6" s="1"/>
  <c r="U14"/>
  <c r="CX14"/>
  <c r="CZ14" s="1"/>
  <c r="U22"/>
  <c r="CX22"/>
  <c r="CZ22"/>
  <c r="U30"/>
  <c r="CX30"/>
  <c r="CZ30"/>
  <c r="U38"/>
  <c r="CX38"/>
  <c r="CZ38" s="1"/>
  <c r="U46"/>
  <c r="CX46"/>
  <c r="U54"/>
  <c r="CX54"/>
  <c r="CZ54"/>
  <c r="U62"/>
  <c r="CX62"/>
  <c r="U70"/>
  <c r="CX70"/>
  <c r="U78"/>
  <c r="CX78"/>
  <c r="CZ78"/>
  <c r="U86"/>
  <c r="CX86"/>
  <c r="U94"/>
  <c r="CX94"/>
  <c r="U102"/>
  <c r="CX102"/>
  <c r="U110"/>
  <c r="CX110"/>
  <c r="U118"/>
  <c r="CX118"/>
  <c r="U126"/>
  <c r="CX126"/>
  <c r="U134"/>
  <c r="CX134"/>
  <c r="CZ134"/>
  <c r="U142"/>
  <c r="CX142"/>
  <c r="U150"/>
  <c r="CX150"/>
  <c r="CZ150"/>
  <c r="U158"/>
  <c r="CX158"/>
  <c r="U166"/>
  <c r="CX166"/>
  <c r="CZ166" s="1"/>
  <c r="U174"/>
  <c r="CX174"/>
  <c r="U182"/>
  <c r="CX182"/>
  <c r="U190"/>
  <c r="CX190"/>
  <c r="U198"/>
  <c r="CX198"/>
  <c r="CZ198"/>
  <c r="U206"/>
  <c r="CX206"/>
  <c r="U214"/>
  <c r="CX214"/>
  <c r="CZ214"/>
  <c r="U222"/>
  <c r="CX222"/>
  <c r="U230"/>
  <c r="CX230"/>
  <c r="CZ230" s="1"/>
  <c r="U238"/>
  <c r="CX238"/>
  <c r="U246"/>
  <c r="CX246"/>
  <c r="U254"/>
  <c r="CX254"/>
  <c r="U262"/>
  <c r="CX262"/>
  <c r="U270"/>
  <c r="CX270"/>
  <c r="U278"/>
  <c r="CX278"/>
  <c r="U286"/>
  <c r="CX286"/>
  <c r="U294"/>
  <c r="CX294"/>
  <c r="U302"/>
  <c r="CX302"/>
  <c r="AL7"/>
  <c r="DB7"/>
  <c r="AL15"/>
  <c r="DB15"/>
  <c r="AL23"/>
  <c r="DB23"/>
  <c r="AL31"/>
  <c r="DB31"/>
  <c r="AL39"/>
  <c r="DB39"/>
  <c r="AL47"/>
  <c r="DB47"/>
  <c r="AL55"/>
  <c r="DB55"/>
  <c r="AL63"/>
  <c r="DB63"/>
  <c r="AL71"/>
  <c r="DB71"/>
  <c r="DD71" s="1"/>
  <c r="AL79"/>
  <c r="DB79"/>
  <c r="AL87"/>
  <c r="DB87"/>
  <c r="AL95"/>
  <c r="DB95"/>
  <c r="DD95" s="1"/>
  <c r="AL103"/>
  <c r="DB103"/>
  <c r="DD103" s="1"/>
  <c r="AL111"/>
  <c r="DB111"/>
  <c r="AL119"/>
  <c r="DB119"/>
  <c r="AL127"/>
  <c r="DB127"/>
  <c r="DD127"/>
  <c r="AL135"/>
  <c r="DB135"/>
  <c r="DD135"/>
  <c r="AL143"/>
  <c r="DB143"/>
  <c r="DD143" s="1"/>
  <c r="AL151"/>
  <c r="DB151"/>
  <c r="DD151" s="1"/>
  <c r="AL159"/>
  <c r="DB159"/>
  <c r="DD159"/>
  <c r="AL167"/>
  <c r="DB167"/>
  <c r="DD167"/>
  <c r="AL175"/>
  <c r="DB175"/>
  <c r="DD175" s="1"/>
  <c r="AL183"/>
  <c r="DB183"/>
  <c r="DD183" s="1"/>
  <c r="AL191"/>
  <c r="DB191"/>
  <c r="DD191"/>
  <c r="AL199"/>
  <c r="DB199"/>
  <c r="DD199"/>
  <c r="AN207"/>
  <c r="DE207"/>
  <c r="AL211"/>
  <c r="DB211"/>
  <c r="DD211"/>
  <c r="AP217"/>
  <c r="DH217"/>
  <c r="AN223"/>
  <c r="DE223"/>
  <c r="DG223" s="1"/>
  <c r="AL227"/>
  <c r="DB227"/>
  <c r="AP233"/>
  <c r="DH233"/>
  <c r="DJ233" s="1"/>
  <c r="AN239"/>
  <c r="DE239"/>
  <c r="DG239" s="1"/>
  <c r="AL243"/>
  <c r="DB243"/>
  <c r="AP249"/>
  <c r="DH249"/>
  <c r="DJ249" s="1"/>
  <c r="AN255"/>
  <c r="DE255"/>
  <c r="DG255" s="1"/>
  <c r="AL259"/>
  <c r="DB259"/>
  <c r="AP265"/>
  <c r="DH265"/>
  <c r="DJ265" s="1"/>
  <c r="AN271"/>
  <c r="DE271"/>
  <c r="AL275"/>
  <c r="DB275"/>
  <c r="DD275"/>
  <c r="AP281"/>
  <c r="DH281"/>
  <c r="AN287"/>
  <c r="DE287"/>
  <c r="DG287"/>
  <c r="AL291"/>
  <c r="DB291"/>
  <c r="AP297"/>
  <c r="DH297"/>
  <c r="AN303"/>
  <c r="DE303"/>
  <c r="DG303"/>
  <c r="BN6"/>
  <c r="CV6"/>
  <c r="BN10"/>
  <c r="CV10"/>
  <c r="BN14"/>
  <c r="CV14"/>
  <c r="BN18"/>
  <c r="CV18"/>
  <c r="CW18" s="1"/>
  <c r="BN22"/>
  <c r="CV22"/>
  <c r="BN26"/>
  <c r="CV26"/>
  <c r="BN30"/>
  <c r="CV30"/>
  <c r="CW30"/>
  <c r="BN34"/>
  <c r="CV34"/>
  <c r="BN38"/>
  <c r="CV38"/>
  <c r="CW38"/>
  <c r="BN42"/>
  <c r="CV42"/>
  <c r="CK46"/>
  <c r="DI46"/>
  <c r="CK50"/>
  <c r="DI50"/>
  <c r="CG53"/>
  <c r="DC53"/>
  <c r="CG59"/>
  <c r="DC59"/>
  <c r="CM63"/>
  <c r="DL63"/>
  <c r="BN67"/>
  <c r="CV67"/>
  <c r="CG69"/>
  <c r="DC69"/>
  <c r="BX160" i="10"/>
  <c r="CU160"/>
  <c r="BX80"/>
  <c r="CU80"/>
  <c r="BX41"/>
  <c r="CU41"/>
  <c r="BX228"/>
  <c r="CU228"/>
  <c r="BX168"/>
  <c r="CU168"/>
  <c r="BX101"/>
  <c r="CU101"/>
  <c r="BX52"/>
  <c r="CU52"/>
  <c r="Q13" i="15"/>
  <c r="CR13"/>
  <c r="CT13"/>
  <c r="BN5"/>
  <c r="CV5"/>
  <c r="BP80"/>
  <c r="CY80"/>
  <c r="CZ80" s="1"/>
  <c r="BJ266"/>
  <c r="CP266"/>
  <c r="BP4"/>
  <c r="CY4"/>
  <c r="AN117"/>
  <c r="DE117"/>
  <c r="DG117"/>
  <c r="AN245"/>
  <c r="DE245"/>
  <c r="DG245"/>
  <c r="AP252"/>
  <c r="DH252"/>
  <c r="DJ252" s="1"/>
  <c r="U75"/>
  <c r="CX75"/>
  <c r="U203"/>
  <c r="CX203"/>
  <c r="S282"/>
  <c r="CU282"/>
  <c r="CW282" s="1"/>
  <c r="U52"/>
  <c r="CX52"/>
  <c r="U180"/>
  <c r="CX180"/>
  <c r="AN37"/>
  <c r="DE37"/>
  <c r="AP132"/>
  <c r="DH132"/>
  <c r="DJ132" s="1"/>
  <c r="O266"/>
  <c r="CO266"/>
  <c r="CQ266" s="1"/>
  <c r="U292"/>
  <c r="CX292"/>
  <c r="CZ292" s="1"/>
  <c r="S154"/>
  <c r="CU154"/>
  <c r="BP33"/>
  <c r="CY33"/>
  <c r="BJ78"/>
  <c r="CP78"/>
  <c r="CM260"/>
  <c r="DL260"/>
  <c r="AR68"/>
  <c r="DK68"/>
  <c r="AR196"/>
  <c r="DK196"/>
  <c r="AP92"/>
  <c r="DH92"/>
  <c r="DJ92"/>
  <c r="S66"/>
  <c r="CU66"/>
  <c r="BN45"/>
  <c r="CV45"/>
  <c r="AP20"/>
  <c r="DH20"/>
  <c r="U59"/>
  <c r="CX59"/>
  <c r="CZ59"/>
  <c r="U283"/>
  <c r="CX283"/>
  <c r="CM60"/>
  <c r="DL60"/>
  <c r="BP47"/>
  <c r="CY47"/>
  <c r="CZ47"/>
  <c r="BN33"/>
  <c r="CV33"/>
  <c r="CK73"/>
  <c r="DI73"/>
  <c r="BJ258"/>
  <c r="CP258"/>
  <c r="AN13"/>
  <c r="DE13"/>
  <c r="AN141"/>
  <c r="DE141"/>
  <c r="DG141" s="1"/>
  <c r="AN269"/>
  <c r="DE269"/>
  <c r="DG269" s="1"/>
  <c r="AP236"/>
  <c r="DH236"/>
  <c r="U35"/>
  <c r="CX35"/>
  <c r="CZ35"/>
  <c r="U163"/>
  <c r="CX163"/>
  <c r="U291"/>
  <c r="CX291"/>
  <c r="CZ291"/>
  <c r="U12"/>
  <c r="CX12"/>
  <c r="U140"/>
  <c r="CX140"/>
  <c r="U268"/>
  <c r="CX268"/>
  <c r="AN133"/>
  <c r="DE133"/>
  <c r="DG133"/>
  <c r="S218"/>
  <c r="CU218"/>
  <c r="CW218"/>
  <c r="U228"/>
  <c r="CX228"/>
  <c r="CZ228" s="1"/>
  <c r="S210"/>
  <c r="CU210"/>
  <c r="CW210" s="1"/>
  <c r="CG227"/>
  <c r="DC227"/>
  <c r="CK219"/>
  <c r="DI219"/>
  <c r="CG205"/>
  <c r="DC205"/>
  <c r="AR28"/>
  <c r="DK28"/>
  <c r="DM28" s="1"/>
  <c r="AR156"/>
  <c r="DK156"/>
  <c r="DM156" s="1"/>
  <c r="AR284"/>
  <c r="DK284"/>
  <c r="DM284" s="1"/>
  <c r="AP68"/>
  <c r="DH68"/>
  <c r="DJ68"/>
  <c r="O90"/>
  <c r="CO90"/>
  <c r="AN69"/>
  <c r="DE69"/>
  <c r="DG69" s="1"/>
  <c r="U100"/>
  <c r="CX100"/>
  <c r="CZ100"/>
  <c r="CM244"/>
  <c r="DL244"/>
  <c r="AR116"/>
  <c r="DK116"/>
  <c r="DM116" s="1"/>
  <c r="BN43"/>
  <c r="CV43"/>
  <c r="BP104"/>
  <c r="CY104"/>
  <c r="AN41"/>
  <c r="DE41"/>
  <c r="AN145"/>
  <c r="DE145"/>
  <c r="DG145" s="1"/>
  <c r="DG249"/>
  <c r="DG297"/>
  <c r="DM44"/>
  <c r="DM96"/>
  <c r="DM144"/>
  <c r="DM200"/>
  <c r="DM248"/>
  <c r="DJ72"/>
  <c r="DJ144"/>
  <c r="DJ216"/>
  <c r="DJ288"/>
  <c r="CZ303"/>
  <c r="U16"/>
  <c r="CX16"/>
  <c r="U120"/>
  <c r="CX120"/>
  <c r="U220"/>
  <c r="CX220"/>
  <c r="DM157"/>
  <c r="DM189"/>
  <c r="DM213"/>
  <c r="DM245"/>
  <c r="DM301"/>
  <c r="DG192"/>
  <c r="DG296"/>
  <c r="DG256"/>
  <c r="DM145"/>
  <c r="DG209"/>
  <c r="DM264"/>
  <c r="DJ232"/>
  <c r="CZ135"/>
  <c r="CZ4"/>
  <c r="CT67"/>
  <c r="DG68"/>
  <c r="DG132"/>
  <c r="DG148"/>
  <c r="DG180"/>
  <c r="DG196"/>
  <c r="DG212"/>
  <c r="DG244"/>
  <c r="DG284"/>
  <c r="DG128"/>
  <c r="CQ46"/>
  <c r="DG208"/>
  <c r="DD216"/>
  <c r="DG200"/>
  <c r="DG152"/>
  <c r="DD256"/>
  <c r="DM233"/>
  <c r="DM297"/>
  <c r="CK297"/>
  <c r="DI297"/>
  <c r="BJ86"/>
  <c r="CP86"/>
  <c r="AN25"/>
  <c r="DE25"/>
  <c r="AN125"/>
  <c r="DE125"/>
  <c r="DG125" s="1"/>
  <c r="DG225"/>
  <c r="U96"/>
  <c r="CX96"/>
  <c r="U200"/>
  <c r="CX200"/>
  <c r="CZ200" s="1"/>
  <c r="U304"/>
  <c r="CX304"/>
  <c r="DG272"/>
  <c r="CW214"/>
  <c r="DG72"/>
  <c r="DD60"/>
  <c r="DG264"/>
  <c r="DD304"/>
  <c r="DM249"/>
  <c r="BP51"/>
  <c r="CY51"/>
  <c r="CZ51" s="1"/>
  <c r="BN27"/>
  <c r="CV27"/>
  <c r="BP72"/>
  <c r="CY72"/>
  <c r="CG265"/>
  <c r="DC265"/>
  <c r="AN9"/>
  <c r="DE9"/>
  <c r="AN113"/>
  <c r="DE113"/>
  <c r="DG113"/>
  <c r="DM168"/>
  <c r="U88"/>
  <c r="CX88"/>
  <c r="CZ88" s="1"/>
  <c r="U188"/>
  <c r="CX188"/>
  <c r="CZ188" s="1"/>
  <c r="U288"/>
  <c r="CX288"/>
  <c r="CT80"/>
  <c r="DG136"/>
  <c r="DG160"/>
  <c r="DM177"/>
  <c r="DG116"/>
  <c r="CZ49"/>
  <c r="CT8"/>
  <c r="CT16"/>
  <c r="CT56"/>
  <c r="CT64"/>
  <c r="CT104"/>
  <c r="DM89"/>
  <c r="DM129"/>
  <c r="DM137"/>
  <c r="DM161"/>
  <c r="DM185"/>
  <c r="DM201"/>
  <c r="AN174"/>
  <c r="DE174"/>
  <c r="DG174" s="1"/>
  <c r="AN182"/>
  <c r="DE182"/>
  <c r="DG182" s="1"/>
  <c r="AN190"/>
  <c r="DE190"/>
  <c r="DG190" s="1"/>
  <c r="AN198"/>
  <c r="DE198"/>
  <c r="DG198"/>
  <c r="AN206"/>
  <c r="DE206"/>
  <c r="DG206" s="1"/>
  <c r="AN214"/>
  <c r="DE214"/>
  <c r="DG214" s="1"/>
  <c r="AN222"/>
  <c r="DE222"/>
  <c r="DG222"/>
  <c r="AN230"/>
  <c r="DE230"/>
  <c r="DG230"/>
  <c r="AN238"/>
  <c r="DE238"/>
  <c r="DG238" s="1"/>
  <c r="AN246"/>
  <c r="DE246"/>
  <c r="DG246" s="1"/>
  <c r="AN254"/>
  <c r="DE254"/>
  <c r="DG254"/>
  <c r="AN262"/>
  <c r="DE262"/>
  <c r="DG262"/>
  <c r="AN270"/>
  <c r="DE270"/>
  <c r="DG270"/>
  <c r="AN278"/>
  <c r="DE278"/>
  <c r="DG278" s="1"/>
  <c r="AN286"/>
  <c r="DE286"/>
  <c r="DG286"/>
  <c r="AN294"/>
  <c r="DE294"/>
  <c r="AN302"/>
  <c r="DE302"/>
  <c r="DG302"/>
  <c r="CI5"/>
  <c r="DF5"/>
  <c r="CI7"/>
  <c r="DF7"/>
  <c r="CI9"/>
  <c r="DF9"/>
  <c r="CI11"/>
  <c r="DF11"/>
  <c r="CI13"/>
  <c r="DF13"/>
  <c r="CI15"/>
  <c r="DF15"/>
  <c r="CI17"/>
  <c r="DF17"/>
  <c r="CI19"/>
  <c r="DF19"/>
  <c r="CI21"/>
  <c r="DF21"/>
  <c r="CI23"/>
  <c r="DF23"/>
  <c r="CI25"/>
  <c r="DF25"/>
  <c r="CI27"/>
  <c r="DF27"/>
  <c r="CI29"/>
  <c r="DF29"/>
  <c r="CI31"/>
  <c r="DF31"/>
  <c r="CI33"/>
  <c r="DF33"/>
  <c r="CI35"/>
  <c r="DF35"/>
  <c r="CI37"/>
  <c r="DF37"/>
  <c r="CI39"/>
  <c r="DF39"/>
  <c r="CI41"/>
  <c r="DF41"/>
  <c r="CI43"/>
  <c r="DF43"/>
  <c r="CI45"/>
  <c r="DF45"/>
  <c r="CI54"/>
  <c r="DF54"/>
  <c r="CK58"/>
  <c r="DI58"/>
  <c r="BP63"/>
  <c r="CY63"/>
  <c r="CI70"/>
  <c r="DF70"/>
  <c r="CK286"/>
  <c r="DI286"/>
  <c r="CK254"/>
  <c r="DI254"/>
  <c r="CK222"/>
  <c r="DI222"/>
  <c r="CK190"/>
  <c r="DI190"/>
  <c r="CK109"/>
  <c r="DI109"/>
  <c r="CK99"/>
  <c r="DI99"/>
  <c r="CG90"/>
  <c r="DC90"/>
  <c r="CK77"/>
  <c r="DI77"/>
  <c r="CG294"/>
  <c r="DC294"/>
  <c r="CG262"/>
  <c r="DC262"/>
  <c r="CG230"/>
  <c r="DC230"/>
  <c r="CG198"/>
  <c r="DC198"/>
  <c r="CG182"/>
  <c r="DC182"/>
  <c r="CG178"/>
  <c r="DC178"/>
  <c r="CG174"/>
  <c r="DC174"/>
  <c r="CG170"/>
  <c r="DC170"/>
  <c r="CG166"/>
  <c r="DC166"/>
  <c r="CG162"/>
  <c r="DC162"/>
  <c r="CG158"/>
  <c r="DC158"/>
  <c r="CG154"/>
  <c r="DC154"/>
  <c r="CG150"/>
  <c r="DC150"/>
  <c r="CG146"/>
  <c r="DC146"/>
  <c r="CG142"/>
  <c r="DC142"/>
  <c r="CG138"/>
  <c r="DC138"/>
  <c r="CG134"/>
  <c r="DC134"/>
  <c r="CG130"/>
  <c r="DC130"/>
  <c r="CG126"/>
  <c r="DC126"/>
  <c r="CG122"/>
  <c r="DC122"/>
  <c r="CG118"/>
  <c r="DC118"/>
  <c r="CG114"/>
  <c r="DC114"/>
  <c r="CG110"/>
  <c r="DC110"/>
  <c r="CG96"/>
  <c r="DC96"/>
  <c r="DD96" s="1"/>
  <c r="CK87"/>
  <c r="DI87"/>
  <c r="CG78"/>
  <c r="DC78"/>
  <c r="CG64"/>
  <c r="DC64"/>
  <c r="CK55"/>
  <c r="DI55"/>
  <c r="BL300"/>
  <c r="CS300"/>
  <c r="BL294"/>
  <c r="CS294"/>
  <c r="BL284"/>
  <c r="CS284"/>
  <c r="BL278"/>
  <c r="CS278"/>
  <c r="BL268"/>
  <c r="CS268"/>
  <c r="BL262"/>
  <c r="CS262"/>
  <c r="BL252"/>
  <c r="CS252"/>
  <c r="CT252" s="1"/>
  <c r="BL246"/>
  <c r="CS246"/>
  <c r="CK119"/>
  <c r="DI119"/>
  <c r="CK115"/>
  <c r="DI115"/>
  <c r="CK111"/>
  <c r="DI111"/>
  <c r="CG102"/>
  <c r="DC102"/>
  <c r="CG88"/>
  <c r="DC88"/>
  <c r="CK79"/>
  <c r="DI79"/>
  <c r="CG70"/>
  <c r="DC70"/>
  <c r="CG56"/>
  <c r="DC56"/>
  <c r="DD56"/>
  <c r="BL305"/>
  <c r="CS305"/>
  <c r="BL299"/>
  <c r="CS299"/>
  <c r="CT299" s="1"/>
  <c r="BL289"/>
  <c r="CS289"/>
  <c r="BL283"/>
  <c r="CS283"/>
  <c r="CT283" s="1"/>
  <c r="BL273"/>
  <c r="CS273"/>
  <c r="BL267"/>
  <c r="CS267"/>
  <c r="CT267" s="1"/>
  <c r="BL257"/>
  <c r="CS257"/>
  <c r="BL251"/>
  <c r="CS251"/>
  <c r="BL241"/>
  <c r="CS241"/>
  <c r="BL235"/>
  <c r="CS235"/>
  <c r="CT235"/>
  <c r="BL225"/>
  <c r="CS225"/>
  <c r="BL219"/>
  <c r="CS219"/>
  <c r="CT219" s="1"/>
  <c r="BL209"/>
  <c r="CS209"/>
  <c r="BL203"/>
  <c r="CS203"/>
  <c r="CT203" s="1"/>
  <c r="BL193"/>
  <c r="CS193"/>
  <c r="BL186"/>
  <c r="CS186"/>
  <c r="BL181"/>
  <c r="CS181"/>
  <c r="BL177"/>
  <c r="CS177"/>
  <c r="BL173"/>
  <c r="CS173"/>
  <c r="BL169"/>
  <c r="CS169"/>
  <c r="BL165"/>
  <c r="CS165"/>
  <c r="BL161"/>
  <c r="CS161"/>
  <c r="BL157"/>
  <c r="CS157"/>
  <c r="BL153"/>
  <c r="CS153"/>
  <c r="BL149"/>
  <c r="CS149"/>
  <c r="BL145"/>
  <c r="CS145"/>
  <c r="BL141"/>
  <c r="CS141"/>
  <c r="BL137"/>
  <c r="CS137"/>
  <c r="BL133"/>
  <c r="CS133"/>
  <c r="BL129"/>
  <c r="CS129"/>
  <c r="BL125"/>
  <c r="CS125"/>
  <c r="BL121"/>
  <c r="CS121"/>
  <c r="BL117"/>
  <c r="CS117"/>
  <c r="BL113"/>
  <c r="CS113"/>
  <c r="BL109"/>
  <c r="CS109"/>
  <c r="BL102"/>
  <c r="CS102"/>
  <c r="BL95"/>
  <c r="CS95"/>
  <c r="BL89"/>
  <c r="CS89"/>
  <c r="BP82"/>
  <c r="CY82"/>
  <c r="BL77"/>
  <c r="CS77"/>
  <c r="BL306"/>
  <c r="CS306"/>
  <c r="BL295"/>
  <c r="CS295"/>
  <c r="BL290"/>
  <c r="CS290"/>
  <c r="BL279"/>
  <c r="CS279"/>
  <c r="BL274"/>
  <c r="CS274"/>
  <c r="BL263"/>
  <c r="CS263"/>
  <c r="CT263" s="1"/>
  <c r="BL258"/>
  <c r="CS258"/>
  <c r="BL247"/>
  <c r="CS247"/>
  <c r="CT247"/>
  <c r="BL242"/>
  <c r="CS242"/>
  <c r="BL231"/>
  <c r="CS231"/>
  <c r="CT231" s="1"/>
  <c r="BL226"/>
  <c r="CS226"/>
  <c r="BL215"/>
  <c r="CS215"/>
  <c r="CT215" s="1"/>
  <c r="BL210"/>
  <c r="CS210"/>
  <c r="BL199"/>
  <c r="CS199"/>
  <c r="CT199" s="1"/>
  <c r="BL194"/>
  <c r="CS194"/>
  <c r="BL184"/>
  <c r="CS184"/>
  <c r="CT184"/>
  <c r="BL84"/>
  <c r="CS84"/>
  <c r="BP52"/>
  <c r="CY52"/>
  <c r="BL48"/>
  <c r="CS48"/>
  <c r="CT48" s="1"/>
  <c r="BJ304"/>
  <c r="CP304"/>
  <c r="BJ293"/>
  <c r="CP293"/>
  <c r="BJ288"/>
  <c r="CP288"/>
  <c r="BJ277"/>
  <c r="CP277"/>
  <c r="BJ272"/>
  <c r="CP272"/>
  <c r="BJ261"/>
  <c r="CP261"/>
  <c r="BJ256"/>
  <c r="CP256"/>
  <c r="BJ245"/>
  <c r="CP245"/>
  <c r="BJ240"/>
  <c r="CP240"/>
  <c r="BJ229"/>
  <c r="CP229"/>
  <c r="BJ224"/>
  <c r="CP224"/>
  <c r="BJ213"/>
  <c r="CP213"/>
  <c r="BJ208"/>
  <c r="CP208"/>
  <c r="BJ197"/>
  <c r="CP197"/>
  <c r="BJ192"/>
  <c r="CP192"/>
  <c r="BJ108"/>
  <c r="CP108"/>
  <c r="BN99"/>
  <c r="CV99"/>
  <c r="BJ88"/>
  <c r="CP88"/>
  <c r="BJ76"/>
  <c r="CP76"/>
  <c r="BJ303"/>
  <c r="CP303"/>
  <c r="BJ294"/>
  <c r="CP294"/>
  <c r="CQ294" s="1"/>
  <c r="BJ284"/>
  <c r="CP284"/>
  <c r="BJ271"/>
  <c r="CP271"/>
  <c r="BJ262"/>
  <c r="CP262"/>
  <c r="CQ262" s="1"/>
  <c r="BJ252"/>
  <c r="CP252"/>
  <c r="BJ239"/>
  <c r="CP239"/>
  <c r="BJ230"/>
  <c r="CP230"/>
  <c r="CQ230"/>
  <c r="BJ220"/>
  <c r="CP220"/>
  <c r="BJ207"/>
  <c r="CP207"/>
  <c r="BJ198"/>
  <c r="CP198"/>
  <c r="BJ187"/>
  <c r="CP187"/>
  <c r="BJ182"/>
  <c r="CP182"/>
  <c r="BJ178"/>
  <c r="CP178"/>
  <c r="BJ174"/>
  <c r="CP174"/>
  <c r="CQ174"/>
  <c r="BJ170"/>
  <c r="CP170"/>
  <c r="CQ170" s="1"/>
  <c r="BJ166"/>
  <c r="CP166"/>
  <c r="BJ162"/>
  <c r="CP162"/>
  <c r="CQ162"/>
  <c r="BJ158"/>
  <c r="CP158"/>
  <c r="CQ158"/>
  <c r="BJ154"/>
  <c r="CP154"/>
  <c r="BJ150"/>
  <c r="CP150"/>
  <c r="BJ146"/>
  <c r="CP146"/>
  <c r="BJ142"/>
  <c r="CP142"/>
  <c r="CQ142"/>
  <c r="BJ138"/>
  <c r="CP138"/>
  <c r="CQ138"/>
  <c r="BJ134"/>
  <c r="CP134"/>
  <c r="CQ134" s="1"/>
  <c r="BJ130"/>
  <c r="CP130"/>
  <c r="BJ126"/>
  <c r="CP126"/>
  <c r="CQ126"/>
  <c r="BJ122"/>
  <c r="CP122"/>
  <c r="BJ118"/>
  <c r="CP118"/>
  <c r="CQ118"/>
  <c r="BJ114"/>
  <c r="CP114"/>
  <c r="BJ106"/>
  <c r="CP106"/>
  <c r="CQ106" s="1"/>
  <c r="BJ101"/>
  <c r="CP101"/>
  <c r="BJ90"/>
  <c r="CP90"/>
  <c r="BJ85"/>
  <c r="CP85"/>
  <c r="BJ74"/>
  <c r="CP74"/>
  <c r="CQ74" s="1"/>
  <c r="BJ69"/>
  <c r="CP69"/>
  <c r="BJ58"/>
  <c r="CP58"/>
  <c r="CQ58" s="1"/>
  <c r="BJ53"/>
  <c r="CP53"/>
  <c r="O11"/>
  <c r="CO11"/>
  <c r="CQ11"/>
  <c r="O27"/>
  <c r="CO27"/>
  <c r="CQ27" s="1"/>
  <c r="O39"/>
  <c r="CO39"/>
  <c r="CQ39" s="1"/>
  <c r="O5"/>
  <c r="CO5"/>
  <c r="CQ5" s="1"/>
  <c r="O13"/>
  <c r="CO13"/>
  <c r="CQ13"/>
  <c r="O21"/>
  <c r="CO21"/>
  <c r="CQ21" s="1"/>
  <c r="O29"/>
  <c r="CO29"/>
  <c r="CQ29" s="1"/>
  <c r="O37"/>
  <c r="CO37"/>
  <c r="CQ37" s="1"/>
  <c r="O45"/>
  <c r="CO45"/>
  <c r="CQ45"/>
  <c r="O53"/>
  <c r="CO53"/>
  <c r="CQ53" s="1"/>
  <c r="O61"/>
  <c r="CO61"/>
  <c r="O69"/>
  <c r="CO69"/>
  <c r="CQ69"/>
  <c r="O77"/>
  <c r="CO77"/>
  <c r="O85"/>
  <c r="CO85"/>
  <c r="CQ85" s="1"/>
  <c r="O93"/>
  <c r="CO93"/>
  <c r="O101"/>
  <c r="CO101"/>
  <c r="CQ101" s="1"/>
  <c r="O109"/>
  <c r="CO109"/>
  <c r="O117"/>
  <c r="CO117"/>
  <c r="O125"/>
  <c r="CO125"/>
  <c r="O133"/>
  <c r="CO133"/>
  <c r="O141"/>
  <c r="CO141"/>
  <c r="O149"/>
  <c r="CO149"/>
  <c r="O157"/>
  <c r="CO157"/>
  <c r="O165"/>
  <c r="CO165"/>
  <c r="O173"/>
  <c r="CO173"/>
  <c r="O181"/>
  <c r="CO181"/>
  <c r="O189"/>
  <c r="CO189"/>
  <c r="O197"/>
  <c r="CO197"/>
  <c r="O205"/>
  <c r="CO205"/>
  <c r="O213"/>
  <c r="CO213"/>
  <c r="O221"/>
  <c r="CO221"/>
  <c r="O229"/>
  <c r="CO229"/>
  <c r="O237"/>
  <c r="CO237"/>
  <c r="O245"/>
  <c r="CO245"/>
  <c r="O253"/>
  <c r="CO253"/>
  <c r="O261"/>
  <c r="CO261"/>
  <c r="O269"/>
  <c r="CO269"/>
  <c r="O277"/>
  <c r="CO277"/>
  <c r="O285"/>
  <c r="CO285"/>
  <c r="O293"/>
  <c r="CO293"/>
  <c r="O301"/>
  <c r="CO301"/>
  <c r="AN4"/>
  <c r="DE4"/>
  <c r="DG4" s="1"/>
  <c r="AL10"/>
  <c r="DB10"/>
  <c r="AL18"/>
  <c r="DB18"/>
  <c r="AL26"/>
  <c r="DB26"/>
  <c r="AL34"/>
  <c r="DB34"/>
  <c r="AL42"/>
  <c r="DB42"/>
  <c r="AL50"/>
  <c r="DB50"/>
  <c r="AL58"/>
  <c r="DB58"/>
  <c r="AL66"/>
  <c r="DB66"/>
  <c r="DD66"/>
  <c r="AL74"/>
  <c r="DB74"/>
  <c r="AL82"/>
  <c r="DB82"/>
  <c r="AL90"/>
  <c r="DB90"/>
  <c r="DD90"/>
  <c r="AL98"/>
  <c r="DB98"/>
  <c r="DD98" s="1"/>
  <c r="AL106"/>
  <c r="DB106"/>
  <c r="AL114"/>
  <c r="DB114"/>
  <c r="DD114"/>
  <c r="AL122"/>
  <c r="DB122"/>
  <c r="AL130"/>
  <c r="DB130"/>
  <c r="DD130"/>
  <c r="AL138"/>
  <c r="DB138"/>
  <c r="AL146"/>
  <c r="DB146"/>
  <c r="DD146" s="1"/>
  <c r="AL154"/>
  <c r="DB154"/>
  <c r="AL162"/>
  <c r="DB162"/>
  <c r="DD162" s="1"/>
  <c r="AL170"/>
  <c r="DB170"/>
  <c r="AL178"/>
  <c r="DB178"/>
  <c r="DD178" s="1"/>
  <c r="AL186"/>
  <c r="DB186"/>
  <c r="DD186" s="1"/>
  <c r="AL194"/>
  <c r="DB194"/>
  <c r="DD194" s="1"/>
  <c r="AL202"/>
  <c r="DB202"/>
  <c r="AN210"/>
  <c r="DE210"/>
  <c r="DG210" s="1"/>
  <c r="AN218"/>
  <c r="DE218"/>
  <c r="DG218" s="1"/>
  <c r="AN226"/>
  <c r="DE226"/>
  <c r="DG226"/>
  <c r="AN234"/>
  <c r="DE234"/>
  <c r="DG234"/>
  <c r="AN242"/>
  <c r="DE242"/>
  <c r="DG242" s="1"/>
  <c r="AN250"/>
  <c r="DE250"/>
  <c r="DG250" s="1"/>
  <c r="AN258"/>
  <c r="DE258"/>
  <c r="DG258"/>
  <c r="AN266"/>
  <c r="DE266"/>
  <c r="DG266" s="1"/>
  <c r="AN274"/>
  <c r="DE274"/>
  <c r="DG274" s="1"/>
  <c r="AN282"/>
  <c r="DE282"/>
  <c r="DG282"/>
  <c r="AN290"/>
  <c r="DE290"/>
  <c r="DG290"/>
  <c r="AN298"/>
  <c r="DE298"/>
  <c r="DG298" s="1"/>
  <c r="AN306"/>
  <c r="DE306"/>
  <c r="DG306" s="1"/>
  <c r="CG6"/>
  <c r="DC6"/>
  <c r="CG8"/>
  <c r="DC8"/>
  <c r="DD8" s="1"/>
  <c r="CG10"/>
  <c r="DC10"/>
  <c r="CG12"/>
  <c r="DC12"/>
  <c r="DD12"/>
  <c r="CG14"/>
  <c r="DC14"/>
  <c r="CG16"/>
  <c r="DC16"/>
  <c r="CG18"/>
  <c r="DC18"/>
  <c r="CG20"/>
  <c r="DC20"/>
  <c r="CG22"/>
  <c r="DC22"/>
  <c r="CG24"/>
  <c r="DC24"/>
  <c r="DD24"/>
  <c r="CG26"/>
  <c r="DC26"/>
  <c r="CG28"/>
  <c r="DC28"/>
  <c r="DD28" s="1"/>
  <c r="CG30"/>
  <c r="DC30"/>
  <c r="CG32"/>
  <c r="DC32"/>
  <c r="DD32" s="1"/>
  <c r="CG34"/>
  <c r="DC34"/>
  <c r="CG36"/>
  <c r="DC36"/>
  <c r="CG38"/>
  <c r="DC38"/>
  <c r="CG40"/>
  <c r="DC40"/>
  <c r="DD40"/>
  <c r="CG42"/>
  <c r="DC42"/>
  <c r="CG44"/>
  <c r="DC44"/>
  <c r="DD44" s="1"/>
  <c r="CG47"/>
  <c r="DC47"/>
  <c r="BL53"/>
  <c r="CS53"/>
  <c r="CI56"/>
  <c r="DF56"/>
  <c r="DG56"/>
  <c r="BJ60"/>
  <c r="CP60"/>
  <c r="BJ64"/>
  <c r="CP64"/>
  <c r="BL69"/>
  <c r="CS69"/>
  <c r="BL234"/>
  <c r="CS234"/>
  <c r="BL223"/>
  <c r="CS223"/>
  <c r="CT223" s="1"/>
  <c r="BL218"/>
  <c r="CS218"/>
  <c r="BL207"/>
  <c r="CS207"/>
  <c r="CT207"/>
  <c r="BL202"/>
  <c r="CS202"/>
  <c r="BL191"/>
  <c r="CS191"/>
  <c r="CT191" s="1"/>
  <c r="BL185"/>
  <c r="CS185"/>
  <c r="BL180"/>
  <c r="CS180"/>
  <c r="CT180" s="1"/>
  <c r="BL176"/>
  <c r="CS176"/>
  <c r="CT176" s="1"/>
  <c r="BL172"/>
  <c r="CS172"/>
  <c r="BL168"/>
  <c r="CS168"/>
  <c r="CT168" s="1"/>
  <c r="BL164"/>
  <c r="CS164"/>
  <c r="CT164" s="1"/>
  <c r="BL160"/>
  <c r="CS160"/>
  <c r="CT160"/>
  <c r="BL156"/>
  <c r="CS156"/>
  <c r="BL152"/>
  <c r="CS152"/>
  <c r="CT152" s="1"/>
  <c r="BL148"/>
  <c r="CS148"/>
  <c r="CT148"/>
  <c r="BL144"/>
  <c r="CS144"/>
  <c r="BL140"/>
  <c r="CS140"/>
  <c r="CT140" s="1"/>
  <c r="BL136"/>
  <c r="CS136"/>
  <c r="CT136"/>
  <c r="BL132"/>
  <c r="CS132"/>
  <c r="CT132" s="1"/>
  <c r="BL128"/>
  <c r="CS128"/>
  <c r="CT128" s="1"/>
  <c r="BL124"/>
  <c r="CS124"/>
  <c r="BL120"/>
  <c r="CS120"/>
  <c r="CT120"/>
  <c r="BL116"/>
  <c r="CS116"/>
  <c r="CT116" s="1"/>
  <c r="BL112"/>
  <c r="CS112"/>
  <c r="BP106"/>
  <c r="CY106"/>
  <c r="BL101"/>
  <c r="CS101"/>
  <c r="BL94"/>
  <c r="CS94"/>
  <c r="BL87"/>
  <c r="CS87"/>
  <c r="CT87" s="1"/>
  <c r="BL81"/>
  <c r="CS81"/>
  <c r="BP74"/>
  <c r="CY74"/>
  <c r="BL304"/>
  <c r="CS304"/>
  <c r="CT304"/>
  <c r="BL293"/>
  <c r="CS293"/>
  <c r="BL288"/>
  <c r="CS288"/>
  <c r="CT288" s="1"/>
  <c r="BL277"/>
  <c r="CS277"/>
  <c r="BL272"/>
  <c r="CS272"/>
  <c r="CT272" s="1"/>
  <c r="BL261"/>
  <c r="CS261"/>
  <c r="BL256"/>
  <c r="CS256"/>
  <c r="BL245"/>
  <c r="CS245"/>
  <c r="BL240"/>
  <c r="CS240"/>
  <c r="CT240" s="1"/>
  <c r="BL229"/>
  <c r="CS229"/>
  <c r="BL224"/>
  <c r="CS224"/>
  <c r="CT224"/>
  <c r="BL213"/>
  <c r="CS213"/>
  <c r="BL208"/>
  <c r="CS208"/>
  <c r="CT208" s="1"/>
  <c r="BL197"/>
  <c r="CS197"/>
  <c r="BL192"/>
  <c r="CS192"/>
  <c r="CT192" s="1"/>
  <c r="BL108"/>
  <c r="CS108"/>
  <c r="BL76"/>
  <c r="CS76"/>
  <c r="CT76"/>
  <c r="BJ302"/>
  <c r="CP302"/>
  <c r="CQ302" s="1"/>
  <c r="BJ292"/>
  <c r="CP292"/>
  <c r="BJ279"/>
  <c r="CP279"/>
  <c r="BJ270"/>
  <c r="CP270"/>
  <c r="BJ260"/>
  <c r="CP260"/>
  <c r="BJ247"/>
  <c r="CP247"/>
  <c r="BJ238"/>
  <c r="CP238"/>
  <c r="BJ228"/>
  <c r="CP228"/>
  <c r="BJ215"/>
  <c r="CP215"/>
  <c r="BJ206"/>
  <c r="CP206"/>
  <c r="CQ206" s="1"/>
  <c r="BJ196"/>
  <c r="CP196"/>
  <c r="BJ184"/>
  <c r="CP184"/>
  <c r="BJ100"/>
  <c r="CP100"/>
  <c r="BN91"/>
  <c r="CV91"/>
  <c r="BJ80"/>
  <c r="CP80"/>
  <c r="BJ305"/>
  <c r="CP305"/>
  <c r="BJ299"/>
  <c r="CP299"/>
  <c r="BJ289"/>
  <c r="CP289"/>
  <c r="BJ283"/>
  <c r="CP283"/>
  <c r="BJ273"/>
  <c r="CP273"/>
  <c r="BJ267"/>
  <c r="CP267"/>
  <c r="BJ257"/>
  <c r="CP257"/>
  <c r="BJ251"/>
  <c r="CP251"/>
  <c r="BJ241"/>
  <c r="CP241"/>
  <c r="BJ235"/>
  <c r="CP235"/>
  <c r="BJ225"/>
  <c r="CP225"/>
  <c r="BJ219"/>
  <c r="CP219"/>
  <c r="BJ209"/>
  <c r="CP209"/>
  <c r="BJ203"/>
  <c r="CP203"/>
  <c r="BJ193"/>
  <c r="CP193"/>
  <c r="BJ183"/>
  <c r="CP183"/>
  <c r="BJ179"/>
  <c r="CP179"/>
  <c r="BJ175"/>
  <c r="CP175"/>
  <c r="BJ171"/>
  <c r="CP171"/>
  <c r="BJ167"/>
  <c r="CP167"/>
  <c r="BJ163"/>
  <c r="CP163"/>
  <c r="BJ159"/>
  <c r="CP159"/>
  <c r="BJ155"/>
  <c r="CP155"/>
  <c r="BJ151"/>
  <c r="CP151"/>
  <c r="BJ147"/>
  <c r="CP147"/>
  <c r="BJ143"/>
  <c r="CP143"/>
  <c r="BJ139"/>
  <c r="CP139"/>
  <c r="BJ135"/>
  <c r="CP135"/>
  <c r="BJ131"/>
  <c r="CP131"/>
  <c r="BJ127"/>
  <c r="CP127"/>
  <c r="BJ123"/>
  <c r="CP123"/>
  <c r="BJ119"/>
  <c r="CP119"/>
  <c r="BJ115"/>
  <c r="CP115"/>
  <c r="BJ111"/>
  <c r="CP111"/>
  <c r="BJ105"/>
  <c r="CP105"/>
  <c r="BJ95"/>
  <c r="CP95"/>
  <c r="BJ89"/>
  <c r="CP89"/>
  <c r="BJ79"/>
  <c r="CP79"/>
  <c r="BJ73"/>
  <c r="CP73"/>
  <c r="BJ63"/>
  <c r="CP63"/>
  <c r="BJ57"/>
  <c r="CP57"/>
  <c r="S16"/>
  <c r="CU16"/>
  <c r="S28"/>
  <c r="CU28"/>
  <c r="O4"/>
  <c r="CO4"/>
  <c r="CQ4" s="1"/>
  <c r="Q10"/>
  <c r="CR10"/>
  <c r="Q18"/>
  <c r="CR18"/>
  <c r="Q26"/>
  <c r="CR26"/>
  <c r="Q34"/>
  <c r="CR34"/>
  <c r="Q42"/>
  <c r="CR42"/>
  <c r="Q50"/>
  <c r="CR50"/>
  <c r="Q58"/>
  <c r="CR58"/>
  <c r="CT58"/>
  <c r="Q66"/>
  <c r="CR66"/>
  <c r="Q74"/>
  <c r="CR74"/>
  <c r="Q82"/>
  <c r="CR82"/>
  <c r="Q90"/>
  <c r="CR90"/>
  <c r="CT90" s="1"/>
  <c r="Q98"/>
  <c r="CR98"/>
  <c r="CT98"/>
  <c r="Q106"/>
  <c r="CR106"/>
  <c r="Q114"/>
  <c r="CR114"/>
  <c r="Q122"/>
  <c r="CR122"/>
  <c r="Q130"/>
  <c r="CR130"/>
  <c r="Q138"/>
  <c r="CR138"/>
  <c r="Q146"/>
  <c r="CR146"/>
  <c r="Q154"/>
  <c r="CR154"/>
  <c r="Q162"/>
  <c r="CR162"/>
  <c r="Q170"/>
  <c r="CR170"/>
  <c r="Q178"/>
  <c r="CR178"/>
  <c r="Q186"/>
  <c r="CR186"/>
  <c r="CT186" s="1"/>
  <c r="Q194"/>
  <c r="CR194"/>
  <c r="CT194" s="1"/>
  <c r="Q202"/>
  <c r="CR202"/>
  <c r="Q210"/>
  <c r="CR210"/>
  <c r="CT210" s="1"/>
  <c r="Q218"/>
  <c r="CR218"/>
  <c r="Q226"/>
  <c r="CR226"/>
  <c r="CT226"/>
  <c r="Q234"/>
  <c r="CR234"/>
  <c r="Q242"/>
  <c r="CR242"/>
  <c r="CT242" s="1"/>
  <c r="Q250"/>
  <c r="CR250"/>
  <c r="Q258"/>
  <c r="CR258"/>
  <c r="CT258" s="1"/>
  <c r="Q266"/>
  <c r="CR266"/>
  <c r="Q274"/>
  <c r="CR274"/>
  <c r="CT274" s="1"/>
  <c r="Q282"/>
  <c r="CR282"/>
  <c r="Q290"/>
  <c r="CR290"/>
  <c r="CT290"/>
  <c r="Q298"/>
  <c r="CR298"/>
  <c r="Q306"/>
  <c r="CR306"/>
  <c r="CT306" s="1"/>
  <c r="AP11"/>
  <c r="DH11"/>
  <c r="AP19"/>
  <c r="DH19"/>
  <c r="AP27"/>
  <c r="DH27"/>
  <c r="AP35"/>
  <c r="DH35"/>
  <c r="AP43"/>
  <c r="DH43"/>
  <c r="AP51"/>
  <c r="DH51"/>
  <c r="AP59"/>
  <c r="DH59"/>
  <c r="AP67"/>
  <c r="DH67"/>
  <c r="AP75"/>
  <c r="DH75"/>
  <c r="DJ75"/>
  <c r="AP83"/>
  <c r="DH83"/>
  <c r="AP91"/>
  <c r="DH91"/>
  <c r="AP99"/>
  <c r="DH99"/>
  <c r="AP107"/>
  <c r="DH107"/>
  <c r="DJ107" s="1"/>
  <c r="AP115"/>
  <c r="DH115"/>
  <c r="AP123"/>
  <c r="DH123"/>
  <c r="AP131"/>
  <c r="DH131"/>
  <c r="AP139"/>
  <c r="DH139"/>
  <c r="AP147"/>
  <c r="DH147"/>
  <c r="AP155"/>
  <c r="DH155"/>
  <c r="AP163"/>
  <c r="DH163"/>
  <c r="AP171"/>
  <c r="DH171"/>
  <c r="AP179"/>
  <c r="DH179"/>
  <c r="AP187"/>
  <c r="DH187"/>
  <c r="AP195"/>
  <c r="DH195"/>
  <c r="DJ195"/>
  <c r="AP203"/>
  <c r="DH203"/>
  <c r="DJ203" s="1"/>
  <c r="AL209"/>
  <c r="DB209"/>
  <c r="DD209" s="1"/>
  <c r="AR215"/>
  <c r="DK215"/>
  <c r="DM215" s="1"/>
  <c r="AP219"/>
  <c r="DH219"/>
  <c r="DJ219"/>
  <c r="AL225"/>
  <c r="DB225"/>
  <c r="DD225" s="1"/>
  <c r="AR231"/>
  <c r="DK231"/>
  <c r="DM231" s="1"/>
  <c r="AP235"/>
  <c r="DH235"/>
  <c r="DJ235" s="1"/>
  <c r="AL241"/>
  <c r="DB241"/>
  <c r="DD241"/>
  <c r="AR247"/>
  <c r="DK247"/>
  <c r="DM247" s="1"/>
  <c r="AP251"/>
  <c r="DH251"/>
  <c r="AL257"/>
  <c r="DB257"/>
  <c r="DD257"/>
  <c r="AR263"/>
  <c r="DK263"/>
  <c r="DM263" s="1"/>
  <c r="AP267"/>
  <c r="DH267"/>
  <c r="DJ267" s="1"/>
  <c r="AL273"/>
  <c r="DB273"/>
  <c r="DD273" s="1"/>
  <c r="AR279"/>
  <c r="DK279"/>
  <c r="DM279"/>
  <c r="AP283"/>
  <c r="DH283"/>
  <c r="DJ283" s="1"/>
  <c r="AL289"/>
  <c r="DB289"/>
  <c r="AR295"/>
  <c r="DK295"/>
  <c r="DM295" s="1"/>
  <c r="AP299"/>
  <c r="DH299"/>
  <c r="DJ299"/>
  <c r="AL305"/>
  <c r="DB305"/>
  <c r="DD305" s="1"/>
  <c r="BJ8"/>
  <c r="CP8"/>
  <c r="BJ12"/>
  <c r="CP12"/>
  <c r="BJ16"/>
  <c r="CP16"/>
  <c r="BJ20"/>
  <c r="CP20"/>
  <c r="BJ24"/>
  <c r="CP24"/>
  <c r="BJ28"/>
  <c r="CP28"/>
  <c r="BJ32"/>
  <c r="CP32"/>
  <c r="BJ36"/>
  <c r="CP36"/>
  <c r="BJ40"/>
  <c r="CP40"/>
  <c r="BJ44"/>
  <c r="CP44"/>
  <c r="BJ48"/>
  <c r="CP48"/>
  <c r="BJ52"/>
  <c r="CP52"/>
  <c r="BJ56"/>
  <c r="CP56"/>
  <c r="BL61"/>
  <c r="CS61"/>
  <c r="CI64"/>
  <c r="DF64"/>
  <c r="BJ68"/>
  <c r="CP68"/>
  <c r="BX148" i="10"/>
  <c r="CU148"/>
  <c r="BX73"/>
  <c r="CU73"/>
  <c r="BX23"/>
  <c r="CU23"/>
  <c r="BX204"/>
  <c r="CU204"/>
  <c r="BX156"/>
  <c r="CU156"/>
  <c r="BX93"/>
  <c r="CU93"/>
  <c r="BX45"/>
  <c r="CU45"/>
  <c r="BN21" i="15"/>
  <c r="CV21"/>
  <c r="BJ102"/>
  <c r="CP102"/>
  <c r="BJ298"/>
  <c r="CP298"/>
  <c r="CQ298" s="1"/>
  <c r="AN21"/>
  <c r="DE21"/>
  <c r="DG21"/>
  <c r="AN149"/>
  <c r="DE149"/>
  <c r="DG149"/>
  <c r="AN277"/>
  <c r="DE277"/>
  <c r="DG277" s="1"/>
  <c r="S34"/>
  <c r="CU34"/>
  <c r="CW34" s="1"/>
  <c r="U107"/>
  <c r="CX107"/>
  <c r="CZ107"/>
  <c r="U235"/>
  <c r="CX235"/>
  <c r="O122"/>
  <c r="CO122"/>
  <c r="CQ122" s="1"/>
  <c r="U84"/>
  <c r="CX84"/>
  <c r="U212"/>
  <c r="CX212"/>
  <c r="CZ212" s="1"/>
  <c r="BN29"/>
  <c r="CV29"/>
  <c r="AN101"/>
  <c r="DE101"/>
  <c r="DG101"/>
  <c r="AP220"/>
  <c r="DH220"/>
  <c r="DJ220" s="1"/>
  <c r="U36"/>
  <c r="CX36"/>
  <c r="CM276"/>
  <c r="DL276"/>
  <c r="Q37"/>
  <c r="CR37"/>
  <c r="CT37" s="1"/>
  <c r="CM108"/>
  <c r="DL108"/>
  <c r="DM108"/>
  <c r="CK97"/>
  <c r="DI97"/>
  <c r="CM292"/>
  <c r="DL292"/>
  <c r="AR100"/>
  <c r="DK100"/>
  <c r="DM100" s="1"/>
  <c r="AR228"/>
  <c r="DK228"/>
  <c r="AP276"/>
  <c r="DH276"/>
  <c r="DJ276"/>
  <c r="S170"/>
  <c r="CU170"/>
  <c r="CK100"/>
  <c r="DI100"/>
  <c r="DJ100" s="1"/>
  <c r="AP180"/>
  <c r="DH180"/>
  <c r="DJ180"/>
  <c r="U91"/>
  <c r="CX91"/>
  <c r="CZ91" s="1"/>
  <c r="U68"/>
  <c r="CX68"/>
  <c r="AR84"/>
  <c r="DK84"/>
  <c r="BP75"/>
  <c r="CY75"/>
  <c r="CK76"/>
  <c r="DI76"/>
  <c r="BP96"/>
  <c r="CY96"/>
  <c r="BJ290"/>
  <c r="CP290"/>
  <c r="CQ290"/>
  <c r="AN45"/>
  <c r="DE45"/>
  <c r="AN173"/>
  <c r="DE173"/>
  <c r="DG173" s="1"/>
  <c r="AN301"/>
  <c r="DE301"/>
  <c r="S106"/>
  <c r="CU106"/>
  <c r="U67"/>
  <c r="CX67"/>
  <c r="CZ67" s="1"/>
  <c r="U195"/>
  <c r="CX195"/>
  <c r="CZ195"/>
  <c r="S162"/>
  <c r="CU162"/>
  <c r="U44"/>
  <c r="CX44"/>
  <c r="U172"/>
  <c r="CX172"/>
  <c r="U300"/>
  <c r="CX300"/>
  <c r="AN261"/>
  <c r="DE261"/>
  <c r="DG261" s="1"/>
  <c r="O178"/>
  <c r="CO178"/>
  <c r="CQ178" s="1"/>
  <c r="CM65"/>
  <c r="DL65"/>
  <c r="DM65" s="1"/>
  <c r="Q5"/>
  <c r="CR5"/>
  <c r="CT5"/>
  <c r="BP13"/>
  <c r="CY13"/>
  <c r="CZ13"/>
  <c r="CM105"/>
  <c r="DL105"/>
  <c r="DM105" s="1"/>
  <c r="CG237"/>
  <c r="DC237"/>
  <c r="AR60"/>
  <c r="DK60"/>
  <c r="DM60" s="1"/>
  <c r="AR188"/>
  <c r="DK188"/>
  <c r="DM188" s="1"/>
  <c r="AP84"/>
  <c r="DH84"/>
  <c r="AP148"/>
  <c r="DH148"/>
  <c r="DJ148" s="1"/>
  <c r="O274"/>
  <c r="CO274"/>
  <c r="AN229"/>
  <c r="DE229"/>
  <c r="DG229" s="1"/>
  <c r="Q41"/>
  <c r="CR41"/>
  <c r="CT41"/>
  <c r="CG259"/>
  <c r="DC259"/>
  <c r="AR180"/>
  <c r="DK180"/>
  <c r="DM180" s="1"/>
  <c r="DD196"/>
  <c r="DD212"/>
  <c r="DD236"/>
  <c r="DD268"/>
  <c r="DD300"/>
  <c r="CT95"/>
  <c r="CQ78"/>
  <c r="DG48"/>
  <c r="DG164"/>
  <c r="DG168"/>
  <c r="DD240"/>
  <c r="DG104"/>
  <c r="DD48"/>
  <c r="DM225"/>
  <c r="DM289"/>
  <c r="BN7"/>
  <c r="CV7"/>
  <c r="CG285"/>
  <c r="DC285"/>
  <c r="AN65"/>
  <c r="DE65"/>
  <c r="DG65" s="1"/>
  <c r="AN169"/>
  <c r="DE169"/>
  <c r="DG169" s="1"/>
  <c r="U40"/>
  <c r="CX40"/>
  <c r="U144"/>
  <c r="CX144"/>
  <c r="U248"/>
  <c r="CX248"/>
  <c r="CZ248" s="1"/>
  <c r="BN9"/>
  <c r="CV9"/>
  <c r="CG189"/>
  <c r="DC189"/>
  <c r="AN49"/>
  <c r="DE49"/>
  <c r="DG49"/>
  <c r="AN153"/>
  <c r="DE153"/>
  <c r="DG153" s="1"/>
  <c r="DM48"/>
  <c r="DM104"/>
  <c r="DM152"/>
  <c r="DM256"/>
  <c r="DM304"/>
  <c r="DJ80"/>
  <c r="DJ152"/>
  <c r="DJ224"/>
  <c r="DJ112"/>
  <c r="DJ204"/>
  <c r="CZ103"/>
  <c r="CZ151"/>
  <c r="U24"/>
  <c r="CX24"/>
  <c r="U124"/>
  <c r="CX124"/>
  <c r="U224"/>
  <c r="CX224"/>
  <c r="CT300"/>
  <c r="DM61"/>
  <c r="DM253"/>
  <c r="DM113"/>
  <c r="CZ41"/>
  <c r="CT29"/>
  <c r="CT28"/>
  <c r="CT44"/>
  <c r="DM53"/>
  <c r="DM109"/>
  <c r="DM125"/>
  <c r="DM173"/>
  <c r="DM205"/>
  <c r="DM237"/>
  <c r="DM277"/>
  <c r="CT88"/>
  <c r="CT23"/>
  <c r="CT32"/>
  <c r="DM209"/>
  <c r="CW226"/>
  <c r="CW258"/>
  <c r="CW274"/>
  <c r="DM68"/>
  <c r="BN41"/>
  <c r="CV41"/>
  <c r="AN33"/>
  <c r="DE33"/>
  <c r="AN137"/>
  <c r="DE137"/>
  <c r="DG137" s="1"/>
  <c r="U8"/>
  <c r="CX8"/>
  <c r="U112"/>
  <c r="CX112"/>
  <c r="U216"/>
  <c r="CX216"/>
  <c r="CZ216"/>
  <c r="AR126"/>
  <c r="DK126"/>
  <c r="DM126" s="1"/>
  <c r="AR134"/>
  <c r="DK134"/>
  <c r="DM134" s="1"/>
  <c r="AR142"/>
  <c r="DK142"/>
  <c r="DM142" s="1"/>
  <c r="AR150"/>
  <c r="DK150"/>
  <c r="DM150"/>
  <c r="AR158"/>
  <c r="DK158"/>
  <c r="DM158" s="1"/>
  <c r="AR166"/>
  <c r="DK166"/>
  <c r="DM166" s="1"/>
  <c r="AR174"/>
  <c r="DK174"/>
  <c r="DM174" s="1"/>
  <c r="AR182"/>
  <c r="DK182"/>
  <c r="AR190"/>
  <c r="DK190"/>
  <c r="DM190" s="1"/>
  <c r="AR198"/>
  <c r="DK198"/>
  <c r="DM198" s="1"/>
  <c r="AR206"/>
  <c r="DK206"/>
  <c r="DM206"/>
  <c r="AR214"/>
  <c r="DK214"/>
  <c r="DM214" s="1"/>
  <c r="AR222"/>
  <c r="DK222"/>
  <c r="DM222" s="1"/>
  <c r="AR230"/>
  <c r="DK230"/>
  <c r="DM230" s="1"/>
  <c r="AR238"/>
  <c r="DK238"/>
  <c r="DM238"/>
  <c r="AR246"/>
  <c r="DK246"/>
  <c r="DM246" s="1"/>
  <c r="AR254"/>
  <c r="DK254"/>
  <c r="DM254" s="1"/>
  <c r="AR262"/>
  <c r="DK262"/>
  <c r="DM262" s="1"/>
  <c r="AR270"/>
  <c r="DK270"/>
  <c r="DM270"/>
  <c r="AR278"/>
  <c r="DK278"/>
  <c r="DM278" s="1"/>
  <c r="AR286"/>
  <c r="DK286"/>
  <c r="DM286" s="1"/>
  <c r="AR294"/>
  <c r="DK294"/>
  <c r="DM294" s="1"/>
  <c r="AR302"/>
  <c r="DK302"/>
  <c r="DM302"/>
  <c r="CM5"/>
  <c r="DL5"/>
  <c r="DM5"/>
  <c r="CM7"/>
  <c r="DL7"/>
  <c r="CM9"/>
  <c r="DL9"/>
  <c r="DM9"/>
  <c r="CM11"/>
  <c r="DL11"/>
  <c r="CM13"/>
  <c r="DL13"/>
  <c r="CM15"/>
  <c r="DL15"/>
  <c r="CM17"/>
  <c r="DL17"/>
  <c r="DM17" s="1"/>
  <c r="CM19"/>
  <c r="DL19"/>
  <c r="CM21"/>
  <c r="DL21"/>
  <c r="DM21" s="1"/>
  <c r="CM23"/>
  <c r="DL23"/>
  <c r="CM25"/>
  <c r="DL25"/>
  <c r="DM25" s="1"/>
  <c r="CM27"/>
  <c r="DL27"/>
  <c r="CM29"/>
  <c r="DL29"/>
  <c r="DM29"/>
  <c r="CM31"/>
  <c r="DL31"/>
  <c r="CM33"/>
  <c r="DL33"/>
  <c r="DM33"/>
  <c r="CM35"/>
  <c r="DL35"/>
  <c r="CM37"/>
  <c r="DL37"/>
  <c r="CM39"/>
  <c r="DL39"/>
  <c r="CM41"/>
  <c r="DL41"/>
  <c r="DM41" s="1"/>
  <c r="CM43"/>
  <c r="DL43"/>
  <c r="CM45"/>
  <c r="DL45"/>
  <c r="DM45"/>
  <c r="CM54"/>
  <c r="DL54"/>
  <c r="CG58"/>
  <c r="DC58"/>
  <c r="BL63"/>
  <c r="CS63"/>
  <c r="CT63" s="1"/>
  <c r="CM70"/>
  <c r="DL70"/>
  <c r="CG286"/>
  <c r="DC286"/>
  <c r="CG254"/>
  <c r="DC254"/>
  <c r="CG222"/>
  <c r="DC222"/>
  <c r="CG190"/>
  <c r="DC190"/>
  <c r="CG109"/>
  <c r="DC109"/>
  <c r="CG99"/>
  <c r="DC99"/>
  <c r="CK90"/>
  <c r="DI90"/>
  <c r="CG77"/>
  <c r="DC77"/>
  <c r="CK294"/>
  <c r="DI294"/>
  <c r="CK262"/>
  <c r="DI262"/>
  <c r="CK230"/>
  <c r="DI230"/>
  <c r="CK198"/>
  <c r="DI198"/>
  <c r="CK182"/>
  <c r="DI182"/>
  <c r="CK178"/>
  <c r="DI178"/>
  <c r="CK174"/>
  <c r="DI174"/>
  <c r="CK170"/>
  <c r="DI170"/>
  <c r="CK166"/>
  <c r="DI166"/>
  <c r="CK162"/>
  <c r="DI162"/>
  <c r="CK158"/>
  <c r="DI158"/>
  <c r="CK154"/>
  <c r="DI154"/>
  <c r="CK150"/>
  <c r="DI150"/>
  <c r="CK146"/>
  <c r="DI146"/>
  <c r="CK142"/>
  <c r="DI142"/>
  <c r="CK138"/>
  <c r="DI138"/>
  <c r="CK134"/>
  <c r="DI134"/>
  <c r="CK130"/>
  <c r="DI130"/>
  <c r="CK126"/>
  <c r="DI126"/>
  <c r="CK122"/>
  <c r="DI122"/>
  <c r="CK118"/>
  <c r="DI118"/>
  <c r="CK114"/>
  <c r="DI114"/>
  <c r="CK110"/>
  <c r="DI110"/>
  <c r="CK96"/>
  <c r="DI96"/>
  <c r="CG87"/>
  <c r="DC87"/>
  <c r="CK78"/>
  <c r="DI78"/>
  <c r="CK64"/>
  <c r="DI64"/>
  <c r="CG55"/>
  <c r="DC55"/>
  <c r="BP300"/>
  <c r="CY300"/>
  <c r="BP294"/>
  <c r="CY294"/>
  <c r="BP284"/>
  <c r="CY284"/>
  <c r="BP278"/>
  <c r="CY278"/>
  <c r="BP268"/>
  <c r="CY268"/>
  <c r="BP262"/>
  <c r="CY262"/>
  <c r="BP252"/>
  <c r="CY252"/>
  <c r="BP246"/>
  <c r="CY246"/>
  <c r="CG119"/>
  <c r="DC119"/>
  <c r="CG115"/>
  <c r="DC115"/>
  <c r="CG111"/>
  <c r="DC111"/>
  <c r="CK102"/>
  <c r="DI102"/>
  <c r="CK88"/>
  <c r="DI88"/>
  <c r="CG79"/>
  <c r="DC79"/>
  <c r="CK70"/>
  <c r="DI70"/>
  <c r="CK56"/>
  <c r="DI56"/>
  <c r="BP305"/>
  <c r="CY305"/>
  <c r="BP299"/>
  <c r="CY299"/>
  <c r="BP289"/>
  <c r="CY289"/>
  <c r="BP283"/>
  <c r="CY283"/>
  <c r="BP273"/>
  <c r="CY273"/>
  <c r="BP267"/>
  <c r="CY267"/>
  <c r="BP257"/>
  <c r="CY257"/>
  <c r="BP251"/>
  <c r="CY251"/>
  <c r="BP241"/>
  <c r="CY241"/>
  <c r="BP235"/>
  <c r="CY235"/>
  <c r="BP225"/>
  <c r="CY225"/>
  <c r="BP219"/>
  <c r="CY219"/>
  <c r="BP209"/>
  <c r="CY209"/>
  <c r="BP203"/>
  <c r="CY203"/>
  <c r="BP193"/>
  <c r="CY193"/>
  <c r="BP186"/>
  <c r="CY186"/>
  <c r="BP181"/>
  <c r="CY181"/>
  <c r="BP177"/>
  <c r="CY177"/>
  <c r="BP173"/>
  <c r="CY173"/>
  <c r="BP169"/>
  <c r="CY169"/>
  <c r="BP165"/>
  <c r="CY165"/>
  <c r="BP161"/>
  <c r="CY161"/>
  <c r="BP157"/>
  <c r="CY157"/>
  <c r="BP153"/>
  <c r="CY153"/>
  <c r="BP149"/>
  <c r="CY149"/>
  <c r="BP145"/>
  <c r="CY145"/>
  <c r="BP141"/>
  <c r="CY141"/>
  <c r="BP137"/>
  <c r="CY137"/>
  <c r="BP133"/>
  <c r="CY133"/>
  <c r="BP129"/>
  <c r="CY129"/>
  <c r="BP125"/>
  <c r="CY125"/>
  <c r="BP121"/>
  <c r="CY121"/>
  <c r="BP117"/>
  <c r="CY117"/>
  <c r="BP113"/>
  <c r="CY113"/>
  <c r="BP109"/>
  <c r="CY109"/>
  <c r="BP102"/>
  <c r="CY102"/>
  <c r="BP95"/>
  <c r="CY95"/>
  <c r="CZ95" s="1"/>
  <c r="BP89"/>
  <c r="CY89"/>
  <c r="BL82"/>
  <c r="CS82"/>
  <c r="BP77"/>
  <c r="CY77"/>
  <c r="BP306"/>
  <c r="CY306"/>
  <c r="BP295"/>
  <c r="CY295"/>
  <c r="BP290"/>
  <c r="CY290"/>
  <c r="BP279"/>
  <c r="CY279"/>
  <c r="BP274"/>
  <c r="CY274"/>
  <c r="BP263"/>
  <c r="CY263"/>
  <c r="BP258"/>
  <c r="CY258"/>
  <c r="BP247"/>
  <c r="CY247"/>
  <c r="CZ247" s="1"/>
  <c r="BP242"/>
  <c r="CY242"/>
  <c r="BP231"/>
  <c r="CY231"/>
  <c r="BP226"/>
  <c r="CY226"/>
  <c r="BP215"/>
  <c r="CY215"/>
  <c r="BP210"/>
  <c r="CY210"/>
  <c r="BP199"/>
  <c r="CY199"/>
  <c r="CZ199" s="1"/>
  <c r="BP194"/>
  <c r="CY194"/>
  <c r="BP184"/>
  <c r="CY184"/>
  <c r="BP84"/>
  <c r="CY84"/>
  <c r="BL52"/>
  <c r="CS52"/>
  <c r="CT52"/>
  <c r="BP48"/>
  <c r="CY48"/>
  <c r="BN304"/>
  <c r="CV304"/>
  <c r="BN293"/>
  <c r="CV293"/>
  <c r="BN288"/>
  <c r="CV288"/>
  <c r="BN277"/>
  <c r="CV277"/>
  <c r="BN272"/>
  <c r="CV272"/>
  <c r="BN261"/>
  <c r="CV261"/>
  <c r="BN256"/>
  <c r="CV256"/>
  <c r="BN245"/>
  <c r="CV245"/>
  <c r="BN240"/>
  <c r="CV240"/>
  <c r="BN229"/>
  <c r="CV229"/>
  <c r="BN224"/>
  <c r="CV224"/>
  <c r="BN213"/>
  <c r="CV213"/>
  <c r="BN208"/>
  <c r="CV208"/>
  <c r="BN197"/>
  <c r="CV197"/>
  <c r="BN192"/>
  <c r="CV192"/>
  <c r="BN108"/>
  <c r="CV108"/>
  <c r="BJ99"/>
  <c r="CP99"/>
  <c r="BN88"/>
  <c r="CV88"/>
  <c r="BN76"/>
  <c r="CV76"/>
  <c r="BN303"/>
  <c r="CV303"/>
  <c r="BN294"/>
  <c r="CV294"/>
  <c r="BN284"/>
  <c r="CV284"/>
  <c r="BN271"/>
  <c r="CV271"/>
  <c r="BN262"/>
  <c r="CV262"/>
  <c r="BN252"/>
  <c r="CV252"/>
  <c r="BN239"/>
  <c r="CV239"/>
  <c r="BN230"/>
  <c r="CV230"/>
  <c r="BN220"/>
  <c r="CV220"/>
  <c r="BN207"/>
  <c r="CV207"/>
  <c r="BN198"/>
  <c r="CV198"/>
  <c r="BN187"/>
  <c r="CV187"/>
  <c r="BN182"/>
  <c r="CV182"/>
  <c r="BN178"/>
  <c r="CV178"/>
  <c r="CW178" s="1"/>
  <c r="BN174"/>
  <c r="CV174"/>
  <c r="BN170"/>
  <c r="CV170"/>
  <c r="BN166"/>
  <c r="CV166"/>
  <c r="BN162"/>
  <c r="CV162"/>
  <c r="BN158"/>
  <c r="CV158"/>
  <c r="CW158"/>
  <c r="BN154"/>
  <c r="CV154"/>
  <c r="BN150"/>
  <c r="CV150"/>
  <c r="CW150"/>
  <c r="BN146"/>
  <c r="CV146"/>
  <c r="CW146" s="1"/>
  <c r="BN142"/>
  <c r="CV142"/>
  <c r="CW142" s="1"/>
  <c r="BN138"/>
  <c r="CV138"/>
  <c r="BN134"/>
  <c r="CV134"/>
  <c r="BN130"/>
  <c r="CV130"/>
  <c r="CW130" s="1"/>
  <c r="BN126"/>
  <c r="CV126"/>
  <c r="BN122"/>
  <c r="CV122"/>
  <c r="CW122" s="1"/>
  <c r="BN118"/>
  <c r="CV118"/>
  <c r="CW118"/>
  <c r="BN114"/>
  <c r="CV114"/>
  <c r="BN106"/>
  <c r="CV106"/>
  <c r="BN101"/>
  <c r="CV101"/>
  <c r="BN90"/>
  <c r="CV90"/>
  <c r="CW90" s="1"/>
  <c r="BN85"/>
  <c r="CV85"/>
  <c r="BN74"/>
  <c r="CV74"/>
  <c r="BN69"/>
  <c r="CV69"/>
  <c r="BN58"/>
  <c r="CV58"/>
  <c r="CW58" s="1"/>
  <c r="BN53"/>
  <c r="CV53"/>
  <c r="S11"/>
  <c r="CU11"/>
  <c r="CW11" s="1"/>
  <c r="S27"/>
  <c r="CU27"/>
  <c r="CW27" s="1"/>
  <c r="S39"/>
  <c r="CU39"/>
  <c r="S5"/>
  <c r="CU5"/>
  <c r="CW5"/>
  <c r="S13"/>
  <c r="CU13"/>
  <c r="S21"/>
  <c r="CU21"/>
  <c r="CW21" s="1"/>
  <c r="S29"/>
  <c r="CU29"/>
  <c r="S37"/>
  <c r="CU37"/>
  <c r="S45"/>
  <c r="CU45"/>
  <c r="CW45"/>
  <c r="S53"/>
  <c r="CU53"/>
  <c r="CW53" s="1"/>
  <c r="S61"/>
  <c r="CU61"/>
  <c r="S69"/>
  <c r="CU69"/>
  <c r="CW69"/>
  <c r="S77"/>
  <c r="CU77"/>
  <c r="S85"/>
  <c r="CU85"/>
  <c r="CW85" s="1"/>
  <c r="S93"/>
  <c r="CU93"/>
  <c r="S101"/>
  <c r="CU101"/>
  <c r="CW101" s="1"/>
  <c r="S109"/>
  <c r="CU109"/>
  <c r="S117"/>
  <c r="CU117"/>
  <c r="CW117" s="1"/>
  <c r="S125"/>
  <c r="CU125"/>
  <c r="S133"/>
  <c r="CU133"/>
  <c r="CW133"/>
  <c r="S141"/>
  <c r="CU141"/>
  <c r="S149"/>
  <c r="CU149"/>
  <c r="CW149" s="1"/>
  <c r="S157"/>
  <c r="CU157"/>
  <c r="S165"/>
  <c r="CU165"/>
  <c r="CW165" s="1"/>
  <c r="S173"/>
  <c r="CU173"/>
  <c r="S181"/>
  <c r="CU181"/>
  <c r="CW181"/>
  <c r="S189"/>
  <c r="CU189"/>
  <c r="CW189" s="1"/>
  <c r="S197"/>
  <c r="CU197"/>
  <c r="S205"/>
  <c r="CU205"/>
  <c r="CW205"/>
  <c r="S213"/>
  <c r="CU213"/>
  <c r="S221"/>
  <c r="CU221"/>
  <c r="CW221"/>
  <c r="S229"/>
  <c r="CU229"/>
  <c r="S237"/>
  <c r="CU237"/>
  <c r="CW237" s="1"/>
  <c r="S245"/>
  <c r="CU245"/>
  <c r="S253"/>
  <c r="CU253"/>
  <c r="CW253" s="1"/>
  <c r="S261"/>
  <c r="CU261"/>
  <c r="S269"/>
  <c r="CU269"/>
  <c r="CW269"/>
  <c r="S277"/>
  <c r="CU277"/>
  <c r="S285"/>
  <c r="CU285"/>
  <c r="CW285"/>
  <c r="S293"/>
  <c r="CU293"/>
  <c r="S301"/>
  <c r="CU301"/>
  <c r="CW301" s="1"/>
  <c r="AR4"/>
  <c r="DK4"/>
  <c r="AP10"/>
  <c r="DH10"/>
  <c r="AP18"/>
  <c r="DH18"/>
  <c r="AP26"/>
  <c r="DH26"/>
  <c r="AP34"/>
  <c r="DH34"/>
  <c r="AP42"/>
  <c r="DH42"/>
  <c r="AP50"/>
  <c r="DH50"/>
  <c r="DJ50" s="1"/>
  <c r="AP58"/>
  <c r="DH58"/>
  <c r="AP66"/>
  <c r="DH66"/>
  <c r="DJ66" s="1"/>
  <c r="AP74"/>
  <c r="DH74"/>
  <c r="DJ74" s="1"/>
  <c r="AP82"/>
  <c r="DH82"/>
  <c r="DJ82"/>
  <c r="AP90"/>
  <c r="DH90"/>
  <c r="DJ90" s="1"/>
  <c r="AP98"/>
  <c r="DH98"/>
  <c r="DJ98" s="1"/>
  <c r="AP106"/>
  <c r="DH106"/>
  <c r="DJ106"/>
  <c r="AP114"/>
  <c r="DH114"/>
  <c r="DJ114"/>
  <c r="AP122"/>
  <c r="DH122"/>
  <c r="AP130"/>
  <c r="DH130"/>
  <c r="DJ130" s="1"/>
  <c r="AP138"/>
  <c r="DH138"/>
  <c r="AP146"/>
  <c r="DH146"/>
  <c r="DJ146" s="1"/>
  <c r="AP154"/>
  <c r="DH154"/>
  <c r="AP162"/>
  <c r="DH162"/>
  <c r="DJ162" s="1"/>
  <c r="AP170"/>
  <c r="DH170"/>
  <c r="AP178"/>
  <c r="DH178"/>
  <c r="DJ178"/>
  <c r="AP186"/>
  <c r="DH186"/>
  <c r="AP194"/>
  <c r="DH194"/>
  <c r="DJ194" s="1"/>
  <c r="AP202"/>
  <c r="DH202"/>
  <c r="DJ202"/>
  <c r="AR210"/>
  <c r="DK210"/>
  <c r="DM210" s="1"/>
  <c r="AR218"/>
  <c r="DK218"/>
  <c r="DM218" s="1"/>
  <c r="AR226"/>
  <c r="DK226"/>
  <c r="DM226" s="1"/>
  <c r="AR234"/>
  <c r="DK234"/>
  <c r="DM234"/>
  <c r="AR242"/>
  <c r="DK242"/>
  <c r="DM242" s="1"/>
  <c r="AR250"/>
  <c r="DK250"/>
  <c r="DM250" s="1"/>
  <c r="AR258"/>
  <c r="DK258"/>
  <c r="DM258" s="1"/>
  <c r="AR266"/>
  <c r="DK266"/>
  <c r="DM266"/>
  <c r="AR274"/>
  <c r="DK274"/>
  <c r="DM274" s="1"/>
  <c r="AR282"/>
  <c r="DK282"/>
  <c r="DM282" s="1"/>
  <c r="AR290"/>
  <c r="DK290"/>
  <c r="DM290" s="1"/>
  <c r="AR298"/>
  <c r="DK298"/>
  <c r="DM298"/>
  <c r="AR306"/>
  <c r="DK306"/>
  <c r="DM306" s="1"/>
  <c r="CK6"/>
  <c r="DI6"/>
  <c r="CK8"/>
  <c r="DI8"/>
  <c r="CK10"/>
  <c r="DI10"/>
  <c r="CK12"/>
  <c r="DI12"/>
  <c r="CK14"/>
  <c r="DI14"/>
  <c r="CK16"/>
  <c r="DI16"/>
  <c r="DJ16" s="1"/>
  <c r="CK18"/>
  <c r="DI18"/>
  <c r="CK20"/>
  <c r="DI20"/>
  <c r="CK22"/>
  <c r="DI22"/>
  <c r="CK24"/>
  <c r="DI24"/>
  <c r="CK26"/>
  <c r="DI26"/>
  <c r="CK28"/>
  <c r="DI28"/>
  <c r="CK30"/>
  <c r="DI30"/>
  <c r="CK32"/>
  <c r="DI32"/>
  <c r="CK34"/>
  <c r="DI34"/>
  <c r="CK36"/>
  <c r="DI36"/>
  <c r="CK38"/>
  <c r="DI38"/>
  <c r="CK40"/>
  <c r="DI40"/>
  <c r="CK42"/>
  <c r="DI42"/>
  <c r="CK44"/>
  <c r="DI44"/>
  <c r="DJ44"/>
  <c r="CK47"/>
  <c r="DI47"/>
  <c r="BP53"/>
  <c r="CY53"/>
  <c r="CM56"/>
  <c r="DL56"/>
  <c r="BN60"/>
  <c r="CV60"/>
  <c r="BN64"/>
  <c r="CV64"/>
  <c r="BP69"/>
  <c r="CY69"/>
  <c r="BP234"/>
  <c r="CY234"/>
  <c r="BP223"/>
  <c r="CY223"/>
  <c r="CZ223" s="1"/>
  <c r="BP218"/>
  <c r="CY218"/>
  <c r="BP207"/>
  <c r="CY207"/>
  <c r="BP202"/>
  <c r="CY202"/>
  <c r="BP191"/>
  <c r="CY191"/>
  <c r="BP185"/>
  <c r="CY185"/>
  <c r="BP180"/>
  <c r="CY180"/>
  <c r="BP176"/>
  <c r="CY176"/>
  <c r="BP172"/>
  <c r="CY172"/>
  <c r="BP168"/>
  <c r="CY168"/>
  <c r="BP164"/>
  <c r="CY164"/>
  <c r="BP160"/>
  <c r="CY160"/>
  <c r="BP156"/>
  <c r="CY156"/>
  <c r="BP152"/>
  <c r="CY152"/>
  <c r="BP148"/>
  <c r="CY148"/>
  <c r="BP144"/>
  <c r="CY144"/>
  <c r="BP140"/>
  <c r="CY140"/>
  <c r="BP136"/>
  <c r="CY136"/>
  <c r="BP132"/>
  <c r="CY132"/>
  <c r="BP128"/>
  <c r="CY128"/>
  <c r="BP124"/>
  <c r="CY124"/>
  <c r="BP120"/>
  <c r="CY120"/>
  <c r="BP116"/>
  <c r="CY116"/>
  <c r="BP112"/>
  <c r="CY112"/>
  <c r="BL106"/>
  <c r="CS106"/>
  <c r="BP101"/>
  <c r="CY101"/>
  <c r="BP94"/>
  <c r="CY94"/>
  <c r="BP87"/>
  <c r="CY87"/>
  <c r="BP81"/>
  <c r="CY81"/>
  <c r="BL74"/>
  <c r="CS74"/>
  <c r="BP304"/>
  <c r="CY304"/>
  <c r="BP293"/>
  <c r="CY293"/>
  <c r="BP288"/>
  <c r="CY288"/>
  <c r="BP277"/>
  <c r="CY277"/>
  <c r="BP272"/>
  <c r="CY272"/>
  <c r="BP261"/>
  <c r="CY261"/>
  <c r="BP256"/>
  <c r="CY256"/>
  <c r="BP245"/>
  <c r="CY245"/>
  <c r="BP240"/>
  <c r="CY240"/>
  <c r="BP229"/>
  <c r="CY229"/>
  <c r="BP224"/>
  <c r="CY224"/>
  <c r="BP213"/>
  <c r="CY213"/>
  <c r="BP208"/>
  <c r="CY208"/>
  <c r="CZ208" s="1"/>
  <c r="BP197"/>
  <c r="CY197"/>
  <c r="BP192"/>
  <c r="CY192"/>
  <c r="BP108"/>
  <c r="CY108"/>
  <c r="BP76"/>
  <c r="CY76"/>
  <c r="BN302"/>
  <c r="CV302"/>
  <c r="BN292"/>
  <c r="CV292"/>
  <c r="BN279"/>
  <c r="CV279"/>
  <c r="BN270"/>
  <c r="CV270"/>
  <c r="CW270" s="1"/>
  <c r="BN260"/>
  <c r="CV260"/>
  <c r="BN247"/>
  <c r="CV247"/>
  <c r="BN238"/>
  <c r="CV238"/>
  <c r="CW238" s="1"/>
  <c r="BN228"/>
  <c r="CV228"/>
  <c r="BN215"/>
  <c r="CV215"/>
  <c r="BN206"/>
  <c r="CV206"/>
  <c r="BN196"/>
  <c r="CV196"/>
  <c r="BN184"/>
  <c r="CV184"/>
  <c r="BN100"/>
  <c r="CV100"/>
  <c r="BJ91"/>
  <c r="CP91"/>
  <c r="BN80"/>
  <c r="CV80"/>
  <c r="BN305"/>
  <c r="CV305"/>
  <c r="BN299"/>
  <c r="CV299"/>
  <c r="BN289"/>
  <c r="CV289"/>
  <c r="BN283"/>
  <c r="CV283"/>
  <c r="BN273"/>
  <c r="CV273"/>
  <c r="BN267"/>
  <c r="CV267"/>
  <c r="BN257"/>
  <c r="CV257"/>
  <c r="BN251"/>
  <c r="CV251"/>
  <c r="BN241"/>
  <c r="CV241"/>
  <c r="BN235"/>
  <c r="CV235"/>
  <c r="BN225"/>
  <c r="CV225"/>
  <c r="BN219"/>
  <c r="CV219"/>
  <c r="BN209"/>
  <c r="CV209"/>
  <c r="BN203"/>
  <c r="CV203"/>
  <c r="BN193"/>
  <c r="CV193"/>
  <c r="BN183"/>
  <c r="CV183"/>
  <c r="BN179"/>
  <c r="CV179"/>
  <c r="BN175"/>
  <c r="CV175"/>
  <c r="BN171"/>
  <c r="CV171"/>
  <c r="BN167"/>
  <c r="CV167"/>
  <c r="BN163"/>
  <c r="CV163"/>
  <c r="BN159"/>
  <c r="CV159"/>
  <c r="BN155"/>
  <c r="CV155"/>
  <c r="BN151"/>
  <c r="CV151"/>
  <c r="BN147"/>
  <c r="CV147"/>
  <c r="BN143"/>
  <c r="CV143"/>
  <c r="BN139"/>
  <c r="CV139"/>
  <c r="BN135"/>
  <c r="CV135"/>
  <c r="BN131"/>
  <c r="CV131"/>
  <c r="BN127"/>
  <c r="CV127"/>
  <c r="BN123"/>
  <c r="CV123"/>
  <c r="BN119"/>
  <c r="CV119"/>
  <c r="BN115"/>
  <c r="CV115"/>
  <c r="BN111"/>
  <c r="CV111"/>
  <c r="BN105"/>
  <c r="CV105"/>
  <c r="BN95"/>
  <c r="CV95"/>
  <c r="BN89"/>
  <c r="CV89"/>
  <c r="BN79"/>
  <c r="CV79"/>
  <c r="BN73"/>
  <c r="CV73"/>
  <c r="BN63"/>
  <c r="CV63"/>
  <c r="BN57"/>
  <c r="CV57"/>
  <c r="O16"/>
  <c r="CO16"/>
  <c r="O28"/>
  <c r="CO28"/>
  <c r="CQ28" s="1"/>
  <c r="S4"/>
  <c r="CU4"/>
  <c r="CW4" s="1"/>
  <c r="U10"/>
  <c r="CX10"/>
  <c r="CZ10"/>
  <c r="U18"/>
  <c r="CX18"/>
  <c r="CZ18" s="1"/>
  <c r="U26"/>
  <c r="CX26"/>
  <c r="CZ26" s="1"/>
  <c r="U34"/>
  <c r="CX34"/>
  <c r="CZ34" s="1"/>
  <c r="U42"/>
  <c r="CX42"/>
  <c r="CZ42"/>
  <c r="U50"/>
  <c r="CX50"/>
  <c r="CZ50" s="1"/>
  <c r="U58"/>
  <c r="CX58"/>
  <c r="CZ58" s="1"/>
  <c r="U66"/>
  <c r="CX66"/>
  <c r="CZ66" s="1"/>
  <c r="U74"/>
  <c r="CX74"/>
  <c r="CZ74"/>
  <c r="U82"/>
  <c r="CX82"/>
  <c r="CZ82"/>
  <c r="U90"/>
  <c r="CX90"/>
  <c r="U98"/>
  <c r="CX98"/>
  <c r="U106"/>
  <c r="CX106"/>
  <c r="U114"/>
  <c r="CX114"/>
  <c r="CZ114"/>
  <c r="U122"/>
  <c r="CX122"/>
  <c r="CZ122" s="1"/>
  <c r="U130"/>
  <c r="CX130"/>
  <c r="CZ130" s="1"/>
  <c r="U138"/>
  <c r="CX138"/>
  <c r="CZ138" s="1"/>
  <c r="U146"/>
  <c r="CX146"/>
  <c r="CZ146"/>
  <c r="U154"/>
  <c r="CX154"/>
  <c r="CZ154"/>
  <c r="U162"/>
  <c r="CX162"/>
  <c r="CZ162" s="1"/>
  <c r="U170"/>
  <c r="CX170"/>
  <c r="CZ170"/>
  <c r="U178"/>
  <c r="CX178"/>
  <c r="CZ178"/>
  <c r="U186"/>
  <c r="CX186"/>
  <c r="CZ186"/>
  <c r="U194"/>
  <c r="CX194"/>
  <c r="CZ194" s="1"/>
  <c r="U202"/>
  <c r="CX202"/>
  <c r="U210"/>
  <c r="CX210"/>
  <c r="CZ210"/>
  <c r="U218"/>
  <c r="CX218"/>
  <c r="U226"/>
  <c r="CX226"/>
  <c r="CZ226"/>
  <c r="U234"/>
  <c r="CX234"/>
  <c r="U242"/>
  <c r="CX242"/>
  <c r="CZ242" s="1"/>
  <c r="U250"/>
  <c r="CX250"/>
  <c r="CZ250"/>
  <c r="U258"/>
  <c r="CX258"/>
  <c r="CZ258" s="1"/>
  <c r="U266"/>
  <c r="CX266"/>
  <c r="CZ266" s="1"/>
  <c r="U274"/>
  <c r="CX274"/>
  <c r="CZ274" s="1"/>
  <c r="U282"/>
  <c r="CX282"/>
  <c r="CZ282"/>
  <c r="U290"/>
  <c r="CX290"/>
  <c r="CZ290" s="1"/>
  <c r="U298"/>
  <c r="CX298"/>
  <c r="CZ298" s="1"/>
  <c r="U306"/>
  <c r="CX306"/>
  <c r="CZ306" s="1"/>
  <c r="AL11"/>
  <c r="DB11"/>
  <c r="AL19"/>
  <c r="DB19"/>
  <c r="AL27"/>
  <c r="DB27"/>
  <c r="AL35"/>
  <c r="DB35"/>
  <c r="AL43"/>
  <c r="DB43"/>
  <c r="AL51"/>
  <c r="DB51"/>
  <c r="DD51" s="1"/>
  <c r="AL59"/>
  <c r="DB59"/>
  <c r="DD59" s="1"/>
  <c r="AL67"/>
  <c r="DB67"/>
  <c r="DD67"/>
  <c r="AL75"/>
  <c r="DB75"/>
  <c r="DD75" s="1"/>
  <c r="AL83"/>
  <c r="DB83"/>
  <c r="DD83" s="1"/>
  <c r="AL91"/>
  <c r="DB91"/>
  <c r="DD91" s="1"/>
  <c r="AL99"/>
  <c r="DB99"/>
  <c r="AL107"/>
  <c r="DB107"/>
  <c r="DD107" s="1"/>
  <c r="AL115"/>
  <c r="DB115"/>
  <c r="AL123"/>
  <c r="DB123"/>
  <c r="DD123"/>
  <c r="AL131"/>
  <c r="DB131"/>
  <c r="DD131" s="1"/>
  <c r="AL139"/>
  <c r="DB139"/>
  <c r="DD139" s="1"/>
  <c r="AL147"/>
  <c r="DB147"/>
  <c r="DD147"/>
  <c r="AL155"/>
  <c r="DB155"/>
  <c r="DD155"/>
  <c r="AL163"/>
  <c r="DB163"/>
  <c r="DD163" s="1"/>
  <c r="AL171"/>
  <c r="DB171"/>
  <c r="DD171" s="1"/>
  <c r="AL179"/>
  <c r="DB179"/>
  <c r="DD179"/>
  <c r="AL187"/>
  <c r="DB187"/>
  <c r="DD187"/>
  <c r="AL195"/>
  <c r="DB195"/>
  <c r="DD195" s="1"/>
  <c r="AL203"/>
  <c r="DB203"/>
  <c r="DD203" s="1"/>
  <c r="AP209"/>
  <c r="DH209"/>
  <c r="DJ209"/>
  <c r="AN215"/>
  <c r="DE215"/>
  <c r="DG215" s="1"/>
  <c r="AL219"/>
  <c r="DB219"/>
  <c r="DD219" s="1"/>
  <c r="AP225"/>
  <c r="DH225"/>
  <c r="DJ225" s="1"/>
  <c r="AN231"/>
  <c r="DE231"/>
  <c r="DG231"/>
  <c r="AL235"/>
  <c r="DB235"/>
  <c r="DD235" s="1"/>
  <c r="AP241"/>
  <c r="DH241"/>
  <c r="DJ241" s="1"/>
  <c r="AN247"/>
  <c r="DE247"/>
  <c r="DG247" s="1"/>
  <c r="AL251"/>
  <c r="DB251"/>
  <c r="DD251"/>
  <c r="AP257"/>
  <c r="DH257"/>
  <c r="DJ257" s="1"/>
  <c r="AN263"/>
  <c r="DE263"/>
  <c r="DG263" s="1"/>
  <c r="AL267"/>
  <c r="DB267"/>
  <c r="AP273"/>
  <c r="DH273"/>
  <c r="AN279"/>
  <c r="DE279"/>
  <c r="DG279" s="1"/>
  <c r="AL283"/>
  <c r="DB283"/>
  <c r="AP289"/>
  <c r="DH289"/>
  <c r="DJ289" s="1"/>
  <c r="AN295"/>
  <c r="DE295"/>
  <c r="DG295" s="1"/>
  <c r="AL299"/>
  <c r="DB299"/>
  <c r="DD299" s="1"/>
  <c r="AP305"/>
  <c r="DH305"/>
  <c r="DJ305"/>
  <c r="BN8"/>
  <c r="CV8"/>
  <c r="BN12"/>
  <c r="CV12"/>
  <c r="BN16"/>
  <c r="CV16"/>
  <c r="BN20"/>
  <c r="CV20"/>
  <c r="BN24"/>
  <c r="CV24"/>
  <c r="BN28"/>
  <c r="CV28"/>
  <c r="BN32"/>
  <c r="CV32"/>
  <c r="BN36"/>
  <c r="CV36"/>
  <c r="BN40"/>
  <c r="CV40"/>
  <c r="BN44"/>
  <c r="CV44"/>
  <c r="BN48"/>
  <c r="CV48"/>
  <c r="BN52"/>
  <c r="CV52"/>
  <c r="BN56"/>
  <c r="CV56"/>
  <c r="BP61"/>
  <c r="CY61"/>
  <c r="CM64"/>
  <c r="DL64"/>
  <c r="BN68"/>
  <c r="CV68"/>
  <c r="BX196" i="10"/>
  <c r="CU196"/>
  <c r="BX136"/>
  <c r="CU136"/>
  <c r="BX61"/>
  <c r="CU61"/>
  <c r="BX7"/>
  <c r="CU7"/>
  <c r="BX192"/>
  <c r="CU192"/>
  <c r="BX144"/>
  <c r="CU144"/>
  <c r="BX76"/>
  <c r="CU76"/>
  <c r="BX21"/>
  <c r="CU21"/>
  <c r="BN37" i="15"/>
  <c r="CV37"/>
  <c r="BJ202"/>
  <c r="CP202"/>
  <c r="CQ202" s="1"/>
  <c r="BJ186"/>
  <c r="CP186"/>
  <c r="CQ186" s="1"/>
  <c r="AN53"/>
  <c r="DE53"/>
  <c r="DG53"/>
  <c r="AN181"/>
  <c r="DE181"/>
  <c r="DG181" s="1"/>
  <c r="AP156"/>
  <c r="DH156"/>
  <c r="DJ156" s="1"/>
  <c r="U11"/>
  <c r="CX11"/>
  <c r="CZ11" s="1"/>
  <c r="U139"/>
  <c r="CX139"/>
  <c r="CZ139"/>
  <c r="U267"/>
  <c r="CX267"/>
  <c r="CZ267" s="1"/>
  <c r="O226"/>
  <c r="CO226"/>
  <c r="U116"/>
  <c r="CX116"/>
  <c r="CZ116"/>
  <c r="U244"/>
  <c r="CX244"/>
  <c r="CZ244" s="1"/>
  <c r="CM211"/>
  <c r="DL211"/>
  <c r="AN197"/>
  <c r="DE197"/>
  <c r="DG197"/>
  <c r="U251"/>
  <c r="CX251"/>
  <c r="CZ251" s="1"/>
  <c r="U164"/>
  <c r="CX164"/>
  <c r="CK4"/>
  <c r="DI4"/>
  <c r="CG243"/>
  <c r="DC243"/>
  <c r="CM81"/>
  <c r="DL81"/>
  <c r="DM81"/>
  <c r="CM196"/>
  <c r="DL196"/>
  <c r="CM182"/>
  <c r="DL182"/>
  <c r="AR132"/>
  <c r="DK132"/>
  <c r="DM132" s="1"/>
  <c r="AR260"/>
  <c r="DK260"/>
  <c r="DM260" s="1"/>
  <c r="AP244"/>
  <c r="DH244"/>
  <c r="DJ244" s="1"/>
  <c r="S22"/>
  <c r="CU22"/>
  <c r="CW22"/>
  <c r="CK89"/>
  <c r="DI89"/>
  <c r="AP268"/>
  <c r="DH268"/>
  <c r="DJ268" s="1"/>
  <c r="U123"/>
  <c r="CX123"/>
  <c r="CZ123"/>
  <c r="U260"/>
  <c r="CX260"/>
  <c r="CZ260" s="1"/>
  <c r="AR212"/>
  <c r="DK212"/>
  <c r="CG267"/>
  <c r="DC267"/>
  <c r="CG283"/>
  <c r="DC283"/>
  <c r="BJ194"/>
  <c r="CP194"/>
  <c r="CQ194"/>
  <c r="CM227"/>
  <c r="DL227"/>
  <c r="AN77"/>
  <c r="DE77"/>
  <c r="DG77"/>
  <c r="AN205"/>
  <c r="DE205"/>
  <c r="DG205"/>
  <c r="AP28"/>
  <c r="DH28"/>
  <c r="DJ28" s="1"/>
  <c r="S186"/>
  <c r="CU186"/>
  <c r="CW186" s="1"/>
  <c r="U99"/>
  <c r="CX99"/>
  <c r="U227"/>
  <c r="CX227"/>
  <c r="CZ227" s="1"/>
  <c r="S242"/>
  <c r="CU242"/>
  <c r="CW242" s="1"/>
  <c r="U76"/>
  <c r="CX76"/>
  <c r="U204"/>
  <c r="CX204"/>
  <c r="CZ204"/>
  <c r="BP99"/>
  <c r="CY99"/>
  <c r="AP140"/>
  <c r="DH140"/>
  <c r="DJ140"/>
  <c r="S82"/>
  <c r="CU82"/>
  <c r="CW82" s="1"/>
  <c r="AR148"/>
  <c r="DK148"/>
  <c r="DM148" s="1"/>
  <c r="Q45"/>
  <c r="CR45"/>
  <c r="CT45" s="1"/>
  <c r="BP29"/>
  <c r="CY29"/>
  <c r="CZ29"/>
  <c r="CK251"/>
  <c r="DI251"/>
  <c r="CG269"/>
  <c r="DC269"/>
  <c r="AR92"/>
  <c r="DK92"/>
  <c r="DM92" s="1"/>
  <c r="AR220"/>
  <c r="DK220"/>
  <c r="DM220" s="1"/>
  <c r="AP188"/>
  <c r="DH188"/>
  <c r="DJ188" s="1"/>
  <c r="AP228"/>
  <c r="DH228"/>
  <c r="AP60"/>
  <c r="DH60"/>
  <c r="DJ60" s="1"/>
  <c r="CM97"/>
  <c r="DL97"/>
  <c r="DM97" s="1"/>
  <c r="AR20"/>
  <c r="DK20"/>
  <c r="AR276"/>
  <c r="DK276"/>
  <c r="DM276" s="1"/>
  <c r="BN19"/>
  <c r="CV19"/>
  <c r="CM195"/>
  <c r="DL195"/>
  <c r="AN93"/>
  <c r="DE93"/>
  <c r="DG93" s="1"/>
  <c r="AN193"/>
  <c r="DE193"/>
  <c r="DG193"/>
  <c r="DG273"/>
  <c r="DM16"/>
  <c r="DM72"/>
  <c r="DM120"/>
  <c r="DM172"/>
  <c r="DM224"/>
  <c r="DM272"/>
  <c r="DJ32"/>
  <c r="DJ172"/>
  <c r="DJ248"/>
  <c r="DJ128"/>
  <c r="CW94"/>
  <c r="CW222"/>
  <c r="CZ71"/>
  <c r="CZ119"/>
  <c r="CZ175"/>
  <c r="CZ275"/>
  <c r="CW194"/>
  <c r="U64"/>
  <c r="CX64"/>
  <c r="CZ64" s="1"/>
  <c r="U168"/>
  <c r="CX168"/>
  <c r="U272"/>
  <c r="CX272"/>
  <c r="CZ272" s="1"/>
  <c r="DM57"/>
  <c r="DM141"/>
  <c r="DM165"/>
  <c r="DM197"/>
  <c r="DM229"/>
  <c r="DG184"/>
  <c r="DG96"/>
  <c r="DM273"/>
  <c r="DG105"/>
  <c r="DM8"/>
  <c r="DM208"/>
  <c r="DJ88"/>
  <c r="CZ211"/>
  <c r="CT75"/>
  <c r="CT107"/>
  <c r="CT251"/>
  <c r="DG124"/>
  <c r="DG140"/>
  <c r="DG172"/>
  <c r="DG188"/>
  <c r="DG220"/>
  <c r="DG236"/>
  <c r="DG260"/>
  <c r="DG276"/>
  <c r="DG292"/>
  <c r="CQ86"/>
  <c r="CW102"/>
  <c r="DG156"/>
  <c r="DD64"/>
  <c r="CZ33"/>
  <c r="CW190"/>
  <c r="CT19"/>
  <c r="CT31"/>
  <c r="CQ210"/>
  <c r="CW98"/>
  <c r="DG304"/>
  <c r="DG176"/>
  <c r="DD92"/>
  <c r="DG120"/>
  <c r="DD288"/>
  <c r="DD208"/>
  <c r="DM265"/>
  <c r="CK281"/>
  <c r="DI281"/>
  <c r="BN23"/>
  <c r="CV23"/>
  <c r="CK211"/>
  <c r="DI211"/>
  <c r="AN73"/>
  <c r="DE73"/>
  <c r="DG73"/>
  <c r="AN177"/>
  <c r="DE177"/>
  <c r="DG177"/>
  <c r="AN253"/>
  <c r="DE253"/>
  <c r="DG253" s="1"/>
  <c r="U48"/>
  <c r="CX48"/>
  <c r="U152"/>
  <c r="CX152"/>
  <c r="CZ152"/>
  <c r="U252"/>
  <c r="CX252"/>
  <c r="CZ252" s="1"/>
  <c r="CT295"/>
  <c r="CZ9"/>
  <c r="DG280"/>
  <c r="CT27"/>
  <c r="DD248"/>
  <c r="DG112"/>
  <c r="DG224"/>
  <c r="DG80"/>
  <c r="DD272"/>
  <c r="DM217"/>
  <c r="DM281"/>
  <c r="AN61"/>
  <c r="DE61"/>
  <c r="DG61" s="1"/>
  <c r="AN161"/>
  <c r="DE161"/>
  <c r="DG161"/>
  <c r="S10"/>
  <c r="CU10"/>
  <c r="CW10" s="1"/>
  <c r="U32"/>
  <c r="CX32"/>
  <c r="U136"/>
  <c r="CX136"/>
  <c r="U240"/>
  <c r="CX240"/>
  <c r="CT11"/>
  <c r="DG248"/>
  <c r="DM305"/>
  <c r="DG92"/>
  <c r="DD280"/>
  <c r="CZ25"/>
  <c r="CT12"/>
  <c r="CT40"/>
  <c r="CT60"/>
  <c r="CT84"/>
  <c r="CT96"/>
  <c r="CT112"/>
  <c r="CT144"/>
  <c r="CT256"/>
  <c r="CT284"/>
  <c r="DM69"/>
  <c r="DM77"/>
  <c r="DM85"/>
  <c r="DM121"/>
  <c r="DM133"/>
  <c r="DM153"/>
  <c r="DM169"/>
  <c r="DM193"/>
  <c r="DM285"/>
  <c r="CT25"/>
  <c r="O235"/>
  <c r="CO235"/>
  <c r="CQ235" s="1"/>
  <c r="O239"/>
  <c r="CO239"/>
  <c r="CQ239" s="1"/>
  <c r="O243"/>
  <c r="CO243"/>
  <c r="O247"/>
  <c r="CO247"/>
  <c r="CQ247" s="1"/>
  <c r="O251"/>
  <c r="CO251"/>
  <c r="CQ251" s="1"/>
  <c r="O255"/>
  <c r="CO255"/>
  <c r="O259"/>
  <c r="CO259"/>
  <c r="O263"/>
  <c r="CO263"/>
  <c r="O267"/>
  <c r="CO267"/>
  <c r="CQ267" s="1"/>
  <c r="O271"/>
  <c r="CO271"/>
  <c r="O275"/>
  <c r="CO275"/>
  <c r="O279"/>
  <c r="CO279"/>
  <c r="CQ279" s="1"/>
  <c r="O283"/>
  <c r="CO283"/>
  <c r="O287"/>
  <c r="CO287"/>
  <c r="O291"/>
  <c r="CO291"/>
  <c r="O295"/>
  <c r="CO295"/>
  <c r="O299"/>
  <c r="CO299"/>
  <c r="CQ299"/>
  <c r="O303"/>
  <c r="CO303"/>
  <c r="AL4"/>
  <c r="DB4"/>
  <c r="DD4" s="1"/>
  <c r="AN10"/>
  <c r="DE10"/>
  <c r="AN18"/>
  <c r="DE18"/>
  <c r="AN26"/>
  <c r="DE26"/>
  <c r="AN34"/>
  <c r="DE34"/>
  <c r="AN42"/>
  <c r="DE42"/>
  <c r="AN50"/>
  <c r="DE50"/>
  <c r="DG50" s="1"/>
  <c r="AN58"/>
  <c r="DE58"/>
  <c r="DG58" s="1"/>
  <c r="AN66"/>
  <c r="DE66"/>
  <c r="DG66"/>
  <c r="AN74"/>
  <c r="DE74"/>
  <c r="DG74"/>
  <c r="S284"/>
  <c r="CU284"/>
  <c r="CW284" s="1"/>
  <c r="S292"/>
  <c r="CU292"/>
  <c r="S300"/>
  <c r="CU300"/>
  <c r="CW300"/>
  <c r="AL5"/>
  <c r="DB5"/>
  <c r="AL9"/>
  <c r="DB9"/>
  <c r="AL13"/>
  <c r="DB13"/>
  <c r="AL17"/>
  <c r="DB17"/>
  <c r="AL21"/>
  <c r="DB21"/>
  <c r="AL25"/>
  <c r="DB25"/>
  <c r="AL29"/>
  <c r="DB29"/>
  <c r="AL33"/>
  <c r="DB33"/>
  <c r="AL37"/>
  <c r="DB37"/>
  <c r="AL41"/>
  <c r="DB41"/>
  <c r="AL45"/>
  <c r="DB45"/>
  <c r="AL49"/>
  <c r="DB49"/>
  <c r="AL53"/>
  <c r="DB53"/>
  <c r="DD53" s="1"/>
  <c r="AL57"/>
  <c r="DB57"/>
  <c r="DD57" s="1"/>
  <c r="AL61"/>
  <c r="DB61"/>
  <c r="DD61"/>
  <c r="AL65"/>
  <c r="DB65"/>
  <c r="DD65"/>
  <c r="AL69"/>
  <c r="DB69"/>
  <c r="DD69" s="1"/>
  <c r="AL73"/>
  <c r="DB73"/>
  <c r="DD73" s="1"/>
  <c r="AL77"/>
  <c r="DB77"/>
  <c r="AL81"/>
  <c r="DB81"/>
  <c r="DD81" s="1"/>
  <c r="AL85"/>
  <c r="DB85"/>
  <c r="DD85" s="1"/>
  <c r="AL89"/>
  <c r="DB89"/>
  <c r="DD89"/>
  <c r="AL93"/>
  <c r="DB93"/>
  <c r="DD93"/>
  <c r="AL97"/>
  <c r="DB97"/>
  <c r="DD97" s="1"/>
  <c r="AL101"/>
  <c r="DB101"/>
  <c r="DD101" s="1"/>
  <c r="AL105"/>
  <c r="DB105"/>
  <c r="DD105"/>
  <c r="AL109"/>
  <c r="DB109"/>
  <c r="AL113"/>
  <c r="DB113"/>
  <c r="DD113" s="1"/>
  <c r="AL117"/>
  <c r="DB117"/>
  <c r="DD117"/>
  <c r="AL121"/>
  <c r="DB121"/>
  <c r="DD121" s="1"/>
  <c r="AL125"/>
  <c r="DB125"/>
  <c r="DD125" s="1"/>
  <c r="AL129"/>
  <c r="DB129"/>
  <c r="DD129" s="1"/>
  <c r="AL133"/>
  <c r="DB133"/>
  <c r="DD133"/>
  <c r="AL137"/>
  <c r="DB137"/>
  <c r="DD137"/>
  <c r="AL141"/>
  <c r="DB141"/>
  <c r="DD141" s="1"/>
  <c r="AL145"/>
  <c r="DB145"/>
  <c r="DD145" s="1"/>
  <c r="AL149"/>
  <c r="DB149"/>
  <c r="DD149"/>
  <c r="AL153"/>
  <c r="DB153"/>
  <c r="DD153"/>
  <c r="AL157"/>
  <c r="DB157"/>
  <c r="DD157" s="1"/>
  <c r="AL161"/>
  <c r="DB161"/>
  <c r="DD161" s="1"/>
  <c r="AL165"/>
  <c r="DB165"/>
  <c r="DD165"/>
  <c r="AL169"/>
  <c r="DB169"/>
  <c r="DD169" s="1"/>
  <c r="AL173"/>
  <c r="DB173"/>
  <c r="DD173" s="1"/>
  <c r="AL177"/>
  <c r="DB177"/>
  <c r="DD177" s="1"/>
  <c r="AL181"/>
  <c r="DB181"/>
  <c r="DD181"/>
  <c r="AL185"/>
  <c r="DB185"/>
  <c r="DD185" s="1"/>
  <c r="AL189"/>
  <c r="DB189"/>
  <c r="AL193"/>
  <c r="DB193"/>
  <c r="DD193"/>
  <c r="AL197"/>
  <c r="DB197"/>
  <c r="AL201"/>
  <c r="DB201"/>
  <c r="AL205"/>
  <c r="DB205"/>
  <c r="DD205"/>
  <c r="AR211"/>
  <c r="DK211"/>
  <c r="AL215"/>
  <c r="DB215"/>
  <c r="DD215" s="1"/>
  <c r="AL221"/>
  <c r="DB221"/>
  <c r="AR227"/>
  <c r="DK227"/>
  <c r="AL231"/>
  <c r="DB231"/>
  <c r="DD231" s="1"/>
  <c r="AL237"/>
  <c r="DB237"/>
  <c r="DD237"/>
  <c r="AR243"/>
  <c r="DK243"/>
  <c r="AL247"/>
  <c r="DB247"/>
  <c r="DD247" s="1"/>
  <c r="AL253"/>
  <c r="DB253"/>
  <c r="AR259"/>
  <c r="DK259"/>
  <c r="DM259" s="1"/>
  <c r="AL263"/>
  <c r="DB263"/>
  <c r="DD263" s="1"/>
  <c r="AL269"/>
  <c r="DB269"/>
  <c r="AR275"/>
  <c r="DK275"/>
  <c r="AL279"/>
  <c r="DB279"/>
  <c r="DD279"/>
  <c r="AL285"/>
  <c r="DB285"/>
  <c r="AR291"/>
  <c r="DK291"/>
  <c r="AL295"/>
  <c r="DB295"/>
  <c r="DD295" s="1"/>
  <c r="AL301"/>
  <c r="DB301"/>
  <c r="BL6"/>
  <c r="CS6"/>
  <c r="BL10"/>
  <c r="CS10"/>
  <c r="BL14"/>
  <c r="CS14"/>
  <c r="BL18"/>
  <c r="CS18"/>
  <c r="BL22"/>
  <c r="CS22"/>
  <c r="BL26"/>
  <c r="CS26"/>
  <c r="BL30"/>
  <c r="CS30"/>
  <c r="BL34"/>
  <c r="CS34"/>
  <c r="BL38"/>
  <c r="CS38"/>
  <c r="BL42"/>
  <c r="CS42"/>
  <c r="BN46"/>
  <c r="CV46"/>
  <c r="CW46"/>
  <c r="BN50"/>
  <c r="CV50"/>
  <c r="BP55"/>
  <c r="CY55"/>
  <c r="CI62"/>
  <c r="DF62"/>
  <c r="CK304"/>
  <c r="DI304"/>
  <c r="CK292"/>
  <c r="DI292"/>
  <c r="DJ292" s="1"/>
  <c r="CK282"/>
  <c r="DI282"/>
  <c r="CK272"/>
  <c r="DI272"/>
  <c r="DJ272"/>
  <c r="CK260"/>
  <c r="DI260"/>
  <c r="DJ260" s="1"/>
  <c r="CK250"/>
  <c r="DI250"/>
  <c r="CK240"/>
  <c r="DI240"/>
  <c r="CK228"/>
  <c r="DI228"/>
  <c r="CK218"/>
  <c r="DI218"/>
  <c r="CK208"/>
  <c r="DI208"/>
  <c r="CK196"/>
  <c r="DI196"/>
  <c r="DJ196" s="1"/>
  <c r="CG188"/>
  <c r="DC188"/>
  <c r="DD188"/>
  <c r="CK101"/>
  <c r="DI101"/>
  <c r="CK91"/>
  <c r="DI91"/>
  <c r="CG82"/>
  <c r="DC82"/>
  <c r="CG306"/>
  <c r="DC306"/>
  <c r="CG296"/>
  <c r="DC296"/>
  <c r="DD296"/>
  <c r="CG284"/>
  <c r="DC284"/>
  <c r="DD284" s="1"/>
  <c r="CG274"/>
  <c r="DC274"/>
  <c r="CG264"/>
  <c r="DC264"/>
  <c r="DD264"/>
  <c r="CG252"/>
  <c r="DC252"/>
  <c r="DD252" s="1"/>
  <c r="CG242"/>
  <c r="DC242"/>
  <c r="CG232"/>
  <c r="DC232"/>
  <c r="DD232"/>
  <c r="CG220"/>
  <c r="DC220"/>
  <c r="DD220" s="1"/>
  <c r="CG210"/>
  <c r="DC210"/>
  <c r="CG200"/>
  <c r="DC200"/>
  <c r="CK187"/>
  <c r="DI187"/>
  <c r="CK179"/>
  <c r="DI179"/>
  <c r="CK175"/>
  <c r="DI175"/>
  <c r="CK171"/>
  <c r="DI171"/>
  <c r="CK167"/>
  <c r="DI167"/>
  <c r="CK163"/>
  <c r="DI163"/>
  <c r="CK159"/>
  <c r="DI159"/>
  <c r="CK155"/>
  <c r="DI155"/>
  <c r="CK151"/>
  <c r="DI151"/>
  <c r="CK147"/>
  <c r="DI147"/>
  <c r="CK143"/>
  <c r="DI143"/>
  <c r="CK139"/>
  <c r="DI139"/>
  <c r="CK135"/>
  <c r="DI135"/>
  <c r="CK131"/>
  <c r="DI131"/>
  <c r="CK127"/>
  <c r="DI127"/>
  <c r="CK123"/>
  <c r="DI123"/>
  <c r="AN82"/>
  <c r="DE82"/>
  <c r="DG82" s="1"/>
  <c r="AN90"/>
  <c r="DE90"/>
  <c r="DG90"/>
  <c r="AN98"/>
  <c r="DE98"/>
  <c r="DG98" s="1"/>
  <c r="AN106"/>
  <c r="DE106"/>
  <c r="DG106" s="1"/>
  <c r="AN114"/>
  <c r="DE114"/>
  <c r="DG114" s="1"/>
  <c r="AN122"/>
  <c r="DE122"/>
  <c r="DG122"/>
  <c r="AN130"/>
  <c r="DE130"/>
  <c r="DG130" s="1"/>
  <c r="AN138"/>
  <c r="DE138"/>
  <c r="DG138" s="1"/>
  <c r="AN146"/>
  <c r="DE146"/>
  <c r="DG146" s="1"/>
  <c r="AN154"/>
  <c r="DE154"/>
  <c r="DG154"/>
  <c r="AN162"/>
  <c r="DE162"/>
  <c r="DG162" s="1"/>
  <c r="AN170"/>
  <c r="DE170"/>
  <c r="DG170" s="1"/>
  <c r="AN178"/>
  <c r="DE178"/>
  <c r="DG178" s="1"/>
  <c r="AN186"/>
  <c r="DE186"/>
  <c r="DG186"/>
  <c r="AN194"/>
  <c r="DE194"/>
  <c r="DG194" s="1"/>
  <c r="AN202"/>
  <c r="DE202"/>
  <c r="DG202" s="1"/>
  <c r="AP210"/>
  <c r="DH210"/>
  <c r="DJ210" s="1"/>
  <c r="AP218"/>
  <c r="DH218"/>
  <c r="AP226"/>
  <c r="DH226"/>
  <c r="DJ226" s="1"/>
  <c r="AP234"/>
  <c r="DH234"/>
  <c r="DJ234" s="1"/>
  <c r="AP242"/>
  <c r="DH242"/>
  <c r="DJ242"/>
  <c r="AP250"/>
  <c r="DH250"/>
  <c r="DJ250" s="1"/>
  <c r="AP258"/>
  <c r="DH258"/>
  <c r="DJ258" s="1"/>
  <c r="AP266"/>
  <c r="DH266"/>
  <c r="DJ266" s="1"/>
  <c r="AP274"/>
  <c r="DH274"/>
  <c r="DJ274"/>
  <c r="AP282"/>
  <c r="DH282"/>
  <c r="AP290"/>
  <c r="DH290"/>
  <c r="DJ290" s="1"/>
  <c r="AP298"/>
  <c r="DH298"/>
  <c r="DJ298"/>
  <c r="AP306"/>
  <c r="DH306"/>
  <c r="DJ306"/>
  <c r="CI6"/>
  <c r="DF6"/>
  <c r="CI8"/>
  <c r="DF8"/>
  <c r="DG8"/>
  <c r="CI10"/>
  <c r="DF10"/>
  <c r="CI12"/>
  <c r="DF12"/>
  <c r="DG12" s="1"/>
  <c r="CI14"/>
  <c r="DF14"/>
  <c r="CI16"/>
  <c r="DF16"/>
  <c r="DG16" s="1"/>
  <c r="CI18"/>
  <c r="DF18"/>
  <c r="CI20"/>
  <c r="DF20"/>
  <c r="DG20"/>
  <c r="CI22"/>
  <c r="DF22"/>
  <c r="CI24"/>
  <c r="DF24"/>
  <c r="DG24"/>
  <c r="CI26"/>
  <c r="DF26"/>
  <c r="CI28"/>
  <c r="DF28"/>
  <c r="DG28" s="1"/>
  <c r="CI30"/>
  <c r="DF30"/>
  <c r="CI32"/>
  <c r="DF32"/>
  <c r="DG32" s="1"/>
  <c r="CI34"/>
  <c r="DF34"/>
  <c r="CI36"/>
  <c r="DF36"/>
  <c r="DG36"/>
  <c r="CI38"/>
  <c r="DF38"/>
  <c r="CI40"/>
  <c r="DF40"/>
  <c r="DG40"/>
  <c r="CI42"/>
  <c r="DF42"/>
  <c r="CI44"/>
  <c r="DF44"/>
  <c r="DG44" s="1"/>
  <c r="CG49"/>
  <c r="DC49"/>
  <c r="BP57"/>
  <c r="CY57"/>
  <c r="BP62"/>
  <c r="CY62"/>
  <c r="BL66"/>
  <c r="CS66"/>
  <c r="CK302"/>
  <c r="DI302"/>
  <c r="CK270"/>
  <c r="DI270"/>
  <c r="CK238"/>
  <c r="DI238"/>
  <c r="CK206"/>
  <c r="DI206"/>
  <c r="CK186"/>
  <c r="DI186"/>
  <c r="CG106"/>
  <c r="DC106"/>
  <c r="CK93"/>
  <c r="DI93"/>
  <c r="CK83"/>
  <c r="DI83"/>
  <c r="CG74"/>
  <c r="DC74"/>
  <c r="CG278"/>
  <c r="DC278"/>
  <c r="CG246"/>
  <c r="DC246"/>
  <c r="CG214"/>
  <c r="DC214"/>
  <c r="CK185"/>
  <c r="DI185"/>
  <c r="CG180"/>
  <c r="DC180"/>
  <c r="DD180" s="1"/>
  <c r="CG176"/>
  <c r="DC176"/>
  <c r="DD176" s="1"/>
  <c r="CG172"/>
  <c r="DC172"/>
  <c r="DD172"/>
  <c r="CG168"/>
  <c r="DC168"/>
  <c r="DD168" s="1"/>
  <c r="CG164"/>
  <c r="DC164"/>
  <c r="DD164" s="1"/>
  <c r="CG160"/>
  <c r="DC160"/>
  <c r="DD160" s="1"/>
  <c r="CG156"/>
  <c r="DC156"/>
  <c r="DD156"/>
  <c r="CG152"/>
  <c r="DC152"/>
  <c r="DD152" s="1"/>
  <c r="CG148"/>
  <c r="DC148"/>
  <c r="CG144"/>
  <c r="DC144"/>
  <c r="DD144"/>
  <c r="CG140"/>
  <c r="DC140"/>
  <c r="DD140" s="1"/>
  <c r="CG136"/>
  <c r="DC136"/>
  <c r="DD136" s="1"/>
  <c r="CG132"/>
  <c r="DC132"/>
  <c r="DD132" s="1"/>
  <c r="CG128"/>
  <c r="DC128"/>
  <c r="DD128"/>
  <c r="CG124"/>
  <c r="DC124"/>
  <c r="DD124" s="1"/>
  <c r="CG120"/>
  <c r="DC120"/>
  <c r="DD120" s="1"/>
  <c r="CG116"/>
  <c r="DC116"/>
  <c r="DD116" s="1"/>
  <c r="CG112"/>
  <c r="DC112"/>
  <c r="DD112"/>
  <c r="CK103"/>
  <c r="DI103"/>
  <c r="CG94"/>
  <c r="DC94"/>
  <c r="CG80"/>
  <c r="DC80"/>
  <c r="DD80" s="1"/>
  <c r="CK71"/>
  <c r="DI71"/>
  <c r="CG62"/>
  <c r="DC62"/>
  <c r="BL303"/>
  <c r="CS303"/>
  <c r="CT303" s="1"/>
  <c r="BL298"/>
  <c r="CS298"/>
  <c r="BL287"/>
  <c r="CS287"/>
  <c r="CT287" s="1"/>
  <c r="BL282"/>
  <c r="CS282"/>
  <c r="BL271"/>
  <c r="CS271"/>
  <c r="CT271"/>
  <c r="BL266"/>
  <c r="CS266"/>
  <c r="BL255"/>
  <c r="CS255"/>
  <c r="CT255" s="1"/>
  <c r="BL250"/>
  <c r="CS250"/>
  <c r="BL239"/>
  <c r="CS239"/>
  <c r="CT239" s="1"/>
  <c r="CK117"/>
  <c r="DI117"/>
  <c r="CK113"/>
  <c r="DI113"/>
  <c r="CG104"/>
  <c r="DC104"/>
  <c r="DD104" s="1"/>
  <c r="CK95"/>
  <c r="DI95"/>
  <c r="CG86"/>
  <c r="DC86"/>
  <c r="CG72"/>
  <c r="DC72"/>
  <c r="DD72"/>
  <c r="CK63"/>
  <c r="DI63"/>
  <c r="CG54"/>
  <c r="DC54"/>
  <c r="BL301"/>
  <c r="CS301"/>
  <c r="BL296"/>
  <c r="CS296"/>
  <c r="CT296" s="1"/>
  <c r="BL285"/>
  <c r="CS285"/>
  <c r="BL280"/>
  <c r="CS280"/>
  <c r="CT280" s="1"/>
  <c r="BL269"/>
  <c r="CS269"/>
  <c r="BL264"/>
  <c r="CS264"/>
  <c r="CT264" s="1"/>
  <c r="BL253"/>
  <c r="CS253"/>
  <c r="BL248"/>
  <c r="CS248"/>
  <c r="CT248"/>
  <c r="BL237"/>
  <c r="CS237"/>
  <c r="BL232"/>
  <c r="CS232"/>
  <c r="CT232" s="1"/>
  <c r="BL221"/>
  <c r="CS221"/>
  <c r="BL216"/>
  <c r="CS216"/>
  <c r="CT216" s="1"/>
  <c r="BL205"/>
  <c r="CS205"/>
  <c r="BL200"/>
  <c r="CS200"/>
  <c r="CT200" s="1"/>
  <c r="BL189"/>
  <c r="CS189"/>
  <c r="BL183"/>
  <c r="CS183"/>
  <c r="CT183"/>
  <c r="BL179"/>
  <c r="CS179"/>
  <c r="CT179" s="1"/>
  <c r="BL175"/>
  <c r="CS175"/>
  <c r="CT175" s="1"/>
  <c r="BL171"/>
  <c r="CS171"/>
  <c r="CT171" s="1"/>
  <c r="BL167"/>
  <c r="CS167"/>
  <c r="CT167"/>
  <c r="BL163"/>
  <c r="CS163"/>
  <c r="CT163" s="1"/>
  <c r="BL159"/>
  <c r="CS159"/>
  <c r="CT159" s="1"/>
  <c r="BL155"/>
  <c r="CS155"/>
  <c r="CT155" s="1"/>
  <c r="BL151"/>
  <c r="CS151"/>
  <c r="CT151"/>
  <c r="BL147"/>
  <c r="CS147"/>
  <c r="CT147"/>
  <c r="BL143"/>
  <c r="CS143"/>
  <c r="CT143" s="1"/>
  <c r="BL139"/>
  <c r="CS139"/>
  <c r="CT139" s="1"/>
  <c r="BL135"/>
  <c r="CS135"/>
  <c r="CT135"/>
  <c r="BL131"/>
  <c r="CS131"/>
  <c r="CT131"/>
  <c r="BL127"/>
  <c r="CS127"/>
  <c r="CT127" s="1"/>
  <c r="BL123"/>
  <c r="CS123"/>
  <c r="CT123" s="1"/>
  <c r="BL119"/>
  <c r="CS119"/>
  <c r="CT119"/>
  <c r="BL115"/>
  <c r="CS115"/>
  <c r="CT115"/>
  <c r="BL111"/>
  <c r="CS111"/>
  <c r="CT111" s="1"/>
  <c r="BL105"/>
  <c r="CS105"/>
  <c r="BP98"/>
  <c r="CY98"/>
  <c r="BL93"/>
  <c r="CS93"/>
  <c r="BL86"/>
  <c r="CS86"/>
  <c r="BL79"/>
  <c r="CS79"/>
  <c r="CT79" s="1"/>
  <c r="BL73"/>
  <c r="CS73"/>
  <c r="BL302"/>
  <c r="CS302"/>
  <c r="BL292"/>
  <c r="CS292"/>
  <c r="CT292"/>
  <c r="BL286"/>
  <c r="CS286"/>
  <c r="BL276"/>
  <c r="CS276"/>
  <c r="CT276" s="1"/>
  <c r="BL270"/>
  <c r="CS270"/>
  <c r="BL260"/>
  <c r="CS260"/>
  <c r="CT260" s="1"/>
  <c r="BL254"/>
  <c r="CS254"/>
  <c r="BL244"/>
  <c r="CS244"/>
  <c r="CT244" s="1"/>
  <c r="BL238"/>
  <c r="CS238"/>
  <c r="BL228"/>
  <c r="CS228"/>
  <c r="CT228"/>
  <c r="BL222"/>
  <c r="CS222"/>
  <c r="BL212"/>
  <c r="CS212"/>
  <c r="CT212" s="1"/>
  <c r="BL206"/>
  <c r="CS206"/>
  <c r="BL196"/>
  <c r="CS196"/>
  <c r="CT196" s="1"/>
  <c r="BL190"/>
  <c r="CS190"/>
  <c r="BL100"/>
  <c r="CS100"/>
  <c r="CT100" s="1"/>
  <c r="BP68"/>
  <c r="CY68"/>
  <c r="CZ68" s="1"/>
  <c r="BL50"/>
  <c r="CS50"/>
  <c r="BL46"/>
  <c r="CS46"/>
  <c r="BJ297"/>
  <c r="CP297"/>
  <c r="BJ291"/>
  <c r="CP291"/>
  <c r="BJ281"/>
  <c r="CP281"/>
  <c r="BJ275"/>
  <c r="CP275"/>
  <c r="BJ265"/>
  <c r="CP265"/>
  <c r="BJ259"/>
  <c r="CP259"/>
  <c r="BJ249"/>
  <c r="CP249"/>
  <c r="BJ243"/>
  <c r="CP243"/>
  <c r="BJ233"/>
  <c r="CP233"/>
  <c r="BJ227"/>
  <c r="CP227"/>
  <c r="BJ217"/>
  <c r="CP217"/>
  <c r="BJ211"/>
  <c r="CP211"/>
  <c r="BJ201"/>
  <c r="CP201"/>
  <c r="BJ195"/>
  <c r="CP195"/>
  <c r="BJ188"/>
  <c r="CP188"/>
  <c r="BJ104"/>
  <c r="CP104"/>
  <c r="BJ92"/>
  <c r="CP92"/>
  <c r="BN83"/>
  <c r="CV83"/>
  <c r="BJ72"/>
  <c r="CP72"/>
  <c r="BJ300"/>
  <c r="CP300"/>
  <c r="BJ287"/>
  <c r="CP287"/>
  <c r="BJ278"/>
  <c r="CP278"/>
  <c r="CQ278"/>
  <c r="BJ268"/>
  <c r="CP268"/>
  <c r="BJ255"/>
  <c r="CP255"/>
  <c r="BJ246"/>
  <c r="CP246"/>
  <c r="CQ246" s="1"/>
  <c r="BJ236"/>
  <c r="CP236"/>
  <c r="BJ223"/>
  <c r="CP223"/>
  <c r="BJ214"/>
  <c r="CP214"/>
  <c r="CQ214" s="1"/>
  <c r="BJ204"/>
  <c r="CP204"/>
  <c r="BJ191"/>
  <c r="CP191"/>
  <c r="BJ185"/>
  <c r="CP185"/>
  <c r="BJ180"/>
  <c r="CP180"/>
  <c r="BJ176"/>
  <c r="CP176"/>
  <c r="BJ172"/>
  <c r="CP172"/>
  <c r="BJ168"/>
  <c r="CP168"/>
  <c r="BJ164"/>
  <c r="CP164"/>
  <c r="BJ160"/>
  <c r="CP160"/>
  <c r="BJ156"/>
  <c r="CP156"/>
  <c r="BJ152"/>
  <c r="CP152"/>
  <c r="BJ148"/>
  <c r="CP148"/>
  <c r="BJ144"/>
  <c r="CP144"/>
  <c r="BJ140"/>
  <c r="CP140"/>
  <c r="BJ136"/>
  <c r="CP136"/>
  <c r="BJ132"/>
  <c r="CP132"/>
  <c r="BJ128"/>
  <c r="CP128"/>
  <c r="BJ124"/>
  <c r="CP124"/>
  <c r="BJ120"/>
  <c r="CP120"/>
  <c r="BJ116"/>
  <c r="CP116"/>
  <c r="BJ112"/>
  <c r="CP112"/>
  <c r="BJ103"/>
  <c r="CP103"/>
  <c r="BJ97"/>
  <c r="CP97"/>
  <c r="BJ87"/>
  <c r="CP87"/>
  <c r="BJ81"/>
  <c r="CP81"/>
  <c r="BJ71"/>
  <c r="CP71"/>
  <c r="BJ65"/>
  <c r="CP65"/>
  <c r="BJ55"/>
  <c r="CP55"/>
  <c r="S8"/>
  <c r="CU8"/>
  <c r="O15"/>
  <c r="CO15"/>
  <c r="CQ15" s="1"/>
  <c r="S36"/>
  <c r="CU36"/>
  <c r="S44"/>
  <c r="CU44"/>
  <c r="CW44" s="1"/>
  <c r="O9"/>
  <c r="CO9"/>
  <c r="CQ9" s="1"/>
  <c r="O17"/>
  <c r="CO17"/>
  <c r="CQ17" s="1"/>
  <c r="O25"/>
  <c r="CO25"/>
  <c r="CQ25"/>
  <c r="O33"/>
  <c r="CO33"/>
  <c r="CQ33" s="1"/>
  <c r="O41"/>
  <c r="CO41"/>
  <c r="CQ41" s="1"/>
  <c r="O49"/>
  <c r="CO49"/>
  <c r="CQ49" s="1"/>
  <c r="O57"/>
  <c r="CO57"/>
  <c r="CQ57"/>
  <c r="O65"/>
  <c r="CO65"/>
  <c r="O73"/>
  <c r="CO73"/>
  <c r="CQ73" s="1"/>
  <c r="O81"/>
  <c r="CO81"/>
  <c r="O89"/>
  <c r="CO89"/>
  <c r="CQ89" s="1"/>
  <c r="O97"/>
  <c r="CO97"/>
  <c r="O105"/>
  <c r="CO105"/>
  <c r="CQ105"/>
  <c r="O113"/>
  <c r="CO113"/>
  <c r="O121"/>
  <c r="CO121"/>
  <c r="O129"/>
  <c r="CO129"/>
  <c r="O137"/>
  <c r="CO137"/>
  <c r="O145"/>
  <c r="CO145"/>
  <c r="O153"/>
  <c r="CO153"/>
  <c r="O161"/>
  <c r="CO161"/>
  <c r="O169"/>
  <c r="CO169"/>
  <c r="O177"/>
  <c r="CO177"/>
  <c r="O185"/>
  <c r="CO185"/>
  <c r="CQ185"/>
  <c r="O193"/>
  <c r="CO193"/>
  <c r="O201"/>
  <c r="CO201"/>
  <c r="CQ201" s="1"/>
  <c r="O209"/>
  <c r="CO209"/>
  <c r="O217"/>
  <c r="CO217"/>
  <c r="CQ217" s="1"/>
  <c r="O225"/>
  <c r="CO225"/>
  <c r="O233"/>
  <c r="CO233"/>
  <c r="CQ233" s="1"/>
  <c r="O241"/>
  <c r="CO241"/>
  <c r="O249"/>
  <c r="CO249"/>
  <c r="CQ249"/>
  <c r="O257"/>
  <c r="CO257"/>
  <c r="O265"/>
  <c r="CO265"/>
  <c r="CQ265" s="1"/>
  <c r="O273"/>
  <c r="CO273"/>
  <c r="O281"/>
  <c r="CO281"/>
  <c r="O289"/>
  <c r="CO289"/>
  <c r="O297"/>
  <c r="CO297"/>
  <c r="CQ297" s="1"/>
  <c r="O305"/>
  <c r="CO305"/>
  <c r="AL6"/>
  <c r="DB6"/>
  <c r="DD6" s="1"/>
  <c r="AL14"/>
  <c r="DB14"/>
  <c r="DD14" s="1"/>
  <c r="AL22"/>
  <c r="DB22"/>
  <c r="DD22" s="1"/>
  <c r="AL30"/>
  <c r="DB30"/>
  <c r="DD30"/>
  <c r="AL38"/>
  <c r="DB38"/>
  <c r="DD38" s="1"/>
  <c r="AL46"/>
  <c r="DB46"/>
  <c r="AL54"/>
  <c r="DB54"/>
  <c r="DD54"/>
  <c r="AL62"/>
  <c r="DB62"/>
  <c r="DD62" s="1"/>
  <c r="AL70"/>
  <c r="DB70"/>
  <c r="DD70" s="1"/>
  <c r="AL78"/>
  <c r="DB78"/>
  <c r="DD78" s="1"/>
  <c r="AL86"/>
  <c r="DB86"/>
  <c r="AL94"/>
  <c r="DB94"/>
  <c r="AL102"/>
  <c r="DB102"/>
  <c r="DD102"/>
  <c r="AL110"/>
  <c r="DB110"/>
  <c r="DD110" s="1"/>
  <c r="AL118"/>
  <c r="DB118"/>
  <c r="DD118" s="1"/>
  <c r="AL126"/>
  <c r="DB126"/>
  <c r="DD126" s="1"/>
  <c r="AL134"/>
  <c r="DB134"/>
  <c r="DD134"/>
  <c r="AL142"/>
  <c r="DB142"/>
  <c r="DD142" s="1"/>
  <c r="AL150"/>
  <c r="DB150"/>
  <c r="DD150" s="1"/>
  <c r="AL158"/>
  <c r="DB158"/>
  <c r="DD158" s="1"/>
  <c r="AL166"/>
  <c r="DB166"/>
  <c r="DD166"/>
  <c r="AL174"/>
  <c r="DB174"/>
  <c r="DD174" s="1"/>
  <c r="AL182"/>
  <c r="DB182"/>
  <c r="DD182" s="1"/>
  <c r="AL190"/>
  <c r="DB190"/>
  <c r="AL198"/>
  <c r="DB198"/>
  <c r="DD198" s="1"/>
  <c r="AP206"/>
  <c r="DH206"/>
  <c r="DJ206" s="1"/>
  <c r="AP214"/>
  <c r="DH214"/>
  <c r="DJ214" s="1"/>
  <c r="AP222"/>
  <c r="DH222"/>
  <c r="DJ222"/>
  <c r="AP230"/>
  <c r="DH230"/>
  <c r="AP238"/>
  <c r="DH238"/>
  <c r="AP246"/>
  <c r="DH246"/>
  <c r="DJ246" s="1"/>
  <c r="AP254"/>
  <c r="DH254"/>
  <c r="DJ254" s="1"/>
  <c r="AP262"/>
  <c r="DH262"/>
  <c r="DJ262" s="1"/>
  <c r="AP270"/>
  <c r="DH270"/>
  <c r="DJ270"/>
  <c r="AP278"/>
  <c r="DH278"/>
  <c r="DJ278" s="1"/>
  <c r="AP286"/>
  <c r="DH286"/>
  <c r="DJ286" s="1"/>
  <c r="AP294"/>
  <c r="DH294"/>
  <c r="AP302"/>
  <c r="DH302"/>
  <c r="CG5"/>
  <c r="DC5"/>
  <c r="CG7"/>
  <c r="DC7"/>
  <c r="CG9"/>
  <c r="DC9"/>
  <c r="CG11"/>
  <c r="DC11"/>
  <c r="CG13"/>
  <c r="DC13"/>
  <c r="CG15"/>
  <c r="DC15"/>
  <c r="CG17"/>
  <c r="DC17"/>
  <c r="CG19"/>
  <c r="DC19"/>
  <c r="CG21"/>
  <c r="DC21"/>
  <c r="CG23"/>
  <c r="DC23"/>
  <c r="CG25"/>
  <c r="DC25"/>
  <c r="CG27"/>
  <c r="DC27"/>
  <c r="CG29"/>
  <c r="DC29"/>
  <c r="CG31"/>
  <c r="DC31"/>
  <c r="CG33"/>
  <c r="DC33"/>
  <c r="CG35"/>
  <c r="DC35"/>
  <c r="CG37"/>
  <c r="DC37"/>
  <c r="CG39"/>
  <c r="DC39"/>
  <c r="CG41"/>
  <c r="DC41"/>
  <c r="CG43"/>
  <c r="DC43"/>
  <c r="CG45"/>
  <c r="DC45"/>
  <c r="CK51"/>
  <c r="DI51"/>
  <c r="CI55"/>
  <c r="DF55"/>
  <c r="BJ59"/>
  <c r="CP59"/>
  <c r="CK61"/>
  <c r="DI61"/>
  <c r="CK67"/>
  <c r="DI67"/>
  <c r="BL236"/>
  <c r="CS236"/>
  <c r="CT236" s="1"/>
  <c r="BL230"/>
  <c r="CS230"/>
  <c r="BL220"/>
  <c r="CS220"/>
  <c r="CT220" s="1"/>
  <c r="BL214"/>
  <c r="CS214"/>
  <c r="BL204"/>
  <c r="CS204"/>
  <c r="CT204" s="1"/>
  <c r="BL198"/>
  <c r="CS198"/>
  <c r="BL187"/>
  <c r="CS187"/>
  <c r="CT187"/>
  <c r="BL182"/>
  <c r="CS182"/>
  <c r="BL178"/>
  <c r="CS178"/>
  <c r="BL174"/>
  <c r="CS174"/>
  <c r="BL170"/>
  <c r="CS170"/>
  <c r="BL166"/>
  <c r="CS166"/>
  <c r="BL162"/>
  <c r="CS162"/>
  <c r="BL158"/>
  <c r="CS158"/>
  <c r="BL154"/>
  <c r="CS154"/>
  <c r="BL150"/>
  <c r="CS150"/>
  <c r="BL146"/>
  <c r="CS146"/>
  <c r="BL142"/>
  <c r="CS142"/>
  <c r="BL138"/>
  <c r="CS138"/>
  <c r="BL134"/>
  <c r="CS134"/>
  <c r="BL130"/>
  <c r="CS130"/>
  <c r="BL126"/>
  <c r="CS126"/>
  <c r="BL122"/>
  <c r="CS122"/>
  <c r="BL118"/>
  <c r="CS118"/>
  <c r="BL114"/>
  <c r="CS114"/>
  <c r="BL110"/>
  <c r="CS110"/>
  <c r="BL103"/>
  <c r="CS103"/>
  <c r="CT103" s="1"/>
  <c r="BL97"/>
  <c r="CS97"/>
  <c r="BP90"/>
  <c r="CY90"/>
  <c r="BL85"/>
  <c r="CS85"/>
  <c r="BL78"/>
  <c r="CS78"/>
  <c r="BL71"/>
  <c r="CS71"/>
  <c r="CT71"/>
  <c r="BL297"/>
  <c r="CS297"/>
  <c r="BL291"/>
  <c r="CS291"/>
  <c r="CT291"/>
  <c r="BL281"/>
  <c r="CS281"/>
  <c r="BL275"/>
  <c r="CS275"/>
  <c r="CT275" s="1"/>
  <c r="BL265"/>
  <c r="CS265"/>
  <c r="BL259"/>
  <c r="CS259"/>
  <c r="CT259" s="1"/>
  <c r="BL249"/>
  <c r="CS249"/>
  <c r="BL243"/>
  <c r="CS243"/>
  <c r="CT243"/>
  <c r="BL233"/>
  <c r="CS233"/>
  <c r="BL227"/>
  <c r="CS227"/>
  <c r="CT227" s="1"/>
  <c r="BL217"/>
  <c r="CS217"/>
  <c r="BL211"/>
  <c r="CS211"/>
  <c r="CT211" s="1"/>
  <c r="BL201"/>
  <c r="CS201"/>
  <c r="BL195"/>
  <c r="CS195"/>
  <c r="CT195" s="1"/>
  <c r="BL188"/>
  <c r="CS188"/>
  <c r="CT188" s="1"/>
  <c r="BL92"/>
  <c r="CS92"/>
  <c r="CT92"/>
  <c r="BP60"/>
  <c r="CY60"/>
  <c r="BJ295"/>
  <c r="CP295"/>
  <c r="BJ286"/>
  <c r="CP286"/>
  <c r="BJ276"/>
  <c r="CP276"/>
  <c r="BJ263"/>
  <c r="CP263"/>
  <c r="BJ254"/>
  <c r="CP254"/>
  <c r="CQ254" s="1"/>
  <c r="BJ244"/>
  <c r="CP244"/>
  <c r="BJ231"/>
  <c r="CP231"/>
  <c r="BJ222"/>
  <c r="CP222"/>
  <c r="CQ222" s="1"/>
  <c r="BJ212"/>
  <c r="CP212"/>
  <c r="BJ199"/>
  <c r="CP199"/>
  <c r="BJ190"/>
  <c r="CP190"/>
  <c r="BN107"/>
  <c r="CV107"/>
  <c r="BJ96"/>
  <c r="CP96"/>
  <c r="BJ84"/>
  <c r="CP84"/>
  <c r="BN75"/>
  <c r="CV75"/>
  <c r="BJ301"/>
  <c r="CP301"/>
  <c r="BJ296"/>
  <c r="CP296"/>
  <c r="BJ285"/>
  <c r="CP285"/>
  <c r="BJ280"/>
  <c r="CP280"/>
  <c r="BJ269"/>
  <c r="CP269"/>
  <c r="BJ264"/>
  <c r="CP264"/>
  <c r="BJ253"/>
  <c r="CP253"/>
  <c r="BJ248"/>
  <c r="CP248"/>
  <c r="BJ237"/>
  <c r="CP237"/>
  <c r="BJ232"/>
  <c r="CP232"/>
  <c r="BJ221"/>
  <c r="CP221"/>
  <c r="BJ216"/>
  <c r="CP216"/>
  <c r="BJ205"/>
  <c r="CP205"/>
  <c r="BJ200"/>
  <c r="CP200"/>
  <c r="BJ189"/>
  <c r="CP189"/>
  <c r="BJ181"/>
  <c r="CP181"/>
  <c r="BJ177"/>
  <c r="CP177"/>
  <c r="BJ173"/>
  <c r="CP173"/>
  <c r="BJ169"/>
  <c r="CP169"/>
  <c r="BJ165"/>
  <c r="CP165"/>
  <c r="BJ161"/>
  <c r="CP161"/>
  <c r="BJ157"/>
  <c r="CP157"/>
  <c r="BJ153"/>
  <c r="CP153"/>
  <c r="BJ149"/>
  <c r="CP149"/>
  <c r="BJ145"/>
  <c r="CP145"/>
  <c r="BJ141"/>
  <c r="CP141"/>
  <c r="BJ137"/>
  <c r="CP137"/>
  <c r="BJ133"/>
  <c r="CP133"/>
  <c r="BJ129"/>
  <c r="CP129"/>
  <c r="BJ125"/>
  <c r="CP125"/>
  <c r="BJ121"/>
  <c r="CP121"/>
  <c r="BJ117"/>
  <c r="CP117"/>
  <c r="BJ113"/>
  <c r="CP113"/>
  <c r="BJ109"/>
  <c r="CP109"/>
  <c r="BJ98"/>
  <c r="CP98"/>
  <c r="BJ93"/>
  <c r="CP93"/>
  <c r="BJ82"/>
  <c r="CP82"/>
  <c r="CQ82"/>
  <c r="BJ77"/>
  <c r="CP77"/>
  <c r="BJ66"/>
  <c r="CP66"/>
  <c r="CQ66" s="1"/>
  <c r="BJ61"/>
  <c r="CP61"/>
  <c r="S12"/>
  <c r="CU12"/>
  <c r="O19"/>
  <c r="CO19"/>
  <c r="CQ19"/>
  <c r="O35"/>
  <c r="CO35"/>
  <c r="CQ35" s="1"/>
  <c r="Q6"/>
  <c r="CR6"/>
  <c r="CT6" s="1"/>
  <c r="Q14"/>
  <c r="CR14"/>
  <c r="Q22"/>
  <c r="CR22"/>
  <c r="CT22" s="1"/>
  <c r="Q30"/>
  <c r="CR30"/>
  <c r="Q38"/>
  <c r="CR38"/>
  <c r="CT38"/>
  <c r="Q46"/>
  <c r="CR46"/>
  <c r="Q54"/>
  <c r="CR54"/>
  <c r="CT54" s="1"/>
  <c r="Q62"/>
  <c r="CR62"/>
  <c r="CT62"/>
  <c r="Q70"/>
  <c r="CR70"/>
  <c r="Q78"/>
  <c r="CR78"/>
  <c r="CT78" s="1"/>
  <c r="Q86"/>
  <c r="CR86"/>
  <c r="Q94"/>
  <c r="CR94"/>
  <c r="CT94" s="1"/>
  <c r="Q102"/>
  <c r="CR102"/>
  <c r="CT102" s="1"/>
  <c r="Q110"/>
  <c r="CR110"/>
  <c r="Q118"/>
  <c r="CR118"/>
  <c r="CT118"/>
  <c r="Q126"/>
  <c r="CR126"/>
  <c r="Q134"/>
  <c r="CR134"/>
  <c r="CT134"/>
  <c r="Q142"/>
  <c r="CR142"/>
  <c r="Q150"/>
  <c r="CR150"/>
  <c r="CT150" s="1"/>
  <c r="Q158"/>
  <c r="CR158"/>
  <c r="Q166"/>
  <c r="CR166"/>
  <c r="CT166" s="1"/>
  <c r="Q174"/>
  <c r="CR174"/>
  <c r="Q182"/>
  <c r="CR182"/>
  <c r="CT182" s="1"/>
  <c r="Q190"/>
  <c r="CR190"/>
  <c r="Q198"/>
  <c r="CR198"/>
  <c r="CT198"/>
  <c r="Q206"/>
  <c r="CR206"/>
  <c r="Q214"/>
  <c r="CR214"/>
  <c r="CT214" s="1"/>
  <c r="Q222"/>
  <c r="CR222"/>
  <c r="Q230"/>
  <c r="CR230"/>
  <c r="CT230" s="1"/>
  <c r="Q238"/>
  <c r="CR238"/>
  <c r="Q246"/>
  <c r="CR246"/>
  <c r="CT246" s="1"/>
  <c r="Q254"/>
  <c r="CR254"/>
  <c r="Q262"/>
  <c r="CR262"/>
  <c r="CT262"/>
  <c r="Q270"/>
  <c r="CR270"/>
  <c r="Q278"/>
  <c r="CR278"/>
  <c r="CT278" s="1"/>
  <c r="Q286"/>
  <c r="CR286"/>
  <c r="Q294"/>
  <c r="CR294"/>
  <c r="CT294" s="1"/>
  <c r="Q302"/>
  <c r="CR302"/>
  <c r="AP7"/>
  <c r="DH7"/>
  <c r="DJ7"/>
  <c r="AP15"/>
  <c r="DH15"/>
  <c r="DJ15" s="1"/>
  <c r="AP23"/>
  <c r="DH23"/>
  <c r="DJ23" s="1"/>
  <c r="AP31"/>
  <c r="DH31"/>
  <c r="DJ31"/>
  <c r="AP39"/>
  <c r="DH39"/>
  <c r="DJ39"/>
  <c r="AP47"/>
  <c r="DH47"/>
  <c r="AP55"/>
  <c r="DH55"/>
  <c r="DJ55"/>
  <c r="AP63"/>
  <c r="DH63"/>
  <c r="AP71"/>
  <c r="DH71"/>
  <c r="AP79"/>
  <c r="DH79"/>
  <c r="DJ79" s="1"/>
  <c r="AP87"/>
  <c r="DH87"/>
  <c r="DJ87" s="1"/>
  <c r="AP95"/>
  <c r="DH95"/>
  <c r="DJ95" s="1"/>
  <c r="AP103"/>
  <c r="DH103"/>
  <c r="DJ103"/>
  <c r="AP111"/>
  <c r="DH111"/>
  <c r="DJ111" s="1"/>
  <c r="AP119"/>
  <c r="DH119"/>
  <c r="DJ119" s="1"/>
  <c r="AP127"/>
  <c r="DH127"/>
  <c r="AP135"/>
  <c r="DH135"/>
  <c r="DJ135"/>
  <c r="AP143"/>
  <c r="DH143"/>
  <c r="AP151"/>
  <c r="DH151"/>
  <c r="DJ151"/>
  <c r="AP159"/>
  <c r="DH159"/>
  <c r="AP167"/>
  <c r="DH167"/>
  <c r="DJ167" s="1"/>
  <c r="AP175"/>
  <c r="DH175"/>
  <c r="AP183"/>
  <c r="DH183"/>
  <c r="AP191"/>
  <c r="DH191"/>
  <c r="DJ191" s="1"/>
  <c r="AP199"/>
  <c r="DH199"/>
  <c r="DJ199"/>
  <c r="AR207"/>
  <c r="DK207"/>
  <c r="DM207" s="1"/>
  <c r="AP211"/>
  <c r="DH211"/>
  <c r="DJ211" s="1"/>
  <c r="AL217"/>
  <c r="DB217"/>
  <c r="DD217" s="1"/>
  <c r="AR223"/>
  <c r="DK223"/>
  <c r="DM223"/>
  <c r="AP227"/>
  <c r="DH227"/>
  <c r="DJ227" s="1"/>
  <c r="AL233"/>
  <c r="DB233"/>
  <c r="DD233" s="1"/>
  <c r="AR239"/>
  <c r="DK239"/>
  <c r="DM239" s="1"/>
  <c r="AP243"/>
  <c r="DH243"/>
  <c r="DJ243"/>
  <c r="AL249"/>
  <c r="DB249"/>
  <c r="AR255"/>
  <c r="DK255"/>
  <c r="DM255" s="1"/>
  <c r="AP259"/>
  <c r="DH259"/>
  <c r="DJ259" s="1"/>
  <c r="AL265"/>
  <c r="DB265"/>
  <c r="DD265"/>
  <c r="AR271"/>
  <c r="DK271"/>
  <c r="DM271" s="1"/>
  <c r="AP275"/>
  <c r="DH275"/>
  <c r="AL281"/>
  <c r="DB281"/>
  <c r="DD281"/>
  <c r="AR287"/>
  <c r="DK287"/>
  <c r="DM287" s="1"/>
  <c r="AP291"/>
  <c r="DH291"/>
  <c r="DJ291" s="1"/>
  <c r="AL297"/>
  <c r="DB297"/>
  <c r="DD297" s="1"/>
  <c r="AR303"/>
  <c r="DK303"/>
  <c r="DM303"/>
  <c r="BJ6"/>
  <c r="CP6"/>
  <c r="CQ6" s="1"/>
  <c r="BJ10"/>
  <c r="CP10"/>
  <c r="CQ10" s="1"/>
  <c r="BJ14"/>
  <c r="CP14"/>
  <c r="CQ14" s="1"/>
  <c r="BJ18"/>
  <c r="CP18"/>
  <c r="CQ18"/>
  <c r="BJ22"/>
  <c r="CP22"/>
  <c r="CQ22" s="1"/>
  <c r="BJ26"/>
  <c r="CP26"/>
  <c r="CQ26" s="1"/>
  <c r="BJ30"/>
  <c r="CP30"/>
  <c r="CQ30" s="1"/>
  <c r="BJ34"/>
  <c r="CP34"/>
  <c r="CQ34"/>
  <c r="BJ38"/>
  <c r="CP38"/>
  <c r="CQ38" s="1"/>
  <c r="BJ42"/>
  <c r="CP42"/>
  <c r="CQ42" s="1"/>
  <c r="CG46"/>
  <c r="DC46"/>
  <c r="CG50"/>
  <c r="DC50"/>
  <c r="CK53"/>
  <c r="DI53"/>
  <c r="CK59"/>
  <c r="DI59"/>
  <c r="CI63"/>
  <c r="DF63"/>
  <c r="BJ67"/>
  <c r="CP67"/>
  <c r="CK69"/>
  <c r="DI69"/>
  <c r="BX172" i="10"/>
  <c r="CU172"/>
  <c r="BX104"/>
  <c r="CU104"/>
  <c r="BX48"/>
  <c r="CU48"/>
  <c r="BB19"/>
  <c r="CH19"/>
  <c r="BX180"/>
  <c r="CU180"/>
  <c r="BX132"/>
  <c r="CU132"/>
  <c r="BX69"/>
  <c r="CU69"/>
  <c r="BX5"/>
  <c r="CU5"/>
  <c r="BP83" i="15"/>
  <c r="CY83"/>
  <c r="CK52"/>
  <c r="DI52"/>
  <c r="DJ52" s="1"/>
  <c r="BJ234"/>
  <c r="CP234"/>
  <c r="CQ234" s="1"/>
  <c r="CM243"/>
  <c r="DL243"/>
  <c r="AN85"/>
  <c r="DE85"/>
  <c r="DG85" s="1"/>
  <c r="AN213"/>
  <c r="DE213"/>
  <c r="DG213" s="1"/>
  <c r="AP36"/>
  <c r="DH36"/>
  <c r="DJ36"/>
  <c r="U43"/>
  <c r="CX43"/>
  <c r="CZ43" s="1"/>
  <c r="U171"/>
  <c r="CX171"/>
  <c r="CZ171" s="1"/>
  <c r="U299"/>
  <c r="CX299"/>
  <c r="U20"/>
  <c r="CX20"/>
  <c r="U148"/>
  <c r="CX148"/>
  <c r="U276"/>
  <c r="CX276"/>
  <c r="CZ276" s="1"/>
  <c r="CM275"/>
  <c r="DL275"/>
  <c r="AN293"/>
  <c r="DE293"/>
  <c r="DG293"/>
  <c r="S306"/>
  <c r="CU306"/>
  <c r="CW306" s="1"/>
  <c r="U196"/>
  <c r="CX196"/>
  <c r="CZ196" s="1"/>
  <c r="AR244"/>
  <c r="DK244"/>
  <c r="DM244" s="1"/>
  <c r="BP17"/>
  <c r="CY17"/>
  <c r="CZ17"/>
  <c r="BP56"/>
  <c r="CY56"/>
  <c r="CM228"/>
  <c r="DL228"/>
  <c r="AR36"/>
  <c r="DK36"/>
  <c r="AR164"/>
  <c r="DK164"/>
  <c r="DM164" s="1"/>
  <c r="AR292"/>
  <c r="DK292"/>
  <c r="DM292" s="1"/>
  <c r="S14"/>
  <c r="CU14"/>
  <c r="CW14"/>
  <c r="BN13"/>
  <c r="CV13"/>
  <c r="AN165"/>
  <c r="DE165"/>
  <c r="DG165" s="1"/>
  <c r="U27"/>
  <c r="CX27"/>
  <c r="CZ27"/>
  <c r="U187"/>
  <c r="CX187"/>
  <c r="CZ187" s="1"/>
  <c r="O258"/>
  <c r="CO258"/>
  <c r="CQ258" s="1"/>
  <c r="BN17"/>
  <c r="CV17"/>
  <c r="BJ54"/>
  <c r="CP54"/>
  <c r="CQ54"/>
  <c r="BJ226"/>
  <c r="CP226"/>
  <c r="CM291"/>
  <c r="DL291"/>
  <c r="AN109"/>
  <c r="DE109"/>
  <c r="DG109" s="1"/>
  <c r="AN237"/>
  <c r="DE237"/>
  <c r="DG237" s="1"/>
  <c r="AP76"/>
  <c r="DH76"/>
  <c r="DJ76"/>
  <c r="S290"/>
  <c r="CU290"/>
  <c r="CW290" s="1"/>
  <c r="U131"/>
  <c r="CX131"/>
  <c r="CZ131" s="1"/>
  <c r="U259"/>
  <c r="CX259"/>
  <c r="CZ259" s="1"/>
  <c r="O98"/>
  <c r="CO98"/>
  <c r="CQ98"/>
  <c r="U108"/>
  <c r="CX108"/>
  <c r="CZ108"/>
  <c r="U236"/>
  <c r="CX236"/>
  <c r="CZ236" s="1"/>
  <c r="AN5"/>
  <c r="DE5"/>
  <c r="DG5" s="1"/>
  <c r="U219"/>
  <c r="CX219"/>
  <c r="CZ219"/>
  <c r="U132"/>
  <c r="CX132"/>
  <c r="S114"/>
  <c r="CU114"/>
  <c r="CW114" s="1"/>
  <c r="BP45"/>
  <c r="CY45"/>
  <c r="CZ45"/>
  <c r="CG291"/>
  <c r="DC291"/>
  <c r="CG301"/>
  <c r="DC301"/>
  <c r="AR124"/>
  <c r="DK124"/>
  <c r="DM124" s="1"/>
  <c r="AR252"/>
  <c r="DK252"/>
  <c r="DM252" s="1"/>
  <c r="AP300"/>
  <c r="DH300"/>
  <c r="DJ300" s="1"/>
  <c r="S234"/>
  <c r="CU234"/>
  <c r="CW234"/>
  <c r="CB184" i="10"/>
  <c r="DA184"/>
  <c r="U155" i="15"/>
  <c r="CX155"/>
  <c r="CZ155" s="1"/>
  <c r="CM212"/>
  <c r="DL212"/>
  <c r="AR52"/>
  <c r="DK52"/>
  <c r="DM52" s="1"/>
  <c r="S74"/>
  <c r="CU74"/>
  <c r="CW74" s="1"/>
  <c r="DD20"/>
  <c r="DD36"/>
  <c r="DD148"/>
  <c r="DD204"/>
  <c r="DD228"/>
  <c r="DD244"/>
  <c r="DD260"/>
  <c r="DD276"/>
  <c r="DD292"/>
  <c r="CT17"/>
  <c r="CT55"/>
  <c r="CT279"/>
  <c r="CQ182"/>
  <c r="DG288"/>
  <c r="CQ154"/>
  <c r="DG232"/>
  <c r="DG216"/>
  <c r="DG88"/>
  <c r="DD88"/>
  <c r="DG144"/>
  <c r="DG240"/>
  <c r="DD192"/>
  <c r="DD16"/>
  <c r="DD200"/>
  <c r="DM257"/>
  <c r="BN31"/>
  <c r="CV31"/>
  <c r="CK84"/>
  <c r="DI84"/>
  <c r="AN17"/>
  <c r="DE17"/>
  <c r="DG17" s="1"/>
  <c r="AN121"/>
  <c r="DE121"/>
  <c r="DG121"/>
  <c r="AN221"/>
  <c r="DE221"/>
  <c r="DG221"/>
  <c r="U92"/>
  <c r="CX92"/>
  <c r="U192"/>
  <c r="CX192"/>
  <c r="U296"/>
  <c r="CX296"/>
  <c r="CZ296" s="1"/>
  <c r="DM84"/>
  <c r="CK275"/>
  <c r="DI275"/>
  <c r="BN35"/>
  <c r="CV35"/>
  <c r="CK217"/>
  <c r="DI217"/>
  <c r="AN97"/>
  <c r="DE97"/>
  <c r="DG97"/>
  <c r="AN201"/>
  <c r="DE201"/>
  <c r="DG201" s="1"/>
  <c r="DG281"/>
  <c r="DM24"/>
  <c r="DM76"/>
  <c r="DM128"/>
  <c r="DM176"/>
  <c r="DM232"/>
  <c r="DM280"/>
  <c r="DJ40"/>
  <c r="DJ192"/>
  <c r="DJ168"/>
  <c r="DJ264"/>
  <c r="CW230"/>
  <c r="CZ23"/>
  <c r="CZ79"/>
  <c r="CZ127"/>
  <c r="U72"/>
  <c r="CX72"/>
  <c r="U176"/>
  <c r="CX176"/>
  <c r="U280"/>
  <c r="CX280"/>
  <c r="CZ280" s="1"/>
  <c r="CT268"/>
  <c r="DM13"/>
  <c r="DM101"/>
  <c r="CW286"/>
  <c r="CW198"/>
  <c r="DD108"/>
  <c r="DM241"/>
  <c r="CT20"/>
  <c r="CT36"/>
  <c r="CT68"/>
  <c r="CT108"/>
  <c r="CT124"/>
  <c r="CT156"/>
  <c r="CT172"/>
  <c r="DM37"/>
  <c r="DM93"/>
  <c r="DM117"/>
  <c r="DM149"/>
  <c r="DM181"/>
  <c r="DM221"/>
  <c r="DM261"/>
  <c r="DM293"/>
  <c r="CQ150"/>
  <c r="CT24"/>
  <c r="CQ270"/>
  <c r="DG64"/>
  <c r="DM49"/>
  <c r="CQ50"/>
  <c r="CQ114"/>
  <c r="CQ146"/>
  <c r="CW166"/>
  <c r="CW250"/>
  <c r="Q33"/>
  <c r="CR33"/>
  <c r="CT33" s="1"/>
  <c r="BN15"/>
  <c r="CV15"/>
  <c r="CG201"/>
  <c r="DC201"/>
  <c r="CG253"/>
  <c r="DC253"/>
  <c r="AN89"/>
  <c r="DE89"/>
  <c r="DG89" s="1"/>
  <c r="AN189"/>
  <c r="DE189"/>
  <c r="DG189" s="1"/>
  <c r="U60"/>
  <c r="CX60"/>
  <c r="U160"/>
  <c r="CX160"/>
  <c r="CZ160" s="1"/>
  <c r="U264"/>
  <c r="CX264"/>
  <c r="CZ264" s="1"/>
  <c r="O60" i="8"/>
  <c r="Q60" s="1"/>
  <c r="Q193" i="12"/>
  <c r="BR163" i="10" s="1"/>
  <c r="BW163" s="1"/>
  <c r="S209" i="12"/>
  <c r="BT179" i="10"/>
  <c r="CA179" s="1"/>
  <c r="S238" i="12"/>
  <c r="BT208" i="10" s="1"/>
  <c r="CA208" s="1"/>
  <c r="Q62" i="12"/>
  <c r="BR32" i="10" s="1"/>
  <c r="BW32" s="1"/>
  <c r="S149" i="12"/>
  <c r="BT119" i="10" s="1"/>
  <c r="CA119" s="1"/>
  <c r="Q125" i="12"/>
  <c r="BR95" i="10"/>
  <c r="BW95" s="1"/>
  <c r="P114" i="12"/>
  <c r="BQ84" i="10" s="1"/>
  <c r="BU84" s="1"/>
  <c r="S286" i="12"/>
  <c r="BT256" i="10" s="1"/>
  <c r="CA256" s="1"/>
  <c r="I43" i="12"/>
  <c r="AX13" i="10" s="1"/>
  <c r="BE13" s="1"/>
  <c r="S45" i="12"/>
  <c r="BT15" i="10"/>
  <c r="CA15"/>
  <c r="S161" i="12"/>
  <c r="BT131" i="10" s="1"/>
  <c r="CA131" s="1"/>
  <c r="S262" i="12"/>
  <c r="BT232" i="10" s="1"/>
  <c r="CA232" s="1"/>
  <c r="S181" i="12"/>
  <c r="BT151" i="10"/>
  <c r="CA151" s="1"/>
  <c r="S250" i="12"/>
  <c r="BT220" i="10"/>
  <c r="CA220"/>
  <c r="R82" i="12"/>
  <c r="BS52" i="10" s="1"/>
  <c r="BY52" s="1"/>
  <c r="S197" i="12"/>
  <c r="BT167" i="10" s="1"/>
  <c r="CA167" s="1"/>
  <c r="S157" i="12"/>
  <c r="BT127" i="10"/>
  <c r="CA127" s="1"/>
  <c r="S34" i="12"/>
  <c r="BT4" i="10"/>
  <c r="CA4"/>
  <c r="R144" i="12"/>
  <c r="BS114" i="10" s="1"/>
  <c r="BY114" s="1"/>
  <c r="S249" i="12"/>
  <c r="BT219" i="10" s="1"/>
  <c r="CA219" s="1"/>
  <c r="Q44" i="12"/>
  <c r="BR14" i="10"/>
  <c r="BW14" s="1"/>
  <c r="S90" i="12"/>
  <c r="BT60" i="10"/>
  <c r="CA60"/>
  <c r="Q38" i="12"/>
  <c r="BR8" i="10" s="1"/>
  <c r="BW8" s="1"/>
  <c r="P86" i="12"/>
  <c r="BQ56" i="10" s="1"/>
  <c r="BU56" s="1"/>
  <c r="Q274" i="12"/>
  <c r="BR244" i="10"/>
  <c r="BW244" s="1"/>
  <c r="S165" i="12"/>
  <c r="BT135" i="10"/>
  <c r="CA135"/>
  <c r="Q50" i="12"/>
  <c r="BR20" i="10" s="1"/>
  <c r="BW20" s="1"/>
  <c r="B21" i="12"/>
  <c r="F21" s="1"/>
  <c r="C20"/>
  <c r="G20"/>
  <c r="C27"/>
  <c r="G27" s="1"/>
  <c r="AX17" i="19"/>
  <c r="BC17"/>
  <c r="BD17" s="1"/>
  <c r="C25" i="5"/>
  <c r="C27"/>
  <c r="G27" s="1"/>
  <c r="O297"/>
  <c r="O296"/>
  <c r="O295"/>
  <c r="O294"/>
  <c r="O293"/>
  <c r="O292"/>
  <c r="O291"/>
  <c r="O290"/>
  <c r="O289"/>
  <c r="O288"/>
  <c r="O287"/>
  <c r="O286"/>
  <c r="O285"/>
  <c r="O284"/>
  <c r="O283"/>
  <c r="O282"/>
  <c r="O281"/>
  <c r="O280"/>
  <c r="O279"/>
  <c r="O278"/>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198"/>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O145"/>
  <c r="O144"/>
  <c r="O143"/>
  <c r="O142"/>
  <c r="O141"/>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39"/>
  <c r="O37"/>
  <c r="O35"/>
  <c r="O34"/>
  <c r="O47"/>
  <c r="O46"/>
  <c r="O45"/>
  <c r="O44"/>
  <c r="O43"/>
  <c r="O42"/>
  <c r="O41"/>
  <c r="O40"/>
  <c r="O38"/>
  <c r="O36"/>
  <c r="O33"/>
  <c r="O54" i="8"/>
  <c r="Q54"/>
  <c r="F54"/>
  <c r="J54" s="1"/>
  <c r="P63" i="12"/>
  <c r="BQ33" i="10"/>
  <c r="BU33"/>
  <c r="B25" i="5"/>
  <c r="B26"/>
  <c r="F26"/>
  <c r="N297"/>
  <c r="N296"/>
  <c r="N295"/>
  <c r="N294"/>
  <c r="N293"/>
  <c r="N292"/>
  <c r="N291"/>
  <c r="N290"/>
  <c r="N289"/>
  <c r="N288"/>
  <c r="N287"/>
  <c r="N286"/>
  <c r="N285"/>
  <c r="N284"/>
  <c r="N283"/>
  <c r="N282"/>
  <c r="N281"/>
  <c r="N280"/>
  <c r="N279"/>
  <c r="N278"/>
  <c r="N277"/>
  <c r="N276"/>
  <c r="N275"/>
  <c r="N274"/>
  <c r="N273"/>
  <c r="N272"/>
  <c r="N271"/>
  <c r="N270"/>
  <c r="N269"/>
  <c r="N268"/>
  <c r="N267"/>
  <c r="N266"/>
  <c r="N265"/>
  <c r="N264"/>
  <c r="N263"/>
  <c r="N262"/>
  <c r="N261"/>
  <c r="N260"/>
  <c r="N259"/>
  <c r="N258"/>
  <c r="N257"/>
  <c r="N256"/>
  <c r="N255"/>
  <c r="N254"/>
  <c r="N253"/>
  <c r="N252"/>
  <c r="N251"/>
  <c r="N250"/>
  <c r="N249"/>
  <c r="N248"/>
  <c r="N247"/>
  <c r="N246"/>
  <c r="N245"/>
  <c r="N244"/>
  <c r="N243"/>
  <c r="N242"/>
  <c r="N241"/>
  <c r="N240"/>
  <c r="N239"/>
  <c r="N238"/>
  <c r="N237"/>
  <c r="N236"/>
  <c r="N235"/>
  <c r="N234"/>
  <c r="N233"/>
  <c r="N232"/>
  <c r="N231"/>
  <c r="N230"/>
  <c r="N229"/>
  <c r="N228"/>
  <c r="N227"/>
  <c r="N226"/>
  <c r="N225"/>
  <c r="N224"/>
  <c r="N223"/>
  <c r="N222"/>
  <c r="N221"/>
  <c r="N220"/>
  <c r="N219"/>
  <c r="N218"/>
  <c r="N217"/>
  <c r="N216"/>
  <c r="N215"/>
  <c r="N214"/>
  <c r="N213"/>
  <c r="N212"/>
  <c r="N211"/>
  <c r="N210"/>
  <c r="N209"/>
  <c r="N208"/>
  <c r="N207"/>
  <c r="N206"/>
  <c r="N205"/>
  <c r="N204"/>
  <c r="N203"/>
  <c r="N202"/>
  <c r="N201"/>
  <c r="N200"/>
  <c r="N199"/>
  <c r="N198"/>
  <c r="N197"/>
  <c r="N196"/>
  <c r="N195"/>
  <c r="N194"/>
  <c r="N193"/>
  <c r="N192"/>
  <c r="N191"/>
  <c r="N190"/>
  <c r="N189"/>
  <c r="N188"/>
  <c r="N187"/>
  <c r="N186"/>
  <c r="N185"/>
  <c r="N184"/>
  <c r="N183"/>
  <c r="N182"/>
  <c r="N181"/>
  <c r="N180"/>
  <c r="N179"/>
  <c r="N178"/>
  <c r="N177"/>
  <c r="N176"/>
  <c r="N175"/>
  <c r="N174"/>
  <c r="N173"/>
  <c r="N172"/>
  <c r="N171"/>
  <c r="N170"/>
  <c r="N169"/>
  <c r="N168"/>
  <c r="N167"/>
  <c r="N166"/>
  <c r="N165"/>
  <c r="N164"/>
  <c r="N163"/>
  <c r="N162"/>
  <c r="N161"/>
  <c r="N160"/>
  <c r="N159"/>
  <c r="N158"/>
  <c r="N157"/>
  <c r="N156"/>
  <c r="N155"/>
  <c r="N154"/>
  <c r="N153"/>
  <c r="N152"/>
  <c r="N151"/>
  <c r="N150"/>
  <c r="N149"/>
  <c r="N148"/>
  <c r="N147"/>
  <c r="N146"/>
  <c r="N145"/>
  <c r="N144"/>
  <c r="N143"/>
  <c r="N142"/>
  <c r="N141"/>
  <c r="N140"/>
  <c r="N139"/>
  <c r="N138"/>
  <c r="N137"/>
  <c r="N136"/>
  <c r="N135"/>
  <c r="N134"/>
  <c r="N133"/>
  <c r="N132"/>
  <c r="N131"/>
  <c r="N130"/>
  <c r="N129"/>
  <c r="N128"/>
  <c r="N127"/>
  <c r="N126"/>
  <c r="N125"/>
  <c r="N124"/>
  <c r="N123"/>
  <c r="N122"/>
  <c r="N121"/>
  <c r="N120"/>
  <c r="N119"/>
  <c r="N118"/>
  <c r="N117"/>
  <c r="N116"/>
  <c r="N115"/>
  <c r="N114"/>
  <c r="N113"/>
  <c r="N112"/>
  <c r="N111"/>
  <c r="N110"/>
  <c r="N109"/>
  <c r="N108"/>
  <c r="N107"/>
  <c r="N106"/>
  <c r="N105"/>
  <c r="N104"/>
  <c r="N103"/>
  <c r="N102"/>
  <c r="N101"/>
  <c r="N100"/>
  <c r="N99"/>
  <c r="N98"/>
  <c r="N97"/>
  <c r="N96"/>
  <c r="N95"/>
  <c r="N94"/>
  <c r="N93"/>
  <c r="N92"/>
  <c r="N91"/>
  <c r="N90"/>
  <c r="N89"/>
  <c r="N88"/>
  <c r="N87"/>
  <c r="N86"/>
  <c r="N85"/>
  <c r="N84"/>
  <c r="N83"/>
  <c r="N82"/>
  <c r="N81"/>
  <c r="N80"/>
  <c r="N79"/>
  <c r="N78"/>
  <c r="N77"/>
  <c r="N76"/>
  <c r="N75"/>
  <c r="N74"/>
  <c r="N73"/>
  <c r="N72"/>
  <c r="N71"/>
  <c r="N70"/>
  <c r="N69"/>
  <c r="N68"/>
  <c r="N67"/>
  <c r="N66"/>
  <c r="N65"/>
  <c r="N64"/>
  <c r="N63"/>
  <c r="N62"/>
  <c r="N61"/>
  <c r="N60"/>
  <c r="N59"/>
  <c r="N58"/>
  <c r="N57"/>
  <c r="N56"/>
  <c r="N55"/>
  <c r="N54"/>
  <c r="N53"/>
  <c r="N52"/>
  <c r="N51"/>
  <c r="N50"/>
  <c r="N49"/>
  <c r="N48"/>
  <c r="N47"/>
  <c r="N46"/>
  <c r="N45"/>
  <c r="N44"/>
  <c r="N43"/>
  <c r="N42"/>
  <c r="N41"/>
  <c r="N40"/>
  <c r="N39"/>
  <c r="N38"/>
  <c r="N37"/>
  <c r="N36"/>
  <c r="N35"/>
  <c r="N34"/>
  <c r="N33"/>
  <c r="Q65" i="18"/>
  <c r="Z5" i="19"/>
  <c r="AG5"/>
  <c r="AH5" s="1"/>
  <c r="G65" i="18"/>
  <c r="O65"/>
  <c r="I65"/>
  <c r="R84" i="12"/>
  <c r="BS54" i="10" s="1"/>
  <c r="BY54" s="1"/>
  <c r="S265" i="12"/>
  <c r="BT235" i="10" s="1"/>
  <c r="CA235" s="1"/>
  <c r="Q285" i="12"/>
  <c r="BR255" i="10"/>
  <c r="BW255" s="1"/>
  <c r="S59" i="12"/>
  <c r="BT29" i="10" s="1"/>
  <c r="CA29" s="1"/>
  <c r="Q129" i="12"/>
  <c r="BR99" i="10" s="1"/>
  <c r="BW99" s="1"/>
  <c r="S87" i="12"/>
  <c r="BT57" i="10" s="1"/>
  <c r="CA57" s="1"/>
  <c r="S295" i="12"/>
  <c r="BT265" i="10"/>
  <c r="CA265" s="1"/>
  <c r="Q46" i="12"/>
  <c r="BR16" i="10"/>
  <c r="BW16"/>
  <c r="S111" i="12"/>
  <c r="BT81" i="10" s="1"/>
  <c r="CA81" s="1"/>
  <c r="P88" i="12"/>
  <c r="BQ58" i="10" s="1"/>
  <c r="BU58" s="1"/>
  <c r="S269" i="12"/>
  <c r="BT239" i="10"/>
  <c r="CA239" s="1"/>
  <c r="P138" i="12"/>
  <c r="BQ108" i="10" s="1"/>
  <c r="BU108" s="1"/>
  <c r="S118" i="12"/>
  <c r="BT88" i="10" s="1"/>
  <c r="CA88" s="1"/>
  <c r="S102" i="12"/>
  <c r="BT72" i="10" s="1"/>
  <c r="CA72" s="1"/>
  <c r="Q201" i="12"/>
  <c r="BR171" i="10"/>
  <c r="BW171" s="1"/>
  <c r="S245" i="12"/>
  <c r="BT215" i="10"/>
  <c r="CA215"/>
  <c r="P196" i="12"/>
  <c r="BQ166" i="10" s="1"/>
  <c r="BU166" s="1"/>
  <c r="S153" i="12"/>
  <c r="BT123" i="10" s="1"/>
  <c r="CA123" s="1"/>
  <c r="P216" i="12"/>
  <c r="BQ186" i="10"/>
  <c r="BU186" s="1"/>
  <c r="S127" i="12"/>
  <c r="BT97" i="10" s="1"/>
  <c r="CA97" s="1"/>
  <c r="S81" i="12"/>
  <c r="BT51" i="10" s="1"/>
  <c r="CA51" s="1"/>
  <c r="S101" i="12"/>
  <c r="BT71" i="10" s="1"/>
  <c r="CA71" s="1"/>
  <c r="P228" i="12"/>
  <c r="BQ198" i="10"/>
  <c r="BU198" s="1"/>
  <c r="S79" i="12"/>
  <c r="BT49" i="10" s="1"/>
  <c r="CA49" s="1"/>
  <c r="S67" i="12"/>
  <c r="BT37" i="10" s="1"/>
  <c r="CA37" s="1"/>
  <c r="P120" i="12"/>
  <c r="BQ90" i="10" s="1"/>
  <c r="BU90" s="1"/>
  <c r="S170" i="12"/>
  <c r="BT140" i="10"/>
  <c r="CA140" s="1"/>
  <c r="S138" i="12"/>
  <c r="BT108" i="10" s="1"/>
  <c r="CA108" s="1"/>
  <c r="I61" i="12"/>
  <c r="AX31" i="10" s="1"/>
  <c r="BE31" s="1"/>
  <c r="I35" i="12"/>
  <c r="AX5" i="10" s="1"/>
  <c r="BE5" s="1"/>
  <c r="I37" i="12"/>
  <c r="AX7" i="10"/>
  <c r="BE7" s="1"/>
  <c r="I41" i="12"/>
  <c r="AX11" i="10" s="1"/>
  <c r="BE11" s="1"/>
  <c r="I55" i="12"/>
  <c r="AX25" i="10" s="1"/>
  <c r="BE25" s="1"/>
  <c r="S63" i="12"/>
  <c r="BT33" i="10" s="1"/>
  <c r="CA33" s="1"/>
  <c r="S43" i="12"/>
  <c r="BT13" i="10"/>
  <c r="CA13" s="1"/>
  <c r="S233" i="12"/>
  <c r="BT203" i="10" s="1"/>
  <c r="CA203" s="1"/>
  <c r="S242" i="12"/>
  <c r="BT212" i="10" s="1"/>
  <c r="CA212" s="1"/>
  <c r="S241" i="12"/>
  <c r="BT211" i="10" s="1"/>
  <c r="CA211" s="1"/>
  <c r="S115" i="12"/>
  <c r="BT85" i="10"/>
  <c r="CA85" s="1"/>
  <c r="S41" i="12"/>
  <c r="BT11" i="10" s="1"/>
  <c r="CA11" s="1"/>
  <c r="S122" i="12"/>
  <c r="BT92" i="10" s="1"/>
  <c r="CA92" s="1"/>
  <c r="S117" i="12"/>
  <c r="BT87" i="10" s="1"/>
  <c r="CA87" s="1"/>
  <c r="Q36" i="12"/>
  <c r="BR6" i="10"/>
  <c r="BW6"/>
  <c r="S253" i="12"/>
  <c r="BT223" i="10" s="1"/>
  <c r="CA223" s="1"/>
  <c r="Q225" i="12"/>
  <c r="BR195" i="10" s="1"/>
  <c r="BW195" s="1"/>
  <c r="S142" i="12"/>
  <c r="BT112" i="10"/>
  <c r="CA112" s="1"/>
  <c r="S66" i="12"/>
  <c r="BT36" i="10"/>
  <c r="CA36"/>
  <c r="Q282" i="12"/>
  <c r="BR252" i="10" s="1"/>
  <c r="BW252" s="1"/>
  <c r="S137" i="12"/>
  <c r="BT107" i="10" s="1"/>
  <c r="CA107" s="1"/>
  <c r="S237" i="12"/>
  <c r="BT207" i="10"/>
  <c r="CA207" s="1"/>
  <c r="S73" i="12"/>
  <c r="BT43" i="10"/>
  <c r="CA43"/>
  <c r="S146" i="12"/>
  <c r="BT116" i="10" s="1"/>
  <c r="CA116" s="1"/>
  <c r="S57" i="12"/>
  <c r="BT27" i="10" s="1"/>
  <c r="CA27" s="1"/>
  <c r="S189" i="12"/>
  <c r="BT159" i="10"/>
  <c r="CA159" s="1"/>
  <c r="Q293" i="12"/>
  <c r="BR263" i="10"/>
  <c r="BW263"/>
  <c r="S257" i="12"/>
  <c r="BT227" i="10" s="1"/>
  <c r="CA227" s="1"/>
  <c r="S77" i="12"/>
  <c r="BT47" i="10" s="1"/>
  <c r="CA47" s="1"/>
  <c r="S254" i="12"/>
  <c r="BT224" i="10"/>
  <c r="CA224" s="1"/>
  <c r="S150" i="12"/>
  <c r="BT120" i="10"/>
  <c r="CA120"/>
  <c r="S194" i="12"/>
  <c r="BT164" i="10" s="1"/>
  <c r="CA164" s="1"/>
  <c r="C28" i="12"/>
  <c r="G28" s="1"/>
  <c r="S154"/>
  <c r="BT124" i="10"/>
  <c r="CA124"/>
  <c r="S86" i="12"/>
  <c r="BT56" i="10" s="1"/>
  <c r="CA56" s="1"/>
  <c r="S83" i="12"/>
  <c r="BT53" i="10" s="1"/>
  <c r="CA53" s="1"/>
  <c r="Q270" i="12"/>
  <c r="BR240" i="10"/>
  <c r="BW240" s="1"/>
  <c r="S113" i="12"/>
  <c r="BT83" i="10"/>
  <c r="CA83"/>
  <c r="Q298" i="12"/>
  <c r="BR268" i="10" s="1"/>
  <c r="BW268" s="1"/>
  <c r="S133" i="12"/>
  <c r="BT103" i="10" s="1"/>
  <c r="CA103" s="1"/>
  <c r="Q94" i="12"/>
  <c r="BR64" i="10"/>
  <c r="BW64" s="1"/>
  <c r="S158" i="12"/>
  <c r="BT128" i="10"/>
  <c r="CA128"/>
  <c r="S55" i="12"/>
  <c r="BT25" i="10" s="1"/>
  <c r="CA25" s="1"/>
  <c r="S95" i="12"/>
  <c r="BT65" i="10" s="1"/>
  <c r="CA65" s="1"/>
  <c r="R116" i="12"/>
  <c r="BS86" i="10"/>
  <c r="BY86" s="1"/>
  <c r="P118" i="12"/>
  <c r="BQ88" i="10"/>
  <c r="BU88"/>
  <c r="R168" i="12"/>
  <c r="BS138" i="10" s="1"/>
  <c r="BY138" s="1"/>
  <c r="R260" i="12"/>
  <c r="BS230" i="10" s="1"/>
  <c r="BY230" s="1"/>
  <c r="P146" i="12"/>
  <c r="BQ116" i="10"/>
  <c r="BU116" s="1"/>
  <c r="P184" i="12"/>
  <c r="BQ154" i="10"/>
  <c r="BU154"/>
  <c r="I59" i="12"/>
  <c r="AX29" i="10" s="1"/>
  <c r="BE29" s="1"/>
  <c r="I53" i="12"/>
  <c r="AX23" i="10" s="1"/>
  <c r="BE23" s="1"/>
  <c r="I62" i="12"/>
  <c r="AX32" i="10"/>
  <c r="BE32" s="1"/>
  <c r="I57" i="12"/>
  <c r="AX27" i="10"/>
  <c r="BE27"/>
  <c r="I45" i="12"/>
  <c r="AX15" i="10"/>
  <c r="BE15"/>
  <c r="I51" i="12"/>
  <c r="AX21" i="10" s="1"/>
  <c r="BE21" s="1"/>
  <c r="B20" i="12"/>
  <c r="F20"/>
  <c r="C21"/>
  <c r="G21" s="1"/>
  <c r="S291"/>
  <c r="BT261" i="10"/>
  <c r="CA261" s="1"/>
  <c r="Q291" i="12"/>
  <c r="BR261" i="10"/>
  <c r="BW261"/>
  <c r="Q259" i="12"/>
  <c r="BR229" i="10" s="1"/>
  <c r="BW229" s="1"/>
  <c r="S259" i="12"/>
  <c r="BT229" i="10" s="1"/>
  <c r="CA229" s="1"/>
  <c r="Q227" i="12"/>
  <c r="BR197" i="10"/>
  <c r="BW197" s="1"/>
  <c r="S227" i="12"/>
  <c r="BT197" i="10"/>
  <c r="CA197"/>
  <c r="Q195" i="12"/>
  <c r="BR165" i="10" s="1"/>
  <c r="BW165" s="1"/>
  <c r="S195" i="12"/>
  <c r="BT165" i="10" s="1"/>
  <c r="CA165" s="1"/>
  <c r="Q163" i="12"/>
  <c r="BR133" i="10"/>
  <c r="BW133" s="1"/>
  <c r="S163" i="12"/>
  <c r="BT133" i="10"/>
  <c r="CA133"/>
  <c r="Q264" i="12"/>
  <c r="BR234" i="10" s="1"/>
  <c r="BW234" s="1"/>
  <c r="S264" i="12"/>
  <c r="BT234" i="10" s="1"/>
  <c r="CA234" s="1"/>
  <c r="Q232" i="12"/>
  <c r="BR202" i="10"/>
  <c r="BW202" s="1"/>
  <c r="S232" i="12"/>
  <c r="BT202" i="10"/>
  <c r="CA202"/>
  <c r="Q200" i="12"/>
  <c r="BR170" i="10" s="1"/>
  <c r="BW170" s="1"/>
  <c r="S200" i="12"/>
  <c r="BT170" i="10" s="1"/>
  <c r="CA170" s="1"/>
  <c r="Q168" i="12"/>
  <c r="BR138" i="10"/>
  <c r="BW138" s="1"/>
  <c r="S168" i="12"/>
  <c r="BT138" i="10"/>
  <c r="CA138"/>
  <c r="Q136" i="12"/>
  <c r="BR106" i="10"/>
  <c r="BW106"/>
  <c r="S136" i="12"/>
  <c r="BT106" i="10" s="1"/>
  <c r="CA106" s="1"/>
  <c r="Q104" i="12"/>
  <c r="BR74" i="10"/>
  <c r="BW74" s="1"/>
  <c r="S104" i="12"/>
  <c r="BT74" i="10"/>
  <c r="CA74"/>
  <c r="Q72" i="12"/>
  <c r="BR42" i="10" s="1"/>
  <c r="BW42" s="1"/>
  <c r="S72" i="12"/>
  <c r="BT42" i="10" s="1"/>
  <c r="CA42" s="1"/>
  <c r="G50" i="12"/>
  <c r="AV20" i="10"/>
  <c r="BA20" s="1"/>
  <c r="I50" i="12"/>
  <c r="AX20" i="10"/>
  <c r="BE20"/>
  <c r="E64" i="12"/>
  <c r="G34"/>
  <c r="AV4" i="10"/>
  <c r="BA4"/>
  <c r="I34" i="12"/>
  <c r="AX4" i="10" s="1"/>
  <c r="BE4" s="1"/>
  <c r="P70" i="12"/>
  <c r="BQ40" i="10" s="1"/>
  <c r="BU40" s="1"/>
  <c r="R70" i="12"/>
  <c r="BS40" i="10"/>
  <c r="BY40" s="1"/>
  <c r="F41" i="12"/>
  <c r="AU11" i="10"/>
  <c r="AY11"/>
  <c r="H41" i="12"/>
  <c r="AW11" i="10" s="1"/>
  <c r="BC11" s="1"/>
  <c r="F35" i="12"/>
  <c r="AU5" i="10" s="1"/>
  <c r="AY5" s="1"/>
  <c r="H35" i="12"/>
  <c r="AW5" i="10"/>
  <c r="BC5" s="1"/>
  <c r="P176" i="12"/>
  <c r="BQ146" i="10"/>
  <c r="BU146"/>
  <c r="R176" i="12"/>
  <c r="BS146" i="10" s="1"/>
  <c r="BY146" s="1"/>
  <c r="P156" i="12"/>
  <c r="BQ126" i="10" s="1"/>
  <c r="BU126" s="1"/>
  <c r="R156" i="12"/>
  <c r="BS126" i="10"/>
  <c r="BY126" s="1"/>
  <c r="P98" i="12"/>
  <c r="BQ68" i="10"/>
  <c r="BU68"/>
  <c r="R98" i="12"/>
  <c r="BS68" i="10" s="1"/>
  <c r="BY68" s="1"/>
  <c r="F44" i="12"/>
  <c r="AU14" i="10" s="1"/>
  <c r="AY14" s="1"/>
  <c r="H44" i="12"/>
  <c r="AW14" i="10"/>
  <c r="BC14" s="1"/>
  <c r="P224" i="12"/>
  <c r="BQ194" i="10"/>
  <c r="BU194"/>
  <c r="R224" i="12"/>
  <c r="BS194" i="10" s="1"/>
  <c r="BY194" s="1"/>
  <c r="P96" i="12"/>
  <c r="BQ66" i="10" s="1"/>
  <c r="BU66" s="1"/>
  <c r="R96" i="12"/>
  <c r="BS66" i="10"/>
  <c r="BY66" s="1"/>
  <c r="P206" i="12"/>
  <c r="BQ176" i="10"/>
  <c r="BU176"/>
  <c r="R206" i="12"/>
  <c r="BS176" i="10"/>
  <c r="BY176"/>
  <c r="R36" i="12"/>
  <c r="BS6" i="10" s="1"/>
  <c r="BY6" s="1"/>
  <c r="P36" i="12"/>
  <c r="BQ6" i="10" s="1"/>
  <c r="BU6" s="1"/>
  <c r="R52" i="12"/>
  <c r="BS22" i="10"/>
  <c r="BY22" s="1"/>
  <c r="P52" i="12"/>
  <c r="BQ22" i="10"/>
  <c r="BU22"/>
  <c r="R73" i="12"/>
  <c r="BS43" i="10" s="1"/>
  <c r="BY43" s="1"/>
  <c r="P73" i="12"/>
  <c r="BQ43" i="10" s="1"/>
  <c r="BU43" s="1"/>
  <c r="R105" i="12"/>
  <c r="BS75" i="10"/>
  <c r="BY75" s="1"/>
  <c r="P105" i="12"/>
  <c r="BQ75" i="10" s="1"/>
  <c r="BU75" s="1"/>
  <c r="R137" i="12"/>
  <c r="BS107" i="10" s="1"/>
  <c r="BY107" s="1"/>
  <c r="P137" i="12"/>
  <c r="BQ107" i="10" s="1"/>
  <c r="BU107" s="1"/>
  <c r="R169" i="12"/>
  <c r="BS139" i="10"/>
  <c r="BY139" s="1"/>
  <c r="P169" i="12"/>
  <c r="BQ139" i="10" s="1"/>
  <c r="BU139" s="1"/>
  <c r="R201" i="12"/>
  <c r="BS171" i="10" s="1"/>
  <c r="BY171" s="1"/>
  <c r="P201" i="12"/>
  <c r="BQ171" i="10" s="1"/>
  <c r="BU171" s="1"/>
  <c r="R233" i="12"/>
  <c r="BS203" i="10"/>
  <c r="BY203" s="1"/>
  <c r="P233" i="12"/>
  <c r="BQ203" i="10"/>
  <c r="BU203"/>
  <c r="R265" i="12"/>
  <c r="BS235" i="10" s="1"/>
  <c r="BY235" s="1"/>
  <c r="P265" i="12"/>
  <c r="BQ235" i="10" s="1"/>
  <c r="BU235" s="1"/>
  <c r="R297" i="12"/>
  <c r="BS267" i="10"/>
  <c r="BY267" s="1"/>
  <c r="P297" i="12"/>
  <c r="BQ267" i="10"/>
  <c r="BU267"/>
  <c r="P238" i="12"/>
  <c r="BQ208" i="10" s="1"/>
  <c r="BU208" s="1"/>
  <c r="R238" i="12"/>
  <c r="BS208" i="10" s="1"/>
  <c r="BY208" s="1"/>
  <c r="P194" i="12"/>
  <c r="BQ164" i="10"/>
  <c r="BU164" s="1"/>
  <c r="R194" i="12"/>
  <c r="BS164" i="10" s="1"/>
  <c r="BY164" s="1"/>
  <c r="B28" i="12"/>
  <c r="F28" s="1"/>
  <c r="B27"/>
  <c r="F27"/>
  <c r="R49"/>
  <c r="BS19" i="10" s="1"/>
  <c r="BY19" s="1"/>
  <c r="P49" i="12"/>
  <c r="BQ19" i="10" s="1"/>
  <c r="BU19" s="1"/>
  <c r="R71" i="12"/>
  <c r="BS41" i="10"/>
  <c r="BY41" s="1"/>
  <c r="P71" i="12"/>
  <c r="BQ41" i="10"/>
  <c r="BU41"/>
  <c r="R103" i="12"/>
  <c r="BS73" i="10" s="1"/>
  <c r="BY73" s="1"/>
  <c r="P103" i="12"/>
  <c r="BQ73" i="10" s="1"/>
  <c r="BU73" s="1"/>
  <c r="R135" i="12"/>
  <c r="BS105" i="10"/>
  <c r="BY105" s="1"/>
  <c r="P135" i="12"/>
  <c r="BQ105" i="10" s="1"/>
  <c r="BU105" s="1"/>
  <c r="R167" i="12"/>
  <c r="BS137" i="10" s="1"/>
  <c r="BY137" s="1"/>
  <c r="P167" i="12"/>
  <c r="BQ137" i="10" s="1"/>
  <c r="BU137" s="1"/>
  <c r="P199" i="12"/>
  <c r="BQ169" i="10"/>
  <c r="BU169" s="1"/>
  <c r="R199" i="12"/>
  <c r="BS169" i="10" s="1"/>
  <c r="BY169" s="1"/>
  <c r="P231" i="12"/>
  <c r="BQ201" i="10" s="1"/>
  <c r="BU201" s="1"/>
  <c r="R231" i="12"/>
  <c r="BS201" i="10" s="1"/>
  <c r="BY201" s="1"/>
  <c r="P263" i="12"/>
  <c r="BQ233" i="10"/>
  <c r="BU233"/>
  <c r="R263" i="12"/>
  <c r="BS233" i="10" s="1"/>
  <c r="BY233" s="1"/>
  <c r="R295" i="12"/>
  <c r="BS265" i="10" s="1"/>
  <c r="BY265" s="1"/>
  <c r="P295" i="12"/>
  <c r="BQ265" i="10"/>
  <c r="BU265" s="1"/>
  <c r="Q263" i="12"/>
  <c r="BR233" i="10"/>
  <c r="BW233"/>
  <c r="S263" i="12"/>
  <c r="BT233" i="10" s="1"/>
  <c r="CA233" s="1"/>
  <c r="Q231" i="12"/>
  <c r="BR201" i="10" s="1"/>
  <c r="BW201" s="1"/>
  <c r="S231" i="12"/>
  <c r="BT201" i="10"/>
  <c r="CA201" s="1"/>
  <c r="Q199" i="12"/>
  <c r="BR169" i="10"/>
  <c r="BW169"/>
  <c r="S199" i="12"/>
  <c r="BT169" i="10" s="1"/>
  <c r="CA169" s="1"/>
  <c r="Q167" i="12"/>
  <c r="BR137" i="10" s="1"/>
  <c r="BW137" s="1"/>
  <c r="S167" i="12"/>
  <c r="BT137" i="10"/>
  <c r="CA137" s="1"/>
  <c r="Q135" i="12"/>
  <c r="BR105" i="10"/>
  <c r="BW105"/>
  <c r="S135" i="12"/>
  <c r="BT105" i="10" s="1"/>
  <c r="CA105" s="1"/>
  <c r="Q284" i="12"/>
  <c r="BR254" i="10" s="1"/>
  <c r="BW254" s="1"/>
  <c r="S284" i="12"/>
  <c r="BT254" i="10"/>
  <c r="CA254" s="1"/>
  <c r="Q268" i="12"/>
  <c r="BR238" i="10"/>
  <c r="BW238"/>
  <c r="S268" i="12"/>
  <c r="BT238" i="10"/>
  <c r="CA238"/>
  <c r="Q236" i="12"/>
  <c r="BR206" i="10" s="1"/>
  <c r="BW206" s="1"/>
  <c r="S236" i="12"/>
  <c r="BT206" i="10" s="1"/>
  <c r="CA206" s="1"/>
  <c r="Q204" i="12"/>
  <c r="BR174" i="10"/>
  <c r="BW174"/>
  <c r="S204" i="12"/>
  <c r="BT174" i="10"/>
  <c r="CA174"/>
  <c r="Q172" i="12"/>
  <c r="BR142" i="10" s="1"/>
  <c r="BW142" s="1"/>
  <c r="S172" i="12"/>
  <c r="BT142" i="10" s="1"/>
  <c r="CA142" s="1"/>
  <c r="Q140" i="12"/>
  <c r="BR110" i="10"/>
  <c r="BW110"/>
  <c r="S140" i="12"/>
  <c r="BT110" i="10" s="1"/>
  <c r="CA110" s="1"/>
  <c r="Q108" i="12"/>
  <c r="BR78" i="10" s="1"/>
  <c r="BW78" s="1"/>
  <c r="S108" i="12"/>
  <c r="BT78" i="10"/>
  <c r="CA78" s="1"/>
  <c r="Q76" i="12"/>
  <c r="BR46" i="10"/>
  <c r="BW46"/>
  <c r="S76" i="12"/>
  <c r="BT46" i="10"/>
  <c r="CA46"/>
  <c r="G52" i="12"/>
  <c r="AV22" i="10" s="1"/>
  <c r="BA22" s="1"/>
  <c r="I52" i="12"/>
  <c r="AX22" i="10" s="1"/>
  <c r="BE22" s="1"/>
  <c r="G36" i="12"/>
  <c r="AV6" i="10"/>
  <c r="BA6" s="1"/>
  <c r="I36" i="12"/>
  <c r="AX6" i="10" s="1"/>
  <c r="BE6" s="1"/>
  <c r="P158" i="12"/>
  <c r="BQ128" i="10" s="1"/>
  <c r="BU128" s="1"/>
  <c r="R158" i="12"/>
  <c r="BS128" i="10"/>
  <c r="BY128" s="1"/>
  <c r="P72" i="12"/>
  <c r="BQ42" i="10"/>
  <c r="BU42"/>
  <c r="R72" i="12"/>
  <c r="BS42" i="10"/>
  <c r="BY42"/>
  <c r="F42" i="12"/>
  <c r="AU12" i="10" s="1"/>
  <c r="AY12" s="1"/>
  <c r="H42" i="12"/>
  <c r="AW12" i="10" s="1"/>
  <c r="BC12" s="1"/>
  <c r="P236" i="12"/>
  <c r="BQ206" i="10"/>
  <c r="BU206" s="1"/>
  <c r="R236" i="12"/>
  <c r="BS206" i="10"/>
  <c r="BY206"/>
  <c r="F36" i="12"/>
  <c r="AU6" i="10" s="1"/>
  <c r="AY6" s="1"/>
  <c r="H36" i="12"/>
  <c r="AW6" i="10" s="1"/>
  <c r="BC6" s="1"/>
  <c r="F49" i="12"/>
  <c r="AU19" i="10"/>
  <c r="AY19" s="1"/>
  <c r="H49" i="12"/>
  <c r="AW19" i="10"/>
  <c r="BC19"/>
  <c r="P292" i="12"/>
  <c r="BQ262" i="10" s="1"/>
  <c r="BU262" s="1"/>
  <c r="R292" i="12"/>
  <c r="BS262" i="10" s="1"/>
  <c r="BY262" s="1"/>
  <c r="P164" i="12"/>
  <c r="BQ134" i="10"/>
  <c r="BU134" s="1"/>
  <c r="R164" i="12"/>
  <c r="BS134" i="10" s="1"/>
  <c r="BY134" s="1"/>
  <c r="P100" i="12"/>
  <c r="BQ70" i="10" s="1"/>
  <c r="BU70" s="1"/>
  <c r="R100" i="12"/>
  <c r="BS70" i="10" s="1"/>
  <c r="BY70" s="1"/>
  <c r="F55" i="12"/>
  <c r="AU25" i="10"/>
  <c r="AY25"/>
  <c r="H55" i="12"/>
  <c r="AW25" i="10" s="1"/>
  <c r="BC25" s="1"/>
  <c r="P106" i="12"/>
  <c r="BQ76" i="10" s="1"/>
  <c r="BU76" s="1"/>
  <c r="R106" i="12"/>
  <c r="BS76" i="10"/>
  <c r="BY76" s="1"/>
  <c r="F53" i="12"/>
  <c r="AU23" i="10"/>
  <c r="AY23"/>
  <c r="H53" i="12"/>
  <c r="AW23" i="10" s="1"/>
  <c r="BC23" s="1"/>
  <c r="F47" i="12"/>
  <c r="AU17" i="10" s="1"/>
  <c r="AY17" s="1"/>
  <c r="H47" i="12"/>
  <c r="AW17" i="10"/>
  <c r="BC17" s="1"/>
  <c r="P202" i="12"/>
  <c r="BQ172" i="10"/>
  <c r="BU172"/>
  <c r="R202" i="12"/>
  <c r="BS172" i="10" s="1"/>
  <c r="BY172" s="1"/>
  <c r="R34" i="12"/>
  <c r="BS4" i="10" s="1"/>
  <c r="BY4" s="1"/>
  <c r="P34" i="12"/>
  <c r="BQ4" i="10"/>
  <c r="BU4" s="1"/>
  <c r="R50" i="12"/>
  <c r="BS20" i="10"/>
  <c r="BY20"/>
  <c r="P50" i="12"/>
  <c r="BQ20" i="10" s="1"/>
  <c r="BU20" s="1"/>
  <c r="R69" i="12"/>
  <c r="BS39" i="10" s="1"/>
  <c r="BY39" s="1"/>
  <c r="P69" i="12"/>
  <c r="BQ39" i="10"/>
  <c r="BU39" s="1"/>
  <c r="R101" i="12"/>
  <c r="BS71" i="10"/>
  <c r="BY71"/>
  <c r="P101" i="12"/>
  <c r="BQ71" i="10" s="1"/>
  <c r="BU71" s="1"/>
  <c r="R133" i="12"/>
  <c r="BS103" i="10" s="1"/>
  <c r="BY103" s="1"/>
  <c r="P133" i="12"/>
  <c r="BQ103" i="10"/>
  <c r="BU103" s="1"/>
  <c r="R165" i="12"/>
  <c r="BS135" i="10"/>
  <c r="BY135"/>
  <c r="P165" i="12"/>
  <c r="BQ135" i="10"/>
  <c r="BU135"/>
  <c r="R197" i="12"/>
  <c r="BS167" i="10" s="1"/>
  <c r="BY167" s="1"/>
  <c r="P197" i="12"/>
  <c r="BQ167" i="10"/>
  <c r="BU167" s="1"/>
  <c r="R229" i="12"/>
  <c r="BS199" i="10"/>
  <c r="BY199"/>
  <c r="P229" i="12"/>
  <c r="BQ199" i="10" s="1"/>
  <c r="BU199" s="1"/>
  <c r="R261" i="12"/>
  <c r="BS231" i="10" s="1"/>
  <c r="BY231" s="1"/>
  <c r="P261" i="12"/>
  <c r="BQ231" i="10"/>
  <c r="BU231" s="1"/>
  <c r="R293" i="12"/>
  <c r="BS263" i="10"/>
  <c r="BY263"/>
  <c r="P293" i="12"/>
  <c r="BQ263" i="10" s="1"/>
  <c r="BU263" s="1"/>
  <c r="P226" i="12"/>
  <c r="BQ196" i="10" s="1"/>
  <c r="BU196" s="1"/>
  <c r="R226" i="12"/>
  <c r="BS196" i="10"/>
  <c r="BY196" s="1"/>
  <c r="P190" i="12"/>
  <c r="BQ160" i="10"/>
  <c r="BU160"/>
  <c r="R190" i="12"/>
  <c r="BS160" i="10"/>
  <c r="BY160"/>
  <c r="P286" i="12"/>
  <c r="BQ256" i="10" s="1"/>
  <c r="BU256" s="1"/>
  <c r="R286" i="12"/>
  <c r="BS256" i="10"/>
  <c r="BY256" s="1"/>
  <c r="R47" i="12"/>
  <c r="BS17" i="10"/>
  <c r="BY17"/>
  <c r="P47" i="12"/>
  <c r="BQ17" i="10" s="1"/>
  <c r="BU17" s="1"/>
  <c r="R67" i="12"/>
  <c r="BS37" i="10" s="1"/>
  <c r="BY37" s="1"/>
  <c r="P67" i="12"/>
  <c r="BQ37" i="10"/>
  <c r="BU37" s="1"/>
  <c r="R99" i="12"/>
  <c r="BS69" i="10"/>
  <c r="BY69"/>
  <c r="P99" i="12"/>
  <c r="BQ69" i="10"/>
  <c r="BU69"/>
  <c r="R131" i="12"/>
  <c r="BS101" i="10" s="1"/>
  <c r="BY101" s="1"/>
  <c r="P131" i="12"/>
  <c r="BQ101" i="10"/>
  <c r="BU101" s="1"/>
  <c r="R163" i="12"/>
  <c r="BS133" i="10"/>
  <c r="BY133"/>
  <c r="P163" i="12"/>
  <c r="BQ133" i="10" s="1"/>
  <c r="BU133" s="1"/>
  <c r="R195" i="12"/>
  <c r="BS165" i="10" s="1"/>
  <c r="BY165" s="1"/>
  <c r="P195" i="12"/>
  <c r="BQ165" i="10"/>
  <c r="BU165" s="1"/>
  <c r="P227" i="12"/>
  <c r="BQ197" i="10"/>
  <c r="BU197"/>
  <c r="R227" i="12"/>
  <c r="BS197" i="10" s="1"/>
  <c r="BY197" s="1"/>
  <c r="P259" i="12"/>
  <c r="BQ229" i="10" s="1"/>
  <c r="BU229" s="1"/>
  <c r="R259" i="12"/>
  <c r="BS229" i="10"/>
  <c r="BY229" s="1"/>
  <c r="P291" i="12"/>
  <c r="BQ261" i="10"/>
  <c r="BU261"/>
  <c r="R291" i="12"/>
  <c r="BS261" i="10" s="1"/>
  <c r="BY261" s="1"/>
  <c r="S267" i="12"/>
  <c r="BT237" i="10" s="1"/>
  <c r="CA237" s="1"/>
  <c r="Q267" i="12"/>
  <c r="BR237" i="10"/>
  <c r="BW237" s="1"/>
  <c r="S235" i="12"/>
  <c r="BT205" i="10"/>
  <c r="CA205"/>
  <c r="Q235" i="12"/>
  <c r="BR205" i="10" s="1"/>
  <c r="BW205" s="1"/>
  <c r="S203" i="12"/>
  <c r="BT173" i="10" s="1"/>
  <c r="CA173" s="1"/>
  <c r="Q203" i="12"/>
  <c r="BR173" i="10"/>
  <c r="BW173" s="1"/>
  <c r="S171" i="12"/>
  <c r="BT141" i="10"/>
  <c r="CA141"/>
  <c r="Q171" i="12"/>
  <c r="BR141" i="10" s="1"/>
  <c r="BW141" s="1"/>
  <c r="Q139" i="12"/>
  <c r="BR109" i="10" s="1"/>
  <c r="BW109" s="1"/>
  <c r="S139" i="12"/>
  <c r="BT109" i="10"/>
  <c r="CA109" s="1"/>
  <c r="Q240" i="12"/>
  <c r="BR210" i="10"/>
  <c r="BW210"/>
  <c r="S240" i="12"/>
  <c r="BT210" i="10" s="1"/>
  <c r="CA210" s="1"/>
  <c r="Q208" i="12"/>
  <c r="BR178" i="10" s="1"/>
  <c r="BW178" s="1"/>
  <c r="S208" i="12"/>
  <c r="BT178" i="10"/>
  <c r="CA178" s="1"/>
  <c r="Q176" i="12"/>
  <c r="BR146" i="10"/>
  <c r="BW146"/>
  <c r="S176" i="12"/>
  <c r="BT146" i="10"/>
  <c r="CA146"/>
  <c r="Q144" i="12"/>
  <c r="BR114" i="10" s="1"/>
  <c r="BW114" s="1"/>
  <c r="S144" i="12"/>
  <c r="BT114" i="10"/>
  <c r="CA114" s="1"/>
  <c r="Q112" i="12"/>
  <c r="BR82" i="10"/>
  <c r="BW82"/>
  <c r="S112" i="12"/>
  <c r="BT82" i="10"/>
  <c r="CA82"/>
  <c r="Q80" i="12"/>
  <c r="BR50" i="10" s="1"/>
  <c r="BW50" s="1"/>
  <c r="S80" i="12"/>
  <c r="BT50" i="10"/>
  <c r="CA50" s="1"/>
  <c r="G54" i="12"/>
  <c r="AV24" i="10"/>
  <c r="BA24"/>
  <c r="I54" i="12"/>
  <c r="AX24" i="10" s="1"/>
  <c r="BE24" s="1"/>
  <c r="G38" i="12"/>
  <c r="AV8" i="10" s="1"/>
  <c r="BA8" s="1"/>
  <c r="I38" i="12"/>
  <c r="AX8" i="10"/>
  <c r="BE8" s="1"/>
  <c r="P232" i="12"/>
  <c r="BQ202" i="10"/>
  <c r="BU202"/>
  <c r="R232" i="12"/>
  <c r="BS202" i="10"/>
  <c r="BY202"/>
  <c r="P90" i="12"/>
  <c r="BQ60" i="10" s="1"/>
  <c r="BU60" s="1"/>
  <c r="R90" i="12"/>
  <c r="BS60" i="10" s="1"/>
  <c r="BY60" s="1"/>
  <c r="P208" i="12"/>
  <c r="BQ178" i="10"/>
  <c r="BU178"/>
  <c r="R208" i="12"/>
  <c r="BS178" i="10" s="1"/>
  <c r="BY178" s="1"/>
  <c r="F61" i="12"/>
  <c r="AU31" i="10" s="1"/>
  <c r="AY31" s="1"/>
  <c r="H61" i="12"/>
  <c r="AW31" i="10"/>
  <c r="BC31" s="1"/>
  <c r="P180" i="12"/>
  <c r="BQ150" i="10"/>
  <c r="BU150"/>
  <c r="R180" i="12"/>
  <c r="BS150" i="10"/>
  <c r="BY150"/>
  <c r="F56" i="12"/>
  <c r="AU26" i="10" s="1"/>
  <c r="AY26" s="1"/>
  <c r="H56" i="12"/>
  <c r="AW26" i="10" s="1"/>
  <c r="BC26" s="1"/>
  <c r="P188" i="12"/>
  <c r="BQ158" i="10"/>
  <c r="BU158"/>
  <c r="R188" i="12"/>
  <c r="BS158" i="10"/>
  <c r="BY158"/>
  <c r="P108" i="12"/>
  <c r="BQ78" i="10" s="1"/>
  <c r="BU78" s="1"/>
  <c r="R108" i="12"/>
  <c r="BS78" i="10" s="1"/>
  <c r="BY78" s="1"/>
  <c r="P256" i="12"/>
  <c r="BQ226" i="10"/>
  <c r="BU226" s="1"/>
  <c r="R256" i="12"/>
  <c r="BS226" i="10"/>
  <c r="BY226"/>
  <c r="F54" i="12"/>
  <c r="AU24" i="10" s="1"/>
  <c r="AY24" s="1"/>
  <c r="H54" i="12"/>
  <c r="AW24" i="10" s="1"/>
  <c r="BC24" s="1"/>
  <c r="F48" i="12"/>
  <c r="AU18" i="10"/>
  <c r="AY18" s="1"/>
  <c r="H48" i="12"/>
  <c r="AW18" i="10"/>
  <c r="BC18"/>
  <c r="P182" i="12"/>
  <c r="BQ152" i="10" s="1"/>
  <c r="BU152" s="1"/>
  <c r="R182" i="12"/>
  <c r="BS152" i="10" s="1"/>
  <c r="BY152" s="1"/>
  <c r="P294" i="12"/>
  <c r="BQ264" i="10"/>
  <c r="BU264" s="1"/>
  <c r="R294" i="12"/>
  <c r="BS264" i="10"/>
  <c r="BY264"/>
  <c r="R48" i="12"/>
  <c r="BS18" i="10" s="1"/>
  <c r="BY18" s="1"/>
  <c r="P48" i="12"/>
  <c r="BQ18" i="10" s="1"/>
  <c r="BU18" s="1"/>
  <c r="R65" i="12"/>
  <c r="BS35" i="10"/>
  <c r="BY35" s="1"/>
  <c r="P65" i="12"/>
  <c r="BQ35" i="10" s="1"/>
  <c r="BU35" s="1"/>
  <c r="R97" i="12"/>
  <c r="BS67" i="10" s="1"/>
  <c r="BY67" s="1"/>
  <c r="P97" i="12"/>
  <c r="BQ67" i="10" s="1"/>
  <c r="BU67" s="1"/>
  <c r="R129" i="12"/>
  <c r="BS99" i="10"/>
  <c r="BY99" s="1"/>
  <c r="P129" i="12"/>
  <c r="BQ99" i="10" s="1"/>
  <c r="BU99" s="1"/>
  <c r="R161" i="12"/>
  <c r="BS131" i="10" s="1"/>
  <c r="BY131" s="1"/>
  <c r="P161" i="12"/>
  <c r="BQ131" i="10" s="1"/>
  <c r="BU131" s="1"/>
  <c r="R193" i="12"/>
  <c r="BS163" i="10"/>
  <c r="BY163" s="1"/>
  <c r="P193" i="12"/>
  <c r="BQ163" i="10" s="1"/>
  <c r="BU163" s="1"/>
  <c r="R225" i="12"/>
  <c r="BS195" i="10" s="1"/>
  <c r="BY195" s="1"/>
  <c r="P225" i="12"/>
  <c r="BQ195" i="10" s="1"/>
  <c r="BU195" s="1"/>
  <c r="R257" i="12"/>
  <c r="BS227" i="10"/>
  <c r="BY227" s="1"/>
  <c r="P257" i="12"/>
  <c r="BQ227" i="10" s="1"/>
  <c r="BU227" s="1"/>
  <c r="R289" i="12"/>
  <c r="BS259" i="10" s="1"/>
  <c r="BY259" s="1"/>
  <c r="P289" i="12"/>
  <c r="BQ259" i="10" s="1"/>
  <c r="BU259" s="1"/>
  <c r="P222" i="12"/>
  <c r="BQ192" i="10"/>
  <c r="BU192" s="1"/>
  <c r="R222" i="12"/>
  <c r="BS192" i="10" s="1"/>
  <c r="BY192" s="1"/>
  <c r="P298" i="12"/>
  <c r="BQ268" i="10" s="1"/>
  <c r="BU268" s="1"/>
  <c r="R298" i="12"/>
  <c r="BS268" i="10"/>
  <c r="BY268" s="1"/>
  <c r="P262" i="12"/>
  <c r="BQ232" i="10"/>
  <c r="BU232"/>
  <c r="R262" i="12"/>
  <c r="BS232" i="10" s="1"/>
  <c r="BY232" s="1"/>
  <c r="R45" i="12"/>
  <c r="BS15" i="10" s="1"/>
  <c r="BY15" s="1"/>
  <c r="P45" i="12"/>
  <c r="BQ15" i="10"/>
  <c r="BU15" s="1"/>
  <c r="R61" i="12"/>
  <c r="BS31" i="10"/>
  <c r="BY31"/>
  <c r="P61" i="12"/>
  <c r="BQ31" i="10" s="1"/>
  <c r="BU31" s="1"/>
  <c r="R95" i="12"/>
  <c r="BS65" i="10" s="1"/>
  <c r="BY65" s="1"/>
  <c r="P95" i="12"/>
  <c r="BQ65" i="10"/>
  <c r="BU65" s="1"/>
  <c r="R127" i="12"/>
  <c r="BS97" i="10"/>
  <c r="BY97"/>
  <c r="P127" i="12"/>
  <c r="BQ97" i="10" s="1"/>
  <c r="BU97" s="1"/>
  <c r="R159" i="12"/>
  <c r="BS129" i="10" s="1"/>
  <c r="BY129" s="1"/>
  <c r="P159" i="12"/>
  <c r="BQ129" i="10"/>
  <c r="BU129" s="1"/>
  <c r="R191" i="12"/>
  <c r="BS161" i="10"/>
  <c r="BY161"/>
  <c r="P191" i="12"/>
  <c r="BQ161" i="10" s="1"/>
  <c r="BU161" s="1"/>
  <c r="R223" i="12"/>
  <c r="BS193" i="10" s="1"/>
  <c r="BY193" s="1"/>
  <c r="P223" i="12"/>
  <c r="BQ193" i="10"/>
  <c r="BU193" s="1"/>
  <c r="P255" i="12"/>
  <c r="BQ225" i="10"/>
  <c r="BU225"/>
  <c r="R255" i="12"/>
  <c r="BS225" i="10" s="1"/>
  <c r="BY225" s="1"/>
  <c r="P287" i="12"/>
  <c r="BQ257" i="10" s="1"/>
  <c r="BU257" s="1"/>
  <c r="R287" i="12"/>
  <c r="BS257" i="10"/>
  <c r="BY257" s="1"/>
  <c r="Q84" i="12"/>
  <c r="BR54" i="10"/>
  <c r="BW54"/>
  <c r="S84" i="12"/>
  <c r="BT54" i="10" s="1"/>
  <c r="CA54" s="1"/>
  <c r="S279" i="12"/>
  <c r="BT249" i="10" s="1"/>
  <c r="CA249" s="1"/>
  <c r="Q279" i="12"/>
  <c r="BR249" i="10"/>
  <c r="BW249" s="1"/>
  <c r="Q247" i="12"/>
  <c r="BR217" i="10"/>
  <c r="BW217"/>
  <c r="S247" i="12"/>
  <c r="BT217" i="10" s="1"/>
  <c r="CA217" s="1"/>
  <c r="Q215" i="12"/>
  <c r="BR185" i="10" s="1"/>
  <c r="BW185" s="1"/>
  <c r="S215" i="12"/>
  <c r="BT185" i="10"/>
  <c r="CA185" s="1"/>
  <c r="Q183" i="12"/>
  <c r="BR153" i="10"/>
  <c r="BW153"/>
  <c r="S183" i="12"/>
  <c r="BT153" i="10" s="1"/>
  <c r="CA153" s="1"/>
  <c r="Q151" i="12"/>
  <c r="BR121" i="10" s="1"/>
  <c r="BW121" s="1"/>
  <c r="S151" i="12"/>
  <c r="BT121" i="10"/>
  <c r="CA121" s="1"/>
  <c r="Q292" i="12"/>
  <c r="BR262" i="10"/>
  <c r="BW262"/>
  <c r="S292" i="12"/>
  <c r="BT262" i="10"/>
  <c r="CA262"/>
  <c r="Q276" i="12"/>
  <c r="BR246" i="10" s="1"/>
  <c r="BW246" s="1"/>
  <c r="S276" i="12"/>
  <c r="BT246" i="10" s="1"/>
  <c r="CA246" s="1"/>
  <c r="Q252" i="12"/>
  <c r="BR222" i="10"/>
  <c r="BW222"/>
  <c r="S252" i="12"/>
  <c r="BT222" i="10"/>
  <c r="CA222"/>
  <c r="Q220" i="12"/>
  <c r="BR190" i="10" s="1"/>
  <c r="BW190" s="1"/>
  <c r="S220" i="12"/>
  <c r="BT190" i="10"/>
  <c r="CA190" s="1"/>
  <c r="Q188" i="12"/>
  <c r="BR158" i="10"/>
  <c r="BW158"/>
  <c r="S188" i="12"/>
  <c r="BT158" i="10"/>
  <c r="CA158"/>
  <c r="Q156" i="12"/>
  <c r="BR126" i="10" s="1"/>
  <c r="BW126" s="1"/>
  <c r="S156" i="12"/>
  <c r="BT126" i="10" s="1"/>
  <c r="CA126" s="1"/>
  <c r="Q124" i="12"/>
  <c r="BR94" i="10"/>
  <c r="BW94"/>
  <c r="S124" i="12"/>
  <c r="BT94" i="10"/>
  <c r="CA94"/>
  <c r="Q92" i="12"/>
  <c r="BR62" i="10" s="1"/>
  <c r="BW62" s="1"/>
  <c r="S92" i="12"/>
  <c r="BT62" i="10" s="1"/>
  <c r="CA62" s="1"/>
  <c r="G60" i="12"/>
  <c r="AV30" i="10"/>
  <c r="BA30" s="1"/>
  <c r="I60" i="12"/>
  <c r="AX30" i="10"/>
  <c r="BE30"/>
  <c r="G44" i="12"/>
  <c r="AV14" i="10" s="1"/>
  <c r="BA14" s="1"/>
  <c r="I44" i="12"/>
  <c r="AX14" i="10" s="1"/>
  <c r="BE14" s="1"/>
  <c r="P264" i="12"/>
  <c r="BQ234" i="10"/>
  <c r="BU234" s="1"/>
  <c r="R264" i="12"/>
  <c r="BS234" i="10" s="1"/>
  <c r="BY234" s="1"/>
  <c r="P142" i="12"/>
  <c r="BQ112" i="10" s="1"/>
  <c r="BU112" s="1"/>
  <c r="R142" i="12"/>
  <c r="BS112" i="10" s="1"/>
  <c r="BY112" s="1"/>
  <c r="F57" i="12"/>
  <c r="AU27" i="10"/>
  <c r="AY27" s="1"/>
  <c r="H57" i="12"/>
  <c r="AW27" i="10" s="1"/>
  <c r="BC27" s="1"/>
  <c r="P172" i="12"/>
  <c r="BQ142" i="10" s="1"/>
  <c r="BU142" s="1"/>
  <c r="R172" i="12"/>
  <c r="BS142" i="10" s="1"/>
  <c r="BY142" s="1"/>
  <c r="F52" i="12"/>
  <c r="AU22" i="10"/>
  <c r="AY22" s="1"/>
  <c r="H52" i="12"/>
  <c r="AW22" i="10"/>
  <c r="BC22"/>
  <c r="P132" i="12"/>
  <c r="BQ102" i="10" s="1"/>
  <c r="BU102" s="1"/>
  <c r="R132" i="12"/>
  <c r="BS102" i="10" s="1"/>
  <c r="BY102" s="1"/>
  <c r="P68" i="12"/>
  <c r="BQ38" i="10"/>
  <c r="BU38" s="1"/>
  <c r="R68" i="12"/>
  <c r="BS38" i="10" s="1"/>
  <c r="BY38" s="1"/>
  <c r="F39" i="12"/>
  <c r="AU9" i="10" s="1"/>
  <c r="AY9" s="1"/>
  <c r="H39" i="12"/>
  <c r="AW9" i="10" s="1"/>
  <c r="BC9" s="1"/>
  <c r="D64" i="12"/>
  <c r="F34"/>
  <c r="AU4" i="10" s="1"/>
  <c r="AY4" s="1"/>
  <c r="H34" i="12"/>
  <c r="AW4" i="10"/>
  <c r="BC4" s="1"/>
  <c r="P74" i="12"/>
  <c r="BQ44" i="10"/>
  <c r="BU44"/>
  <c r="R74" i="12"/>
  <c r="BS44" i="10" s="1"/>
  <c r="BY44" s="1"/>
  <c r="F37" i="12"/>
  <c r="AU7" i="10" s="1"/>
  <c r="AY7" s="1"/>
  <c r="H37" i="12"/>
  <c r="AW7" i="10"/>
  <c r="BC7" s="1"/>
  <c r="P266" i="12"/>
  <c r="BQ236" i="10"/>
  <c r="BU236"/>
  <c r="R266" i="12"/>
  <c r="BS236" i="10" s="1"/>
  <c r="BY236" s="1"/>
  <c r="R42" i="12"/>
  <c r="BS12" i="10" s="1"/>
  <c r="BY12" s="1"/>
  <c r="P42" i="12"/>
  <c r="BQ12" i="10"/>
  <c r="BU12" s="1"/>
  <c r="R58" i="12"/>
  <c r="BS28" i="10" s="1"/>
  <c r="BY28" s="1"/>
  <c r="P58" i="12"/>
  <c r="BQ28" i="10" s="1"/>
  <c r="BU28" s="1"/>
  <c r="R85" i="12"/>
  <c r="BS55" i="10" s="1"/>
  <c r="BY55" s="1"/>
  <c r="P85" i="12"/>
  <c r="BQ55" i="10"/>
  <c r="BU55" s="1"/>
  <c r="R117" i="12"/>
  <c r="BS87" i="10" s="1"/>
  <c r="BY87" s="1"/>
  <c r="P117" i="12"/>
  <c r="BQ87" i="10" s="1"/>
  <c r="BU87" s="1"/>
  <c r="R149" i="12"/>
  <c r="BS119" i="10" s="1"/>
  <c r="BY119" s="1"/>
  <c r="P149" i="12"/>
  <c r="BQ119" i="10"/>
  <c r="BU119" s="1"/>
  <c r="R181" i="12"/>
  <c r="BS151" i="10" s="1"/>
  <c r="BY151" s="1"/>
  <c r="P181" i="12"/>
  <c r="BQ151" i="10" s="1"/>
  <c r="BU151" s="1"/>
  <c r="R213" i="12"/>
  <c r="BS183" i="10" s="1"/>
  <c r="BY183" s="1"/>
  <c r="P213" i="12"/>
  <c r="BQ183" i="10"/>
  <c r="BU183" s="1"/>
  <c r="R245" i="12"/>
  <c r="BS215" i="10"/>
  <c r="BY215"/>
  <c r="P245" i="12"/>
  <c r="BQ215" i="10" s="1"/>
  <c r="BU215" s="1"/>
  <c r="R277" i="12"/>
  <c r="BS247" i="10" s="1"/>
  <c r="BY247" s="1"/>
  <c r="P277" i="12"/>
  <c r="BQ247" i="10"/>
  <c r="BU247" s="1"/>
  <c r="P186" i="12"/>
  <c r="BQ156" i="10" s="1"/>
  <c r="BU156" s="1"/>
  <c r="R186" i="12"/>
  <c r="BS156" i="10" s="1"/>
  <c r="BY156" s="1"/>
  <c r="P270" i="12"/>
  <c r="BQ240" i="10" s="1"/>
  <c r="BU240" s="1"/>
  <c r="R270" i="12"/>
  <c r="BS240" i="10"/>
  <c r="BY240" s="1"/>
  <c r="P230" i="12"/>
  <c r="BQ200" i="10" s="1"/>
  <c r="BU200" s="1"/>
  <c r="R230" i="12"/>
  <c r="BS200" i="10" s="1"/>
  <c r="BY200" s="1"/>
  <c r="R39" i="12"/>
  <c r="BS9" i="10" s="1"/>
  <c r="BY9" s="1"/>
  <c r="P39" i="12"/>
  <c r="BQ9" i="10"/>
  <c r="BU9" s="1"/>
  <c r="R55" i="12"/>
  <c r="BS25" i="10" s="1"/>
  <c r="BY25" s="1"/>
  <c r="P55" i="12"/>
  <c r="BQ25" i="10" s="1"/>
  <c r="BU25" s="1"/>
  <c r="R83" i="12"/>
  <c r="BS53" i="10" s="1"/>
  <c r="BY53" s="1"/>
  <c r="P83" i="12"/>
  <c r="BQ53" i="10"/>
  <c r="BU53" s="1"/>
  <c r="R115" i="12"/>
  <c r="BS85" i="10" s="1"/>
  <c r="BY85" s="1"/>
  <c r="P115" i="12"/>
  <c r="BQ85" i="10" s="1"/>
  <c r="BU85" s="1"/>
  <c r="R147" i="12"/>
  <c r="BS117" i="10" s="1"/>
  <c r="BY117" s="1"/>
  <c r="P147" i="12"/>
  <c r="BQ117" i="10"/>
  <c r="BU117"/>
  <c r="P179" i="12"/>
  <c r="BQ149" i="10" s="1"/>
  <c r="BU149" s="1"/>
  <c r="R179" i="12"/>
  <c r="BS149" i="10" s="1"/>
  <c r="BY149" s="1"/>
  <c r="R211" i="12"/>
  <c r="BS181" i="10" s="1"/>
  <c r="BY181" s="1"/>
  <c r="P211" i="12"/>
  <c r="BQ181" i="10"/>
  <c r="BU181"/>
  <c r="R243" i="12"/>
  <c r="BS213" i="10" s="1"/>
  <c r="BY213" s="1"/>
  <c r="P243" i="12"/>
  <c r="BQ213" i="10" s="1"/>
  <c r="BU213" s="1"/>
  <c r="P275" i="12"/>
  <c r="BQ245" i="10"/>
  <c r="BU245" s="1"/>
  <c r="R275" i="12"/>
  <c r="BS245" i="10"/>
  <c r="BY245"/>
  <c r="Q239" i="12"/>
  <c r="BR209" i="10" s="1"/>
  <c r="BW209" s="1"/>
  <c r="S239" i="12"/>
  <c r="BT209" i="10" s="1"/>
  <c r="CA209" s="1"/>
  <c r="Q175" i="12"/>
  <c r="BR145" i="10"/>
  <c r="BW145" s="1"/>
  <c r="S175" i="12"/>
  <c r="BT145" i="10"/>
  <c r="CA145"/>
  <c r="Q288" i="12"/>
  <c r="BR258" i="10" s="1"/>
  <c r="BW258" s="1"/>
  <c r="S288" i="12"/>
  <c r="BT258" i="10" s="1"/>
  <c r="CA258" s="1"/>
  <c r="Q244" i="12"/>
  <c r="BR214" i="10"/>
  <c r="BW214" s="1"/>
  <c r="S244" i="12"/>
  <c r="BT214" i="10"/>
  <c r="CA214"/>
  <c r="Q180" i="12"/>
  <c r="BR150" i="10" s="1"/>
  <c r="BW150" s="1"/>
  <c r="S180" i="12"/>
  <c r="BT150" i="10" s="1"/>
  <c r="CA150" s="1"/>
  <c r="Q116" i="12"/>
  <c r="BR86" i="10"/>
  <c r="BW86" s="1"/>
  <c r="S116" i="12"/>
  <c r="BT86" i="10"/>
  <c r="CA86"/>
  <c r="G40" i="12"/>
  <c r="AV10" i="10" s="1"/>
  <c r="BA10" s="1"/>
  <c r="I40" i="12"/>
  <c r="AX10" i="10" s="1"/>
  <c r="BE10" s="1"/>
  <c r="P166" i="12"/>
  <c r="BQ136" i="10"/>
  <c r="BU136" s="1"/>
  <c r="R166" i="12"/>
  <c r="BS136" i="10"/>
  <c r="BY136"/>
  <c r="P268" i="12"/>
  <c r="BQ238" i="10" s="1"/>
  <c r="BU238" s="1"/>
  <c r="R268" i="12"/>
  <c r="BS238" i="10" s="1"/>
  <c r="BY238" s="1"/>
  <c r="P92" i="12"/>
  <c r="BQ62" i="10"/>
  <c r="BU62" s="1"/>
  <c r="R92" i="12"/>
  <c r="BS62" i="10"/>
  <c r="BY62"/>
  <c r="F62" i="12"/>
  <c r="AU32" i="10" s="1"/>
  <c r="AY32" s="1"/>
  <c r="H62" i="12"/>
  <c r="AW32" i="10" s="1"/>
  <c r="BC32" s="1"/>
  <c r="P280" i="12"/>
  <c r="BQ250" i="10"/>
  <c r="BU250" s="1"/>
  <c r="R280" i="12"/>
  <c r="BS250" i="10"/>
  <c r="BY250"/>
  <c r="P290" i="12"/>
  <c r="BQ260" i="10" s="1"/>
  <c r="BU260" s="1"/>
  <c r="R290" i="12"/>
  <c r="BS260" i="10" s="1"/>
  <c r="BY260" s="1"/>
  <c r="R62" i="12"/>
  <c r="BS32" i="10"/>
  <c r="BY32" s="1"/>
  <c r="P62" i="12"/>
  <c r="BQ32" i="10"/>
  <c r="BU32"/>
  <c r="R125" i="12"/>
  <c r="BS95" i="10" s="1"/>
  <c r="BY95" s="1"/>
  <c r="P125" i="12"/>
  <c r="BQ95" i="10" s="1"/>
  <c r="BU95" s="1"/>
  <c r="R189" i="12"/>
  <c r="BS159" i="10"/>
  <c r="BY159" s="1"/>
  <c r="P189" i="12"/>
  <c r="BQ159" i="10"/>
  <c r="BU159"/>
  <c r="R253" i="12"/>
  <c r="BS223" i="10" s="1"/>
  <c r="BY223" s="1"/>
  <c r="P253" i="12"/>
  <c r="BQ223" i="10" s="1"/>
  <c r="BU223" s="1"/>
  <c r="P210" i="12"/>
  <c r="BQ180" i="10"/>
  <c r="BU180" s="1"/>
  <c r="R210" i="12"/>
  <c r="BS180" i="10"/>
  <c r="BY180"/>
  <c r="P250" i="12"/>
  <c r="BQ220" i="10"/>
  <c r="BU220"/>
  <c r="R250" i="12"/>
  <c r="BS220" i="10" s="1"/>
  <c r="BY220" s="1"/>
  <c r="R59" i="12"/>
  <c r="BS29" i="10"/>
  <c r="BY29" s="1"/>
  <c r="P59" i="12"/>
  <c r="BQ29" i="10"/>
  <c r="BU29"/>
  <c r="R123" i="12"/>
  <c r="BS93" i="10" s="1"/>
  <c r="BY93" s="1"/>
  <c r="P123" i="12"/>
  <c r="BQ93" i="10" s="1"/>
  <c r="BU93" s="1"/>
  <c r="R187" i="12"/>
  <c r="BS157" i="10"/>
  <c r="BY157" s="1"/>
  <c r="P187" i="12"/>
  <c r="BQ157" i="10"/>
  <c r="BU157"/>
  <c r="P251" i="12"/>
  <c r="BQ221" i="10" s="1"/>
  <c r="BU221" s="1"/>
  <c r="R251" i="12"/>
  <c r="BS221" i="10" s="1"/>
  <c r="BY221" s="1"/>
  <c r="Q243" i="12"/>
  <c r="BR213" i="10"/>
  <c r="BW213" s="1"/>
  <c r="S243" i="12"/>
  <c r="BT213" i="10"/>
  <c r="CA213"/>
  <c r="Q179" i="12"/>
  <c r="BR149" i="10" s="1"/>
  <c r="BW149" s="1"/>
  <c r="S179" i="12"/>
  <c r="BT149" i="10" s="1"/>
  <c r="CA149" s="1"/>
  <c r="Q248" i="12"/>
  <c r="BR218" i="10"/>
  <c r="BW218" s="1"/>
  <c r="S248" i="12"/>
  <c r="BT218" i="10"/>
  <c r="CA218"/>
  <c r="Q184" i="12"/>
  <c r="BR154" i="10" s="1"/>
  <c r="BW154" s="1"/>
  <c r="S184" i="12"/>
  <c r="BT154" i="10" s="1"/>
  <c r="CA154" s="1"/>
  <c r="Q120" i="12"/>
  <c r="BR90" i="10"/>
  <c r="BW90" s="1"/>
  <c r="S120" i="12"/>
  <c r="BT90" i="10"/>
  <c r="CA90"/>
  <c r="G58" i="12"/>
  <c r="AV28" i="10" s="1"/>
  <c r="BA28" s="1"/>
  <c r="I58" i="12"/>
  <c r="AX28" i="10" s="1"/>
  <c r="BE28" s="1"/>
  <c r="P240" i="12"/>
  <c r="BQ210" i="10"/>
  <c r="BU210" s="1"/>
  <c r="R240" i="12"/>
  <c r="BS210" i="10"/>
  <c r="BY210"/>
  <c r="P130" i="12"/>
  <c r="BQ100" i="10" s="1"/>
  <c r="BU100" s="1"/>
  <c r="R130" i="12"/>
  <c r="BS100" i="10" s="1"/>
  <c r="BY100" s="1"/>
  <c r="P220" i="12"/>
  <c r="BQ190" i="10"/>
  <c r="BU190" s="1"/>
  <c r="R220" i="12"/>
  <c r="BS190" i="10"/>
  <c r="BY190"/>
  <c r="F60" i="12"/>
  <c r="AU30" i="10" s="1"/>
  <c r="AY30" s="1"/>
  <c r="H60" i="12"/>
  <c r="AW30" i="10" s="1"/>
  <c r="BC30" s="1"/>
  <c r="P128" i="12"/>
  <c r="BQ98" i="10"/>
  <c r="BU98" s="1"/>
  <c r="R128" i="12"/>
  <c r="BS98" i="10"/>
  <c r="BY98"/>
  <c r="P282" i="12"/>
  <c r="BQ252" i="10" s="1"/>
  <c r="BU252" s="1"/>
  <c r="R282" i="12"/>
  <c r="BS252" i="10" s="1"/>
  <c r="BY252" s="1"/>
  <c r="R60" i="12"/>
  <c r="BS30" i="10"/>
  <c r="BY30" s="1"/>
  <c r="P60" i="12"/>
  <c r="BQ30" i="10"/>
  <c r="BU30"/>
  <c r="R121" i="12"/>
  <c r="BS91" i="10" s="1"/>
  <c r="BY91" s="1"/>
  <c r="P121" i="12"/>
  <c r="BQ91" i="10" s="1"/>
  <c r="BU91" s="1"/>
  <c r="R185" i="12"/>
  <c r="BS155" i="10"/>
  <c r="BY155" s="1"/>
  <c r="P185" i="12"/>
  <c r="BQ155" i="10"/>
  <c r="BU155"/>
  <c r="R249" i="12"/>
  <c r="BS219" i="10" s="1"/>
  <c r="BY219" s="1"/>
  <c r="P249" i="12"/>
  <c r="BQ219" i="10" s="1"/>
  <c r="BU219" s="1"/>
  <c r="P198" i="12"/>
  <c r="BQ168" i="10"/>
  <c r="BU168" s="1"/>
  <c r="R198" i="12"/>
  <c r="BS168" i="10"/>
  <c r="BY168"/>
  <c r="P246" i="12"/>
  <c r="BQ216" i="10" s="1"/>
  <c r="BU216" s="1"/>
  <c r="R246" i="12"/>
  <c r="BS216" i="10" s="1"/>
  <c r="BY216" s="1"/>
  <c r="R57" i="12"/>
  <c r="BS27" i="10"/>
  <c r="BY27" s="1"/>
  <c r="P57" i="12"/>
  <c r="BQ27" i="10"/>
  <c r="BU27"/>
  <c r="R119" i="12"/>
  <c r="BS89" i="10"/>
  <c r="BY89"/>
  <c r="P119" i="12"/>
  <c r="BQ89" i="10" s="1"/>
  <c r="BU89" s="1"/>
  <c r="P183" i="12"/>
  <c r="BQ153" i="10"/>
  <c r="BU153" s="1"/>
  <c r="R183" i="12"/>
  <c r="BS153" i="10"/>
  <c r="BY153"/>
  <c r="P247" i="12"/>
  <c r="BQ217" i="10" s="1"/>
  <c r="BU217" s="1"/>
  <c r="R247" i="12"/>
  <c r="BS217" i="10" s="1"/>
  <c r="BY217" s="1"/>
  <c r="S283" i="12"/>
  <c r="BT253" i="10"/>
  <c r="CA253" s="1"/>
  <c r="Q283" i="12"/>
  <c r="BR253" i="10"/>
  <c r="BW253"/>
  <c r="Q251" i="12"/>
  <c r="BR221" i="10"/>
  <c r="BW221"/>
  <c r="S251" i="12"/>
  <c r="BT221" i="10" s="1"/>
  <c r="CA221" s="1"/>
  <c r="Q219" i="12"/>
  <c r="BR189" i="10"/>
  <c r="BW189" s="1"/>
  <c r="S219" i="12"/>
  <c r="BT189" i="10"/>
  <c r="CA189"/>
  <c r="Q187" i="12"/>
  <c r="BR157" i="10" s="1"/>
  <c r="BW157" s="1"/>
  <c r="S187" i="12"/>
  <c r="BT157" i="10" s="1"/>
  <c r="CA157" s="1"/>
  <c r="Q155" i="12"/>
  <c r="BR125" i="10"/>
  <c r="BW125" s="1"/>
  <c r="S155" i="12"/>
  <c r="BT125" i="10"/>
  <c r="CA125"/>
  <c r="Q256" i="12"/>
  <c r="BR226" i="10" s="1"/>
  <c r="BW226" s="1"/>
  <c r="S256" i="12"/>
  <c r="BT226" i="10" s="1"/>
  <c r="CA226" s="1"/>
  <c r="Q224" i="12"/>
  <c r="BR194" i="10"/>
  <c r="BW194" s="1"/>
  <c r="S224" i="12"/>
  <c r="BT194" i="10"/>
  <c r="CA194"/>
  <c r="Q192" i="12"/>
  <c r="BR162" i="10" s="1"/>
  <c r="BW162" s="1"/>
  <c r="S192" i="12"/>
  <c r="BT162" i="10" s="1"/>
  <c r="CA162" s="1"/>
  <c r="Q160" i="12"/>
  <c r="BR130" i="10"/>
  <c r="BW130" s="1"/>
  <c r="S160" i="12"/>
  <c r="BT130" i="10"/>
  <c r="CA130"/>
  <c r="Q128" i="12"/>
  <c r="BR98" i="10" s="1"/>
  <c r="BW98" s="1"/>
  <c r="S128" i="12"/>
  <c r="BT98" i="10" s="1"/>
  <c r="CA98" s="1"/>
  <c r="Q96" i="12"/>
  <c r="BR66" i="10"/>
  <c r="BW66" s="1"/>
  <c r="S96" i="12"/>
  <c r="BT66" i="10"/>
  <c r="CA66"/>
  <c r="Q64" i="12"/>
  <c r="BR34" i="10" s="1"/>
  <c r="BW34" s="1"/>
  <c r="S64" i="12"/>
  <c r="BT34" i="10" s="1"/>
  <c r="CA34" s="1"/>
  <c r="G46" i="12"/>
  <c r="AV16" i="10"/>
  <c r="BA16" s="1"/>
  <c r="I46" i="12"/>
  <c r="AX16" i="10"/>
  <c r="BE16"/>
  <c r="P272" i="12"/>
  <c r="BQ242" i="10" s="1"/>
  <c r="BU242" s="1"/>
  <c r="R272" i="12"/>
  <c r="BS242" i="10" s="1"/>
  <c r="BY242" s="1"/>
  <c r="P102" i="12"/>
  <c r="BQ72" i="10"/>
  <c r="BU72" s="1"/>
  <c r="R102" i="12"/>
  <c r="BS72" i="10"/>
  <c r="BY72"/>
  <c r="F58" i="12"/>
  <c r="AU28" i="10"/>
  <c r="AY28"/>
  <c r="H58" i="12"/>
  <c r="AW28" i="10" s="1"/>
  <c r="BC28" s="1"/>
  <c r="P122" i="12"/>
  <c r="BQ92" i="10"/>
  <c r="BU92" s="1"/>
  <c r="R122" i="12"/>
  <c r="BS92" i="10"/>
  <c r="BY92" s="1"/>
  <c r="P78" i="12"/>
  <c r="BQ48" i="10" s="1"/>
  <c r="BU48" s="1"/>
  <c r="R78" i="12"/>
  <c r="BS48" i="10" s="1"/>
  <c r="BY48" s="1"/>
  <c r="F45" i="12"/>
  <c r="AU15" i="10"/>
  <c r="AY15" s="1"/>
  <c r="H45" i="12"/>
  <c r="AW15" i="10"/>
  <c r="BC15" s="1"/>
  <c r="P244" i="12"/>
  <c r="BQ214" i="10" s="1"/>
  <c r="BU214" s="1"/>
  <c r="R244" i="12"/>
  <c r="BS214" i="10" s="1"/>
  <c r="BY214" s="1"/>
  <c r="P140" i="12"/>
  <c r="BQ110" i="10"/>
  <c r="BU110" s="1"/>
  <c r="R140" i="12"/>
  <c r="BS110" i="10"/>
  <c r="BY110" s="1"/>
  <c r="F40" i="12"/>
  <c r="AU10" i="10" s="1"/>
  <c r="AY10" s="1"/>
  <c r="H40" i="12"/>
  <c r="AW10" i="10" s="1"/>
  <c r="BC10" s="1"/>
  <c r="P252" i="12"/>
  <c r="BQ222" i="10"/>
  <c r="BU222" s="1"/>
  <c r="R252" i="12"/>
  <c r="BS222" i="10"/>
  <c r="BY222" s="1"/>
  <c r="P76" i="12"/>
  <c r="BQ46" i="10" s="1"/>
  <c r="BU46" s="1"/>
  <c r="R76" i="12"/>
  <c r="BS46" i="10" s="1"/>
  <c r="BY46" s="1"/>
  <c r="P192" i="12"/>
  <c r="BQ162" i="10"/>
  <c r="BU162" s="1"/>
  <c r="R192" i="12"/>
  <c r="BS162" i="10"/>
  <c r="BY162" s="1"/>
  <c r="F38" i="12"/>
  <c r="AU8" i="10" s="1"/>
  <c r="AY8" s="1"/>
  <c r="H38" i="12"/>
  <c r="AW8" i="10" s="1"/>
  <c r="BC8" s="1"/>
  <c r="P254" i="12"/>
  <c r="BQ224" i="10"/>
  <c r="BU224" s="1"/>
  <c r="R254" i="12"/>
  <c r="BS224" i="10"/>
  <c r="BY224" s="1"/>
  <c r="R40" i="12"/>
  <c r="BS10" i="10" s="1"/>
  <c r="BY10" s="1"/>
  <c r="P40" i="12"/>
  <c r="BQ10" i="10" s="1"/>
  <c r="BU10" s="1"/>
  <c r="R56" i="12"/>
  <c r="BS26" i="10"/>
  <c r="BY26" s="1"/>
  <c r="P56" i="12"/>
  <c r="BQ26" i="10"/>
  <c r="BU26" s="1"/>
  <c r="R81" i="12"/>
  <c r="BS51" i="10"/>
  <c r="BY51"/>
  <c r="P81" i="12"/>
  <c r="BQ51" i="10" s="1"/>
  <c r="BU51" s="1"/>
  <c r="R113" i="12"/>
  <c r="BS83" i="10" s="1"/>
  <c r="BY83" s="1"/>
  <c r="P113" i="12"/>
  <c r="BQ83" i="10"/>
  <c r="BU83"/>
  <c r="R145" i="12"/>
  <c r="BS115" i="10"/>
  <c r="BY115"/>
  <c r="P145" i="12"/>
  <c r="BQ115" i="10" s="1"/>
  <c r="BU115" s="1"/>
  <c r="R177" i="12"/>
  <c r="BS147" i="10"/>
  <c r="BY147" s="1"/>
  <c r="P177" i="12"/>
  <c r="BQ147" i="10"/>
  <c r="BU147" s="1"/>
  <c r="R209" i="12"/>
  <c r="BS179" i="10"/>
  <c r="BY179"/>
  <c r="P209" i="12"/>
  <c r="BQ179" i="10" s="1"/>
  <c r="BU179" s="1"/>
  <c r="R241" i="12"/>
  <c r="BS211" i="10" s="1"/>
  <c r="BY211" s="1"/>
  <c r="P241" i="12"/>
  <c r="BQ211" i="10"/>
  <c r="BU211"/>
  <c r="R273" i="12"/>
  <c r="BS243" i="10"/>
  <c r="BY243"/>
  <c r="P273" i="12"/>
  <c r="BQ243" i="10" s="1"/>
  <c r="BU243" s="1"/>
  <c r="P174" i="12"/>
  <c r="BQ144" i="10"/>
  <c r="BU144" s="1"/>
  <c r="R174" i="12"/>
  <c r="BS144" i="10"/>
  <c r="BY144" s="1"/>
  <c r="P258" i="12"/>
  <c r="BQ228" i="10" s="1"/>
  <c r="BU228" s="1"/>
  <c r="R258" i="12"/>
  <c r="BS228" i="10" s="1"/>
  <c r="BY228" s="1"/>
  <c r="P218" i="12"/>
  <c r="BQ188" i="10"/>
  <c r="BU188" s="1"/>
  <c r="R218" i="12"/>
  <c r="BS188" i="10"/>
  <c r="BY188" s="1"/>
  <c r="R37" i="12"/>
  <c r="BS7" i="10" s="1"/>
  <c r="BY7" s="1"/>
  <c r="P37" i="12"/>
  <c r="BQ7" i="10" s="1"/>
  <c r="BU7" s="1"/>
  <c r="R53" i="12"/>
  <c r="BS23" i="10"/>
  <c r="BY23" s="1"/>
  <c r="P53" i="12"/>
  <c r="BQ23" i="10"/>
  <c r="BU23" s="1"/>
  <c r="R79" i="12"/>
  <c r="BS49" i="10"/>
  <c r="BY49"/>
  <c r="P79" i="12"/>
  <c r="BQ49" i="10" s="1"/>
  <c r="BU49" s="1"/>
  <c r="R111" i="12"/>
  <c r="BS81" i="10" s="1"/>
  <c r="BY81" s="1"/>
  <c r="P111" i="12"/>
  <c r="BQ81" i="10"/>
  <c r="BU81"/>
  <c r="R143" i="12"/>
  <c r="BS113" i="10"/>
  <c r="BY113"/>
  <c r="P143" i="12"/>
  <c r="BQ113" i="10" s="1"/>
  <c r="BU113" s="1"/>
  <c r="P175" i="12"/>
  <c r="BQ145" i="10"/>
  <c r="BU145" s="1"/>
  <c r="R175" i="12"/>
  <c r="BS145" i="10"/>
  <c r="BY145" s="1"/>
  <c r="P207" i="12"/>
  <c r="BQ177" i="10"/>
  <c r="BU177"/>
  <c r="R207" i="12"/>
  <c r="BS177" i="10" s="1"/>
  <c r="BY177" s="1"/>
  <c r="R239" i="12"/>
  <c r="BS209" i="10" s="1"/>
  <c r="BY209" s="1"/>
  <c r="P239" i="12"/>
  <c r="BQ209" i="10"/>
  <c r="BU209"/>
  <c r="P271" i="12"/>
  <c r="BQ241" i="10"/>
  <c r="BU241"/>
  <c r="R271" i="12"/>
  <c r="BS241" i="10" s="1"/>
  <c r="BY241" s="1"/>
  <c r="S271" i="12"/>
  <c r="BT241" i="10"/>
  <c r="CA241" s="1"/>
  <c r="Q271" i="12"/>
  <c r="BR241" i="10"/>
  <c r="BW241" s="1"/>
  <c r="Q207" i="12"/>
  <c r="BR177" i="10"/>
  <c r="BW177"/>
  <c r="S207" i="12"/>
  <c r="BT177" i="10" s="1"/>
  <c r="CA177" s="1"/>
  <c r="Q143" i="12"/>
  <c r="BR113" i="10" s="1"/>
  <c r="BW113" s="1"/>
  <c r="S143" i="12"/>
  <c r="BT113" i="10"/>
  <c r="CA113"/>
  <c r="Q272" i="12"/>
  <c r="BR242" i="10" s="1"/>
  <c r="BW242"/>
  <c r="S272" i="12"/>
  <c r="BT242" i="10" s="1"/>
  <c r="CA242" s="1"/>
  <c r="Q212" i="12"/>
  <c r="BR182" i="10" s="1"/>
  <c r="BW182" s="1"/>
  <c r="S212" i="12"/>
  <c r="BT182" i="10"/>
  <c r="CA182"/>
  <c r="Q148" i="12"/>
  <c r="BR118" i="10" s="1"/>
  <c r="BW118"/>
  <c r="S148" i="12"/>
  <c r="BT118" i="10" s="1"/>
  <c r="CA118" s="1"/>
  <c r="G56" i="12"/>
  <c r="AV26" i="10" s="1"/>
  <c r="BA26" s="1"/>
  <c r="I56" i="12"/>
  <c r="AX26" i="10"/>
  <c r="BE26"/>
  <c r="P134" i="12"/>
  <c r="BQ104" i="10" s="1"/>
  <c r="BU104"/>
  <c r="R134" i="12"/>
  <c r="BS104" i="10" s="1"/>
  <c r="BY104" s="1"/>
  <c r="P110" i="12"/>
  <c r="BQ80" i="10" s="1"/>
  <c r="BU80" s="1"/>
  <c r="R110" i="12"/>
  <c r="BS80" i="10"/>
  <c r="BY80"/>
  <c r="F59" i="12"/>
  <c r="AU29" i="10" s="1"/>
  <c r="AY29"/>
  <c r="H59" i="12"/>
  <c r="AW29" i="10" s="1"/>
  <c r="BC29" s="1"/>
  <c r="P126" i="12"/>
  <c r="BQ96" i="10" s="1"/>
  <c r="BU96" s="1"/>
  <c r="R126" i="12"/>
  <c r="BS96" i="10"/>
  <c r="BY96"/>
  <c r="P178" i="12"/>
  <c r="BQ148" i="10" s="1"/>
  <c r="BU148"/>
  <c r="R178" i="12"/>
  <c r="BS148" i="10" s="1"/>
  <c r="BY148" s="1"/>
  <c r="R46" i="12"/>
  <c r="BS16" i="10"/>
  <c r="BY16" s="1"/>
  <c r="P46" i="12"/>
  <c r="BQ16" i="10"/>
  <c r="BU16"/>
  <c r="R93" i="12"/>
  <c r="BS63" i="10" s="1"/>
  <c r="BY63" s="1"/>
  <c r="P93" i="12"/>
  <c r="BQ63" i="10" s="1"/>
  <c r="BU63" s="1"/>
  <c r="R157" i="12"/>
  <c r="BS127" i="10"/>
  <c r="BY127" s="1"/>
  <c r="P157" i="12"/>
  <c r="BQ127" i="10"/>
  <c r="BU127"/>
  <c r="R221" i="12"/>
  <c r="BS191" i="10"/>
  <c r="BY191"/>
  <c r="P221" i="12"/>
  <c r="BQ191" i="10" s="1"/>
  <c r="BU191" s="1"/>
  <c r="R285" i="12"/>
  <c r="BS255" i="10" s="1"/>
  <c r="BY255" s="1"/>
  <c r="P285" i="12"/>
  <c r="BQ255" i="10"/>
  <c r="BU255"/>
  <c r="P278" i="12"/>
  <c r="BQ248" i="10" s="1"/>
  <c r="BU248" s="1"/>
  <c r="R278" i="12"/>
  <c r="BS248" i="10" s="1"/>
  <c r="BY248" s="1"/>
  <c r="R43" i="12"/>
  <c r="BS13" i="10" s="1"/>
  <c r="BY13" s="1"/>
  <c r="P43" i="12"/>
  <c r="BQ13" i="10"/>
  <c r="BU13"/>
  <c r="R91" i="12"/>
  <c r="BS61" i="10" s="1"/>
  <c r="BY61" s="1"/>
  <c r="P91" i="12"/>
  <c r="BQ61" i="10" s="1"/>
  <c r="BU61" s="1"/>
  <c r="R155" i="12"/>
  <c r="BS125" i="10" s="1"/>
  <c r="BY125" s="1"/>
  <c r="P155" i="12"/>
  <c r="BQ125" i="10"/>
  <c r="BU125"/>
  <c r="R219" i="12"/>
  <c r="BS189" i="10" s="1"/>
  <c r="BY189" s="1"/>
  <c r="P219" i="12"/>
  <c r="BQ189" i="10" s="1"/>
  <c r="BU189" s="1"/>
  <c r="P283" i="12"/>
  <c r="BQ253" i="10" s="1"/>
  <c r="BU253" s="1"/>
  <c r="R283" i="12"/>
  <c r="BS253" i="10"/>
  <c r="BY253"/>
  <c r="S275" i="12"/>
  <c r="BT245" i="10" s="1"/>
  <c r="CA245" s="1"/>
  <c r="Q275" i="12"/>
  <c r="BR245" i="10" s="1"/>
  <c r="BW245" s="1"/>
  <c r="Q211" i="12"/>
  <c r="BR181" i="10" s="1"/>
  <c r="BW181" s="1"/>
  <c r="S211" i="12"/>
  <c r="BT181" i="10"/>
  <c r="CA181"/>
  <c r="Q147" i="12"/>
  <c r="BR117" i="10" s="1"/>
  <c r="BW117" s="1"/>
  <c r="S147" i="12"/>
  <c r="BT117" i="10" s="1"/>
  <c r="CA117" s="1"/>
  <c r="Q216" i="12"/>
  <c r="BR186" i="10"/>
  <c r="BW186" s="1"/>
  <c r="S216" i="12"/>
  <c r="BT186" i="10"/>
  <c r="CA186"/>
  <c r="Q152" i="12"/>
  <c r="BR122" i="10" s="1"/>
  <c r="BW122" s="1"/>
  <c r="S152" i="12"/>
  <c r="BT122" i="10" s="1"/>
  <c r="CA122" s="1"/>
  <c r="Q88" i="12"/>
  <c r="BR58" i="10"/>
  <c r="BW58" s="1"/>
  <c r="S88" i="12"/>
  <c r="BT58" i="10"/>
  <c r="CA58"/>
  <c r="G42" i="12"/>
  <c r="AV12" i="10" s="1"/>
  <c r="BA12" s="1"/>
  <c r="I42" i="12"/>
  <c r="AX12" i="10" s="1"/>
  <c r="BE12" s="1"/>
  <c r="F51" i="12"/>
  <c r="AU21" i="10"/>
  <c r="AY21" s="1"/>
  <c r="H51" i="12"/>
  <c r="AW21" i="10"/>
  <c r="BC21"/>
  <c r="P112" i="12"/>
  <c r="BQ82" i="10" s="1"/>
  <c r="BU82" s="1"/>
  <c r="R112" i="12"/>
  <c r="BS82" i="10" s="1"/>
  <c r="BY82" s="1"/>
  <c r="P212" i="12"/>
  <c r="BQ182" i="10"/>
  <c r="BU182" s="1"/>
  <c r="R212" i="12"/>
  <c r="BS182" i="10"/>
  <c r="BY182"/>
  <c r="P66" i="12"/>
  <c r="BQ36" i="10" s="1"/>
  <c r="BU36" s="1"/>
  <c r="R66" i="12"/>
  <c r="BS36" i="10" s="1"/>
  <c r="BY36" s="1"/>
  <c r="P64" i="12"/>
  <c r="BQ34" i="10"/>
  <c r="BU34" s="1"/>
  <c r="R64" i="12"/>
  <c r="BS34" i="10"/>
  <c r="BY34"/>
  <c r="R44" i="12"/>
  <c r="BS14" i="10" s="1"/>
  <c r="BY14" s="1"/>
  <c r="P44" i="12"/>
  <c r="BQ14" i="10" s="1"/>
  <c r="BU14" s="1"/>
  <c r="R89" i="12"/>
  <c r="BS59" i="10"/>
  <c r="BY59" s="1"/>
  <c r="P89" i="12"/>
  <c r="BQ59" i="10"/>
  <c r="BU59"/>
  <c r="R153" i="12"/>
  <c r="BS123" i="10" s="1"/>
  <c r="BY123" s="1"/>
  <c r="P153" i="12"/>
  <c r="BQ123" i="10" s="1"/>
  <c r="BU123" s="1"/>
  <c r="R217" i="12"/>
  <c r="BS187" i="10"/>
  <c r="BY187" s="1"/>
  <c r="P217" i="12"/>
  <c r="BQ187" i="10"/>
  <c r="BU187"/>
  <c r="R281" i="12"/>
  <c r="BS251" i="10" s="1"/>
  <c r="BY251" s="1"/>
  <c r="P281" i="12"/>
  <c r="BQ251" i="10" s="1"/>
  <c r="BU251" s="1"/>
  <c r="P274" i="12"/>
  <c r="BQ244" i="10"/>
  <c r="BU244" s="1"/>
  <c r="R274" i="12"/>
  <c r="BS244" i="10"/>
  <c r="BY244"/>
  <c r="R41" i="12"/>
  <c r="BS11" i="10" s="1"/>
  <c r="BY11" s="1"/>
  <c r="P41" i="12"/>
  <c r="BQ11" i="10" s="1"/>
  <c r="BU11" s="1"/>
  <c r="R87" i="12"/>
  <c r="BS57" i="10"/>
  <c r="BY57" s="1"/>
  <c r="P87" i="12"/>
  <c r="BQ57" i="10"/>
  <c r="BU57"/>
  <c r="R151" i="12"/>
  <c r="BS121" i="10" s="1"/>
  <c r="BY121" s="1"/>
  <c r="P151" i="12"/>
  <c r="BQ121" i="10" s="1"/>
  <c r="BU121" s="1"/>
  <c r="R215" i="12"/>
  <c r="BS185" i="10"/>
  <c r="BY185" s="1"/>
  <c r="P215" i="12"/>
  <c r="BQ185" i="10"/>
  <c r="BU185"/>
  <c r="P279" i="12"/>
  <c r="BQ249" i="10" s="1"/>
  <c r="BU249" s="1"/>
  <c r="R279" i="12"/>
  <c r="BS249" i="10" s="1"/>
  <c r="BY249" s="1"/>
  <c r="S287" i="12"/>
  <c r="BT257" i="10"/>
  <c r="CA257" s="1"/>
  <c r="Q287" i="12"/>
  <c r="BR257" i="10"/>
  <c r="BW257"/>
  <c r="Q255" i="12"/>
  <c r="BR225" i="10" s="1"/>
  <c r="BW225" s="1"/>
  <c r="S255" i="12"/>
  <c r="BT225" i="10" s="1"/>
  <c r="CA225" s="1"/>
  <c r="Q223" i="12"/>
  <c r="BR193" i="10"/>
  <c r="BW193" s="1"/>
  <c r="S223" i="12"/>
  <c r="BT193" i="10"/>
  <c r="CA193"/>
  <c r="Q191" i="12"/>
  <c r="BR161" i="10" s="1"/>
  <c r="BW161" s="1"/>
  <c r="S191" i="12"/>
  <c r="BT161" i="10" s="1"/>
  <c r="CA161" s="1"/>
  <c r="Q159" i="12"/>
  <c r="BR129" i="10"/>
  <c r="BW129" s="1"/>
  <c r="S159" i="12"/>
  <c r="BT129" i="10"/>
  <c r="CA129"/>
  <c r="Q296" i="12"/>
  <c r="BR266" i="10" s="1"/>
  <c r="BW266" s="1"/>
  <c r="S296" i="12"/>
  <c r="BT266" i="10" s="1"/>
  <c r="CA266" s="1"/>
  <c r="Q280" i="12"/>
  <c r="BR250" i="10"/>
  <c r="BW250" s="1"/>
  <c r="S280" i="12"/>
  <c r="BT250" i="10"/>
  <c r="CA250"/>
  <c r="Q260" i="12"/>
  <c r="BR230" i="10" s="1"/>
  <c r="BW230" s="1"/>
  <c r="S260" i="12"/>
  <c r="BT230" i="10" s="1"/>
  <c r="CA230" s="1"/>
  <c r="Q228" i="12"/>
  <c r="BR198" i="10"/>
  <c r="BW198" s="1"/>
  <c r="S228" i="12"/>
  <c r="BT198" i="10"/>
  <c r="CA198"/>
  <c r="Q196" i="12"/>
  <c r="BR166" i="10" s="1"/>
  <c r="BW166" s="1"/>
  <c r="S196" i="12"/>
  <c r="BT166" i="10" s="1"/>
  <c r="CA166" s="1"/>
  <c r="Q164" i="12"/>
  <c r="BR134" i="10"/>
  <c r="BW134" s="1"/>
  <c r="S164" i="12"/>
  <c r="BT134" i="10"/>
  <c r="CA134"/>
  <c r="Q132" i="12"/>
  <c r="BR102" i="10" s="1"/>
  <c r="BW102" s="1"/>
  <c r="S132" i="12"/>
  <c r="BT102" i="10" s="1"/>
  <c r="CA102" s="1"/>
  <c r="Q100" i="12"/>
  <c r="BR70" i="10"/>
  <c r="BW70" s="1"/>
  <c r="S100" i="12"/>
  <c r="BT70" i="10"/>
  <c r="CA70"/>
  <c r="Q68" i="12"/>
  <c r="BR38" i="10" s="1"/>
  <c r="BW38" s="1"/>
  <c r="S68" i="12"/>
  <c r="BT38" i="10" s="1"/>
  <c r="CA38" s="1"/>
  <c r="G48" i="12"/>
  <c r="AV18" i="10"/>
  <c r="BA18" s="1"/>
  <c r="I48" i="12"/>
  <c r="AX18" i="10"/>
  <c r="BE18"/>
  <c r="P200" i="12"/>
  <c r="BQ170" i="10" s="1"/>
  <c r="BU170" s="1"/>
  <c r="R200" i="12"/>
  <c r="BS170" i="10" s="1"/>
  <c r="BY170" s="1"/>
  <c r="P150" i="12"/>
  <c r="BQ120" i="10"/>
  <c r="BU120" s="1"/>
  <c r="R150" i="12"/>
  <c r="BS120" i="10"/>
  <c r="BY120"/>
  <c r="P104" i="12"/>
  <c r="BQ74" i="10" s="1"/>
  <c r="BU74" s="1"/>
  <c r="R104" i="12"/>
  <c r="BS74" i="10" s="1"/>
  <c r="BY74" s="1"/>
  <c r="P204" i="12"/>
  <c r="BQ174" i="10"/>
  <c r="BU174" s="1"/>
  <c r="R204" i="12"/>
  <c r="BS174" i="10"/>
  <c r="BY174"/>
  <c r="P124" i="12"/>
  <c r="BQ94" i="10" s="1"/>
  <c r="BU94" s="1"/>
  <c r="R124" i="12"/>
  <c r="BS94" i="10" s="1"/>
  <c r="BY94" s="1"/>
  <c r="P296" i="12"/>
  <c r="BQ266" i="10"/>
  <c r="BU266" s="1"/>
  <c r="R296" i="12"/>
  <c r="BS266" i="10"/>
  <c r="BY266"/>
  <c r="P80" i="12"/>
  <c r="BQ50" i="10" s="1"/>
  <c r="BU50" s="1"/>
  <c r="R80" i="12"/>
  <c r="BS50" i="10" s="1"/>
  <c r="BY50" s="1"/>
  <c r="F46" i="12"/>
  <c r="AU16" i="10"/>
  <c r="AY16" s="1"/>
  <c r="H46" i="12"/>
  <c r="AW16" i="10"/>
  <c r="BC16"/>
  <c r="P148" i="12"/>
  <c r="BQ118" i="10" s="1"/>
  <c r="BU118" s="1"/>
  <c r="R148" i="12"/>
  <c r="BS118" i="10" s="1"/>
  <c r="BY118" s="1"/>
  <c r="F50" i="12"/>
  <c r="AU20" i="10"/>
  <c r="AY20" s="1"/>
  <c r="H50" i="12"/>
  <c r="AW20" i="10"/>
  <c r="BC20"/>
  <c r="P284" i="12"/>
  <c r="BQ254" i="10" s="1"/>
  <c r="BU254" s="1"/>
  <c r="R284" i="12"/>
  <c r="BS254" i="10" s="1"/>
  <c r="BY254" s="1"/>
  <c r="F43" i="12"/>
  <c r="AU13" i="10"/>
  <c r="AY13" s="1"/>
  <c r="H43" i="12"/>
  <c r="AW13" i="10"/>
  <c r="BC13"/>
  <c r="P94" i="12"/>
  <c r="BQ64" i="10" s="1"/>
  <c r="BU64" s="1"/>
  <c r="R94" i="12"/>
  <c r="BS64" i="10" s="1"/>
  <c r="BY64" s="1"/>
  <c r="P234" i="12"/>
  <c r="BQ204" i="10"/>
  <c r="BU204" s="1"/>
  <c r="R234" i="12"/>
  <c r="BS204" i="10"/>
  <c r="BY204"/>
  <c r="R38" i="12"/>
  <c r="BS8" i="10" s="1"/>
  <c r="BY8" s="1"/>
  <c r="P38" i="12"/>
  <c r="BQ8" i="10" s="1"/>
  <c r="BU8" s="1"/>
  <c r="R54" i="12"/>
  <c r="BS24" i="10"/>
  <c r="BY24" s="1"/>
  <c r="P54" i="12"/>
  <c r="BQ24" i="10"/>
  <c r="BU24"/>
  <c r="R77" i="12"/>
  <c r="BS47" i="10" s="1"/>
  <c r="BY47" s="1"/>
  <c r="P77" i="12"/>
  <c r="BQ47" i="10" s="1"/>
  <c r="BU47" s="1"/>
  <c r="R109" i="12"/>
  <c r="BS79" i="10"/>
  <c r="BY79" s="1"/>
  <c r="P109" i="12"/>
  <c r="BQ79" i="10"/>
  <c r="BU79"/>
  <c r="R141" i="12"/>
  <c r="BS111" i="10" s="1"/>
  <c r="BY111" s="1"/>
  <c r="P141" i="12"/>
  <c r="BQ111" i="10" s="1"/>
  <c r="BU111" s="1"/>
  <c r="R173" i="12"/>
  <c r="BS143" i="10"/>
  <c r="BY143" s="1"/>
  <c r="P173" i="12"/>
  <c r="BQ143" i="10"/>
  <c r="BU143"/>
  <c r="R205" i="12"/>
  <c r="BS175" i="10" s="1"/>
  <c r="BY175" s="1"/>
  <c r="P205" i="12"/>
  <c r="BQ175" i="10" s="1"/>
  <c r="BU175" s="1"/>
  <c r="R237" i="12"/>
  <c r="BS207" i="10"/>
  <c r="BY207" s="1"/>
  <c r="P237" i="12"/>
  <c r="BQ207" i="10"/>
  <c r="BU207"/>
  <c r="R269" i="12"/>
  <c r="BS239" i="10" s="1"/>
  <c r="BY239" s="1"/>
  <c r="P269" i="12"/>
  <c r="BQ239" i="10" s="1"/>
  <c r="BU239" s="1"/>
  <c r="P170" i="12"/>
  <c r="BQ140" i="10"/>
  <c r="BU140" s="1"/>
  <c r="R170" i="12"/>
  <c r="BS140" i="10"/>
  <c r="BY140"/>
  <c r="P242" i="12"/>
  <c r="BQ212" i="10" s="1"/>
  <c r="BU212" s="1"/>
  <c r="R242" i="12"/>
  <c r="BS212" i="10" s="1"/>
  <c r="BY212" s="1"/>
  <c r="P214" i="12"/>
  <c r="BQ184" i="10"/>
  <c r="BU184" s="1"/>
  <c r="R214" i="12"/>
  <c r="BS184" i="10"/>
  <c r="BY184"/>
  <c r="R35" i="12"/>
  <c r="BS5" i="10" s="1"/>
  <c r="BY5" s="1"/>
  <c r="P35" i="12"/>
  <c r="BQ5" i="10" s="1"/>
  <c r="BU5" s="1"/>
  <c r="R51" i="12"/>
  <c r="BS21" i="10"/>
  <c r="BY21" s="1"/>
  <c r="P51" i="12"/>
  <c r="BQ21" i="10"/>
  <c r="BU21"/>
  <c r="R75" i="12"/>
  <c r="BS45" i="10" s="1"/>
  <c r="BY45" s="1"/>
  <c r="P75" i="12"/>
  <c r="BQ45" i="10" s="1"/>
  <c r="BU45" s="1"/>
  <c r="R107" i="12"/>
  <c r="BS77" i="10"/>
  <c r="BY77" s="1"/>
  <c r="P107" i="12"/>
  <c r="BQ77" i="10"/>
  <c r="BU77"/>
  <c r="R139" i="12"/>
  <c r="BS109" i="10" s="1"/>
  <c r="BY109" s="1"/>
  <c r="P139" i="12"/>
  <c r="BQ109" i="10" s="1"/>
  <c r="BU109" s="1"/>
  <c r="P171" i="12"/>
  <c r="BQ141" i="10"/>
  <c r="BU141" s="1"/>
  <c r="R171" i="12"/>
  <c r="BS141" i="10"/>
  <c r="BY141"/>
  <c r="P203" i="12"/>
  <c r="BQ173" i="10" s="1"/>
  <c r="BU173" s="1"/>
  <c r="R203" i="12"/>
  <c r="BS173" i="10" s="1"/>
  <c r="BY173" s="1"/>
  <c r="P235" i="12"/>
  <c r="BQ205" i="10"/>
  <c r="BU205" s="1"/>
  <c r="R235" i="12"/>
  <c r="BS205" i="10"/>
  <c r="BY205"/>
  <c r="P267" i="12"/>
  <c r="BQ237" i="10" s="1"/>
  <c r="BU237" s="1"/>
  <c r="R267" i="12"/>
  <c r="BS237" i="10" s="1"/>
  <c r="BY237" s="1"/>
  <c r="B18" i="5"/>
  <c r="B20"/>
  <c r="F20" s="1"/>
  <c r="H21" i="12" s="1"/>
  <c r="D58" i="5"/>
  <c r="F58"/>
  <c r="J29" i="10"/>
  <c r="N29" s="1"/>
  <c r="D54" i="5"/>
  <c r="H54"/>
  <c r="L25" i="10"/>
  <c r="R25" s="1"/>
  <c r="D50" i="5"/>
  <c r="H50"/>
  <c r="L21" i="10"/>
  <c r="R21" s="1"/>
  <c r="D46" i="5"/>
  <c r="F46"/>
  <c r="J17" i="10"/>
  <c r="N17" s="1"/>
  <c r="D42" i="5"/>
  <c r="H42"/>
  <c r="L13" i="10"/>
  <c r="R13" s="1"/>
  <c r="D38" i="5"/>
  <c r="F38"/>
  <c r="J9" i="10"/>
  <c r="N9" s="1"/>
  <c r="D34" i="5"/>
  <c r="H34"/>
  <c r="L5" i="10"/>
  <c r="R5" s="1"/>
  <c r="D52" i="5"/>
  <c r="H52"/>
  <c r="L23" i="10"/>
  <c r="R23" s="1"/>
  <c r="D56" i="5"/>
  <c r="H56"/>
  <c r="L27" i="10"/>
  <c r="R27" s="1"/>
  <c r="D59" i="5"/>
  <c r="H59"/>
  <c r="L30" i="10"/>
  <c r="R30" s="1"/>
  <c r="D55" i="5"/>
  <c r="H55"/>
  <c r="L26" i="10"/>
  <c r="R26" s="1"/>
  <c r="D51" i="5"/>
  <c r="H51"/>
  <c r="L22" i="10"/>
  <c r="R22" s="1"/>
  <c r="D47" i="5"/>
  <c r="F47"/>
  <c r="J18" i="10"/>
  <c r="N18" s="1"/>
  <c r="D43" i="5"/>
  <c r="F43"/>
  <c r="J14" i="10"/>
  <c r="N14" s="1"/>
  <c r="D39" i="5"/>
  <c r="H39"/>
  <c r="L10" i="10"/>
  <c r="R10" s="1"/>
  <c r="D35" i="5"/>
  <c r="H35"/>
  <c r="L6" i="10"/>
  <c r="R6" s="1"/>
  <c r="D60" i="5"/>
  <c r="H60"/>
  <c r="L31" i="10"/>
  <c r="R31" s="1"/>
  <c r="D48" i="5"/>
  <c r="F48"/>
  <c r="J19" i="10"/>
  <c r="N19" s="1"/>
  <c r="D44" i="5"/>
  <c r="H44"/>
  <c r="L15" i="10"/>
  <c r="R15" s="1"/>
  <c r="D40" i="5"/>
  <c r="H40"/>
  <c r="L11" i="10"/>
  <c r="R11" s="1"/>
  <c r="D36" i="5"/>
  <c r="H36"/>
  <c r="L7" i="10"/>
  <c r="R7" s="1"/>
  <c r="D61" i="5"/>
  <c r="F61"/>
  <c r="J32" i="10"/>
  <c r="N32" s="1"/>
  <c r="D57" i="5"/>
  <c r="H57"/>
  <c r="L28" i="10"/>
  <c r="R28" s="1"/>
  <c r="D53" i="5"/>
  <c r="F53"/>
  <c r="J24" i="10"/>
  <c r="N24" s="1"/>
  <c r="D49" i="5"/>
  <c r="F49"/>
  <c r="J20" i="10"/>
  <c r="N20" s="1"/>
  <c r="D45" i="5"/>
  <c r="H45"/>
  <c r="L16" i="10"/>
  <c r="R16" s="1"/>
  <c r="D41" i="5"/>
  <c r="F41"/>
  <c r="J12" i="10"/>
  <c r="N12" s="1"/>
  <c r="D37" i="5"/>
  <c r="H37"/>
  <c r="L8" i="10"/>
  <c r="R8" s="1"/>
  <c r="D33" i="5"/>
  <c r="F33"/>
  <c r="J4" i="10"/>
  <c r="N4" s="1"/>
  <c r="C18" i="5"/>
  <c r="C20"/>
  <c r="G20"/>
  <c r="E54"/>
  <c r="G54" s="1"/>
  <c r="K25" i="10" s="1"/>
  <c r="P25" s="1"/>
  <c r="E53" i="5"/>
  <c r="G53" s="1"/>
  <c r="K24" i="10" s="1"/>
  <c r="P24" s="1"/>
  <c r="E58" i="5"/>
  <c r="I58" s="1"/>
  <c r="M29" i="10" s="1"/>
  <c r="T29" s="1"/>
  <c r="E50" i="5"/>
  <c r="I50" s="1"/>
  <c r="M21" i="10" s="1"/>
  <c r="T21" s="1"/>
  <c r="E46" i="5"/>
  <c r="G46" s="1"/>
  <c r="K17" i="10" s="1"/>
  <c r="P17" s="1"/>
  <c r="E42" i="5"/>
  <c r="G42" s="1"/>
  <c r="K13" i="10" s="1"/>
  <c r="P13" s="1"/>
  <c r="E38" i="5"/>
  <c r="G38" s="1"/>
  <c r="K9" i="10" s="1"/>
  <c r="P9" s="1"/>
  <c r="E34" i="5"/>
  <c r="G34" s="1"/>
  <c r="K5" i="10" s="1"/>
  <c r="P5" s="1"/>
  <c r="E59" i="5"/>
  <c r="I59" s="1"/>
  <c r="M30" i="10" s="1"/>
  <c r="T30" s="1"/>
  <c r="E55" i="5"/>
  <c r="I55" s="1"/>
  <c r="M26" i="10" s="1"/>
  <c r="T26" s="1"/>
  <c r="E51" i="5"/>
  <c r="I51" s="1"/>
  <c r="M22" i="10" s="1"/>
  <c r="T22" s="1"/>
  <c r="E47" i="5"/>
  <c r="G47" s="1"/>
  <c r="K18" i="10" s="1"/>
  <c r="P18" s="1"/>
  <c r="E43" i="5"/>
  <c r="I43" s="1"/>
  <c r="M14" i="10" s="1"/>
  <c r="T14" s="1"/>
  <c r="E39" i="5"/>
  <c r="G39" s="1"/>
  <c r="K10" i="10" s="1"/>
  <c r="P10" s="1"/>
  <c r="E35" i="5"/>
  <c r="I35" s="1"/>
  <c r="M6" i="10" s="1"/>
  <c r="T6" s="1"/>
  <c r="E57" i="5"/>
  <c r="I57" s="1"/>
  <c r="M28" i="10" s="1"/>
  <c r="T28" s="1"/>
  <c r="E60" i="5"/>
  <c r="G60" s="1"/>
  <c r="K31" i="10" s="1"/>
  <c r="P31" s="1"/>
  <c r="E56" i="5"/>
  <c r="G56" s="1"/>
  <c r="K27" i="10" s="1"/>
  <c r="P27" s="1"/>
  <c r="E52" i="5"/>
  <c r="G52" s="1"/>
  <c r="K23" i="10" s="1"/>
  <c r="P23" s="1"/>
  <c r="E48" i="5"/>
  <c r="G48" s="1"/>
  <c r="K19" i="10" s="1"/>
  <c r="P19" s="1"/>
  <c r="E44" i="5"/>
  <c r="G44" s="1"/>
  <c r="K15" i="10" s="1"/>
  <c r="P15" s="1"/>
  <c r="E40" i="5"/>
  <c r="I40" s="1"/>
  <c r="M11" i="10" s="1"/>
  <c r="T11" s="1"/>
  <c r="E36" i="5"/>
  <c r="G36" s="1"/>
  <c r="K7" i="10" s="1"/>
  <c r="P7" s="1"/>
  <c r="E61" i="5"/>
  <c r="I61" s="1"/>
  <c r="M32" i="10" s="1"/>
  <c r="T32" s="1"/>
  <c r="E49" i="5"/>
  <c r="G49" s="1"/>
  <c r="K20" i="10" s="1"/>
  <c r="P20" s="1"/>
  <c r="E45" i="5"/>
  <c r="I45" s="1"/>
  <c r="M16" i="10" s="1"/>
  <c r="T16" s="1"/>
  <c r="E41" i="5"/>
  <c r="G41" s="1"/>
  <c r="K12" i="10" s="1"/>
  <c r="P12" s="1"/>
  <c r="E37" i="5"/>
  <c r="I37" s="1"/>
  <c r="M8" i="10" s="1"/>
  <c r="T8" s="1"/>
  <c r="E33" i="5"/>
  <c r="I33" s="1"/>
  <c r="M4" i="10" s="1"/>
  <c r="T4" s="1"/>
  <c r="O35" i="8"/>
  <c r="Q35" s="1"/>
  <c r="O51"/>
  <c r="Q51"/>
  <c r="O43"/>
  <c r="Q43" s="1"/>
  <c r="O41"/>
  <c r="Q41"/>
  <c r="O62"/>
  <c r="Q62" s="1"/>
  <c r="O56"/>
  <c r="Q56"/>
  <c r="C26" i="5"/>
  <c r="G26" s="1"/>
  <c r="I27" i="12" s="1"/>
  <c r="B27" i="5"/>
  <c r="F27"/>
  <c r="F63" i="8"/>
  <c r="J63" s="1"/>
  <c r="F34"/>
  <c r="H34"/>
  <c r="F58"/>
  <c r="H58" s="1"/>
  <c r="F40"/>
  <c r="H40"/>
  <c r="O49"/>
  <c r="Q49" s="1"/>
  <c r="O59"/>
  <c r="Q59"/>
  <c r="F44"/>
  <c r="H44" s="1"/>
  <c r="P63"/>
  <c r="O40"/>
  <c r="Q40" s="1"/>
  <c r="O57"/>
  <c r="Q57"/>
  <c r="F36"/>
  <c r="H36" s="1"/>
  <c r="O48"/>
  <c r="Q48"/>
  <c r="G34"/>
  <c r="K34" s="1"/>
  <c r="N57"/>
  <c r="P57"/>
  <c r="N38"/>
  <c r="P38" s="1"/>
  <c r="B18"/>
  <c r="B19"/>
  <c r="F19"/>
  <c r="O37"/>
  <c r="Q37" s="1"/>
  <c r="N40"/>
  <c r="P40"/>
  <c r="O45"/>
  <c r="Q45" s="1"/>
  <c r="N48"/>
  <c r="P48"/>
  <c r="O53"/>
  <c r="Q53" s="1"/>
  <c r="N56"/>
  <c r="P56"/>
  <c r="O61"/>
  <c r="Q61" s="1"/>
  <c r="N64"/>
  <c r="P64"/>
  <c r="N54"/>
  <c r="P54" s="1"/>
  <c r="N62"/>
  <c r="P62"/>
  <c r="N51"/>
  <c r="P51" s="1"/>
  <c r="N59"/>
  <c r="P59"/>
  <c r="C25"/>
  <c r="O34"/>
  <c r="Q34"/>
  <c r="N37"/>
  <c r="P37" s="1"/>
  <c r="O42"/>
  <c r="Q42"/>
  <c r="N45"/>
  <c r="P45" s="1"/>
  <c r="O50"/>
  <c r="Q50"/>
  <c r="N53"/>
  <c r="P53" s="1"/>
  <c r="O58"/>
  <c r="Q58"/>
  <c r="N61"/>
  <c r="P61" s="1"/>
  <c r="N36"/>
  <c r="P36"/>
  <c r="N52"/>
  <c r="P52" s="1"/>
  <c r="N60"/>
  <c r="P60"/>
  <c r="N41"/>
  <c r="P41" s="1"/>
  <c r="N49"/>
  <c r="P49"/>
  <c r="N35"/>
  <c r="P35" s="1"/>
  <c r="B25"/>
  <c r="N34"/>
  <c r="P34"/>
  <c r="O39"/>
  <c r="Q39" s="1"/>
  <c r="N42"/>
  <c r="P42"/>
  <c r="O47"/>
  <c r="Q47" s="1"/>
  <c r="N50"/>
  <c r="P50"/>
  <c r="O55"/>
  <c r="Q55" s="1"/>
  <c r="N58"/>
  <c r="P58"/>
  <c r="O63"/>
  <c r="Q63" s="1"/>
  <c r="N44"/>
  <c r="P44"/>
  <c r="G42"/>
  <c r="K42" s="1"/>
  <c r="N46"/>
  <c r="P46"/>
  <c r="N43"/>
  <c r="P43" s="1"/>
  <c r="N33"/>
  <c r="P33"/>
  <c r="O36"/>
  <c r="Q36" s="1"/>
  <c r="N39"/>
  <c r="P39"/>
  <c r="O44"/>
  <c r="Q44" s="1"/>
  <c r="N47"/>
  <c r="P47"/>
  <c r="O52"/>
  <c r="Q52" s="1"/>
  <c r="N55"/>
  <c r="P55"/>
  <c r="F64"/>
  <c r="H64" s="1"/>
  <c r="S39"/>
  <c r="O33"/>
  <c r="Q33" s="1"/>
  <c r="C18"/>
  <c r="C20"/>
  <c r="G20"/>
  <c r="F38"/>
  <c r="F42"/>
  <c r="H42"/>
  <c r="F52"/>
  <c r="H52" s="1"/>
  <c r="F56"/>
  <c r="H56"/>
  <c r="F60"/>
  <c r="H60" s="1"/>
  <c r="F46"/>
  <c r="F62"/>
  <c r="F50"/>
  <c r="H50" s="1"/>
  <c r="G38"/>
  <c r="K38"/>
  <c r="G63"/>
  <c r="I63" s="1"/>
  <c r="G44"/>
  <c r="K44"/>
  <c r="G48"/>
  <c r="K48" s="1"/>
  <c r="G52"/>
  <c r="K52"/>
  <c r="G40"/>
  <c r="K40" s="1"/>
  <c r="G54"/>
  <c r="K54"/>
  <c r="G62"/>
  <c r="K62" s="1"/>
  <c r="G36"/>
  <c r="K36"/>
  <c r="G46"/>
  <c r="K46" s="1"/>
  <c r="G50"/>
  <c r="K50"/>
  <c r="G60"/>
  <c r="I60" s="1"/>
  <c r="G64"/>
  <c r="K64"/>
  <c r="G56"/>
  <c r="K56" s="1"/>
  <c r="G58"/>
  <c r="I58"/>
  <c r="F48"/>
  <c r="H48" s="1"/>
  <c r="G33"/>
  <c r="G35"/>
  <c r="G37"/>
  <c r="G39"/>
  <c r="G41"/>
  <c r="G43"/>
  <c r="G45"/>
  <c r="G47"/>
  <c r="G49"/>
  <c r="G51"/>
  <c r="G53"/>
  <c r="G55"/>
  <c r="G57"/>
  <c r="G59"/>
  <c r="G61"/>
  <c r="F33"/>
  <c r="F35"/>
  <c r="F37"/>
  <c r="F39"/>
  <c r="F41"/>
  <c r="F43"/>
  <c r="F45"/>
  <c r="F47"/>
  <c r="F49"/>
  <c r="F51"/>
  <c r="F53"/>
  <c r="F55"/>
  <c r="F57"/>
  <c r="F59"/>
  <c r="F61"/>
  <c r="G35" i="6"/>
  <c r="G34"/>
  <c r="G33"/>
  <c r="G32"/>
  <c r="G31"/>
  <c r="G30"/>
  <c r="G29"/>
  <c r="G28"/>
  <c r="G27"/>
  <c r="G26"/>
  <c r="G25"/>
  <c r="G24"/>
  <c r="G23"/>
  <c r="G22"/>
  <c r="G21"/>
  <c r="G20"/>
  <c r="G19"/>
  <c r="G18"/>
  <c r="G17"/>
  <c r="G16"/>
  <c r="G15"/>
  <c r="G14"/>
  <c r="G13"/>
  <c r="G12"/>
  <c r="G11"/>
  <c r="G10"/>
  <c r="G9"/>
  <c r="G8"/>
  <c r="G7"/>
  <c r="G6"/>
  <c r="G5"/>
  <c r="G4"/>
  <c r="I35"/>
  <c r="I34"/>
  <c r="I33"/>
  <c r="I32"/>
  <c r="I31"/>
  <c r="I30"/>
  <c r="I29"/>
  <c r="I28"/>
  <c r="I27"/>
  <c r="I26"/>
  <c r="I25"/>
  <c r="I24"/>
  <c r="I23"/>
  <c r="I22"/>
  <c r="I21"/>
  <c r="I20"/>
  <c r="I19"/>
  <c r="I18"/>
  <c r="I17"/>
  <c r="I16"/>
  <c r="I15"/>
  <c r="I14"/>
  <c r="I13"/>
  <c r="I12"/>
  <c r="I11"/>
  <c r="I10"/>
  <c r="I9"/>
  <c r="I8"/>
  <c r="I7"/>
  <c r="I6"/>
  <c r="I5"/>
  <c r="I4"/>
  <c r="E35"/>
  <c r="E34"/>
  <c r="E33"/>
  <c r="E32"/>
  <c r="E31"/>
  <c r="E30"/>
  <c r="E29"/>
  <c r="E28"/>
  <c r="E27"/>
  <c r="E26"/>
  <c r="E25"/>
  <c r="E24"/>
  <c r="E23"/>
  <c r="E22"/>
  <c r="E21"/>
  <c r="E20"/>
  <c r="E19"/>
  <c r="E18"/>
  <c r="E17"/>
  <c r="E16"/>
  <c r="E15"/>
  <c r="E14"/>
  <c r="E13"/>
  <c r="E12"/>
  <c r="E11"/>
  <c r="E10"/>
  <c r="E9"/>
  <c r="E8"/>
  <c r="E7"/>
  <c r="E6"/>
  <c r="E5"/>
  <c r="E4"/>
  <c r="C24" i="4"/>
  <c r="C25" s="1"/>
  <c r="H25" s="1"/>
  <c r="B24"/>
  <c r="E17"/>
  <c r="D17"/>
  <c r="C17"/>
  <c r="C19" s="1"/>
  <c r="H19" s="1"/>
  <c r="B17"/>
  <c r="A42" i="1"/>
  <c r="A40"/>
  <c r="A39"/>
  <c r="A38"/>
  <c r="A37"/>
  <c r="A36"/>
  <c r="A34"/>
  <c r="A33"/>
  <c r="A31"/>
  <c r="A30"/>
  <c r="A28"/>
  <c r="A27"/>
  <c r="A25"/>
  <c r="A24"/>
  <c r="A22"/>
  <c r="A21"/>
  <c r="A19"/>
  <c r="A18"/>
  <c r="A16"/>
  <c r="A15"/>
  <c r="A13"/>
  <c r="A12"/>
  <c r="A10"/>
  <c r="A9"/>
  <c r="I7"/>
  <c r="H7"/>
  <c r="G7"/>
  <c r="F7"/>
  <c r="E7"/>
  <c r="D7"/>
  <c r="C7"/>
  <c r="B7"/>
  <c r="A7"/>
  <c r="I6"/>
  <c r="H6"/>
  <c r="G6"/>
  <c r="F6"/>
  <c r="E6"/>
  <c r="D6"/>
  <c r="C6"/>
  <c r="B6"/>
  <c r="A6"/>
  <c r="CZ132" i="15"/>
  <c r="CZ148"/>
  <c r="CZ299"/>
  <c r="DD190"/>
  <c r="CQ305"/>
  <c r="CQ289"/>
  <c r="CQ273"/>
  <c r="CQ257"/>
  <c r="CQ241"/>
  <c r="CQ225"/>
  <c r="CQ209"/>
  <c r="CQ193"/>
  <c r="DD285"/>
  <c r="CW173"/>
  <c r="CW157"/>
  <c r="CW141"/>
  <c r="CW125"/>
  <c r="CW109"/>
  <c r="CW93"/>
  <c r="CW77"/>
  <c r="CW61"/>
  <c r="DJ35"/>
  <c r="DJ19"/>
  <c r="DD202"/>
  <c r="CZ163"/>
  <c r="DJ236"/>
  <c r="DG271"/>
  <c r="DG207"/>
  <c r="DD63"/>
  <c r="CZ302"/>
  <c r="CZ286"/>
  <c r="CZ270"/>
  <c r="CZ254"/>
  <c r="CZ238"/>
  <c r="CZ222"/>
  <c r="DM118"/>
  <c r="DG59"/>
  <c r="DG166"/>
  <c r="DG150"/>
  <c r="DG134"/>
  <c r="DG118"/>
  <c r="AX35" i="6"/>
  <c r="BC35" s="1"/>
  <c r="BD35" s="1"/>
  <c r="AX35" i="19"/>
  <c r="BC35" s="1"/>
  <c r="BD35" s="1"/>
  <c r="AX36" i="16"/>
  <c r="S64" i="8"/>
  <c r="AX9" i="19"/>
  <c r="BC9"/>
  <c r="BD9"/>
  <c r="I38" i="5"/>
  <c r="M9" i="10" s="1"/>
  <c r="T9" s="1"/>
  <c r="CU91"/>
  <c r="F67" i="8"/>
  <c r="CT57" i="15"/>
  <c r="DM58"/>
  <c r="CR132" i="10"/>
  <c r="CZ234" i="15"/>
  <c r="CZ218"/>
  <c r="CZ202"/>
  <c r="CW293"/>
  <c r="CW277"/>
  <c r="CW261"/>
  <c r="CW245"/>
  <c r="CW229"/>
  <c r="CW213"/>
  <c r="CW197"/>
  <c r="CZ206"/>
  <c r="CZ190"/>
  <c r="I34" i="5"/>
  <c r="M5" i="10" s="1"/>
  <c r="T5" s="1"/>
  <c r="DJ175" i="15"/>
  <c r="DJ159"/>
  <c r="DJ143"/>
  <c r="DJ127"/>
  <c r="DJ63"/>
  <c r="DJ47"/>
  <c r="CT302"/>
  <c r="CT286"/>
  <c r="CT270"/>
  <c r="CT254"/>
  <c r="CT238"/>
  <c r="CT222"/>
  <c r="CT206"/>
  <c r="CT190"/>
  <c r="CT30"/>
  <c r="CT14"/>
  <c r="CW12"/>
  <c r="DJ294"/>
  <c r="DJ230"/>
  <c r="CW36"/>
  <c r="CW8"/>
  <c r="DM227"/>
  <c r="DD189"/>
  <c r="DD109"/>
  <c r="DD77"/>
  <c r="CW292"/>
  <c r="CZ168"/>
  <c r="DJ43"/>
  <c r="DJ27"/>
  <c r="DJ11"/>
  <c r="CZ220"/>
  <c r="CZ176"/>
  <c r="CZ136"/>
  <c r="CT174"/>
  <c r="CT158"/>
  <c r="CT142"/>
  <c r="CT126"/>
  <c r="CT110"/>
  <c r="CT46"/>
  <c r="DD86"/>
  <c r="DJ282"/>
  <c r="DJ218"/>
  <c r="CZ174"/>
  <c r="CZ158"/>
  <c r="CZ142"/>
  <c r="CZ126"/>
  <c r="CZ110"/>
  <c r="CZ46"/>
  <c r="DJ86"/>
  <c r="S57" i="8"/>
  <c r="G57" i="5"/>
  <c r="K28" i="10" s="1"/>
  <c r="P28" s="1"/>
  <c r="H38" i="5"/>
  <c r="L9" i="10" s="1"/>
  <c r="R9" s="1"/>
  <c r="G61" i="5"/>
  <c r="K32" i="10" s="1"/>
  <c r="P32" s="1"/>
  <c r="CZ192" i="15"/>
  <c r="C19" i="5"/>
  <c r="G19"/>
  <c r="I20" i="12"/>
  <c r="H43" i="5"/>
  <c r="L14" i="10" s="1"/>
  <c r="R14" s="1"/>
  <c r="J58" i="8"/>
  <c r="AL29" i="19" s="1"/>
  <c r="AR29" s="1"/>
  <c r="AS29" s="1"/>
  <c r="G59" i="5"/>
  <c r="K30" i="10" s="1"/>
  <c r="P30" s="1"/>
  <c r="CZ106" i="15"/>
  <c r="F42" i="5"/>
  <c r="J13" i="10" s="1"/>
  <c r="N13" s="1"/>
  <c r="F39" i="5"/>
  <c r="J10" i="10" s="1"/>
  <c r="N10" s="1"/>
  <c r="CQ16" i="15"/>
  <c r="DJ58"/>
  <c r="DG33"/>
  <c r="CZ86"/>
  <c r="DM78"/>
  <c r="DG78"/>
  <c r="F34" i="5"/>
  <c r="J5" i="10"/>
  <c r="N5"/>
  <c r="DG45" i="15"/>
  <c r="DJ115"/>
  <c r="DJ99"/>
  <c r="DD170"/>
  <c r="DD154"/>
  <c r="DD138"/>
  <c r="DD122"/>
  <c r="CQ255"/>
  <c r="H48" i="5"/>
  <c r="L19" i="10" s="1"/>
  <c r="R19" s="1"/>
  <c r="H61" i="5"/>
  <c r="L32" i="10" s="1"/>
  <c r="R32" s="1"/>
  <c r="AX18" i="16"/>
  <c r="DJ228" i="15"/>
  <c r="CZ99"/>
  <c r="CZ76"/>
  <c r="DJ34"/>
  <c r="DJ18"/>
  <c r="CZ96"/>
  <c r="DJ251"/>
  <c r="CT82"/>
  <c r="DG9"/>
  <c r="DG25"/>
  <c r="DG13"/>
  <c r="DG37"/>
  <c r="DD227"/>
  <c r="DD262"/>
  <c r="CZ301"/>
  <c r="F57" i="5"/>
  <c r="J28" i="10" s="1"/>
  <c r="N28" s="1"/>
  <c r="BZ205"/>
  <c r="CX205"/>
  <c r="BZ141"/>
  <c r="CX141"/>
  <c r="BV77"/>
  <c r="CR77"/>
  <c r="BV21"/>
  <c r="CR21"/>
  <c r="BZ184"/>
  <c r="CX184"/>
  <c r="BZ140"/>
  <c r="CX140"/>
  <c r="BV207"/>
  <c r="CR207"/>
  <c r="BV143"/>
  <c r="CR143"/>
  <c r="BV79"/>
  <c r="CR79"/>
  <c r="BV24"/>
  <c r="CR24"/>
  <c r="BZ204"/>
  <c r="CX204"/>
  <c r="BD13"/>
  <c r="CK13"/>
  <c r="BD20"/>
  <c r="CK20"/>
  <c r="BD16"/>
  <c r="CK16"/>
  <c r="BZ266"/>
  <c r="CX266"/>
  <c r="BZ174"/>
  <c r="CX174"/>
  <c r="BZ120"/>
  <c r="CX120"/>
  <c r="BF18"/>
  <c r="CN18"/>
  <c r="CB70"/>
  <c r="DA70"/>
  <c r="CB134"/>
  <c r="DA134"/>
  <c r="CB198"/>
  <c r="DA198"/>
  <c r="CB250"/>
  <c r="DA250"/>
  <c r="CB129"/>
  <c r="DA129"/>
  <c r="CB193"/>
  <c r="DA193"/>
  <c r="BX257"/>
  <c r="CU257"/>
  <c r="BV185"/>
  <c r="CR185"/>
  <c r="BV57"/>
  <c r="CR57"/>
  <c r="BZ244"/>
  <c r="CX244"/>
  <c r="BV187"/>
  <c r="CR187"/>
  <c r="BV59"/>
  <c r="CR59"/>
  <c r="BZ34"/>
  <c r="CX34"/>
  <c r="BZ182"/>
  <c r="CX182"/>
  <c r="BD21"/>
  <c r="CK21"/>
  <c r="CB58"/>
  <c r="DA58"/>
  <c r="CB186"/>
  <c r="DA186"/>
  <c r="CB181"/>
  <c r="DA181"/>
  <c r="BZ253"/>
  <c r="CX253"/>
  <c r="BV125"/>
  <c r="CR125"/>
  <c r="BV13"/>
  <c r="CR13"/>
  <c r="BV255"/>
  <c r="CR255"/>
  <c r="BV127"/>
  <c r="CR127"/>
  <c r="BV16"/>
  <c r="CR16"/>
  <c r="BZ96"/>
  <c r="CX96"/>
  <c r="BZ80"/>
  <c r="CX80"/>
  <c r="BF26"/>
  <c r="CN26"/>
  <c r="CB182"/>
  <c r="DA182"/>
  <c r="CB113"/>
  <c r="DA113"/>
  <c r="BV209"/>
  <c r="CR209"/>
  <c r="BV81"/>
  <c r="CR81"/>
  <c r="BV211"/>
  <c r="CR211"/>
  <c r="BV83"/>
  <c r="CR83"/>
  <c r="BZ72"/>
  <c r="CX72"/>
  <c r="BF16"/>
  <c r="CN16"/>
  <c r="CB66"/>
  <c r="DA66"/>
  <c r="CB130"/>
  <c r="DA130"/>
  <c r="CB194"/>
  <c r="DA194"/>
  <c r="CB125"/>
  <c r="DA125"/>
  <c r="CB189"/>
  <c r="DA189"/>
  <c r="BX253"/>
  <c r="CU253"/>
  <c r="BZ153"/>
  <c r="CX153"/>
  <c r="BV27"/>
  <c r="CR27"/>
  <c r="BZ168"/>
  <c r="CX168"/>
  <c r="BV155"/>
  <c r="CR155"/>
  <c r="BV30"/>
  <c r="CR30"/>
  <c r="BZ98"/>
  <c r="CX98"/>
  <c r="BZ190"/>
  <c r="CX190"/>
  <c r="BZ210"/>
  <c r="CX210"/>
  <c r="CB90"/>
  <c r="DA90"/>
  <c r="CB218"/>
  <c r="DA218"/>
  <c r="CB213"/>
  <c r="DA213"/>
  <c r="BV157"/>
  <c r="CR157"/>
  <c r="BV29"/>
  <c r="CR29"/>
  <c r="BZ180"/>
  <c r="CX180"/>
  <c r="BV159"/>
  <c r="CR159"/>
  <c r="BV32"/>
  <c r="CR32"/>
  <c r="BZ250"/>
  <c r="CX250"/>
  <c r="BZ62"/>
  <c r="CX62"/>
  <c r="BZ136"/>
  <c r="CX136"/>
  <c r="CB86"/>
  <c r="DA86"/>
  <c r="CB214"/>
  <c r="DA214"/>
  <c r="CB145"/>
  <c r="DA145"/>
  <c r="BZ245"/>
  <c r="CX245"/>
  <c r="BV181"/>
  <c r="CR181"/>
  <c r="BV117"/>
  <c r="CR117"/>
  <c r="BV53"/>
  <c r="CR53"/>
  <c r="BV9"/>
  <c r="CR9"/>
  <c r="BZ240"/>
  <c r="CX240"/>
  <c r="BV247"/>
  <c r="CR247"/>
  <c r="BV183"/>
  <c r="CR183"/>
  <c r="BV119"/>
  <c r="CR119"/>
  <c r="BV55"/>
  <c r="CR55"/>
  <c r="BV12"/>
  <c r="CR12"/>
  <c r="BD7"/>
  <c r="CK7"/>
  <c r="BD4"/>
  <c r="CK4"/>
  <c r="AZ9"/>
  <c r="CE9"/>
  <c r="BV102"/>
  <c r="CR102"/>
  <c r="BV142"/>
  <c r="CR142"/>
  <c r="BV112"/>
  <c r="CR112"/>
  <c r="BB14"/>
  <c r="CH14"/>
  <c r="BX62"/>
  <c r="CU62"/>
  <c r="BX126"/>
  <c r="CU126"/>
  <c r="BX190"/>
  <c r="CU190"/>
  <c r="BX246"/>
  <c r="CU246"/>
  <c r="BX121"/>
  <c r="CU121"/>
  <c r="BX185"/>
  <c r="CU185"/>
  <c r="CB249"/>
  <c r="DA249"/>
  <c r="BV257"/>
  <c r="CR257"/>
  <c r="BZ193"/>
  <c r="CX193"/>
  <c r="BZ129"/>
  <c r="CX129"/>
  <c r="BZ65"/>
  <c r="CX65"/>
  <c r="BZ15"/>
  <c r="CX15"/>
  <c r="BV268"/>
  <c r="CR268"/>
  <c r="BZ259"/>
  <c r="CX259"/>
  <c r="BZ195"/>
  <c r="CX195"/>
  <c r="BZ131"/>
  <c r="CX131"/>
  <c r="BZ67"/>
  <c r="CX67"/>
  <c r="BZ18"/>
  <c r="CX18"/>
  <c r="BV152"/>
  <c r="CR152"/>
  <c r="AZ24"/>
  <c r="CE24"/>
  <c r="BV78"/>
  <c r="CR78"/>
  <c r="AZ26"/>
  <c r="CE26"/>
  <c r="AZ31"/>
  <c r="CE31"/>
  <c r="BV60"/>
  <c r="CR60"/>
  <c r="BB8"/>
  <c r="CH8"/>
  <c r="BX50"/>
  <c r="CU50"/>
  <c r="BX114"/>
  <c r="CU114"/>
  <c r="BX178"/>
  <c r="CU178"/>
  <c r="BX109"/>
  <c r="CU109"/>
  <c r="CB173"/>
  <c r="DA173"/>
  <c r="CB237"/>
  <c r="DA237"/>
  <c r="BV229"/>
  <c r="CR229"/>
  <c r="BZ165"/>
  <c r="CX165"/>
  <c r="BZ101"/>
  <c r="CX101"/>
  <c r="BZ37"/>
  <c r="CX37"/>
  <c r="BV256"/>
  <c r="CR256"/>
  <c r="BV196"/>
  <c r="CR196"/>
  <c r="BZ231"/>
  <c r="CX231"/>
  <c r="BZ167"/>
  <c r="CX167"/>
  <c r="BZ103"/>
  <c r="CX103"/>
  <c r="BZ39"/>
  <c r="CX39"/>
  <c r="BZ4"/>
  <c r="CX4"/>
  <c r="AZ17"/>
  <c r="CE17"/>
  <c r="BV76"/>
  <c r="CR76"/>
  <c r="BV70"/>
  <c r="CR70"/>
  <c r="BV262"/>
  <c r="CR262"/>
  <c r="AZ6"/>
  <c r="CE6"/>
  <c r="AZ12"/>
  <c r="CE12"/>
  <c r="BV128"/>
  <c r="CR128"/>
  <c r="BB22"/>
  <c r="CH22"/>
  <c r="BX78"/>
  <c r="CU78"/>
  <c r="BX142"/>
  <c r="CU142"/>
  <c r="BX206"/>
  <c r="CU206"/>
  <c r="BX254"/>
  <c r="CU254"/>
  <c r="BX137"/>
  <c r="CU137"/>
  <c r="BX201"/>
  <c r="CU201"/>
  <c r="BZ265"/>
  <c r="CX265"/>
  <c r="BV201"/>
  <c r="CR201"/>
  <c r="BZ137"/>
  <c r="CX137"/>
  <c r="BZ73"/>
  <c r="CX73"/>
  <c r="BZ19"/>
  <c r="CX19"/>
  <c r="BV164"/>
  <c r="CR164"/>
  <c r="BZ267"/>
  <c r="CX267"/>
  <c r="BZ203"/>
  <c r="CX203"/>
  <c r="BZ139"/>
  <c r="CX139"/>
  <c r="BZ75"/>
  <c r="CX75"/>
  <c r="BZ22"/>
  <c r="CX22"/>
  <c r="BV176"/>
  <c r="CR176"/>
  <c r="BV194"/>
  <c r="CR194"/>
  <c r="BV68"/>
  <c r="CR68"/>
  <c r="BV146"/>
  <c r="CR146"/>
  <c r="AZ11"/>
  <c r="CE11"/>
  <c r="BB4"/>
  <c r="CH4"/>
  <c r="CB42"/>
  <c r="DA42"/>
  <c r="CB106"/>
  <c r="DA106"/>
  <c r="CB170"/>
  <c r="DA170"/>
  <c r="CB234"/>
  <c r="DA234"/>
  <c r="CB165"/>
  <c r="DA165"/>
  <c r="CB229"/>
  <c r="DA229"/>
  <c r="I21" i="12"/>
  <c r="BF27" i="10"/>
  <c r="CN27"/>
  <c r="BV154"/>
  <c r="CR154"/>
  <c r="BV88"/>
  <c r="CR88"/>
  <c r="CB128"/>
  <c r="DA128"/>
  <c r="CB83"/>
  <c r="DA83"/>
  <c r="CB124"/>
  <c r="DA124"/>
  <c r="CB224"/>
  <c r="DA224"/>
  <c r="CB159"/>
  <c r="DA159"/>
  <c r="CB207"/>
  <c r="DA207"/>
  <c r="CB112"/>
  <c r="DA112"/>
  <c r="CB87"/>
  <c r="DA87"/>
  <c r="CB211"/>
  <c r="DA211"/>
  <c r="CB33"/>
  <c r="DA33"/>
  <c r="BF5"/>
  <c r="CN5"/>
  <c r="BV90"/>
  <c r="CR90"/>
  <c r="CB71"/>
  <c r="DA71"/>
  <c r="CB123"/>
  <c r="DA123"/>
  <c r="CB72"/>
  <c r="DA72"/>
  <c r="BV58"/>
  <c r="CR58"/>
  <c r="CB57"/>
  <c r="DA57"/>
  <c r="CB235"/>
  <c r="DA235"/>
  <c r="BV33"/>
  <c r="CR33"/>
  <c r="BX244"/>
  <c r="CU244"/>
  <c r="BX14"/>
  <c r="CU14"/>
  <c r="CB127"/>
  <c r="DA127"/>
  <c r="CB151"/>
  <c r="DA151"/>
  <c r="BF13"/>
  <c r="CN13"/>
  <c r="CB119"/>
  <c r="DA119"/>
  <c r="BX163"/>
  <c r="CU163"/>
  <c r="DJ275" i="15"/>
  <c r="DJ71"/>
  <c r="CT86"/>
  <c r="DJ302"/>
  <c r="DJ238"/>
  <c r="DD94"/>
  <c r="DD46"/>
  <c r="CQ177"/>
  <c r="CQ161"/>
  <c r="CQ145"/>
  <c r="CQ129"/>
  <c r="CQ113"/>
  <c r="CQ97"/>
  <c r="CQ81"/>
  <c r="CQ65"/>
  <c r="DM275"/>
  <c r="DD253"/>
  <c r="DM243"/>
  <c r="DM211"/>
  <c r="DD201"/>
  <c r="DD49"/>
  <c r="DD41"/>
  <c r="DD33"/>
  <c r="DD25"/>
  <c r="DD17"/>
  <c r="DD9"/>
  <c r="DG34"/>
  <c r="DG18"/>
  <c r="CQ291"/>
  <c r="CQ275"/>
  <c r="CQ259"/>
  <c r="CQ243"/>
  <c r="CZ224"/>
  <c r="CZ144"/>
  <c r="CZ140"/>
  <c r="CZ283"/>
  <c r="DJ20"/>
  <c r="CW66"/>
  <c r="DM196"/>
  <c r="CZ180"/>
  <c r="CZ75"/>
  <c r="DJ297"/>
  <c r="DD243"/>
  <c r="DD119"/>
  <c r="DD87"/>
  <c r="DD55"/>
  <c r="DD39"/>
  <c r="DD23"/>
  <c r="DD7"/>
  <c r="CZ294"/>
  <c r="CZ278"/>
  <c r="CZ262"/>
  <c r="CZ246"/>
  <c r="CZ102"/>
  <c r="CW19"/>
  <c r="CZ92"/>
  <c r="DD286"/>
  <c r="DD254"/>
  <c r="DD222"/>
  <c r="DJ190"/>
  <c r="DJ174"/>
  <c r="DJ158"/>
  <c r="DJ142"/>
  <c r="DJ126"/>
  <c r="DJ110"/>
  <c r="DJ94"/>
  <c r="DJ78"/>
  <c r="DJ46"/>
  <c r="DJ30"/>
  <c r="DJ14"/>
  <c r="CW305"/>
  <c r="CW289"/>
  <c r="CW273"/>
  <c r="CW257"/>
  <c r="CW241"/>
  <c r="CW225"/>
  <c r="CW209"/>
  <c r="CW193"/>
  <c r="CW177"/>
  <c r="CW161"/>
  <c r="CW145"/>
  <c r="CW129"/>
  <c r="CW113"/>
  <c r="CW97"/>
  <c r="CW81"/>
  <c r="CW65"/>
  <c r="CW33"/>
  <c r="CW17"/>
  <c r="CQ44"/>
  <c r="CW15"/>
  <c r="CZ44"/>
  <c r="CZ36"/>
  <c r="CZ20"/>
  <c r="CZ12"/>
  <c r="DG63"/>
  <c r="DG55"/>
  <c r="DG39"/>
  <c r="DG31"/>
  <c r="DG23"/>
  <c r="DG15"/>
  <c r="DG7"/>
  <c r="CQ296"/>
  <c r="CZ305"/>
  <c r="CZ297"/>
  <c r="CZ289"/>
  <c r="CZ281"/>
  <c r="CZ273"/>
  <c r="CZ265"/>
  <c r="CZ257"/>
  <c r="CZ249"/>
  <c r="CZ241"/>
  <c r="CZ233"/>
  <c r="CZ225"/>
  <c r="CZ217"/>
  <c r="CZ209"/>
  <c r="CZ201"/>
  <c r="CZ193"/>
  <c r="CZ185"/>
  <c r="CZ177"/>
  <c r="CZ169"/>
  <c r="CZ161"/>
  <c r="CZ153"/>
  <c r="CZ145"/>
  <c r="CZ137"/>
  <c r="CZ129"/>
  <c r="CZ121"/>
  <c r="CZ113"/>
  <c r="CZ105"/>
  <c r="CZ97"/>
  <c r="CZ89"/>
  <c r="CZ81"/>
  <c r="CZ73"/>
  <c r="CZ57"/>
  <c r="CQ280"/>
  <c r="CQ264"/>
  <c r="CQ248"/>
  <c r="CQ232"/>
  <c r="CQ216"/>
  <c r="CQ200"/>
  <c r="CQ184"/>
  <c r="CQ168"/>
  <c r="CQ152"/>
  <c r="CQ136"/>
  <c r="CQ120"/>
  <c r="CQ104"/>
  <c r="CQ88"/>
  <c r="CQ72"/>
  <c r="CQ56"/>
  <c r="CQ40"/>
  <c r="DM87"/>
  <c r="DM79"/>
  <c r="DM63"/>
  <c r="DM55"/>
  <c r="DM47"/>
  <c r="DM39"/>
  <c r="DM31"/>
  <c r="DM23"/>
  <c r="DM15"/>
  <c r="DM7"/>
  <c r="CW296"/>
  <c r="DG62"/>
  <c r="DG30"/>
  <c r="DG14"/>
  <c r="CT305"/>
  <c r="CT297"/>
  <c r="CT289"/>
  <c r="CT281"/>
  <c r="CT273"/>
  <c r="CT265"/>
  <c r="CT257"/>
  <c r="CT249"/>
  <c r="CT241"/>
  <c r="CT233"/>
  <c r="CT225"/>
  <c r="CT217"/>
  <c r="CT209"/>
  <c r="CT201"/>
  <c r="CT193"/>
  <c r="CT185"/>
  <c r="CT177"/>
  <c r="CT169"/>
  <c r="CT161"/>
  <c r="CT153"/>
  <c r="CT145"/>
  <c r="CT137"/>
  <c r="CT129"/>
  <c r="CT121"/>
  <c r="CT113"/>
  <c r="CT105"/>
  <c r="CT97"/>
  <c r="CT89"/>
  <c r="CT81"/>
  <c r="CT73"/>
  <c r="CT65"/>
  <c r="CW280"/>
  <c r="CW264"/>
  <c r="CW248"/>
  <c r="CW232"/>
  <c r="CW216"/>
  <c r="CW200"/>
  <c r="CW184"/>
  <c r="CW168"/>
  <c r="CW152"/>
  <c r="CW136"/>
  <c r="CW120"/>
  <c r="CW104"/>
  <c r="CW88"/>
  <c r="CW72"/>
  <c r="CW56"/>
  <c r="CW40"/>
  <c r="DD298"/>
  <c r="DD282"/>
  <c r="DD266"/>
  <c r="DD234"/>
  <c r="DD218"/>
  <c r="DM186"/>
  <c r="DM170"/>
  <c r="DM154"/>
  <c r="DM138"/>
  <c r="DM122"/>
  <c r="DM106"/>
  <c r="DJ181"/>
  <c r="DJ173"/>
  <c r="DJ165"/>
  <c r="DJ157"/>
  <c r="DJ149"/>
  <c r="DJ141"/>
  <c r="DJ133"/>
  <c r="DJ125"/>
  <c r="DJ117"/>
  <c r="DJ109"/>
  <c r="DJ101"/>
  <c r="DJ93"/>
  <c r="DJ85"/>
  <c r="DJ77"/>
  <c r="DJ69"/>
  <c r="DJ61"/>
  <c r="DJ53"/>
  <c r="DJ45"/>
  <c r="DJ37"/>
  <c r="DJ29"/>
  <c r="DJ21"/>
  <c r="DJ13"/>
  <c r="DJ5"/>
  <c r="CQ292"/>
  <c r="DM74"/>
  <c r="DM42"/>
  <c r="DM26"/>
  <c r="DM10"/>
  <c r="CW303"/>
  <c r="CW295"/>
  <c r="CW287"/>
  <c r="CW279"/>
  <c r="CW271"/>
  <c r="CW263"/>
  <c r="CW255"/>
  <c r="CW247"/>
  <c r="CW239"/>
  <c r="CW231"/>
  <c r="CW223"/>
  <c r="CW215"/>
  <c r="CW207"/>
  <c r="CW199"/>
  <c r="CW191"/>
  <c r="CW183"/>
  <c r="CW175"/>
  <c r="CW167"/>
  <c r="CW159"/>
  <c r="CW151"/>
  <c r="CW143"/>
  <c r="CW135"/>
  <c r="CW127"/>
  <c r="CW119"/>
  <c r="CW111"/>
  <c r="CW103"/>
  <c r="CW95"/>
  <c r="CW87"/>
  <c r="CW79"/>
  <c r="CW71"/>
  <c r="CW63"/>
  <c r="CW55"/>
  <c r="CW31"/>
  <c r="DM66"/>
  <c r="CQ276"/>
  <c r="CQ260"/>
  <c r="CQ244"/>
  <c r="CQ228"/>
  <c r="CQ212"/>
  <c r="CQ196"/>
  <c r="CQ180"/>
  <c r="CQ164"/>
  <c r="CQ148"/>
  <c r="CQ132"/>
  <c r="CQ116"/>
  <c r="CQ100"/>
  <c r="CQ84"/>
  <c r="CQ68"/>
  <c r="CQ52"/>
  <c r="CQ32"/>
  <c r="CQ227"/>
  <c r="CQ219"/>
  <c r="CQ211"/>
  <c r="CQ203"/>
  <c r="CQ195"/>
  <c r="CQ187"/>
  <c r="CQ179"/>
  <c r="CQ171"/>
  <c r="CQ163"/>
  <c r="CQ155"/>
  <c r="CQ147"/>
  <c r="CQ139"/>
  <c r="CQ131"/>
  <c r="CQ123"/>
  <c r="CQ115"/>
  <c r="CQ107"/>
  <c r="CQ99"/>
  <c r="CQ91"/>
  <c r="CQ83"/>
  <c r="CQ75"/>
  <c r="CQ67"/>
  <c r="CQ59"/>
  <c r="CW20"/>
  <c r="CW268"/>
  <c r="CW252"/>
  <c r="CW236"/>
  <c r="CW220"/>
  <c r="CW204"/>
  <c r="CW188"/>
  <c r="CW172"/>
  <c r="CW156"/>
  <c r="CW140"/>
  <c r="CW124"/>
  <c r="CW108"/>
  <c r="CW92"/>
  <c r="CW76"/>
  <c r="CW60"/>
  <c r="CB100" i="10"/>
  <c r="DA100"/>
  <c r="CB44"/>
  <c r="DA44"/>
  <c r="BZ127"/>
  <c r="CX127"/>
  <c r="BZ16"/>
  <c r="CX16"/>
  <c r="CB241"/>
  <c r="DA241"/>
  <c r="BV145"/>
  <c r="CR145"/>
  <c r="BZ23"/>
  <c r="CX23"/>
  <c r="BV188"/>
  <c r="CR188"/>
  <c r="BV144"/>
  <c r="CR144"/>
  <c r="BZ147"/>
  <c r="CX147"/>
  <c r="BZ26"/>
  <c r="CX26"/>
  <c r="BV224"/>
  <c r="CR224"/>
  <c r="BV162"/>
  <c r="CR162"/>
  <c r="BV222"/>
  <c r="CR222"/>
  <c r="BV110"/>
  <c r="CR110"/>
  <c r="AZ15"/>
  <c r="CE15"/>
  <c r="BV92"/>
  <c r="CR92"/>
  <c r="BV72"/>
  <c r="CR72"/>
  <c r="BB16"/>
  <c r="CH16"/>
  <c r="BX66"/>
  <c r="CU66"/>
  <c r="BX130"/>
  <c r="CU130"/>
  <c r="BX194"/>
  <c r="CU194"/>
  <c r="BX125"/>
  <c r="CU125"/>
  <c r="BX189"/>
  <c r="CU189"/>
  <c r="CB253"/>
  <c r="DA253"/>
  <c r="BV153"/>
  <c r="CR153"/>
  <c r="BZ27"/>
  <c r="CX27"/>
  <c r="BV168"/>
  <c r="CR168"/>
  <c r="BZ155"/>
  <c r="CX155"/>
  <c r="BZ30"/>
  <c r="CX30"/>
  <c r="BV98"/>
  <c r="CR98"/>
  <c r="BV190"/>
  <c r="CR190"/>
  <c r="BV210"/>
  <c r="CR210"/>
  <c r="BX90"/>
  <c r="CU90"/>
  <c r="BX218"/>
  <c r="CU218"/>
  <c r="BX213"/>
  <c r="CU213"/>
  <c r="BZ157"/>
  <c r="CX157"/>
  <c r="BZ29"/>
  <c r="CX29"/>
  <c r="BV180"/>
  <c r="CR180"/>
  <c r="BZ159"/>
  <c r="CX159"/>
  <c r="BZ32"/>
  <c r="CX32"/>
  <c r="BV250"/>
  <c r="CR250"/>
  <c r="BV62"/>
  <c r="CR62"/>
  <c r="BV136"/>
  <c r="CR136"/>
  <c r="BX86"/>
  <c r="CU86"/>
  <c r="BX214"/>
  <c r="CU214"/>
  <c r="BX145"/>
  <c r="CU145"/>
  <c r="BV245"/>
  <c r="CR245"/>
  <c r="BZ181"/>
  <c r="CX181"/>
  <c r="BZ117"/>
  <c r="CX117"/>
  <c r="BZ53"/>
  <c r="CX53"/>
  <c r="BZ9"/>
  <c r="CX9"/>
  <c r="BV240"/>
  <c r="CR240"/>
  <c r="BZ247"/>
  <c r="CX247"/>
  <c r="BZ183"/>
  <c r="CX183"/>
  <c r="BZ119"/>
  <c r="CX119"/>
  <c r="BZ55"/>
  <c r="CX55"/>
  <c r="BZ12"/>
  <c r="CX12"/>
  <c r="AZ7"/>
  <c r="CE7"/>
  <c r="AZ4"/>
  <c r="CE4"/>
  <c r="BZ38"/>
  <c r="CX38"/>
  <c r="BD22"/>
  <c r="CK22"/>
  <c r="BD27"/>
  <c r="CK27"/>
  <c r="BZ234"/>
  <c r="CX234"/>
  <c r="BF30"/>
  <c r="CN30"/>
  <c r="CB94"/>
  <c r="DA94"/>
  <c r="CB158"/>
  <c r="DA158"/>
  <c r="CB222"/>
  <c r="DA222"/>
  <c r="CB262"/>
  <c r="DA262"/>
  <c r="CB153"/>
  <c r="DA153"/>
  <c r="CB217"/>
  <c r="DA217"/>
  <c r="CB54"/>
  <c r="DA54"/>
  <c r="BZ225"/>
  <c r="CX225"/>
  <c r="BV161"/>
  <c r="CR161"/>
  <c r="BV97"/>
  <c r="CR97"/>
  <c r="BV31"/>
  <c r="CR31"/>
  <c r="BZ232"/>
  <c r="CX232"/>
  <c r="BZ192"/>
  <c r="CX192"/>
  <c r="BV227"/>
  <c r="CR227"/>
  <c r="BV163"/>
  <c r="CR163"/>
  <c r="BV99"/>
  <c r="CR99"/>
  <c r="BV35"/>
  <c r="CR35"/>
  <c r="BZ264"/>
  <c r="CX264"/>
  <c r="BD18"/>
  <c r="CK18"/>
  <c r="BZ226"/>
  <c r="CX226"/>
  <c r="BZ158"/>
  <c r="CX158"/>
  <c r="BZ150"/>
  <c r="CX150"/>
  <c r="BZ178"/>
  <c r="CX178"/>
  <c r="BZ202"/>
  <c r="CX202"/>
  <c r="BF24"/>
  <c r="CN24"/>
  <c r="CB82"/>
  <c r="DA82"/>
  <c r="CB146"/>
  <c r="DA146"/>
  <c r="CB210"/>
  <c r="DA210"/>
  <c r="BX141"/>
  <c r="CU141"/>
  <c r="BX205"/>
  <c r="CU205"/>
  <c r="BZ261"/>
  <c r="CX261"/>
  <c r="BZ197"/>
  <c r="CX197"/>
  <c r="BV133"/>
  <c r="CR133"/>
  <c r="BV69"/>
  <c r="CR69"/>
  <c r="BV17"/>
  <c r="CR17"/>
  <c r="BZ160"/>
  <c r="CX160"/>
  <c r="BV263"/>
  <c r="CR263"/>
  <c r="BV199"/>
  <c r="CR199"/>
  <c r="BV135"/>
  <c r="CR135"/>
  <c r="BV71"/>
  <c r="CR71"/>
  <c r="BV20"/>
  <c r="CR20"/>
  <c r="BZ172"/>
  <c r="CX172"/>
  <c r="BD23"/>
  <c r="CK23"/>
  <c r="BD25"/>
  <c r="CK25"/>
  <c r="BZ134"/>
  <c r="CX134"/>
  <c r="BD19"/>
  <c r="CK19"/>
  <c r="BZ206"/>
  <c r="CX206"/>
  <c r="BZ42"/>
  <c r="CX42"/>
  <c r="BF6"/>
  <c r="CN6"/>
  <c r="CB46"/>
  <c r="DA46"/>
  <c r="CB110"/>
  <c r="DA110"/>
  <c r="CB174"/>
  <c r="DA174"/>
  <c r="CB238"/>
  <c r="DA238"/>
  <c r="CB105"/>
  <c r="DA105"/>
  <c r="CB169"/>
  <c r="DA169"/>
  <c r="CB233"/>
  <c r="DA233"/>
  <c r="BZ233"/>
  <c r="CX233"/>
  <c r="BZ169"/>
  <c r="CX169"/>
  <c r="BV105"/>
  <c r="CR105"/>
  <c r="BV41"/>
  <c r="CR41"/>
  <c r="BZ208"/>
  <c r="CX208"/>
  <c r="BV235"/>
  <c r="CR235"/>
  <c r="BV171"/>
  <c r="CR171"/>
  <c r="BV107"/>
  <c r="CR107"/>
  <c r="BV43"/>
  <c r="CR43"/>
  <c r="BV6"/>
  <c r="CR6"/>
  <c r="BZ66"/>
  <c r="CX66"/>
  <c r="BD14"/>
  <c r="CK14"/>
  <c r="BZ126"/>
  <c r="CX126"/>
  <c r="BD5"/>
  <c r="CK5"/>
  <c r="BZ40"/>
  <c r="CX40"/>
  <c r="BX42"/>
  <c r="CU42"/>
  <c r="BX106"/>
  <c r="CU106"/>
  <c r="BX170"/>
  <c r="CU170"/>
  <c r="BX234"/>
  <c r="CU234"/>
  <c r="BX165"/>
  <c r="CU165"/>
  <c r="BX229"/>
  <c r="CU229"/>
  <c r="BF32"/>
  <c r="CN32"/>
  <c r="BV116"/>
  <c r="CR116"/>
  <c r="BZ86"/>
  <c r="CX86"/>
  <c r="BX64"/>
  <c r="CU64"/>
  <c r="BX240"/>
  <c r="CU240"/>
  <c r="CB47"/>
  <c r="DA47"/>
  <c r="CB27"/>
  <c r="DA27"/>
  <c r="CB107"/>
  <c r="DA107"/>
  <c r="BX195"/>
  <c r="CU195"/>
  <c r="CB92"/>
  <c r="DA92"/>
  <c r="CB212"/>
  <c r="DA212"/>
  <c r="BF25"/>
  <c r="CN25"/>
  <c r="BF31"/>
  <c r="CN31"/>
  <c r="CB37"/>
  <c r="DA37"/>
  <c r="CB51"/>
  <c r="DA51"/>
  <c r="BV166"/>
  <c r="CR166"/>
  <c r="CB88"/>
  <c r="DA88"/>
  <c r="CB81"/>
  <c r="DA81"/>
  <c r="BX99"/>
  <c r="CU99"/>
  <c r="BZ54"/>
  <c r="CX54"/>
  <c r="BV56"/>
  <c r="CR56"/>
  <c r="CB219"/>
  <c r="DA219"/>
  <c r="CB167"/>
  <c r="DA167"/>
  <c r="CB232"/>
  <c r="DA232"/>
  <c r="CB256"/>
  <c r="DA256"/>
  <c r="BX32"/>
  <c r="CU32"/>
  <c r="DD267" i="15"/>
  <c r="DD43"/>
  <c r="DD27"/>
  <c r="DD11"/>
  <c r="CZ90"/>
  <c r="CW37"/>
  <c r="DM182"/>
  <c r="CZ172"/>
  <c r="CW162"/>
  <c r="CW170"/>
  <c r="DM228"/>
  <c r="CZ235"/>
  <c r="DJ179"/>
  <c r="DJ163"/>
  <c r="DJ147"/>
  <c r="DJ131"/>
  <c r="DJ83"/>
  <c r="DJ67"/>
  <c r="DJ51"/>
  <c r="CT178"/>
  <c r="CT162"/>
  <c r="CT146"/>
  <c r="CT130"/>
  <c r="CT114"/>
  <c r="CT66"/>
  <c r="CT50"/>
  <c r="CT34"/>
  <c r="CT18"/>
  <c r="CW16"/>
  <c r="CQ283"/>
  <c r="DD106"/>
  <c r="DD74"/>
  <c r="DD58"/>
  <c r="DD42"/>
  <c r="DD26"/>
  <c r="DD10"/>
  <c r="CQ301"/>
  <c r="CQ285"/>
  <c r="CQ269"/>
  <c r="CQ253"/>
  <c r="CQ237"/>
  <c r="CQ221"/>
  <c r="CQ205"/>
  <c r="CQ189"/>
  <c r="CQ173"/>
  <c r="CQ157"/>
  <c r="CQ141"/>
  <c r="CQ125"/>
  <c r="CQ109"/>
  <c r="CQ93"/>
  <c r="CQ77"/>
  <c r="CQ61"/>
  <c r="CQ303"/>
  <c r="CB77" i="10"/>
  <c r="DA77"/>
  <c r="BX75"/>
  <c r="CU75"/>
  <c r="BV189"/>
  <c r="CR189"/>
  <c r="BZ248"/>
  <c r="CX248"/>
  <c r="BZ148"/>
  <c r="CX148"/>
  <c r="BZ104"/>
  <c r="CX104"/>
  <c r="CB242"/>
  <c r="DA242"/>
  <c r="BZ177"/>
  <c r="CX177"/>
  <c r="BV49"/>
  <c r="CR49"/>
  <c r="BZ228"/>
  <c r="CX228"/>
  <c r="BV179"/>
  <c r="CR179"/>
  <c r="BV10"/>
  <c r="CR10"/>
  <c r="BZ46"/>
  <c r="CX46"/>
  <c r="BZ214"/>
  <c r="CX214"/>
  <c r="BD28"/>
  <c r="CK28"/>
  <c r="CB98"/>
  <c r="DA98"/>
  <c r="CB226"/>
  <c r="DA226"/>
  <c r="CB221"/>
  <c r="DA221"/>
  <c r="BV89"/>
  <c r="CR89"/>
  <c r="BV91"/>
  <c r="CR91"/>
  <c r="BD30"/>
  <c r="CK30"/>
  <c r="BF28"/>
  <c r="CN28"/>
  <c r="CB149"/>
  <c r="DA149"/>
  <c r="BV93"/>
  <c r="CR93"/>
  <c r="BV223"/>
  <c r="CR223"/>
  <c r="BD32"/>
  <c r="CK32"/>
  <c r="BF10"/>
  <c r="CN10"/>
  <c r="CB258"/>
  <c r="DA258"/>
  <c r="BZ149"/>
  <c r="CX149"/>
  <c r="BV25"/>
  <c r="CR25"/>
  <c r="BZ156"/>
  <c r="CX156"/>
  <c r="BV87"/>
  <c r="CR87"/>
  <c r="BZ236"/>
  <c r="CX236"/>
  <c r="AZ22"/>
  <c r="CE22"/>
  <c r="BV234"/>
  <c r="CR234"/>
  <c r="BX94"/>
  <c r="CU94"/>
  <c r="BX222"/>
  <c r="CU222"/>
  <c r="BX153"/>
  <c r="CU153"/>
  <c r="BX217"/>
  <c r="CU217"/>
  <c r="BX54"/>
  <c r="CU54"/>
  <c r="BV225"/>
  <c r="CR225"/>
  <c r="BZ161"/>
  <c r="CX161"/>
  <c r="BZ31"/>
  <c r="CX31"/>
  <c r="BV232"/>
  <c r="CR232"/>
  <c r="BV192"/>
  <c r="CR192"/>
  <c r="BZ227"/>
  <c r="CX227"/>
  <c r="BZ163"/>
  <c r="CX163"/>
  <c r="BZ99"/>
  <c r="CX99"/>
  <c r="BZ35"/>
  <c r="CX35"/>
  <c r="BV264"/>
  <c r="CR264"/>
  <c r="AZ18"/>
  <c r="CE18"/>
  <c r="BV226"/>
  <c r="CR226"/>
  <c r="BV158"/>
  <c r="CR158"/>
  <c r="BV150"/>
  <c r="CR150"/>
  <c r="BV178"/>
  <c r="CR178"/>
  <c r="BV202"/>
  <c r="CR202"/>
  <c r="BB24"/>
  <c r="CH24"/>
  <c r="BX82"/>
  <c r="CU82"/>
  <c r="BX146"/>
  <c r="CU146"/>
  <c r="BX210"/>
  <c r="CU210"/>
  <c r="CB141"/>
  <c r="DA141"/>
  <c r="CB205"/>
  <c r="DA205"/>
  <c r="BV261"/>
  <c r="CR261"/>
  <c r="BV197"/>
  <c r="CR197"/>
  <c r="BZ133"/>
  <c r="CX133"/>
  <c r="BZ69"/>
  <c r="CX69"/>
  <c r="BZ17"/>
  <c r="CX17"/>
  <c r="BV160"/>
  <c r="CR160"/>
  <c r="BZ263"/>
  <c r="CX263"/>
  <c r="BZ199"/>
  <c r="CX199"/>
  <c r="BZ135"/>
  <c r="CX135"/>
  <c r="BZ71"/>
  <c r="CX71"/>
  <c r="BZ20"/>
  <c r="CX20"/>
  <c r="BV172"/>
  <c r="CR172"/>
  <c r="AZ23"/>
  <c r="CE23"/>
  <c r="AZ25"/>
  <c r="CE25"/>
  <c r="BV134"/>
  <c r="CR134"/>
  <c r="AZ19"/>
  <c r="CE19"/>
  <c r="BV206"/>
  <c r="CR206"/>
  <c r="BV42"/>
  <c r="CR42"/>
  <c r="BB6"/>
  <c r="CH6"/>
  <c r="BX46"/>
  <c r="CU46"/>
  <c r="BX110"/>
  <c r="CU110"/>
  <c r="BX174"/>
  <c r="CU174"/>
  <c r="BX238"/>
  <c r="CU238"/>
  <c r="BX105"/>
  <c r="CU105"/>
  <c r="BX169"/>
  <c r="CU169"/>
  <c r="BX233"/>
  <c r="CU233"/>
  <c r="BV233"/>
  <c r="CR233"/>
  <c r="BV169"/>
  <c r="CR169"/>
  <c r="BZ105"/>
  <c r="CX105"/>
  <c r="BZ41"/>
  <c r="CX41"/>
  <c r="BV208"/>
  <c r="CR208"/>
  <c r="BZ235"/>
  <c r="CX235"/>
  <c r="BZ171"/>
  <c r="CX171"/>
  <c r="BZ107"/>
  <c r="CX107"/>
  <c r="BZ43"/>
  <c r="CX43"/>
  <c r="BZ6"/>
  <c r="CX6"/>
  <c r="BV66"/>
  <c r="CR66"/>
  <c r="AZ14"/>
  <c r="CE14"/>
  <c r="BV126"/>
  <c r="CR126"/>
  <c r="AZ5"/>
  <c r="CE5"/>
  <c r="BV40"/>
  <c r="CR40"/>
  <c r="BF20"/>
  <c r="CN20"/>
  <c r="CB74"/>
  <c r="DA74"/>
  <c r="CB138"/>
  <c r="DA138"/>
  <c r="CB202"/>
  <c r="DA202"/>
  <c r="CB133"/>
  <c r="DA133"/>
  <c r="CB197"/>
  <c r="DA197"/>
  <c r="BX261"/>
  <c r="CU261"/>
  <c r="BF21"/>
  <c r="CN21"/>
  <c r="BF23"/>
  <c r="CN23"/>
  <c r="BZ230"/>
  <c r="CX230"/>
  <c r="CB65"/>
  <c r="DA65"/>
  <c r="CB103"/>
  <c r="DA103"/>
  <c r="CB53"/>
  <c r="DA53"/>
  <c r="CB164"/>
  <c r="DA164"/>
  <c r="CB227"/>
  <c r="DA227"/>
  <c r="CB116"/>
  <c r="DA116"/>
  <c r="BX252"/>
  <c r="CU252"/>
  <c r="CB223"/>
  <c r="DA223"/>
  <c r="CB11"/>
  <c r="DA11"/>
  <c r="CB203"/>
  <c r="DA203"/>
  <c r="BF11"/>
  <c r="CN11"/>
  <c r="CB108"/>
  <c r="DA108"/>
  <c r="CB49"/>
  <c r="DA49"/>
  <c r="CB97"/>
  <c r="DA97"/>
  <c r="CB215"/>
  <c r="DA215"/>
  <c r="BV108"/>
  <c r="CR108"/>
  <c r="BX16"/>
  <c r="CU16"/>
  <c r="CB29"/>
  <c r="DA29"/>
  <c r="BX20"/>
  <c r="CU20"/>
  <c r="BX8"/>
  <c r="CU8"/>
  <c r="BZ114"/>
  <c r="CX114"/>
  <c r="BZ52"/>
  <c r="CX52"/>
  <c r="CB131"/>
  <c r="DA131"/>
  <c r="BV84"/>
  <c r="CR84"/>
  <c r="CB208"/>
  <c r="DA208"/>
  <c r="CZ60" i="15"/>
  <c r="CQ169"/>
  <c r="CQ153"/>
  <c r="CQ137"/>
  <c r="CQ121"/>
  <c r="CQ281"/>
  <c r="DD301"/>
  <c r="DM291"/>
  <c r="DD269"/>
  <c r="DD45"/>
  <c r="DD37"/>
  <c r="DD29"/>
  <c r="DD21"/>
  <c r="DD13"/>
  <c r="DD5"/>
  <c r="DG42"/>
  <c r="DG26"/>
  <c r="DG10"/>
  <c r="CQ295"/>
  <c r="CQ287"/>
  <c r="CQ263"/>
  <c r="CZ124"/>
  <c r="CZ72"/>
  <c r="CZ120"/>
  <c r="CQ90"/>
  <c r="CZ268"/>
  <c r="CW154"/>
  <c r="CZ203"/>
  <c r="DD291"/>
  <c r="DJ281"/>
  <c r="DD259"/>
  <c r="DJ217"/>
  <c r="DD111"/>
  <c r="DD79"/>
  <c r="DD47"/>
  <c r="DD31"/>
  <c r="DD15"/>
  <c r="CZ94"/>
  <c r="CZ62"/>
  <c r="CW35"/>
  <c r="CQ12"/>
  <c r="DD294"/>
  <c r="DD278"/>
  <c r="DD246"/>
  <c r="DD230"/>
  <c r="DD214"/>
  <c r="DJ198"/>
  <c r="DJ182"/>
  <c r="DJ166"/>
  <c r="DJ150"/>
  <c r="DJ134"/>
  <c r="DJ118"/>
  <c r="DJ102"/>
  <c r="DJ70"/>
  <c r="DJ38"/>
  <c r="DJ22"/>
  <c r="DJ6"/>
  <c r="CW169"/>
  <c r="CW153"/>
  <c r="CW137"/>
  <c r="CW121"/>
  <c r="CW105"/>
  <c r="CW89"/>
  <c r="CW73"/>
  <c r="CW57"/>
  <c r="CW41"/>
  <c r="CW9"/>
  <c r="CQ36"/>
  <c r="CQ8"/>
  <c r="CZ40"/>
  <c r="CZ32"/>
  <c r="CZ24"/>
  <c r="CZ16"/>
  <c r="CZ8"/>
  <c r="DG43"/>
  <c r="DG35"/>
  <c r="DG27"/>
  <c r="DG19"/>
  <c r="DG11"/>
  <c r="CQ304"/>
  <c r="CQ288"/>
  <c r="DM70"/>
  <c r="DM54"/>
  <c r="CZ293"/>
  <c r="CZ285"/>
  <c r="CZ277"/>
  <c r="CZ269"/>
  <c r="CZ261"/>
  <c r="CZ253"/>
  <c r="CZ245"/>
  <c r="CZ237"/>
  <c r="CZ229"/>
  <c r="CZ221"/>
  <c r="CZ213"/>
  <c r="CZ205"/>
  <c r="CZ197"/>
  <c r="CZ189"/>
  <c r="CZ181"/>
  <c r="CZ173"/>
  <c r="CZ165"/>
  <c r="CZ157"/>
  <c r="CZ149"/>
  <c r="CZ141"/>
  <c r="CZ133"/>
  <c r="CZ125"/>
  <c r="CZ117"/>
  <c r="CZ109"/>
  <c r="CZ101"/>
  <c r="CZ93"/>
  <c r="CZ85"/>
  <c r="CZ77"/>
  <c r="CZ69"/>
  <c r="CZ61"/>
  <c r="CZ53"/>
  <c r="CQ24"/>
  <c r="CQ272"/>
  <c r="CQ256"/>
  <c r="CQ240"/>
  <c r="CQ224"/>
  <c r="CQ208"/>
  <c r="CQ192"/>
  <c r="CQ176"/>
  <c r="CQ160"/>
  <c r="CQ144"/>
  <c r="CQ128"/>
  <c r="CQ112"/>
  <c r="CQ96"/>
  <c r="CQ80"/>
  <c r="CQ64"/>
  <c r="CQ48"/>
  <c r="CW23"/>
  <c r="DM195"/>
  <c r="DM91"/>
  <c r="DM83"/>
  <c r="DM59"/>
  <c r="DM51"/>
  <c r="DM43"/>
  <c r="DM35"/>
  <c r="DM27"/>
  <c r="DM19"/>
  <c r="DM11"/>
  <c r="CW304"/>
  <c r="CW288"/>
  <c r="DG70"/>
  <c r="DG54"/>
  <c r="DG38"/>
  <c r="DG22"/>
  <c r="DG6"/>
  <c r="CT301"/>
  <c r="CT293"/>
  <c r="CT285"/>
  <c r="CT277"/>
  <c r="CT269"/>
  <c r="CT261"/>
  <c r="CT253"/>
  <c r="CT245"/>
  <c r="CT237"/>
  <c r="CT229"/>
  <c r="CT221"/>
  <c r="CT213"/>
  <c r="CT205"/>
  <c r="CT197"/>
  <c r="CT189"/>
  <c r="CT181"/>
  <c r="CT173"/>
  <c r="CT165"/>
  <c r="CT157"/>
  <c r="CT149"/>
  <c r="CT141"/>
  <c r="CT133"/>
  <c r="CT125"/>
  <c r="CT117"/>
  <c r="CT109"/>
  <c r="CT101"/>
  <c r="CT93"/>
  <c r="CT85"/>
  <c r="CT77"/>
  <c r="CT69"/>
  <c r="CT61"/>
  <c r="CT53"/>
  <c r="CW24"/>
  <c r="CW272"/>
  <c r="CW256"/>
  <c r="CW240"/>
  <c r="CW224"/>
  <c r="CW208"/>
  <c r="CW192"/>
  <c r="CW176"/>
  <c r="CW160"/>
  <c r="CW144"/>
  <c r="CW128"/>
  <c r="CW112"/>
  <c r="CW96"/>
  <c r="CW80"/>
  <c r="CW64"/>
  <c r="CW48"/>
  <c r="DM36"/>
  <c r="DM20"/>
  <c r="DD306"/>
  <c r="DD290"/>
  <c r="DD274"/>
  <c r="DD258"/>
  <c r="DD242"/>
  <c r="DD226"/>
  <c r="DD210"/>
  <c r="DM194"/>
  <c r="DM178"/>
  <c r="DM162"/>
  <c r="DM146"/>
  <c r="DM130"/>
  <c r="DM114"/>
  <c r="DJ185"/>
  <c r="DJ177"/>
  <c r="DJ169"/>
  <c r="DJ161"/>
  <c r="DJ153"/>
  <c r="DJ145"/>
  <c r="DJ137"/>
  <c r="DJ129"/>
  <c r="DJ121"/>
  <c r="DJ113"/>
  <c r="DJ97"/>
  <c r="DJ89"/>
  <c r="DJ73"/>
  <c r="DJ49"/>
  <c r="DJ41"/>
  <c r="DJ33"/>
  <c r="DJ25"/>
  <c r="DJ17"/>
  <c r="DJ9"/>
  <c r="CQ300"/>
  <c r="CQ284"/>
  <c r="DJ4"/>
  <c r="CW299"/>
  <c r="CW291"/>
  <c r="CW283"/>
  <c r="CW275"/>
  <c r="CW267"/>
  <c r="CW259"/>
  <c r="CW251"/>
  <c r="CW243"/>
  <c r="CW235"/>
  <c r="CW227"/>
  <c r="CW219"/>
  <c r="CW211"/>
  <c r="CW203"/>
  <c r="CW195"/>
  <c r="CW187"/>
  <c r="CW179"/>
  <c r="CW171"/>
  <c r="CW163"/>
  <c r="CW155"/>
  <c r="CW147"/>
  <c r="CW139"/>
  <c r="CW131"/>
  <c r="CW123"/>
  <c r="CW115"/>
  <c r="CW107"/>
  <c r="CW99"/>
  <c r="CW91"/>
  <c r="CW83"/>
  <c r="CW75"/>
  <c r="CW67"/>
  <c r="CW59"/>
  <c r="CQ20"/>
  <c r="CQ268"/>
  <c r="CQ252"/>
  <c r="CQ236"/>
  <c r="CQ220"/>
  <c r="CQ204"/>
  <c r="CQ188"/>
  <c r="CQ172"/>
  <c r="CQ156"/>
  <c r="CQ140"/>
  <c r="CQ124"/>
  <c r="CQ108"/>
  <c r="CQ92"/>
  <c r="CQ76"/>
  <c r="CQ60"/>
  <c r="CW43"/>
  <c r="CW7"/>
  <c r="CQ231"/>
  <c r="CQ223"/>
  <c r="CQ215"/>
  <c r="CQ207"/>
  <c r="CQ199"/>
  <c r="CQ191"/>
  <c r="CQ183"/>
  <c r="CQ175"/>
  <c r="CQ167"/>
  <c r="CQ159"/>
  <c r="CQ151"/>
  <c r="CQ143"/>
  <c r="CQ135"/>
  <c r="CQ127"/>
  <c r="CQ119"/>
  <c r="CQ111"/>
  <c r="CQ103"/>
  <c r="CQ95"/>
  <c r="CQ87"/>
  <c r="CQ79"/>
  <c r="CQ71"/>
  <c r="CQ63"/>
  <c r="CQ55"/>
  <c r="CW276"/>
  <c r="CW260"/>
  <c r="CW244"/>
  <c r="CW228"/>
  <c r="CW212"/>
  <c r="CW196"/>
  <c r="CW180"/>
  <c r="CW164"/>
  <c r="CW148"/>
  <c r="CW132"/>
  <c r="CW116"/>
  <c r="CW100"/>
  <c r="CW84"/>
  <c r="CW68"/>
  <c r="CW52"/>
  <c r="CW32"/>
  <c r="BV106" i="10"/>
  <c r="CR106"/>
  <c r="BX63"/>
  <c r="CU63"/>
  <c r="CB236"/>
  <c r="DA236"/>
  <c r="CB55"/>
  <c r="DA55"/>
  <c r="BF17"/>
  <c r="CN17"/>
  <c r="O5"/>
  <c r="CD5"/>
  <c r="BX245"/>
  <c r="CU245"/>
  <c r="BV61"/>
  <c r="CR61"/>
  <c r="BV191"/>
  <c r="CR191"/>
  <c r="BV63"/>
  <c r="CR63"/>
  <c r="BD29"/>
  <c r="CK29"/>
  <c r="CB118"/>
  <c r="DA118"/>
  <c r="CB177"/>
  <c r="DA177"/>
  <c r="BZ241"/>
  <c r="CX241"/>
  <c r="BV113"/>
  <c r="CR113"/>
  <c r="BV7"/>
  <c r="CR7"/>
  <c r="BV243"/>
  <c r="CR243"/>
  <c r="BV115"/>
  <c r="CR115"/>
  <c r="BV51"/>
  <c r="CR51"/>
  <c r="BD8"/>
  <c r="CK8"/>
  <c r="BD10"/>
  <c r="CK10"/>
  <c r="BZ48"/>
  <c r="CX48"/>
  <c r="BZ242"/>
  <c r="CX242"/>
  <c r="CB34"/>
  <c r="DA34"/>
  <c r="CB162"/>
  <c r="DA162"/>
  <c r="CB157"/>
  <c r="DA157"/>
  <c r="BZ217"/>
  <c r="CX217"/>
  <c r="BZ216"/>
  <c r="CX216"/>
  <c r="BV219"/>
  <c r="CR219"/>
  <c r="BZ252"/>
  <c r="CX252"/>
  <c r="BZ100"/>
  <c r="CX100"/>
  <c r="CB154"/>
  <c r="DA154"/>
  <c r="BZ221"/>
  <c r="CX221"/>
  <c r="BZ220"/>
  <c r="CX220"/>
  <c r="BV95"/>
  <c r="CR95"/>
  <c r="BZ260"/>
  <c r="CX260"/>
  <c r="BZ238"/>
  <c r="CX238"/>
  <c r="CB150"/>
  <c r="DA150"/>
  <c r="CB209"/>
  <c r="DA209"/>
  <c r="BV213"/>
  <c r="CR213"/>
  <c r="BV85"/>
  <c r="CR85"/>
  <c r="BZ200"/>
  <c r="CX200"/>
  <c r="BV215"/>
  <c r="CR215"/>
  <c r="BV151"/>
  <c r="CR151"/>
  <c r="BV28"/>
  <c r="CR28"/>
  <c r="BZ44"/>
  <c r="CX44"/>
  <c r="BV38"/>
  <c r="CR38"/>
  <c r="AZ27"/>
  <c r="CE27"/>
  <c r="BB30"/>
  <c r="CH30"/>
  <c r="BX158"/>
  <c r="CU158"/>
  <c r="BX262"/>
  <c r="CU262"/>
  <c r="BZ97"/>
  <c r="CX97"/>
  <c r="R57" i="8"/>
  <c r="AY28" i="6" s="1"/>
  <c r="BE28" s="1"/>
  <c r="BF28" s="1"/>
  <c r="BZ191" i="10"/>
  <c r="CX191"/>
  <c r="BV148"/>
  <c r="CR148"/>
  <c r="AZ29"/>
  <c r="CE29"/>
  <c r="BV104"/>
  <c r="CR104"/>
  <c r="BX118"/>
  <c r="CU118"/>
  <c r="BX242"/>
  <c r="CU242"/>
  <c r="BX177"/>
  <c r="CU177"/>
  <c r="BV241"/>
  <c r="CR241"/>
  <c r="BV177"/>
  <c r="CR177"/>
  <c r="BZ113"/>
  <c r="CX113"/>
  <c r="BZ49"/>
  <c r="CX49"/>
  <c r="BZ243"/>
  <c r="CX243"/>
  <c r="BZ179"/>
  <c r="CX179"/>
  <c r="BZ115"/>
  <c r="CX115"/>
  <c r="BZ51"/>
  <c r="CX51"/>
  <c r="AZ28"/>
  <c r="CE28"/>
  <c r="BV242"/>
  <c r="CR242"/>
  <c r="BX34"/>
  <c r="CU34"/>
  <c r="BX98"/>
  <c r="CU98"/>
  <c r="BX162"/>
  <c r="CU162"/>
  <c r="BX226"/>
  <c r="CU226"/>
  <c r="BX157"/>
  <c r="CU157"/>
  <c r="BX221"/>
  <c r="CU221"/>
  <c r="BV217"/>
  <c r="CR217"/>
  <c r="BZ89"/>
  <c r="CX89"/>
  <c r="BV216"/>
  <c r="CR216"/>
  <c r="BZ219"/>
  <c r="CX219"/>
  <c r="BZ91"/>
  <c r="CX91"/>
  <c r="BV252"/>
  <c r="CR252"/>
  <c r="AZ30"/>
  <c r="CE30"/>
  <c r="BV100"/>
  <c r="CR100"/>
  <c r="BB28"/>
  <c r="CH28"/>
  <c r="BX154"/>
  <c r="CU154"/>
  <c r="BX149"/>
  <c r="CU149"/>
  <c r="BV221"/>
  <c r="CR221"/>
  <c r="BZ93"/>
  <c r="CX93"/>
  <c r="BV220"/>
  <c r="CR220"/>
  <c r="BZ223"/>
  <c r="CX223"/>
  <c r="BZ95"/>
  <c r="CX95"/>
  <c r="BV260"/>
  <c r="CR260"/>
  <c r="AZ32"/>
  <c r="CE32"/>
  <c r="BV238"/>
  <c r="CR238"/>
  <c r="BB10"/>
  <c r="CH10"/>
  <c r="BX150"/>
  <c r="CU150"/>
  <c r="BX258"/>
  <c r="CU258"/>
  <c r="BX209"/>
  <c r="CU209"/>
  <c r="BZ213"/>
  <c r="CX213"/>
  <c r="BV149"/>
  <c r="CR149"/>
  <c r="BZ85"/>
  <c r="CX85"/>
  <c r="BZ25"/>
  <c r="CX25"/>
  <c r="BV200"/>
  <c r="CR200"/>
  <c r="BV156"/>
  <c r="CR156"/>
  <c r="BZ215"/>
  <c r="CX215"/>
  <c r="BZ151"/>
  <c r="CX151"/>
  <c r="BZ87"/>
  <c r="CX87"/>
  <c r="BZ28"/>
  <c r="CX28"/>
  <c r="BV236"/>
  <c r="CR236"/>
  <c r="BV44"/>
  <c r="CR44"/>
  <c r="BD9"/>
  <c r="CK9"/>
  <c r="BZ102"/>
  <c r="CX102"/>
  <c r="BZ142"/>
  <c r="CX142"/>
  <c r="BZ112"/>
  <c r="CX112"/>
  <c r="BF14"/>
  <c r="CN14"/>
  <c r="CB62"/>
  <c r="DA62"/>
  <c r="CB126"/>
  <c r="DA126"/>
  <c r="CB190"/>
  <c r="DA190"/>
  <c r="CB246"/>
  <c r="DA246"/>
  <c r="CB121"/>
  <c r="DA121"/>
  <c r="CB185"/>
  <c r="DA185"/>
  <c r="BX249"/>
  <c r="CU249"/>
  <c r="BZ257"/>
  <c r="CX257"/>
  <c r="BV193"/>
  <c r="CR193"/>
  <c r="BV129"/>
  <c r="CR129"/>
  <c r="BV65"/>
  <c r="CR65"/>
  <c r="BV15"/>
  <c r="CR15"/>
  <c r="BZ268"/>
  <c r="CX268"/>
  <c r="BV259"/>
  <c r="CR259"/>
  <c r="BV195"/>
  <c r="CR195"/>
  <c r="BV131"/>
  <c r="CR131"/>
  <c r="BV67"/>
  <c r="CR67"/>
  <c r="BV18"/>
  <c r="CR18"/>
  <c r="BZ152"/>
  <c r="CX152"/>
  <c r="BD24"/>
  <c r="CK24"/>
  <c r="BZ78"/>
  <c r="CX78"/>
  <c r="BD26"/>
  <c r="CK26"/>
  <c r="BD31"/>
  <c r="CK31"/>
  <c r="BZ60"/>
  <c r="CX60"/>
  <c r="BF8"/>
  <c r="CN8"/>
  <c r="CB50"/>
  <c r="DA50"/>
  <c r="CB114"/>
  <c r="DA114"/>
  <c r="CB178"/>
  <c r="DA178"/>
  <c r="CB109"/>
  <c r="DA109"/>
  <c r="BX173"/>
  <c r="CU173"/>
  <c r="BX237"/>
  <c r="CU237"/>
  <c r="BZ229"/>
  <c r="CX229"/>
  <c r="BV165"/>
  <c r="CR165"/>
  <c r="BV101"/>
  <c r="CR101"/>
  <c r="BV37"/>
  <c r="CR37"/>
  <c r="BZ256"/>
  <c r="CX256"/>
  <c r="BZ196"/>
  <c r="CX196"/>
  <c r="BV231"/>
  <c r="CR231"/>
  <c r="BV167"/>
  <c r="CR167"/>
  <c r="BV103"/>
  <c r="CR103"/>
  <c r="BV39"/>
  <c r="CR39"/>
  <c r="BV4"/>
  <c r="CR4"/>
  <c r="BD17"/>
  <c r="CK17"/>
  <c r="BZ76"/>
  <c r="CX76"/>
  <c r="BZ70"/>
  <c r="CX70"/>
  <c r="BZ262"/>
  <c r="CX262"/>
  <c r="BD6"/>
  <c r="CK6"/>
  <c r="BD12"/>
  <c r="CK12"/>
  <c r="BZ128"/>
  <c r="CX128"/>
  <c r="BF22"/>
  <c r="CN22"/>
  <c r="CB78"/>
  <c r="DA78"/>
  <c r="CB142"/>
  <c r="DA142"/>
  <c r="CB206"/>
  <c r="DA206"/>
  <c r="CB254"/>
  <c r="DA254"/>
  <c r="CB137"/>
  <c r="DA137"/>
  <c r="CB201"/>
  <c r="DA201"/>
  <c r="BV265"/>
  <c r="CR265"/>
  <c r="BZ201"/>
  <c r="CX201"/>
  <c r="BV137"/>
  <c r="CR137"/>
  <c r="BV73"/>
  <c r="CR73"/>
  <c r="BV19"/>
  <c r="CR19"/>
  <c r="BZ164"/>
  <c r="CX164"/>
  <c r="BV267"/>
  <c r="CR267"/>
  <c r="BV203"/>
  <c r="CR203"/>
  <c r="BV139"/>
  <c r="CR139"/>
  <c r="BV75"/>
  <c r="CR75"/>
  <c r="BV22"/>
  <c r="CR22"/>
  <c r="BZ176"/>
  <c r="CX176"/>
  <c r="BZ194"/>
  <c r="CX194"/>
  <c r="BZ68"/>
  <c r="CX68"/>
  <c r="BZ146"/>
  <c r="CX146"/>
  <c r="BD11"/>
  <c r="CK11"/>
  <c r="BF4"/>
  <c r="CN4"/>
  <c r="BB20"/>
  <c r="CH20"/>
  <c r="BX74"/>
  <c r="CU74"/>
  <c r="BX138"/>
  <c r="CU138"/>
  <c r="BX202"/>
  <c r="CU202"/>
  <c r="BX133"/>
  <c r="CU133"/>
  <c r="BX197"/>
  <c r="CU197"/>
  <c r="CB261"/>
  <c r="DA261"/>
  <c r="BF15"/>
  <c r="CN15"/>
  <c r="BF29"/>
  <c r="CN29"/>
  <c r="BZ138"/>
  <c r="CX138"/>
  <c r="CB25"/>
  <c r="DA25"/>
  <c r="BX268"/>
  <c r="CU268"/>
  <c r="CB56"/>
  <c r="DA56"/>
  <c r="CB120"/>
  <c r="DA120"/>
  <c r="BX263"/>
  <c r="CU263"/>
  <c r="CB43"/>
  <c r="DA43"/>
  <c r="CB36"/>
  <c r="DA36"/>
  <c r="BX6"/>
  <c r="CU6"/>
  <c r="CB85"/>
  <c r="DA85"/>
  <c r="CB13"/>
  <c r="DA13"/>
  <c r="BF7"/>
  <c r="CN7"/>
  <c r="CB140"/>
  <c r="DA140"/>
  <c r="BV198"/>
  <c r="CR198"/>
  <c r="BV186"/>
  <c r="CR186"/>
  <c r="BX171"/>
  <c r="CU171"/>
  <c r="CB239"/>
  <c r="DA239"/>
  <c r="CB265"/>
  <c r="DA265"/>
  <c r="BX255"/>
  <c r="CU255"/>
  <c r="CB135"/>
  <c r="DA135"/>
  <c r="CB60"/>
  <c r="DA60"/>
  <c r="CB4"/>
  <c r="DA4"/>
  <c r="CB220"/>
  <c r="DA220"/>
  <c r="CB15"/>
  <c r="DA15"/>
  <c r="BX95"/>
  <c r="CU95"/>
  <c r="CB179"/>
  <c r="DA179"/>
  <c r="CZ240" i="15"/>
  <c r="DM212"/>
  <c r="CZ164"/>
  <c r="CQ226"/>
  <c r="DD283"/>
  <c r="DD115"/>
  <c r="DD99"/>
  <c r="DD35"/>
  <c r="DD19"/>
  <c r="CZ98"/>
  <c r="DJ186"/>
  <c r="DJ170"/>
  <c r="DJ154"/>
  <c r="DJ138"/>
  <c r="DJ122"/>
  <c r="DJ42"/>
  <c r="DJ26"/>
  <c r="DJ10"/>
  <c r="CW29"/>
  <c r="CW13"/>
  <c r="CZ48"/>
  <c r="CZ84"/>
  <c r="CZ112"/>
  <c r="DJ84"/>
  <c r="CZ300"/>
  <c r="CW106"/>
  <c r="DJ187"/>
  <c r="DJ171"/>
  <c r="DJ155"/>
  <c r="DJ139"/>
  <c r="DJ123"/>
  <c r="DJ91"/>
  <c r="DJ59"/>
  <c r="CT298"/>
  <c r="CT282"/>
  <c r="CT266"/>
  <c r="CT250"/>
  <c r="CT234"/>
  <c r="CT218"/>
  <c r="CT202"/>
  <c r="CT170"/>
  <c r="CT154"/>
  <c r="CT138"/>
  <c r="CT122"/>
  <c r="CT106"/>
  <c r="CT74"/>
  <c r="CT42"/>
  <c r="CT26"/>
  <c r="CT10"/>
  <c r="CW28"/>
  <c r="DD82"/>
  <c r="DD50"/>
  <c r="DD34"/>
  <c r="DD18"/>
  <c r="CQ293"/>
  <c r="CQ277"/>
  <c r="CQ261"/>
  <c r="CQ245"/>
  <c r="CQ229"/>
  <c r="CQ213"/>
  <c r="CQ197"/>
  <c r="CQ181"/>
  <c r="CQ165"/>
  <c r="CQ149"/>
  <c r="CQ133"/>
  <c r="CQ117"/>
  <c r="CQ271"/>
  <c r="CZ52"/>
  <c r="CZ288"/>
  <c r="CZ304"/>
  <c r="DG41"/>
  <c r="BV246" i="10"/>
  <c r="CR246"/>
  <c r="CB19"/>
  <c r="DA19"/>
  <c r="CB139"/>
  <c r="DA139"/>
  <c r="CB31"/>
  <c r="DA31"/>
  <c r="S49" i="8"/>
  <c r="AZ20" i="19" s="1"/>
  <c r="BG20" s="1"/>
  <c r="BH20" s="1"/>
  <c r="F50" i="5"/>
  <c r="J21" i="10" s="1"/>
  <c r="N21" s="1"/>
  <c r="H47" i="5"/>
  <c r="L18" i="10"/>
  <c r="R18" s="1"/>
  <c r="H28" i="12"/>
  <c r="S43" i="8"/>
  <c r="AZ15" i="16"/>
  <c r="BG15" s="1"/>
  <c r="BH15" s="1"/>
  <c r="H27" i="12"/>
  <c r="I42" i="8"/>
  <c r="AK14" i="16" s="1"/>
  <c r="I28" i="12"/>
  <c r="S45" i="8"/>
  <c r="AZ16" i="6"/>
  <c r="BG16" s="1"/>
  <c r="BH16" s="1"/>
  <c r="H41" i="5"/>
  <c r="L12" i="10"/>
  <c r="R12" s="1"/>
  <c r="H58" i="5"/>
  <c r="L29" i="10"/>
  <c r="R29" s="1"/>
  <c r="H54" i="8"/>
  <c r="AJ26" i="16" s="1"/>
  <c r="AN26" s="1"/>
  <c r="BC17" i="6"/>
  <c r="BD17"/>
  <c r="AZ28"/>
  <c r="BG28"/>
  <c r="BH28" s="1"/>
  <c r="AZ28" i="19"/>
  <c r="BG28" s="1"/>
  <c r="BH28" s="1"/>
  <c r="AZ29" i="16"/>
  <c r="AJ27" i="6"/>
  <c r="AN27" s="1"/>
  <c r="AJ27" i="19"/>
  <c r="AN27" s="1"/>
  <c r="AO27" s="1"/>
  <c r="AJ28" i="16"/>
  <c r="AJ13" i="6"/>
  <c r="AN13" s="1"/>
  <c r="AJ13" i="19"/>
  <c r="AN13" s="1"/>
  <c r="AO13" s="1"/>
  <c r="AJ14" i="16"/>
  <c r="AZ35" i="6"/>
  <c r="BG35"/>
  <c r="BH35" s="1"/>
  <c r="AZ35" i="19"/>
  <c r="BG35" s="1"/>
  <c r="BH35" s="1"/>
  <c r="AZ36" i="16"/>
  <c r="AW26" i="6"/>
  <c r="BA26" s="1"/>
  <c r="BB26" s="1"/>
  <c r="AW26" i="19"/>
  <c r="BA26"/>
  <c r="BB26" s="1"/>
  <c r="AW27" i="16"/>
  <c r="AW18" i="6"/>
  <c r="BA18"/>
  <c r="BB18" s="1"/>
  <c r="AW18" i="19"/>
  <c r="BA18" s="1"/>
  <c r="BB18" s="1"/>
  <c r="AW19" i="16"/>
  <c r="AW10" i="6"/>
  <c r="BA10" s="1"/>
  <c r="BB10" s="1"/>
  <c r="AW10" i="19"/>
  <c r="BA10"/>
  <c r="BB10" s="1"/>
  <c r="AW11" i="16"/>
  <c r="AW4" i="6"/>
  <c r="BA4"/>
  <c r="BB4" s="1"/>
  <c r="AW4" i="19"/>
  <c r="BA4" s="1"/>
  <c r="BB4" s="1"/>
  <c r="AW5" i="16"/>
  <c r="AW17" i="6"/>
  <c r="BA17" s="1"/>
  <c r="BB17" s="1"/>
  <c r="AW17" i="19"/>
  <c r="BA17"/>
  <c r="BB17" s="1"/>
  <c r="AW18" i="16"/>
  <c r="AW15" i="6"/>
  <c r="BA15"/>
  <c r="BB15" s="1"/>
  <c r="AW15" i="19"/>
  <c r="BA15" s="1"/>
  <c r="BB15" s="1"/>
  <c r="AW16" i="16"/>
  <c r="AW29" i="6"/>
  <c r="BA29" s="1"/>
  <c r="BB29" s="1"/>
  <c r="AW29" i="19"/>
  <c r="BA29"/>
  <c r="BB29" s="1"/>
  <c r="AW30" i="16"/>
  <c r="AW21" i="6"/>
  <c r="BA21"/>
  <c r="BB21" s="1"/>
  <c r="AW21" i="19"/>
  <c r="BA21" s="1"/>
  <c r="BB21" s="1"/>
  <c r="AW22" i="16"/>
  <c r="AW13" i="6"/>
  <c r="BA13" s="1"/>
  <c r="BB13" s="1"/>
  <c r="AW13" i="19"/>
  <c r="BA13"/>
  <c r="BB13" s="1"/>
  <c r="AW14" i="16"/>
  <c r="AW5" i="6"/>
  <c r="BA5"/>
  <c r="BB5" s="1"/>
  <c r="AW5" i="19"/>
  <c r="BA5" s="1"/>
  <c r="BB5" s="1"/>
  <c r="AW6" i="16"/>
  <c r="AJ11" i="6"/>
  <c r="AN11" s="1"/>
  <c r="AJ11" i="19"/>
  <c r="AN11" s="1"/>
  <c r="AO11" s="1"/>
  <c r="AJ12" i="16"/>
  <c r="AJ5" i="6"/>
  <c r="AN5" s="1"/>
  <c r="AJ5" i="19"/>
  <c r="AN5" s="1"/>
  <c r="AO5" s="1"/>
  <c r="AJ6" i="16"/>
  <c r="R34" i="5"/>
  <c r="AH5" i="10" s="1"/>
  <c r="AN5" s="1"/>
  <c r="P34" i="5"/>
  <c r="AF5" i="10"/>
  <c r="AJ5" s="1"/>
  <c r="R36" i="5"/>
  <c r="AH7" i="10" s="1"/>
  <c r="AN7" s="1"/>
  <c r="P36" i="5"/>
  <c r="AF7" i="10"/>
  <c r="AJ7" s="1"/>
  <c r="R38" i="5"/>
  <c r="AH9" i="10" s="1"/>
  <c r="AN9" s="1"/>
  <c r="P38" i="5"/>
  <c r="AF9" i="10"/>
  <c r="AJ9" s="1"/>
  <c r="R40" i="5"/>
  <c r="AH11" i="10" s="1"/>
  <c r="AN11" s="1"/>
  <c r="P40" i="5"/>
  <c r="AF11" i="10"/>
  <c r="AJ11" s="1"/>
  <c r="R42" i="5"/>
  <c r="AH13" i="10" s="1"/>
  <c r="AN13" s="1"/>
  <c r="P42" i="5"/>
  <c r="AF13" i="10"/>
  <c r="AJ13" s="1"/>
  <c r="R44" i="5"/>
  <c r="AH15" i="10" s="1"/>
  <c r="AN15" s="1"/>
  <c r="P44" i="5"/>
  <c r="AF15" i="10"/>
  <c r="AJ15" s="1"/>
  <c r="R46" i="5"/>
  <c r="AH17" i="10" s="1"/>
  <c r="AN17" s="1"/>
  <c r="P46" i="5"/>
  <c r="AF17" i="10"/>
  <c r="AJ17" s="1"/>
  <c r="R48" i="5"/>
  <c r="AH19" i="10" s="1"/>
  <c r="AN19" s="1"/>
  <c r="P48" i="5"/>
  <c r="AF19" i="10"/>
  <c r="AJ19" s="1"/>
  <c r="R50" i="5"/>
  <c r="AH21" i="10" s="1"/>
  <c r="AN21" s="1"/>
  <c r="P50" i="5"/>
  <c r="AF21" i="10"/>
  <c r="AJ21" s="1"/>
  <c r="R52" i="5"/>
  <c r="AH23" i="10" s="1"/>
  <c r="AN23" s="1"/>
  <c r="P52" i="5"/>
  <c r="AF23" i="10"/>
  <c r="AJ23" s="1"/>
  <c r="R54" i="5"/>
  <c r="AH25" i="10" s="1"/>
  <c r="AN25" s="1"/>
  <c r="P54" i="5"/>
  <c r="AF25" i="10"/>
  <c r="AJ25" s="1"/>
  <c r="R56" i="5"/>
  <c r="AH27" i="10" s="1"/>
  <c r="AN27" s="1"/>
  <c r="P56" i="5"/>
  <c r="AF27" i="10"/>
  <c r="AJ27" s="1"/>
  <c r="R58" i="5"/>
  <c r="AH29" i="10" s="1"/>
  <c r="AN29" s="1"/>
  <c r="P58" i="5"/>
  <c r="AF29" i="10"/>
  <c r="AJ29" s="1"/>
  <c r="R60" i="5"/>
  <c r="AH31" i="10" s="1"/>
  <c r="AN31" s="1"/>
  <c r="P60" i="5"/>
  <c r="AF31" i="10"/>
  <c r="AJ31" s="1"/>
  <c r="R62" i="5"/>
  <c r="AH33" i="10" s="1"/>
  <c r="AN33" s="1"/>
  <c r="P62" i="5"/>
  <c r="AF33" i="10"/>
  <c r="AJ33" s="1"/>
  <c r="R64" i="5"/>
  <c r="AH35" i="10" s="1"/>
  <c r="AN35" s="1"/>
  <c r="P64" i="5"/>
  <c r="AF35" i="10"/>
  <c r="AJ35" s="1"/>
  <c r="R66" i="5"/>
  <c r="AH37" i="10" s="1"/>
  <c r="AN37" s="1"/>
  <c r="P66" i="5"/>
  <c r="AF37" i="10"/>
  <c r="AJ37" s="1"/>
  <c r="R68" i="5"/>
  <c r="AH39" i="10" s="1"/>
  <c r="AN39" s="1"/>
  <c r="P68" i="5"/>
  <c r="AF39" i="10"/>
  <c r="AJ39" s="1"/>
  <c r="R70" i="5"/>
  <c r="AH41" i="10" s="1"/>
  <c r="AN41" s="1"/>
  <c r="P70" i="5"/>
  <c r="AF41" i="10"/>
  <c r="AJ41" s="1"/>
  <c r="R72" i="5"/>
  <c r="AH43" i="10" s="1"/>
  <c r="AN43" s="1"/>
  <c r="P72" i="5"/>
  <c r="AF43" i="10"/>
  <c r="AJ43" s="1"/>
  <c r="R74" i="5"/>
  <c r="AH45" i="10" s="1"/>
  <c r="AN45" s="1"/>
  <c r="P74" i="5"/>
  <c r="AF45" i="10"/>
  <c r="AJ45" s="1"/>
  <c r="R76" i="5"/>
  <c r="AH47" i="10" s="1"/>
  <c r="AN47" s="1"/>
  <c r="P76" i="5"/>
  <c r="AF47" i="10"/>
  <c r="AJ47" s="1"/>
  <c r="R78" i="5"/>
  <c r="AH49" i="10" s="1"/>
  <c r="AN49" s="1"/>
  <c r="P78" i="5"/>
  <c r="AF49" i="10"/>
  <c r="AJ49" s="1"/>
  <c r="R80" i="5"/>
  <c r="AH51" i="10" s="1"/>
  <c r="AN51" s="1"/>
  <c r="P80" i="5"/>
  <c r="AF51" i="10"/>
  <c r="AJ51" s="1"/>
  <c r="R82" i="5"/>
  <c r="AH53" i="10" s="1"/>
  <c r="AN53" s="1"/>
  <c r="P82" i="5"/>
  <c r="AF53" i="10"/>
  <c r="AJ53" s="1"/>
  <c r="R84" i="5"/>
  <c r="AH55" i="10" s="1"/>
  <c r="AN55" s="1"/>
  <c r="P84" i="5"/>
  <c r="AF55" i="10"/>
  <c r="AJ55" s="1"/>
  <c r="R86" i="5"/>
  <c r="AH57" i="10" s="1"/>
  <c r="AN57" s="1"/>
  <c r="P86" i="5"/>
  <c r="AF57" i="10"/>
  <c r="AJ57" s="1"/>
  <c r="R88" i="5"/>
  <c r="AH59" i="10" s="1"/>
  <c r="AN59" s="1"/>
  <c r="P88" i="5"/>
  <c r="AF59" i="10"/>
  <c r="AJ59" s="1"/>
  <c r="R90" i="5"/>
  <c r="AH61" i="10" s="1"/>
  <c r="AN61" s="1"/>
  <c r="P90" i="5"/>
  <c r="AF61" i="10"/>
  <c r="AJ61" s="1"/>
  <c r="R92" i="5"/>
  <c r="AH63" i="10" s="1"/>
  <c r="AN63" s="1"/>
  <c r="P92" i="5"/>
  <c r="AF63" i="10"/>
  <c r="AJ63" s="1"/>
  <c r="R94" i="5"/>
  <c r="AH65" i="10" s="1"/>
  <c r="AN65" s="1"/>
  <c r="P94" i="5"/>
  <c r="AF65" i="10"/>
  <c r="AJ65" s="1"/>
  <c r="R96" i="5"/>
  <c r="AH67" i="10" s="1"/>
  <c r="AN67" s="1"/>
  <c r="P96" i="5"/>
  <c r="AF67" i="10"/>
  <c r="AJ67" s="1"/>
  <c r="R98" i="5"/>
  <c r="AH69" i="10" s="1"/>
  <c r="AN69" s="1"/>
  <c r="P98" i="5"/>
  <c r="AF69" i="10"/>
  <c r="AJ69" s="1"/>
  <c r="R100" i="5"/>
  <c r="AH71" i="10" s="1"/>
  <c r="AN71" s="1"/>
  <c r="P100" i="5"/>
  <c r="AF71" i="10"/>
  <c r="AJ71" s="1"/>
  <c r="R102" i="5"/>
  <c r="AH73" i="10" s="1"/>
  <c r="AN73" s="1"/>
  <c r="P102" i="5"/>
  <c r="AF73" i="10"/>
  <c r="AJ73" s="1"/>
  <c r="R104" i="5"/>
  <c r="AH75" i="10" s="1"/>
  <c r="AN75" s="1"/>
  <c r="P104" i="5"/>
  <c r="AF75" i="10"/>
  <c r="AJ75" s="1"/>
  <c r="R106" i="5"/>
  <c r="AH77" i="10" s="1"/>
  <c r="AN77" s="1"/>
  <c r="P106" i="5"/>
  <c r="AF77" i="10"/>
  <c r="AJ77" s="1"/>
  <c r="R108" i="5"/>
  <c r="AH79" i="10" s="1"/>
  <c r="AN79" s="1"/>
  <c r="P108" i="5"/>
  <c r="AF79" i="10"/>
  <c r="AJ79" s="1"/>
  <c r="R110" i="5"/>
  <c r="AH81" i="10" s="1"/>
  <c r="AN81" s="1"/>
  <c r="P110" i="5"/>
  <c r="AF81" i="10"/>
  <c r="AJ81" s="1"/>
  <c r="R112" i="5"/>
  <c r="AH83" i="10" s="1"/>
  <c r="AN83" s="1"/>
  <c r="P112" i="5"/>
  <c r="AF83" i="10"/>
  <c r="AJ83" s="1"/>
  <c r="R114" i="5"/>
  <c r="AH85" i="10" s="1"/>
  <c r="AN85" s="1"/>
  <c r="P114" i="5"/>
  <c r="AF85" i="10"/>
  <c r="AJ85" s="1"/>
  <c r="R116" i="5"/>
  <c r="AH87" i="10" s="1"/>
  <c r="AN87" s="1"/>
  <c r="P116" i="5"/>
  <c r="AF87" i="10"/>
  <c r="AJ87" s="1"/>
  <c r="R118" i="5"/>
  <c r="AH89" i="10" s="1"/>
  <c r="AN89" s="1"/>
  <c r="P118" i="5"/>
  <c r="AF89" i="10"/>
  <c r="AJ89" s="1"/>
  <c r="R120" i="5"/>
  <c r="AH91" i="10" s="1"/>
  <c r="AN91" s="1"/>
  <c r="P120" i="5"/>
  <c r="AF91" i="10"/>
  <c r="AJ91" s="1"/>
  <c r="R122" i="5"/>
  <c r="AH93" i="10" s="1"/>
  <c r="AN93" s="1"/>
  <c r="P122" i="5"/>
  <c r="AF93" i="10"/>
  <c r="AJ93" s="1"/>
  <c r="R124" i="5"/>
  <c r="AH95" i="10" s="1"/>
  <c r="AN95" s="1"/>
  <c r="P124" i="5"/>
  <c r="AF95" i="10"/>
  <c r="AJ95" s="1"/>
  <c r="R126" i="5"/>
  <c r="AH97" i="10" s="1"/>
  <c r="AN97" s="1"/>
  <c r="P126" i="5"/>
  <c r="AF97" i="10"/>
  <c r="AJ97" s="1"/>
  <c r="R128" i="5"/>
  <c r="AH99" i="10" s="1"/>
  <c r="AN99" s="1"/>
  <c r="P128" i="5"/>
  <c r="AF99" i="10"/>
  <c r="AJ99" s="1"/>
  <c r="R130" i="5"/>
  <c r="AH101" i="10" s="1"/>
  <c r="AN101" s="1"/>
  <c r="P130" i="5"/>
  <c r="AF101" i="10"/>
  <c r="AJ101" s="1"/>
  <c r="R132" i="5"/>
  <c r="AH103" i="10" s="1"/>
  <c r="AN103" s="1"/>
  <c r="P132" i="5"/>
  <c r="AF103" i="10"/>
  <c r="AJ103" s="1"/>
  <c r="R134" i="5"/>
  <c r="AH105" i="10" s="1"/>
  <c r="AN105" s="1"/>
  <c r="P134" i="5"/>
  <c r="AF105" i="10"/>
  <c r="AJ105" s="1"/>
  <c r="R136" i="5"/>
  <c r="AH107" i="10" s="1"/>
  <c r="AN107" s="1"/>
  <c r="P136" i="5"/>
  <c r="AF107" i="10"/>
  <c r="AJ107" s="1"/>
  <c r="R138" i="5"/>
  <c r="AH109" i="10" s="1"/>
  <c r="AN109" s="1"/>
  <c r="P138" i="5"/>
  <c r="AF109" i="10"/>
  <c r="AJ109" s="1"/>
  <c r="R140" i="5"/>
  <c r="AH111" i="10" s="1"/>
  <c r="AN111" s="1"/>
  <c r="P140" i="5"/>
  <c r="AF111" i="10"/>
  <c r="AJ111" s="1"/>
  <c r="R142" i="5"/>
  <c r="AH113" i="10" s="1"/>
  <c r="AN113" s="1"/>
  <c r="P142" i="5"/>
  <c r="AF113" i="10"/>
  <c r="AJ113" s="1"/>
  <c r="R144" i="5"/>
  <c r="AH115" i="10" s="1"/>
  <c r="AN115" s="1"/>
  <c r="P144" i="5"/>
  <c r="AF115" i="10"/>
  <c r="AJ115" s="1"/>
  <c r="R146" i="5"/>
  <c r="AH117" i="10" s="1"/>
  <c r="AN117" s="1"/>
  <c r="P146" i="5"/>
  <c r="AF117" i="10"/>
  <c r="AJ117" s="1"/>
  <c r="R148" i="5"/>
  <c r="AH119" i="10" s="1"/>
  <c r="AN119" s="1"/>
  <c r="P148" i="5"/>
  <c r="AF119" i="10"/>
  <c r="AJ119" s="1"/>
  <c r="R150" i="5"/>
  <c r="AH121" i="10" s="1"/>
  <c r="AN121" s="1"/>
  <c r="P150" i="5"/>
  <c r="AF121" i="10"/>
  <c r="AJ121" s="1"/>
  <c r="R152" i="5"/>
  <c r="AH123" i="10" s="1"/>
  <c r="AN123" s="1"/>
  <c r="P152" i="5"/>
  <c r="AF123" i="10"/>
  <c r="AJ123" s="1"/>
  <c r="R154" i="5"/>
  <c r="AH125" i="10" s="1"/>
  <c r="AN125" s="1"/>
  <c r="P154" i="5"/>
  <c r="AF125" i="10" s="1"/>
  <c r="AJ125" s="1"/>
  <c r="R156" i="5"/>
  <c r="AH127" i="10" s="1"/>
  <c r="AN127" s="1"/>
  <c r="P156" i="5"/>
  <c r="AF127" i="10"/>
  <c r="AJ127" s="1"/>
  <c r="R158" i="5"/>
  <c r="AH129" i="10" s="1"/>
  <c r="AN129" s="1"/>
  <c r="P158" i="5"/>
  <c r="AF129" i="10" s="1"/>
  <c r="AJ129" s="1"/>
  <c r="R160" i="5"/>
  <c r="AH131" i="10" s="1"/>
  <c r="AN131" s="1"/>
  <c r="P160" i="5"/>
  <c r="AF131" i="10" s="1"/>
  <c r="AJ131" s="1"/>
  <c r="R162" i="5"/>
  <c r="AH133" i="10" s="1"/>
  <c r="AN133" s="1"/>
  <c r="P162" i="5"/>
  <c r="AF133" i="10" s="1"/>
  <c r="AJ133" s="1"/>
  <c r="R164" i="5"/>
  <c r="AH135" i="10" s="1"/>
  <c r="AN135" s="1"/>
  <c r="P164" i="5"/>
  <c r="AF135" i="10" s="1"/>
  <c r="AJ135" s="1"/>
  <c r="R166" i="5"/>
  <c r="AH137" i="10" s="1"/>
  <c r="AN137" s="1"/>
  <c r="P166" i="5"/>
  <c r="AF137" i="10" s="1"/>
  <c r="AJ137" s="1"/>
  <c r="R168" i="5"/>
  <c r="AH139" i="10" s="1"/>
  <c r="AN139" s="1"/>
  <c r="P168" i="5"/>
  <c r="AF139" i="10" s="1"/>
  <c r="AJ139" s="1"/>
  <c r="R170" i="5"/>
  <c r="AH141" i="10" s="1"/>
  <c r="AN141" s="1"/>
  <c r="P170" i="5"/>
  <c r="AF141" i="10" s="1"/>
  <c r="AJ141" s="1"/>
  <c r="R172" i="5"/>
  <c r="AH143" i="10" s="1"/>
  <c r="AN143" s="1"/>
  <c r="P172" i="5"/>
  <c r="AF143" i="10" s="1"/>
  <c r="AJ143" s="1"/>
  <c r="R174" i="5"/>
  <c r="AH145" i="10" s="1"/>
  <c r="AN145" s="1"/>
  <c r="P174" i="5"/>
  <c r="AF145" i="10" s="1"/>
  <c r="AJ145" s="1"/>
  <c r="R176" i="5"/>
  <c r="AH147" i="10" s="1"/>
  <c r="AN147" s="1"/>
  <c r="P176" i="5"/>
  <c r="AF147" i="10" s="1"/>
  <c r="AJ147" s="1"/>
  <c r="R178" i="5"/>
  <c r="AH149" i="10" s="1"/>
  <c r="AN149" s="1"/>
  <c r="P178" i="5"/>
  <c r="AF149" i="10" s="1"/>
  <c r="AJ149" s="1"/>
  <c r="R180" i="5"/>
  <c r="AH151" i="10"/>
  <c r="AN151" s="1"/>
  <c r="P180" i="5"/>
  <c r="AF151" i="10" s="1"/>
  <c r="AJ151" s="1"/>
  <c r="R182" i="5"/>
  <c r="AH153" i="10" s="1"/>
  <c r="AN153" s="1"/>
  <c r="P182" i="5"/>
  <c r="AF153" i="10" s="1"/>
  <c r="AJ153" s="1"/>
  <c r="R184" i="5"/>
  <c r="AH155" i="10" s="1"/>
  <c r="AN155" s="1"/>
  <c r="P184" i="5"/>
  <c r="AF155" i="10" s="1"/>
  <c r="AJ155" s="1"/>
  <c r="R186" i="5"/>
  <c r="AH157" i="10" s="1"/>
  <c r="AN157" s="1"/>
  <c r="P186" i="5"/>
  <c r="AF157" i="10" s="1"/>
  <c r="AJ157" s="1"/>
  <c r="R188" i="5"/>
  <c r="AH159" i="10" s="1"/>
  <c r="AN159" s="1"/>
  <c r="P188" i="5"/>
  <c r="AF159" i="10" s="1"/>
  <c r="AJ159" s="1"/>
  <c r="R190" i="5"/>
  <c r="AH161" i="10"/>
  <c r="AN161" s="1"/>
  <c r="P190" i="5"/>
  <c r="AF161" i="10" s="1"/>
  <c r="AJ161" s="1"/>
  <c r="R192" i="5"/>
  <c r="AH163" i="10" s="1"/>
  <c r="AN163" s="1"/>
  <c r="P192" i="5"/>
  <c r="AF163" i="10" s="1"/>
  <c r="AJ163" s="1"/>
  <c r="R194" i="5"/>
  <c r="AH165" i="10"/>
  <c r="AN165" s="1"/>
  <c r="P194" i="5"/>
  <c r="AF165" i="10" s="1"/>
  <c r="AJ165" s="1"/>
  <c r="R196" i="5"/>
  <c r="AH167" i="10" s="1"/>
  <c r="AN167" s="1"/>
  <c r="P196" i="5"/>
  <c r="AF167" i="10" s="1"/>
  <c r="AJ167" s="1"/>
  <c r="R198" i="5"/>
  <c r="AH169" i="10" s="1"/>
  <c r="AN169" s="1"/>
  <c r="P198" i="5"/>
  <c r="AF169" i="10" s="1"/>
  <c r="AJ169" s="1"/>
  <c r="R200" i="5"/>
  <c r="AH171" i="10" s="1"/>
  <c r="AN171" s="1"/>
  <c r="P200" i="5"/>
  <c r="AF171" i="10" s="1"/>
  <c r="AJ171" s="1"/>
  <c r="R202" i="5"/>
  <c r="AH173" i="10"/>
  <c r="AN173" s="1"/>
  <c r="P202" i="5"/>
  <c r="AF173" i="10" s="1"/>
  <c r="AJ173" s="1"/>
  <c r="R204" i="5"/>
  <c r="AH175" i="10" s="1"/>
  <c r="AN175" s="1"/>
  <c r="P204" i="5"/>
  <c r="AF175" i="10" s="1"/>
  <c r="AJ175" s="1"/>
  <c r="R206" i="5"/>
  <c r="AH177" i="10" s="1"/>
  <c r="AN177" s="1"/>
  <c r="P206" i="5"/>
  <c r="AF177" i="10" s="1"/>
  <c r="AJ177" s="1"/>
  <c r="R208" i="5"/>
  <c r="AH179" i="10" s="1"/>
  <c r="AN179" s="1"/>
  <c r="P208" i="5"/>
  <c r="AF179" i="10" s="1"/>
  <c r="AJ179" s="1"/>
  <c r="R210" i="5"/>
  <c r="AH181" i="10" s="1"/>
  <c r="AN181" s="1"/>
  <c r="P210" i="5"/>
  <c r="AF181" i="10" s="1"/>
  <c r="AJ181" s="1"/>
  <c r="R212" i="5"/>
  <c r="AH183" i="10" s="1"/>
  <c r="AN183" s="1"/>
  <c r="P212" i="5"/>
  <c r="AF183" i="10" s="1"/>
  <c r="AJ183" s="1"/>
  <c r="R214" i="5"/>
  <c r="AH185" i="10" s="1"/>
  <c r="AN185" s="1"/>
  <c r="P214" i="5"/>
  <c r="AF185" i="10" s="1"/>
  <c r="AJ185" s="1"/>
  <c r="R216" i="5"/>
  <c r="AH187" i="10" s="1"/>
  <c r="AN187" s="1"/>
  <c r="P216" i="5"/>
  <c r="AF187" i="10" s="1"/>
  <c r="AJ187" s="1"/>
  <c r="R218" i="5"/>
  <c r="AH189" i="10" s="1"/>
  <c r="AN189" s="1"/>
  <c r="P218" i="5"/>
  <c r="AF189" i="10" s="1"/>
  <c r="AJ189" s="1"/>
  <c r="R220" i="5"/>
  <c r="AH191" i="10" s="1"/>
  <c r="AN191" s="1"/>
  <c r="P220" i="5"/>
  <c r="AF191" i="10" s="1"/>
  <c r="AJ191" s="1"/>
  <c r="R222" i="5"/>
  <c r="AH193" i="10" s="1"/>
  <c r="AN193" s="1"/>
  <c r="P222" i="5"/>
  <c r="AF193" i="10" s="1"/>
  <c r="AJ193" s="1"/>
  <c r="R224" i="5"/>
  <c r="AH195" i="10" s="1"/>
  <c r="AN195" s="1"/>
  <c r="P224" i="5"/>
  <c r="AF195" i="10" s="1"/>
  <c r="AJ195" s="1"/>
  <c r="R226" i="5"/>
  <c r="AH197" i="10" s="1"/>
  <c r="AN197" s="1"/>
  <c r="P226" i="5"/>
  <c r="AF197" i="10" s="1"/>
  <c r="AJ197" s="1"/>
  <c r="R228" i="5"/>
  <c r="AH199" i="10"/>
  <c r="AN199"/>
  <c r="P228" i="5"/>
  <c r="AF199" i="10" s="1"/>
  <c r="AJ199" s="1"/>
  <c r="R230" i="5"/>
  <c r="AH201" i="10" s="1"/>
  <c r="AN201" s="1"/>
  <c r="P230" i="5"/>
  <c r="AF201" i="10"/>
  <c r="AJ201" s="1"/>
  <c r="R232" i="5"/>
  <c r="AH203" i="10" s="1"/>
  <c r="AN203" s="1"/>
  <c r="P232" i="5"/>
  <c r="AF203" i="10" s="1"/>
  <c r="AJ203" s="1"/>
  <c r="R234" i="5"/>
  <c r="AH205" i="10" s="1"/>
  <c r="AN205" s="1"/>
  <c r="P234" i="5"/>
  <c r="AF205" i="10"/>
  <c r="AJ205" s="1"/>
  <c r="R236" i="5"/>
  <c r="AH207" i="10" s="1"/>
  <c r="AN207" s="1"/>
  <c r="P236" i="5"/>
  <c r="AF207" i="10" s="1"/>
  <c r="AJ207" s="1"/>
  <c r="R238" i="5"/>
  <c r="AH209" i="10" s="1"/>
  <c r="AN209" s="1"/>
  <c r="P238" i="5"/>
  <c r="AF209" i="10"/>
  <c r="AJ209" s="1"/>
  <c r="R240" i="5"/>
  <c r="AH211" i="10" s="1"/>
  <c r="AN211" s="1"/>
  <c r="P240" i="5"/>
  <c r="AF211" i="10"/>
  <c r="AJ211" s="1"/>
  <c r="R242" i="5"/>
  <c r="AH213" i="10" s="1"/>
  <c r="AN213" s="1"/>
  <c r="P242" i="5"/>
  <c r="AF213" i="10"/>
  <c r="AJ213" s="1"/>
  <c r="R244" i="5"/>
  <c r="AH215" i="10" s="1"/>
  <c r="AN215" s="1"/>
  <c r="P244" i="5"/>
  <c r="AF215" i="10" s="1"/>
  <c r="AJ215" s="1"/>
  <c r="R246" i="5"/>
  <c r="AH217" i="10" s="1"/>
  <c r="AN217" s="1"/>
  <c r="P246" i="5"/>
  <c r="AF217" i="10" s="1"/>
  <c r="AJ217" s="1"/>
  <c r="R248" i="5"/>
  <c r="AH219" i="10" s="1"/>
  <c r="AN219" s="1"/>
  <c r="P248" i="5"/>
  <c r="AF219" i="10" s="1"/>
  <c r="AJ219" s="1"/>
  <c r="R250" i="5"/>
  <c r="AH221" i="10" s="1"/>
  <c r="AN221" s="1"/>
  <c r="P250" i="5"/>
  <c r="AF221" i="10" s="1"/>
  <c r="AJ221" s="1"/>
  <c r="R252" i="5"/>
  <c r="AH223" i="10" s="1"/>
  <c r="AN223" s="1"/>
  <c r="P252" i="5"/>
  <c r="AF223" i="10" s="1"/>
  <c r="AJ223" s="1"/>
  <c r="R254" i="5"/>
  <c r="AH225" i="10" s="1"/>
  <c r="AN225" s="1"/>
  <c r="P254" i="5"/>
  <c r="AF225" i="10" s="1"/>
  <c r="AJ225" s="1"/>
  <c r="R256" i="5"/>
  <c r="AH227" i="10" s="1"/>
  <c r="AN227" s="1"/>
  <c r="P256" i="5"/>
  <c r="AF227" i="10" s="1"/>
  <c r="AJ227" s="1"/>
  <c r="R258" i="5"/>
  <c r="AH229" i="10" s="1"/>
  <c r="AN229" s="1"/>
  <c r="P258" i="5"/>
  <c r="AF229" i="10" s="1"/>
  <c r="AJ229" s="1"/>
  <c r="R260" i="5"/>
  <c r="AH231" i="10" s="1"/>
  <c r="AN231" s="1"/>
  <c r="P260" i="5"/>
  <c r="AF231" i="10" s="1"/>
  <c r="AJ231" s="1"/>
  <c r="R262" i="5"/>
  <c r="AH233" i="10" s="1"/>
  <c r="AN233" s="1"/>
  <c r="P262" i="5"/>
  <c r="AF233" i="10" s="1"/>
  <c r="AJ233" s="1"/>
  <c r="R264" i="5"/>
  <c r="AH235" i="10" s="1"/>
  <c r="AN235" s="1"/>
  <c r="P264" i="5"/>
  <c r="AF235" i="10" s="1"/>
  <c r="AJ235" s="1"/>
  <c r="R266" i="5"/>
  <c r="AH237" i="10"/>
  <c r="AN237" s="1"/>
  <c r="P266" i="5"/>
  <c r="AF237" i="10" s="1"/>
  <c r="AJ237" s="1"/>
  <c r="R268" i="5"/>
  <c r="AH239" i="10" s="1"/>
  <c r="AN239" s="1"/>
  <c r="P268" i="5"/>
  <c r="AF239" i="10" s="1"/>
  <c r="AJ239" s="1"/>
  <c r="R270" i="5"/>
  <c r="AH241" i="10"/>
  <c r="AN241" s="1"/>
  <c r="P270" i="5"/>
  <c r="AF241" i="10" s="1"/>
  <c r="AJ241" s="1"/>
  <c r="R272" i="5"/>
  <c r="AH243" i="10" s="1"/>
  <c r="AN243" s="1"/>
  <c r="P272" i="5"/>
  <c r="AF243" i="10" s="1"/>
  <c r="AJ243" s="1"/>
  <c r="R274" i="5"/>
  <c r="AH245" i="10"/>
  <c r="AN245" s="1"/>
  <c r="P274" i="5"/>
  <c r="AF245" i="10" s="1"/>
  <c r="AJ245" s="1"/>
  <c r="R276" i="5"/>
  <c r="AH247" i="10" s="1"/>
  <c r="AN247" s="1"/>
  <c r="P276" i="5"/>
  <c r="AF247" i="10" s="1"/>
  <c r="AJ247" s="1"/>
  <c r="R278" i="5"/>
  <c r="AH249" i="10" s="1"/>
  <c r="AN249" s="1"/>
  <c r="P278" i="5"/>
  <c r="AF249" i="10" s="1"/>
  <c r="AJ249" s="1"/>
  <c r="R280" i="5"/>
  <c r="AH251" i="10" s="1"/>
  <c r="AN251" s="1"/>
  <c r="P280" i="5"/>
  <c r="AF251" i="10"/>
  <c r="AJ251" s="1"/>
  <c r="R282" i="5"/>
  <c r="AH253" i="10" s="1"/>
  <c r="AN253" s="1"/>
  <c r="P282" i="5"/>
  <c r="AF253" i="10" s="1"/>
  <c r="AJ253" s="1"/>
  <c r="R284" i="5"/>
  <c r="AH255" i="10" s="1"/>
  <c r="AN255" s="1"/>
  <c r="P284" i="5"/>
  <c r="AF255" i="10" s="1"/>
  <c r="AJ255" s="1"/>
  <c r="R286" i="5"/>
  <c r="AH257" i="10" s="1"/>
  <c r="AN257" s="1"/>
  <c r="P286" i="5"/>
  <c r="AF257" i="10" s="1"/>
  <c r="AJ257" s="1"/>
  <c r="R288" i="5"/>
  <c r="AH259" i="10" s="1"/>
  <c r="AN259" s="1"/>
  <c r="P288" i="5"/>
  <c r="AF259" i="10" s="1"/>
  <c r="AJ259" s="1"/>
  <c r="R290" i="5"/>
  <c r="AH261" i="10" s="1"/>
  <c r="AN261" s="1"/>
  <c r="P290" i="5"/>
  <c r="AF261" i="10" s="1"/>
  <c r="AJ261" s="1"/>
  <c r="R292" i="5"/>
  <c r="AH263" i="10"/>
  <c r="AN263" s="1"/>
  <c r="P292" i="5"/>
  <c r="AF263" i="10" s="1"/>
  <c r="AJ263" s="1"/>
  <c r="R294" i="5"/>
  <c r="AH265" i="10"/>
  <c r="AN265" s="1"/>
  <c r="P294" i="5"/>
  <c r="AF265" i="10" s="1"/>
  <c r="AJ265" s="1"/>
  <c r="R296" i="5"/>
  <c r="AH267" i="10"/>
  <c r="AN267" s="1"/>
  <c r="P296" i="5"/>
  <c r="AF267" i="10" s="1"/>
  <c r="AJ267" s="1"/>
  <c r="AX25" i="6"/>
  <c r="BC25"/>
  <c r="BD25" s="1"/>
  <c r="AX25" i="19"/>
  <c r="BC25"/>
  <c r="BD25" s="1"/>
  <c r="AX26" i="16"/>
  <c r="BC26"/>
  <c r="BD26" s="1"/>
  <c r="S36" i="5"/>
  <c r="AI7" i="10" s="1"/>
  <c r="AP7" s="1"/>
  <c r="Q36" i="5"/>
  <c r="AG7" i="10" s="1"/>
  <c r="AL7" s="1"/>
  <c r="S40" i="5"/>
  <c r="AI11" i="10"/>
  <c r="AP11" s="1"/>
  <c r="Q40" i="5"/>
  <c r="AG11" i="10" s="1"/>
  <c r="AL11" s="1"/>
  <c r="S42" i="5"/>
  <c r="AI13" i="10" s="1"/>
  <c r="AP13" s="1"/>
  <c r="Q42" i="5"/>
  <c r="AG13" i="10" s="1"/>
  <c r="AL13" s="1"/>
  <c r="S44" i="5"/>
  <c r="AI15" i="10"/>
  <c r="AP15" s="1"/>
  <c r="Q44" i="5"/>
  <c r="AG15" i="10" s="1"/>
  <c r="AL15" s="1"/>
  <c r="Q46" i="5"/>
  <c r="AG17" i="10"/>
  <c r="AL17" s="1"/>
  <c r="S46" i="5"/>
  <c r="AI17" i="10" s="1"/>
  <c r="AP17" s="1"/>
  <c r="S34" i="5"/>
  <c r="AI5" i="10"/>
  <c r="AP5" s="1"/>
  <c r="Q34" i="5"/>
  <c r="AG5" i="10" s="1"/>
  <c r="AL5" s="1"/>
  <c r="S37" i="5"/>
  <c r="AI8" i="10"/>
  <c r="AP8" s="1"/>
  <c r="Q37" i="5"/>
  <c r="AG8" i="10" s="1"/>
  <c r="AL8" s="1"/>
  <c r="S48" i="5"/>
  <c r="AI19" i="10"/>
  <c r="AP19" s="1"/>
  <c r="Q48" i="5"/>
  <c r="AG19" i="10" s="1"/>
  <c r="AL19" s="1"/>
  <c r="S50" i="5"/>
  <c r="AI21" i="10"/>
  <c r="AP21" s="1"/>
  <c r="Q50" i="5"/>
  <c r="AG21" i="10" s="1"/>
  <c r="AL21" s="1"/>
  <c r="S52" i="5"/>
  <c r="AI23" i="10"/>
  <c r="AP23" s="1"/>
  <c r="Q52" i="5"/>
  <c r="AG23" i="10" s="1"/>
  <c r="AL23" s="1"/>
  <c r="S54" i="5"/>
  <c r="AI25" i="10"/>
  <c r="AP25" s="1"/>
  <c r="Q54" i="5"/>
  <c r="AG25" i="10" s="1"/>
  <c r="AL25" s="1"/>
  <c r="S56" i="5"/>
  <c r="AI27" i="10"/>
  <c r="AP27" s="1"/>
  <c r="Q56" i="5"/>
  <c r="AG27" i="10" s="1"/>
  <c r="AL27" s="1"/>
  <c r="S58" i="5"/>
  <c r="AI29" i="10"/>
  <c r="AP29" s="1"/>
  <c r="Q58" i="5"/>
  <c r="AG29" i="10" s="1"/>
  <c r="AL29" s="1"/>
  <c r="S60" i="5"/>
  <c r="AI31" i="10"/>
  <c r="AP31" s="1"/>
  <c r="Q60" i="5"/>
  <c r="AG31" i="10" s="1"/>
  <c r="AL31" s="1"/>
  <c r="S62" i="5"/>
  <c r="AI33" i="10"/>
  <c r="AP33" s="1"/>
  <c r="Q62" i="5"/>
  <c r="AG33" i="10" s="1"/>
  <c r="AL33" s="1"/>
  <c r="S64" i="5"/>
  <c r="AI35" i="10"/>
  <c r="AP35" s="1"/>
  <c r="Q64" i="5"/>
  <c r="AG35" i="10" s="1"/>
  <c r="AL35" s="1"/>
  <c r="S66" i="5"/>
  <c r="AI37" i="10"/>
  <c r="AP37" s="1"/>
  <c r="Q66" i="5"/>
  <c r="AG37" i="10" s="1"/>
  <c r="AL37" s="1"/>
  <c r="S68" i="5"/>
  <c r="AI39" i="10"/>
  <c r="AP39" s="1"/>
  <c r="Q68" i="5"/>
  <c r="AG39" i="10" s="1"/>
  <c r="AL39" s="1"/>
  <c r="S70" i="5"/>
  <c r="AI41" i="10"/>
  <c r="AP41" s="1"/>
  <c r="Q70" i="5"/>
  <c r="AG41" i="10" s="1"/>
  <c r="AL41" s="1"/>
  <c r="S72" i="5"/>
  <c r="AI43" i="10"/>
  <c r="AP43" s="1"/>
  <c r="Q72" i="5"/>
  <c r="AG43" i="10" s="1"/>
  <c r="AL43" s="1"/>
  <c r="S74" i="5"/>
  <c r="AI45" i="10"/>
  <c r="AP45" s="1"/>
  <c r="Q74" i="5"/>
  <c r="AG45" i="10" s="1"/>
  <c r="AL45" s="1"/>
  <c r="S76" i="5"/>
  <c r="AI47" i="10"/>
  <c r="AP47" s="1"/>
  <c r="Q76" i="5"/>
  <c r="AG47" i="10" s="1"/>
  <c r="AL47" s="1"/>
  <c r="S78" i="5"/>
  <c r="AI49" i="10"/>
  <c r="AP49" s="1"/>
  <c r="Q78" i="5"/>
  <c r="AG49" i="10" s="1"/>
  <c r="AL49" s="1"/>
  <c r="S80" i="5"/>
  <c r="AI51" i="10"/>
  <c r="AP51" s="1"/>
  <c r="Q80" i="5"/>
  <c r="AG51" i="10" s="1"/>
  <c r="AL51" s="1"/>
  <c r="S82" i="5"/>
  <c r="AI53" i="10"/>
  <c r="AP53" s="1"/>
  <c r="Q82" i="5"/>
  <c r="AG53" i="10" s="1"/>
  <c r="AL53" s="1"/>
  <c r="S84" i="5"/>
  <c r="AI55" i="10"/>
  <c r="AP55" s="1"/>
  <c r="Q84" i="5"/>
  <c r="AG55" i="10" s="1"/>
  <c r="AL55" s="1"/>
  <c r="S86" i="5"/>
  <c r="AI57" i="10"/>
  <c r="AP57" s="1"/>
  <c r="Q86" i="5"/>
  <c r="AG57" i="10" s="1"/>
  <c r="AL57" s="1"/>
  <c r="S88" i="5"/>
  <c r="AI59" i="10"/>
  <c r="AP59" s="1"/>
  <c r="Q88" i="5"/>
  <c r="AG59" i="10" s="1"/>
  <c r="AL59" s="1"/>
  <c r="S90" i="5"/>
  <c r="AI61" i="10"/>
  <c r="AP61" s="1"/>
  <c r="Q90" i="5"/>
  <c r="AG61" i="10" s="1"/>
  <c r="AL61" s="1"/>
  <c r="S92" i="5"/>
  <c r="AI63" i="10"/>
  <c r="AP63" s="1"/>
  <c r="Q92" i="5"/>
  <c r="AG63" i="10" s="1"/>
  <c r="AL63" s="1"/>
  <c r="S94" i="5"/>
  <c r="AI65" i="10"/>
  <c r="AP65" s="1"/>
  <c r="Q94" i="5"/>
  <c r="AG65" i="10" s="1"/>
  <c r="AL65" s="1"/>
  <c r="S96" i="5"/>
  <c r="AI67" i="10"/>
  <c r="AP67" s="1"/>
  <c r="Q96" i="5"/>
  <c r="AG67" i="10" s="1"/>
  <c r="AL67" s="1"/>
  <c r="S98" i="5"/>
  <c r="AI69" i="10"/>
  <c r="AP69" s="1"/>
  <c r="Q98" i="5"/>
  <c r="AG69" i="10" s="1"/>
  <c r="AL69" s="1"/>
  <c r="S100" i="5"/>
  <c r="AI71" i="10"/>
  <c r="AP71" s="1"/>
  <c r="Q100" i="5"/>
  <c r="AG71" i="10" s="1"/>
  <c r="AL71" s="1"/>
  <c r="S102" i="5"/>
  <c r="AI73" i="10"/>
  <c r="AP73" s="1"/>
  <c r="Q102" i="5"/>
  <c r="AG73" i="10" s="1"/>
  <c r="AL73" s="1"/>
  <c r="S104" i="5"/>
  <c r="AI75" i="10"/>
  <c r="AP75" s="1"/>
  <c r="Q104" i="5"/>
  <c r="AG75" i="10" s="1"/>
  <c r="AL75" s="1"/>
  <c r="S106" i="5"/>
  <c r="AI77" i="10"/>
  <c r="AP77" s="1"/>
  <c r="Q106" i="5"/>
  <c r="AG77" i="10" s="1"/>
  <c r="AL77" s="1"/>
  <c r="S108" i="5"/>
  <c r="AI79" i="10"/>
  <c r="AP79" s="1"/>
  <c r="Q108" i="5"/>
  <c r="AG79" i="10" s="1"/>
  <c r="AL79" s="1"/>
  <c r="S110" i="5"/>
  <c r="AI81" i="10"/>
  <c r="AP81" s="1"/>
  <c r="Q110" i="5"/>
  <c r="AG81" i="10" s="1"/>
  <c r="AL81" s="1"/>
  <c r="S112" i="5"/>
  <c r="AI83" i="10"/>
  <c r="AP83" s="1"/>
  <c r="Q112" i="5"/>
  <c r="AG83" i="10" s="1"/>
  <c r="AL83" s="1"/>
  <c r="S114" i="5"/>
  <c r="AI85" i="10"/>
  <c r="AP85" s="1"/>
  <c r="Q114" i="5"/>
  <c r="AG85" i="10" s="1"/>
  <c r="AL85" s="1"/>
  <c r="S116" i="5"/>
  <c r="AI87" i="10"/>
  <c r="AP87" s="1"/>
  <c r="Q116" i="5"/>
  <c r="AG87" i="10" s="1"/>
  <c r="AL87" s="1"/>
  <c r="S118" i="5"/>
  <c r="AI89" i="10"/>
  <c r="AP89" s="1"/>
  <c r="Q118" i="5"/>
  <c r="AG89" i="10" s="1"/>
  <c r="AL89" s="1"/>
  <c r="S120" i="5"/>
  <c r="AI91" i="10"/>
  <c r="AP91" s="1"/>
  <c r="Q120" i="5"/>
  <c r="AG91" i="10" s="1"/>
  <c r="AL91" s="1"/>
  <c r="S122" i="5"/>
  <c r="AI93" i="10"/>
  <c r="AP93" s="1"/>
  <c r="Q122" i="5"/>
  <c r="AG93" i="10" s="1"/>
  <c r="AL93" s="1"/>
  <c r="S124" i="5"/>
  <c r="AI95" i="10"/>
  <c r="AP95" s="1"/>
  <c r="Q124" i="5"/>
  <c r="AG95" i="10" s="1"/>
  <c r="AL95" s="1"/>
  <c r="S126" i="5"/>
  <c r="AI97" i="10"/>
  <c r="AP97" s="1"/>
  <c r="Q126" i="5"/>
  <c r="AG97" i="10" s="1"/>
  <c r="AL97" s="1"/>
  <c r="S128" i="5"/>
  <c r="AI99" i="10"/>
  <c r="AP99" s="1"/>
  <c r="Q128" i="5"/>
  <c r="AG99" i="10" s="1"/>
  <c r="AL99" s="1"/>
  <c r="S130" i="5"/>
  <c r="AI101" i="10"/>
  <c r="AP101" s="1"/>
  <c r="Q130" i="5"/>
  <c r="AG101" i="10" s="1"/>
  <c r="AL101" s="1"/>
  <c r="S132" i="5"/>
  <c r="AI103" i="10"/>
  <c r="AP103" s="1"/>
  <c r="Q132" i="5"/>
  <c r="AG103" i="10" s="1"/>
  <c r="AL103" s="1"/>
  <c r="S134" i="5"/>
  <c r="AI105" i="10"/>
  <c r="AP105" s="1"/>
  <c r="Q134" i="5"/>
  <c r="AG105" i="10" s="1"/>
  <c r="AL105" s="1"/>
  <c r="S136" i="5"/>
  <c r="AI107" i="10"/>
  <c r="AP107" s="1"/>
  <c r="Q136" i="5"/>
  <c r="AG107" i="10" s="1"/>
  <c r="AL107" s="1"/>
  <c r="S138" i="5"/>
  <c r="AI109" i="10"/>
  <c r="AP109" s="1"/>
  <c r="Q138" i="5"/>
  <c r="AG109" i="10" s="1"/>
  <c r="AL109" s="1"/>
  <c r="S140" i="5"/>
  <c r="AI111" i="10"/>
  <c r="AP111" s="1"/>
  <c r="Q140" i="5"/>
  <c r="AG111" i="10" s="1"/>
  <c r="AL111" s="1"/>
  <c r="S142" i="5"/>
  <c r="AI113" i="10"/>
  <c r="AP113" s="1"/>
  <c r="Q142" i="5"/>
  <c r="AG113" i="10" s="1"/>
  <c r="AL113" s="1"/>
  <c r="S144" i="5"/>
  <c r="AI115" i="10"/>
  <c r="AP115" s="1"/>
  <c r="Q144" i="5"/>
  <c r="AG115" i="10" s="1"/>
  <c r="AL115" s="1"/>
  <c r="S146" i="5"/>
  <c r="AI117" i="10"/>
  <c r="AP117" s="1"/>
  <c r="Q146" i="5"/>
  <c r="AG117" i="10" s="1"/>
  <c r="AL117" s="1"/>
  <c r="S148" i="5"/>
  <c r="AI119" i="10"/>
  <c r="AP119" s="1"/>
  <c r="Q148" i="5"/>
  <c r="AG119" i="10" s="1"/>
  <c r="AL119" s="1"/>
  <c r="S150" i="5"/>
  <c r="AI121" i="10"/>
  <c r="AP121" s="1"/>
  <c r="Q150" i="5"/>
  <c r="AG121" i="10" s="1"/>
  <c r="AL121" s="1"/>
  <c r="S152" i="5"/>
  <c r="AI123" i="10"/>
  <c r="AP123" s="1"/>
  <c r="Q152" i="5"/>
  <c r="AG123" i="10" s="1"/>
  <c r="AL123" s="1"/>
  <c r="S154" i="5"/>
  <c r="AI125" i="10"/>
  <c r="AP125" s="1"/>
  <c r="Q154" i="5"/>
  <c r="AG125" i="10" s="1"/>
  <c r="AL125" s="1"/>
  <c r="S156" i="5"/>
  <c r="AI127" i="10"/>
  <c r="AP127" s="1"/>
  <c r="Q156" i="5"/>
  <c r="AG127" i="10" s="1"/>
  <c r="AL127" s="1"/>
  <c r="S158" i="5"/>
  <c r="AI129" i="10"/>
  <c r="AP129" s="1"/>
  <c r="Q158" i="5"/>
  <c r="AG129" i="10" s="1"/>
  <c r="AL129" s="1"/>
  <c r="S160" i="5"/>
  <c r="AI131" i="10"/>
  <c r="AP131" s="1"/>
  <c r="Q160" i="5"/>
  <c r="AG131" i="10" s="1"/>
  <c r="AL131" s="1"/>
  <c r="S162" i="5"/>
  <c r="AI133" i="10"/>
  <c r="AP133" s="1"/>
  <c r="Q162" i="5"/>
  <c r="AG133" i="10" s="1"/>
  <c r="AL133" s="1"/>
  <c r="S164" i="5"/>
  <c r="AI135" i="10"/>
  <c r="AP135" s="1"/>
  <c r="Q164" i="5"/>
  <c r="AG135" i="10" s="1"/>
  <c r="AL135" s="1"/>
  <c r="S166" i="5"/>
  <c r="AI137" i="10"/>
  <c r="AP137" s="1"/>
  <c r="Q166" i="5"/>
  <c r="AG137" i="10" s="1"/>
  <c r="AL137" s="1"/>
  <c r="S168" i="5"/>
  <c r="AI139" i="10"/>
  <c r="AP139" s="1"/>
  <c r="Q168" i="5"/>
  <c r="AG139" i="10" s="1"/>
  <c r="AL139" s="1"/>
  <c r="S170" i="5"/>
  <c r="AI141" i="10"/>
  <c r="AP141" s="1"/>
  <c r="Q170" i="5"/>
  <c r="AG141" i="10" s="1"/>
  <c r="AL141" s="1"/>
  <c r="S172" i="5"/>
  <c r="AI143" i="10"/>
  <c r="AP143" s="1"/>
  <c r="Q172" i="5"/>
  <c r="AG143" i="10" s="1"/>
  <c r="AL143" s="1"/>
  <c r="S174" i="5"/>
  <c r="AI145" i="10"/>
  <c r="AP145" s="1"/>
  <c r="Q174" i="5"/>
  <c r="AG145" i="10" s="1"/>
  <c r="AL145" s="1"/>
  <c r="S176" i="5"/>
  <c r="AI147" i="10"/>
  <c r="AP147" s="1"/>
  <c r="Q176" i="5"/>
  <c r="AG147" i="10" s="1"/>
  <c r="AL147" s="1"/>
  <c r="S178" i="5"/>
  <c r="AI149" i="10"/>
  <c r="AP149" s="1"/>
  <c r="Q178" i="5"/>
  <c r="AG149" i="10" s="1"/>
  <c r="AL149" s="1"/>
  <c r="S180" i="5"/>
  <c r="AI151" i="10"/>
  <c r="AP151" s="1"/>
  <c r="Q180" i="5"/>
  <c r="AG151" i="10" s="1"/>
  <c r="AL151" s="1"/>
  <c r="S182" i="5"/>
  <c r="AI153" i="10"/>
  <c r="AP153" s="1"/>
  <c r="Q182" i="5"/>
  <c r="AG153" i="10" s="1"/>
  <c r="AL153" s="1"/>
  <c r="S184" i="5"/>
  <c r="AI155" i="10"/>
  <c r="AP155" s="1"/>
  <c r="Q184" i="5"/>
  <c r="AG155" i="10" s="1"/>
  <c r="AL155" s="1"/>
  <c r="S186" i="5"/>
  <c r="AI157" i="10"/>
  <c r="AP157" s="1"/>
  <c r="Q186" i="5"/>
  <c r="AG157" i="10" s="1"/>
  <c r="AL157" s="1"/>
  <c r="S188" i="5"/>
  <c r="AI159" i="10"/>
  <c r="AP159" s="1"/>
  <c r="Q188" i="5"/>
  <c r="AG159" i="10" s="1"/>
  <c r="AL159" s="1"/>
  <c r="S190" i="5"/>
  <c r="AI161" i="10"/>
  <c r="AP161" s="1"/>
  <c r="Q190" i="5"/>
  <c r="AG161" i="10" s="1"/>
  <c r="AL161" s="1"/>
  <c r="S192" i="5"/>
  <c r="AI163" i="10"/>
  <c r="AP163" s="1"/>
  <c r="Q192" i="5"/>
  <c r="AG163" i="10" s="1"/>
  <c r="AL163" s="1"/>
  <c r="S194" i="5"/>
  <c r="AI165" i="10"/>
  <c r="AP165" s="1"/>
  <c r="Q194" i="5"/>
  <c r="AG165" i="10" s="1"/>
  <c r="AL165" s="1"/>
  <c r="S196" i="5"/>
  <c r="AI167" i="10"/>
  <c r="AP167" s="1"/>
  <c r="Q196" i="5"/>
  <c r="AG167" i="10" s="1"/>
  <c r="AL167" s="1"/>
  <c r="S198" i="5"/>
  <c r="AI169" i="10"/>
  <c r="AP169" s="1"/>
  <c r="Q198" i="5"/>
  <c r="AG169" i="10" s="1"/>
  <c r="AL169" s="1"/>
  <c r="S200" i="5"/>
  <c r="AI171" i="10"/>
  <c r="AP171" s="1"/>
  <c r="Q200" i="5"/>
  <c r="AG171" i="10" s="1"/>
  <c r="AL171" s="1"/>
  <c r="S202" i="5"/>
  <c r="AI173" i="10"/>
  <c r="AP173" s="1"/>
  <c r="Q202" i="5"/>
  <c r="AG173" i="10" s="1"/>
  <c r="AL173" s="1"/>
  <c r="S204" i="5"/>
  <c r="AI175" i="10"/>
  <c r="AP175" s="1"/>
  <c r="Q204" i="5"/>
  <c r="AG175" i="10" s="1"/>
  <c r="AL175" s="1"/>
  <c r="S206" i="5"/>
  <c r="AI177" i="10"/>
  <c r="AP177" s="1"/>
  <c r="Q206" i="5"/>
  <c r="AG177" i="10" s="1"/>
  <c r="AL177" s="1"/>
  <c r="S208" i="5"/>
  <c r="AI179" i="10"/>
  <c r="AP179" s="1"/>
  <c r="Q208" i="5"/>
  <c r="AG179" i="10" s="1"/>
  <c r="AL179" s="1"/>
  <c r="S210" i="5"/>
  <c r="AI181" i="10"/>
  <c r="AP181" s="1"/>
  <c r="Q210" i="5"/>
  <c r="AG181" i="10" s="1"/>
  <c r="AL181" s="1"/>
  <c r="S212" i="5"/>
  <c r="AI183" i="10"/>
  <c r="AP183" s="1"/>
  <c r="Q212" i="5"/>
  <c r="AG183" i="10" s="1"/>
  <c r="AL183" s="1"/>
  <c r="S214" i="5"/>
  <c r="AI185" i="10"/>
  <c r="AP185" s="1"/>
  <c r="Q214" i="5"/>
  <c r="AG185" i="10" s="1"/>
  <c r="AL185" s="1"/>
  <c r="S216" i="5"/>
  <c r="AI187" i="10"/>
  <c r="AP187" s="1"/>
  <c r="Q216" i="5"/>
  <c r="AG187" i="10" s="1"/>
  <c r="AL187" s="1"/>
  <c r="S218" i="5"/>
  <c r="AI189" i="10"/>
  <c r="AP189" s="1"/>
  <c r="Q218" i="5"/>
  <c r="AG189" i="10" s="1"/>
  <c r="AL189" s="1"/>
  <c r="S220" i="5"/>
  <c r="AI191" i="10"/>
  <c r="AP191" s="1"/>
  <c r="Q220" i="5"/>
  <c r="AG191" i="10" s="1"/>
  <c r="AL191" s="1"/>
  <c r="S222" i="5"/>
  <c r="AI193" i="10"/>
  <c r="AP193" s="1"/>
  <c r="Q222" i="5"/>
  <c r="AG193" i="10" s="1"/>
  <c r="AL193" s="1"/>
  <c r="S224" i="5"/>
  <c r="AI195" i="10"/>
  <c r="AP195" s="1"/>
  <c r="Q224" i="5"/>
  <c r="AG195" i="10" s="1"/>
  <c r="AL195" s="1"/>
  <c r="S226" i="5"/>
  <c r="AI197" i="10"/>
  <c r="AP197" s="1"/>
  <c r="Q226" i="5"/>
  <c r="AG197" i="10" s="1"/>
  <c r="AL197" s="1"/>
  <c r="S228" i="5"/>
  <c r="AI199" i="10"/>
  <c r="AP199" s="1"/>
  <c r="Q228" i="5"/>
  <c r="AG199" i="10" s="1"/>
  <c r="AL199" s="1"/>
  <c r="S230" i="5"/>
  <c r="AI201" i="10"/>
  <c r="AP201" s="1"/>
  <c r="Q230" i="5"/>
  <c r="AG201" i="10" s="1"/>
  <c r="AL201" s="1"/>
  <c r="S232" i="5"/>
  <c r="AI203" i="10"/>
  <c r="AP203" s="1"/>
  <c r="Q232" i="5"/>
  <c r="AG203" i="10" s="1"/>
  <c r="AL203" s="1"/>
  <c r="S234" i="5"/>
  <c r="AI205" i="10"/>
  <c r="AP205" s="1"/>
  <c r="Q234" i="5"/>
  <c r="AG205" i="10" s="1"/>
  <c r="AL205" s="1"/>
  <c r="S236" i="5"/>
  <c r="AI207" i="10"/>
  <c r="AP207" s="1"/>
  <c r="Q236" i="5"/>
  <c r="AG207" i="10" s="1"/>
  <c r="AL207" s="1"/>
  <c r="S238" i="5"/>
  <c r="AI209" i="10"/>
  <c r="AP209" s="1"/>
  <c r="Q238" i="5"/>
  <c r="AG209" i="10" s="1"/>
  <c r="AL209" s="1"/>
  <c r="S240" i="5"/>
  <c r="AI211" i="10"/>
  <c r="AP211" s="1"/>
  <c r="Q240" i="5"/>
  <c r="AG211" i="10" s="1"/>
  <c r="AL211" s="1"/>
  <c r="S242" i="5"/>
  <c r="AI213" i="10"/>
  <c r="AP213" s="1"/>
  <c r="Q242" i="5"/>
  <c r="AG213" i="10" s="1"/>
  <c r="AL213" s="1"/>
  <c r="S244" i="5"/>
  <c r="AI215" i="10"/>
  <c r="AP215" s="1"/>
  <c r="Q244" i="5"/>
  <c r="AG215" i="10" s="1"/>
  <c r="AL215" s="1"/>
  <c r="S246" i="5"/>
  <c r="AI217" i="10"/>
  <c r="AP217" s="1"/>
  <c r="Q246" i="5"/>
  <c r="AG217" i="10" s="1"/>
  <c r="AL217" s="1"/>
  <c r="S248" i="5"/>
  <c r="AI219" i="10"/>
  <c r="AP219" s="1"/>
  <c r="Q248" i="5"/>
  <c r="AG219" i="10" s="1"/>
  <c r="AL219" s="1"/>
  <c r="S250" i="5"/>
  <c r="AI221" i="10"/>
  <c r="AP221" s="1"/>
  <c r="Q250" i="5"/>
  <c r="AG221" i="10" s="1"/>
  <c r="AL221" s="1"/>
  <c r="S252" i="5"/>
  <c r="AI223" i="10"/>
  <c r="AP223" s="1"/>
  <c r="Q252" i="5"/>
  <c r="AG223" i="10" s="1"/>
  <c r="AL223" s="1"/>
  <c r="S254" i="5"/>
  <c r="AI225" i="10"/>
  <c r="AP225" s="1"/>
  <c r="Q254" i="5"/>
  <c r="AG225" i="10" s="1"/>
  <c r="AL225" s="1"/>
  <c r="S256" i="5"/>
  <c r="AI227" i="10"/>
  <c r="AP227" s="1"/>
  <c r="Q256" i="5"/>
  <c r="AG227" i="10" s="1"/>
  <c r="AL227" s="1"/>
  <c r="S258" i="5"/>
  <c r="AI229" i="10"/>
  <c r="AP229" s="1"/>
  <c r="Q258" i="5"/>
  <c r="AG229" i="10" s="1"/>
  <c r="AL229" s="1"/>
  <c r="S260" i="5"/>
  <c r="AI231" i="10"/>
  <c r="AP231" s="1"/>
  <c r="Q260" i="5"/>
  <c r="AG231" i="10" s="1"/>
  <c r="AL231" s="1"/>
  <c r="S262" i="5"/>
  <c r="AI233" i="10"/>
  <c r="AP233" s="1"/>
  <c r="Q262" i="5"/>
  <c r="AG233" i="10" s="1"/>
  <c r="AL233" s="1"/>
  <c r="S264" i="5"/>
  <c r="AI235" i="10"/>
  <c r="AP235" s="1"/>
  <c r="Q264" i="5"/>
  <c r="AG235" i="10" s="1"/>
  <c r="AL235" s="1"/>
  <c r="S266" i="5"/>
  <c r="AI237" i="10"/>
  <c r="AP237" s="1"/>
  <c r="Q266" i="5"/>
  <c r="AG237" i="10" s="1"/>
  <c r="AL237" s="1"/>
  <c r="S268" i="5"/>
  <c r="AI239" i="10"/>
  <c r="AP239" s="1"/>
  <c r="Q268" i="5"/>
  <c r="AG239" i="10" s="1"/>
  <c r="AL239" s="1"/>
  <c r="S270" i="5"/>
  <c r="AI241" i="10"/>
  <c r="AP241" s="1"/>
  <c r="Q270" i="5"/>
  <c r="AG241" i="10" s="1"/>
  <c r="AL241" s="1"/>
  <c r="S272" i="5"/>
  <c r="AI243" i="10"/>
  <c r="AP243" s="1"/>
  <c r="Q272" i="5"/>
  <c r="AG243" i="10" s="1"/>
  <c r="AL243" s="1"/>
  <c r="S274" i="5"/>
  <c r="AI245" i="10"/>
  <c r="AP245" s="1"/>
  <c r="Q274" i="5"/>
  <c r="AG245" i="10" s="1"/>
  <c r="AL245" s="1"/>
  <c r="S276" i="5"/>
  <c r="AI247" i="10"/>
  <c r="AP247" s="1"/>
  <c r="Q276" i="5"/>
  <c r="AG247" i="10" s="1"/>
  <c r="AL247" s="1"/>
  <c r="S278" i="5"/>
  <c r="AI249" i="10"/>
  <c r="AP249" s="1"/>
  <c r="Q278" i="5"/>
  <c r="AG249" i="10" s="1"/>
  <c r="AL249" s="1"/>
  <c r="S280" i="5"/>
  <c r="AI251" i="10"/>
  <c r="AP251" s="1"/>
  <c r="Q280" i="5"/>
  <c r="AG251" i="10" s="1"/>
  <c r="AL251" s="1"/>
  <c r="S282" i="5"/>
  <c r="AI253" i="10"/>
  <c r="AP253" s="1"/>
  <c r="Q282" i="5"/>
  <c r="AG253" i="10" s="1"/>
  <c r="AL253" s="1"/>
  <c r="S284" i="5"/>
  <c r="AI255" i="10"/>
  <c r="AP255" s="1"/>
  <c r="Q284" i="5"/>
  <c r="AG255" i="10" s="1"/>
  <c r="AL255" s="1"/>
  <c r="S286" i="5"/>
  <c r="AI257" i="10"/>
  <c r="AP257" s="1"/>
  <c r="Q286" i="5"/>
  <c r="AG257" i="10" s="1"/>
  <c r="AL257" s="1"/>
  <c r="S288" i="5"/>
  <c r="AI259" i="10"/>
  <c r="AP259" s="1"/>
  <c r="Q288" i="5"/>
  <c r="AG259" i="10" s="1"/>
  <c r="AL259" s="1"/>
  <c r="S290" i="5"/>
  <c r="AI261" i="10"/>
  <c r="AP261" s="1"/>
  <c r="Q290" i="5"/>
  <c r="AG261" i="10" s="1"/>
  <c r="AL261" s="1"/>
  <c r="S292" i="5"/>
  <c r="AI263" i="10"/>
  <c r="AP263" s="1"/>
  <c r="Q292" i="5"/>
  <c r="AG263" i="10" s="1"/>
  <c r="AL263" s="1"/>
  <c r="S294" i="5"/>
  <c r="AI265" i="10"/>
  <c r="AP265" s="1"/>
  <c r="Q294" i="5"/>
  <c r="AG265" i="10" s="1"/>
  <c r="AL265" s="1"/>
  <c r="S296" i="5"/>
  <c r="AI267" i="10"/>
  <c r="AP267" s="1"/>
  <c r="Q296" i="5"/>
  <c r="AG267" i="10" s="1"/>
  <c r="AL267" s="1"/>
  <c r="AZ21" i="16"/>
  <c r="AK29" i="6"/>
  <c r="AP29" s="1"/>
  <c r="AK29" i="19"/>
  <c r="AP29" s="1"/>
  <c r="AQ29" s="1"/>
  <c r="AK30" i="16"/>
  <c r="AM35" i="6"/>
  <c r="AT35" s="1"/>
  <c r="AM35" i="19"/>
  <c r="AT35" s="1"/>
  <c r="AU35" s="1"/>
  <c r="AM36" i="16"/>
  <c r="AM21" i="6"/>
  <c r="AT21" s="1"/>
  <c r="AM22" i="16"/>
  <c r="AM21" i="19"/>
  <c r="AT21"/>
  <c r="AU21" s="1"/>
  <c r="AM7" i="6"/>
  <c r="AT7" s="1"/>
  <c r="AM8" i="16"/>
  <c r="AM7" i="19"/>
  <c r="AT7"/>
  <c r="AU7" s="1"/>
  <c r="AM25" i="6"/>
  <c r="AT25" s="1"/>
  <c r="AM25" i="19"/>
  <c r="AT25" s="1"/>
  <c r="AU25" s="1"/>
  <c r="AM26" i="16"/>
  <c r="AT26"/>
  <c r="BT26" s="1"/>
  <c r="AM23" i="6"/>
  <c r="AT23"/>
  <c r="AM23" i="19"/>
  <c r="AT23"/>
  <c r="AU23" s="1"/>
  <c r="AM24" i="16"/>
  <c r="AM15" i="6"/>
  <c r="AT15"/>
  <c r="AM16" i="16"/>
  <c r="AM15" i="19"/>
  <c r="AT15" s="1"/>
  <c r="AU15" s="1"/>
  <c r="AM9" i="6"/>
  <c r="AT9"/>
  <c r="AM10" i="16"/>
  <c r="AT10"/>
  <c r="AM9" i="19"/>
  <c r="AT9"/>
  <c r="AU9" s="1"/>
  <c r="AZ14" i="6"/>
  <c r="BG14" s="1"/>
  <c r="BH14" s="1"/>
  <c r="AZ14" i="19"/>
  <c r="BG14"/>
  <c r="BH14" s="1"/>
  <c r="AZ10" i="6"/>
  <c r="BG10" s="1"/>
  <c r="BH10" s="1"/>
  <c r="AZ11" i="16"/>
  <c r="AZ10" i="19"/>
  <c r="BG10" s="1"/>
  <c r="BH10" s="1"/>
  <c r="AW20" i="6"/>
  <c r="BA20" s="1"/>
  <c r="BB20" s="1"/>
  <c r="AW20" i="19"/>
  <c r="BA20"/>
  <c r="BB20" s="1"/>
  <c r="AW21" i="16"/>
  <c r="AW31" i="6"/>
  <c r="BA31"/>
  <c r="BB31" s="1"/>
  <c r="AW31" i="19"/>
  <c r="BA31" s="1"/>
  <c r="BB31" s="1"/>
  <c r="AW32" i="16"/>
  <c r="AW7" i="6"/>
  <c r="BA7" s="1"/>
  <c r="BB7" s="1"/>
  <c r="AW7" i="19"/>
  <c r="BA7"/>
  <c r="BB7" s="1"/>
  <c r="AW8" i="16"/>
  <c r="AX29" i="6"/>
  <c r="BC29"/>
  <c r="BD29" s="1"/>
  <c r="AX29" i="19"/>
  <c r="BC29" s="1"/>
  <c r="BD29" s="1"/>
  <c r="AX30" i="16"/>
  <c r="AX21" i="6"/>
  <c r="BC21" s="1"/>
  <c r="BD21" s="1"/>
  <c r="AX22" i="16"/>
  <c r="AX21" i="19"/>
  <c r="BC21" s="1"/>
  <c r="BD21" s="1"/>
  <c r="AX13" i="6"/>
  <c r="BC13"/>
  <c r="BD13" s="1"/>
  <c r="AX13" i="19"/>
  <c r="BC13" s="1"/>
  <c r="BD13" s="1"/>
  <c r="AX14" i="16"/>
  <c r="AX5" i="6"/>
  <c r="BC5" s="1"/>
  <c r="BD5" s="1"/>
  <c r="AX5" i="19"/>
  <c r="BC5"/>
  <c r="BD5" s="1"/>
  <c r="AX6" i="16"/>
  <c r="AW30" i="6"/>
  <c r="BA30"/>
  <c r="BB30" s="1"/>
  <c r="AW30" i="19"/>
  <c r="BA30" s="1"/>
  <c r="BB30" s="1"/>
  <c r="AW31" i="16"/>
  <c r="BA31"/>
  <c r="BB31" s="1"/>
  <c r="AW33" i="6"/>
  <c r="BA33"/>
  <c r="BB33" s="1"/>
  <c r="AW33" i="19"/>
  <c r="BA33" s="1"/>
  <c r="BB33" s="1"/>
  <c r="AW34" i="16"/>
  <c r="AW35" i="6"/>
  <c r="BA35" s="1"/>
  <c r="BB35" s="1"/>
  <c r="AW35" i="19"/>
  <c r="BA35"/>
  <c r="BB35" s="1"/>
  <c r="AW36" i="16"/>
  <c r="AW27" i="6"/>
  <c r="BA27"/>
  <c r="BB27" s="1"/>
  <c r="AW27" i="19"/>
  <c r="BA27" s="1"/>
  <c r="BB27" s="1"/>
  <c r="AW28" i="16"/>
  <c r="AW19" i="6"/>
  <c r="BA19" s="1"/>
  <c r="BB19" s="1"/>
  <c r="AW19" i="19"/>
  <c r="BA19"/>
  <c r="BB19" s="1"/>
  <c r="AW20" i="16"/>
  <c r="AW11" i="6"/>
  <c r="BA11"/>
  <c r="BB11" s="1"/>
  <c r="AW11" i="19"/>
  <c r="BA11" s="1"/>
  <c r="BB11" s="1"/>
  <c r="AW12" i="16"/>
  <c r="AW28" i="6"/>
  <c r="BA28" s="1"/>
  <c r="BB28" s="1"/>
  <c r="AW28" i="19"/>
  <c r="BA28"/>
  <c r="BB28" s="1"/>
  <c r="AW29" i="16"/>
  <c r="AX19" i="6"/>
  <c r="BC19"/>
  <c r="BD19" s="1"/>
  <c r="AX20" i="16"/>
  <c r="AX19" i="19"/>
  <c r="BC19"/>
  <c r="BD19" s="1"/>
  <c r="AX28" i="6"/>
  <c r="BC28" s="1"/>
  <c r="BD28" s="1"/>
  <c r="AX28" i="19"/>
  <c r="BC28"/>
  <c r="BD28" s="1"/>
  <c r="AX29" i="16"/>
  <c r="AW34" i="6"/>
  <c r="BA34"/>
  <c r="BB34" s="1"/>
  <c r="AW34" i="19"/>
  <c r="BA34" s="1"/>
  <c r="BB34" s="1"/>
  <c r="AW35" i="16"/>
  <c r="AX30" i="6"/>
  <c r="BC30" s="1"/>
  <c r="BD30" s="1"/>
  <c r="AX30" i="19"/>
  <c r="BC30"/>
  <c r="BD30" s="1"/>
  <c r="AX31" i="16"/>
  <c r="BC31" s="1"/>
  <c r="BD31" s="1"/>
  <c r="AX31" i="6"/>
  <c r="BC31" s="1"/>
  <c r="BD31" s="1"/>
  <c r="AX31" i="19"/>
  <c r="BC31"/>
  <c r="BD31" s="1"/>
  <c r="AX32" i="16"/>
  <c r="AX27" i="6"/>
  <c r="BC27"/>
  <c r="BD27" s="1"/>
  <c r="AX27" i="19"/>
  <c r="BC27" s="1"/>
  <c r="BD27" s="1"/>
  <c r="AX28" i="16"/>
  <c r="AX12" i="6"/>
  <c r="BC12" s="1"/>
  <c r="BD12" s="1"/>
  <c r="AX12" i="19"/>
  <c r="BC12"/>
  <c r="BD12" s="1"/>
  <c r="AX13" i="16"/>
  <c r="AX22" i="6"/>
  <c r="BC22"/>
  <c r="BD22" s="1"/>
  <c r="AX22" i="19"/>
  <c r="BC22" s="1"/>
  <c r="BD22" s="1"/>
  <c r="AX23" i="16"/>
  <c r="P33" i="5"/>
  <c r="AF4" i="10" s="1"/>
  <c r="AJ4" s="1"/>
  <c r="R33" i="5"/>
  <c r="AH4" i="10"/>
  <c r="AN4" s="1"/>
  <c r="P35" i="5"/>
  <c r="AF6" i="10" s="1"/>
  <c r="AJ6" s="1"/>
  <c r="R35" i="5"/>
  <c r="AH6" i="10"/>
  <c r="AN6" s="1"/>
  <c r="R37" i="5"/>
  <c r="AH8" i="10" s="1"/>
  <c r="AN8" s="1"/>
  <c r="P37" i="5"/>
  <c r="AF8" i="10"/>
  <c r="AJ8" s="1"/>
  <c r="P39" i="5"/>
  <c r="AF10" i="10" s="1"/>
  <c r="AJ10" s="1"/>
  <c r="R39" i="5"/>
  <c r="AH10" i="10"/>
  <c r="AN10" s="1"/>
  <c r="R41" i="5"/>
  <c r="AH12" i="10" s="1"/>
  <c r="AN12" s="1"/>
  <c r="P41" i="5"/>
  <c r="AF12" i="10"/>
  <c r="AJ12" s="1"/>
  <c r="P43" i="5"/>
  <c r="AF14" i="10" s="1"/>
  <c r="AJ14" s="1"/>
  <c r="CQ14" s="1"/>
  <c r="R43" i="5"/>
  <c r="AH14" i="10"/>
  <c r="AN14" s="1"/>
  <c r="R45" i="5"/>
  <c r="AH16" i="10" s="1"/>
  <c r="AN16" s="1"/>
  <c r="P45" i="5"/>
  <c r="AF16" i="10"/>
  <c r="AJ16" s="1"/>
  <c r="P47" i="5"/>
  <c r="AF18" i="10" s="1"/>
  <c r="AJ18" s="1"/>
  <c r="AK18" s="1"/>
  <c r="R47" i="5"/>
  <c r="AH18" i="10"/>
  <c r="AN18" s="1"/>
  <c r="R49" i="5"/>
  <c r="AH20" i="10" s="1"/>
  <c r="AN20" s="1"/>
  <c r="P49" i="5"/>
  <c r="AF20" i="10"/>
  <c r="AJ20" s="1"/>
  <c r="P51" i="5"/>
  <c r="AF22" i="10" s="1"/>
  <c r="AJ22" s="1"/>
  <c r="R51" i="5"/>
  <c r="AH22" i="10"/>
  <c r="AN22" s="1"/>
  <c r="R53" i="5"/>
  <c r="AH24" i="10" s="1"/>
  <c r="AN24" s="1"/>
  <c r="P53" i="5"/>
  <c r="AF24" i="10"/>
  <c r="AJ24" s="1"/>
  <c r="P55" i="5"/>
  <c r="AF26" i="10" s="1"/>
  <c r="AJ26" s="1"/>
  <c r="R55" i="5"/>
  <c r="AH26" i="10"/>
  <c r="AN26" s="1"/>
  <c r="R57" i="5"/>
  <c r="AH28" i="10" s="1"/>
  <c r="AN28" s="1"/>
  <c r="P57" i="5"/>
  <c r="AF28" i="10"/>
  <c r="AJ28" s="1"/>
  <c r="P59" i="5"/>
  <c r="AF30" i="10" s="1"/>
  <c r="AJ30" s="1"/>
  <c r="CQ30" s="1"/>
  <c r="R59" i="5"/>
  <c r="AH30" i="10"/>
  <c r="AN30" s="1"/>
  <c r="R61" i="5"/>
  <c r="AH32" i="10" s="1"/>
  <c r="AN32" s="1"/>
  <c r="P61" i="5"/>
  <c r="AF32" i="10"/>
  <c r="AJ32" s="1"/>
  <c r="P63" i="5"/>
  <c r="AF34" i="10" s="1"/>
  <c r="AJ34" s="1"/>
  <c r="AK34" s="1"/>
  <c r="R63" i="5"/>
  <c r="AH34" i="10"/>
  <c r="AN34" s="1"/>
  <c r="R65" i="5"/>
  <c r="AH36" i="10" s="1"/>
  <c r="AN36" s="1"/>
  <c r="P65" i="5"/>
  <c r="AF36" i="10"/>
  <c r="AJ36" s="1"/>
  <c r="P67" i="5"/>
  <c r="AF38" i="10" s="1"/>
  <c r="AJ38" s="1"/>
  <c r="R67" i="5"/>
  <c r="AH38" i="10"/>
  <c r="AN38" s="1"/>
  <c r="R69" i="5"/>
  <c r="AH40" i="10" s="1"/>
  <c r="AN40" s="1"/>
  <c r="P69" i="5"/>
  <c r="AF40" i="10"/>
  <c r="AJ40" s="1"/>
  <c r="P71" i="5"/>
  <c r="AF42" i="10" s="1"/>
  <c r="AJ42" s="1"/>
  <c r="R71" i="5"/>
  <c r="AH42" i="10"/>
  <c r="AN42" s="1"/>
  <c r="R73" i="5"/>
  <c r="AH44" i="10" s="1"/>
  <c r="AN44" s="1"/>
  <c r="P73" i="5"/>
  <c r="AF44" i="10"/>
  <c r="AJ44" s="1"/>
  <c r="P75" i="5"/>
  <c r="AF46" i="10" s="1"/>
  <c r="AJ46" s="1"/>
  <c r="CQ46" s="1"/>
  <c r="R75" i="5"/>
  <c r="AH46" i="10"/>
  <c r="AN46" s="1"/>
  <c r="R77" i="5"/>
  <c r="AH48" i="10" s="1"/>
  <c r="AN48" s="1"/>
  <c r="P77" i="5"/>
  <c r="AF48" i="10"/>
  <c r="AJ48" s="1"/>
  <c r="P79" i="5"/>
  <c r="AF50" i="10" s="1"/>
  <c r="AJ50" s="1"/>
  <c r="AK50" s="1"/>
  <c r="R79" i="5"/>
  <c r="AH50" i="10"/>
  <c r="AN50" s="1"/>
  <c r="R81" i="5"/>
  <c r="AH52" i="10" s="1"/>
  <c r="AN52" s="1"/>
  <c r="P81" i="5"/>
  <c r="AF52" i="10"/>
  <c r="AJ52" s="1"/>
  <c r="P83" i="5"/>
  <c r="AF54" i="10" s="1"/>
  <c r="AJ54" s="1"/>
  <c r="R83" i="5"/>
  <c r="AH54" i="10"/>
  <c r="AN54" s="1"/>
  <c r="R85" i="5"/>
  <c r="AH56" i="10" s="1"/>
  <c r="AN56" s="1"/>
  <c r="P85" i="5"/>
  <c r="AF56" i="10"/>
  <c r="AJ56" s="1"/>
  <c r="P87" i="5"/>
  <c r="AF58" i="10" s="1"/>
  <c r="AJ58" s="1"/>
  <c r="R87" i="5"/>
  <c r="AH58" i="10"/>
  <c r="AN58" s="1"/>
  <c r="R89" i="5"/>
  <c r="AH60" i="10" s="1"/>
  <c r="AN60" s="1"/>
  <c r="P89" i="5"/>
  <c r="AF60" i="10"/>
  <c r="AJ60" s="1"/>
  <c r="P91" i="5"/>
  <c r="AF62" i="10" s="1"/>
  <c r="AJ62" s="1"/>
  <c r="CQ62" s="1"/>
  <c r="R91" i="5"/>
  <c r="AH62" i="10"/>
  <c r="AN62" s="1"/>
  <c r="R93" i="5"/>
  <c r="AH64" i="10" s="1"/>
  <c r="AN64" s="1"/>
  <c r="P93" i="5"/>
  <c r="AF64" i="10"/>
  <c r="AJ64" s="1"/>
  <c r="P95" i="5"/>
  <c r="AF66" i="10" s="1"/>
  <c r="AJ66" s="1"/>
  <c r="AK66" s="1"/>
  <c r="R95" i="5"/>
  <c r="AH66" i="10"/>
  <c r="AN66" s="1"/>
  <c r="R97" i="5"/>
  <c r="AH68" i="10" s="1"/>
  <c r="AN68" s="1"/>
  <c r="P97" i="5"/>
  <c r="AF68" i="10"/>
  <c r="AJ68" s="1"/>
  <c r="P99" i="5"/>
  <c r="AF70" i="10" s="1"/>
  <c r="AJ70" s="1"/>
  <c r="R99" i="5"/>
  <c r="AH70" i="10"/>
  <c r="AN70" s="1"/>
  <c r="R101" i="5"/>
  <c r="AH72" i="10" s="1"/>
  <c r="AN72" s="1"/>
  <c r="P101" i="5"/>
  <c r="AF72" i="10"/>
  <c r="AJ72" s="1"/>
  <c r="P103" i="5"/>
  <c r="AF74" i="10" s="1"/>
  <c r="AJ74" s="1"/>
  <c r="R103" i="5"/>
  <c r="AH74" i="10"/>
  <c r="AN74" s="1"/>
  <c r="R105" i="5"/>
  <c r="AH76" i="10" s="1"/>
  <c r="AN76" s="1"/>
  <c r="P105" i="5"/>
  <c r="AF76" i="10"/>
  <c r="AJ76" s="1"/>
  <c r="P107" i="5"/>
  <c r="AF78" i="10" s="1"/>
  <c r="AJ78" s="1"/>
  <c r="CQ78" s="1"/>
  <c r="R107" i="5"/>
  <c r="AH78" i="10"/>
  <c r="AN78" s="1"/>
  <c r="R109" i="5"/>
  <c r="AH80" i="10" s="1"/>
  <c r="AN80" s="1"/>
  <c r="P109" i="5"/>
  <c r="AF80" i="10"/>
  <c r="AJ80" s="1"/>
  <c r="P111" i="5"/>
  <c r="AF82" i="10" s="1"/>
  <c r="AJ82" s="1"/>
  <c r="AK82" s="1"/>
  <c r="R111" i="5"/>
  <c r="AH82" i="10"/>
  <c r="AN82" s="1"/>
  <c r="R113" i="5"/>
  <c r="AH84" i="10" s="1"/>
  <c r="AN84" s="1"/>
  <c r="P113" i="5"/>
  <c r="AF84" i="10"/>
  <c r="AJ84" s="1"/>
  <c r="P115" i="5"/>
  <c r="AF86" i="10" s="1"/>
  <c r="AJ86" s="1"/>
  <c r="R115" i="5"/>
  <c r="AH86" i="10"/>
  <c r="AN86" s="1"/>
  <c r="R117" i="5"/>
  <c r="AH88" i="10" s="1"/>
  <c r="AN88" s="1"/>
  <c r="P117" i="5"/>
  <c r="AF88" i="10"/>
  <c r="AJ88" s="1"/>
  <c r="P119" i="5"/>
  <c r="AF90" i="10" s="1"/>
  <c r="AJ90" s="1"/>
  <c r="R119" i="5"/>
  <c r="AH90" i="10"/>
  <c r="AN90" s="1"/>
  <c r="R121" i="5"/>
  <c r="AH92" i="10" s="1"/>
  <c r="AN92" s="1"/>
  <c r="P121" i="5"/>
  <c r="AF92" i="10"/>
  <c r="AJ92" s="1"/>
  <c r="P123" i="5"/>
  <c r="AF94" i="10" s="1"/>
  <c r="AJ94" s="1"/>
  <c r="CQ94" s="1"/>
  <c r="R123" i="5"/>
  <c r="AH94" i="10"/>
  <c r="AN94" s="1"/>
  <c r="R125" i="5"/>
  <c r="AH96" i="10" s="1"/>
  <c r="AN96" s="1"/>
  <c r="P125" i="5"/>
  <c r="AF96" i="10"/>
  <c r="AJ96" s="1"/>
  <c r="P127" i="5"/>
  <c r="AF98" i="10" s="1"/>
  <c r="AJ98" s="1"/>
  <c r="AK98" s="1"/>
  <c r="R127" i="5"/>
  <c r="AH98" i="10"/>
  <c r="AN98" s="1"/>
  <c r="R129" i="5"/>
  <c r="AH100" i="10" s="1"/>
  <c r="AN100" s="1"/>
  <c r="P129" i="5"/>
  <c r="AF100" i="10"/>
  <c r="AJ100" s="1"/>
  <c r="P131" i="5"/>
  <c r="AF102" i="10" s="1"/>
  <c r="AJ102" s="1"/>
  <c r="R131" i="5"/>
  <c r="AH102" i="10"/>
  <c r="AN102" s="1"/>
  <c r="R133" i="5"/>
  <c r="AH104" i="10" s="1"/>
  <c r="AN104" s="1"/>
  <c r="P133" i="5"/>
  <c r="AF104" i="10"/>
  <c r="AJ104" s="1"/>
  <c r="P135" i="5"/>
  <c r="AF106" i="10" s="1"/>
  <c r="AJ106" s="1"/>
  <c r="R135" i="5"/>
  <c r="AH106" i="10"/>
  <c r="AN106" s="1"/>
  <c r="R137" i="5"/>
  <c r="AH108" i="10" s="1"/>
  <c r="AN108" s="1"/>
  <c r="P137" i="5"/>
  <c r="AF108" i="10"/>
  <c r="AJ108" s="1"/>
  <c r="P139" i="5"/>
  <c r="AF110" i="10" s="1"/>
  <c r="AJ110" s="1"/>
  <c r="CQ110" s="1"/>
  <c r="R139" i="5"/>
  <c r="AH110" i="10"/>
  <c r="AN110" s="1"/>
  <c r="R141" i="5"/>
  <c r="AH112" i="10" s="1"/>
  <c r="AN112" s="1"/>
  <c r="P141" i="5"/>
  <c r="AF112" i="10"/>
  <c r="AJ112" s="1"/>
  <c r="P143" i="5"/>
  <c r="AF114" i="10" s="1"/>
  <c r="AJ114" s="1"/>
  <c r="AK114" s="1"/>
  <c r="R143" i="5"/>
  <c r="AH114" i="10"/>
  <c r="AN114" s="1"/>
  <c r="R145" i="5"/>
  <c r="AH116" i="10" s="1"/>
  <c r="AN116" s="1"/>
  <c r="P145" i="5"/>
  <c r="AF116" i="10"/>
  <c r="AJ116" s="1"/>
  <c r="P147" i="5"/>
  <c r="AF118" i="10" s="1"/>
  <c r="AJ118" s="1"/>
  <c r="R147" i="5"/>
  <c r="AH118" i="10"/>
  <c r="AN118" s="1"/>
  <c r="R149" i="5"/>
  <c r="AH120" i="10" s="1"/>
  <c r="AN120" s="1"/>
  <c r="P149" i="5"/>
  <c r="AF120" i="10"/>
  <c r="AJ120" s="1"/>
  <c r="P151" i="5"/>
  <c r="AF122" i="10" s="1"/>
  <c r="AJ122" s="1"/>
  <c r="R151" i="5"/>
  <c r="AH122" i="10"/>
  <c r="AN122" s="1"/>
  <c r="R153" i="5"/>
  <c r="AH124" i="10" s="1"/>
  <c r="AN124" s="1"/>
  <c r="P153" i="5"/>
  <c r="AF124" i="10"/>
  <c r="AJ124" s="1"/>
  <c r="P155" i="5"/>
  <c r="AF126" i="10" s="1"/>
  <c r="AJ126" s="1"/>
  <c r="CQ126" s="1"/>
  <c r="R155" i="5"/>
  <c r="AH126" i="10"/>
  <c r="AN126" s="1"/>
  <c r="R157" i="5"/>
  <c r="AH128" i="10" s="1"/>
  <c r="AN128" s="1"/>
  <c r="P157" i="5"/>
  <c r="AF128" i="10"/>
  <c r="AJ128" s="1"/>
  <c r="P159" i="5"/>
  <c r="AF130" i="10" s="1"/>
  <c r="AJ130" s="1"/>
  <c r="AK130" s="1"/>
  <c r="R159" i="5"/>
  <c r="AH130" i="10"/>
  <c r="AN130" s="1"/>
  <c r="R161" i="5"/>
  <c r="AH132" i="10" s="1"/>
  <c r="AN132" s="1"/>
  <c r="P161" i="5"/>
  <c r="AF132" i="10"/>
  <c r="AJ132" s="1"/>
  <c r="P163" i="5"/>
  <c r="AF134" i="10" s="1"/>
  <c r="AJ134" s="1"/>
  <c r="R163" i="5"/>
  <c r="AH134" i="10"/>
  <c r="AN134" s="1"/>
  <c r="R165" i="5"/>
  <c r="AH136" i="10" s="1"/>
  <c r="AN136" s="1"/>
  <c r="P165" i="5"/>
  <c r="AF136" i="10"/>
  <c r="AJ136" s="1"/>
  <c r="P167" i="5"/>
  <c r="AF138" i="10" s="1"/>
  <c r="AJ138" s="1"/>
  <c r="R167" i="5"/>
  <c r="AH138" i="10"/>
  <c r="AN138" s="1"/>
  <c r="R169" i="5"/>
  <c r="AH140" i="10" s="1"/>
  <c r="AN140" s="1"/>
  <c r="P169" i="5"/>
  <c r="AF140" i="10"/>
  <c r="AJ140" s="1"/>
  <c r="P171" i="5"/>
  <c r="AF142" i="10" s="1"/>
  <c r="AJ142" s="1"/>
  <c r="CQ142" s="1"/>
  <c r="R171" i="5"/>
  <c r="AH142" i="10"/>
  <c r="AN142" s="1"/>
  <c r="R173" i="5"/>
  <c r="AH144" i="10" s="1"/>
  <c r="AN144" s="1"/>
  <c r="P173" i="5"/>
  <c r="AF144" i="10"/>
  <c r="AJ144" s="1"/>
  <c r="P175" i="5"/>
  <c r="AF146" i="10" s="1"/>
  <c r="AJ146" s="1"/>
  <c r="AK146" s="1"/>
  <c r="R175" i="5"/>
  <c r="AH146" i="10"/>
  <c r="AN146" s="1"/>
  <c r="R177" i="5"/>
  <c r="AH148" i="10" s="1"/>
  <c r="AN148" s="1"/>
  <c r="P177" i="5"/>
  <c r="AF148" i="10"/>
  <c r="AJ148" s="1"/>
  <c r="P179" i="5"/>
  <c r="AF150" i="10" s="1"/>
  <c r="AJ150" s="1"/>
  <c r="CQ150" s="1"/>
  <c r="R179" i="5"/>
  <c r="AH150" i="10"/>
  <c r="AN150" s="1"/>
  <c r="R181" i="5"/>
  <c r="AH152" i="10" s="1"/>
  <c r="AN152" s="1"/>
  <c r="P181" i="5"/>
  <c r="AF152" i="10"/>
  <c r="AJ152" s="1"/>
  <c r="P183" i="5"/>
  <c r="AF154" i="10" s="1"/>
  <c r="AJ154" s="1"/>
  <c r="AK154" s="1"/>
  <c r="R183" i="5"/>
  <c r="AH154" i="10"/>
  <c r="AN154" s="1"/>
  <c r="R185" i="5"/>
  <c r="AH156" i="10" s="1"/>
  <c r="AN156" s="1"/>
  <c r="P185" i="5"/>
  <c r="AF156" i="10"/>
  <c r="AJ156" s="1"/>
  <c r="P187" i="5"/>
  <c r="AF158" i="10" s="1"/>
  <c r="AJ158" s="1"/>
  <c r="CQ158" s="1"/>
  <c r="R187" i="5"/>
  <c r="AH158" i="10"/>
  <c r="AN158" s="1"/>
  <c r="R189" i="5"/>
  <c r="AH160" i="10" s="1"/>
  <c r="AN160" s="1"/>
  <c r="P189" i="5"/>
  <c r="AF160" i="10"/>
  <c r="AJ160" s="1"/>
  <c r="P191" i="5"/>
  <c r="AF162" i="10" s="1"/>
  <c r="AJ162" s="1"/>
  <c r="AK162" s="1"/>
  <c r="R191" i="5"/>
  <c r="AH162" i="10"/>
  <c r="AN162" s="1"/>
  <c r="R193" i="5"/>
  <c r="AH164" i="10" s="1"/>
  <c r="AN164" s="1"/>
  <c r="P193" i="5"/>
  <c r="AF164" i="10"/>
  <c r="AJ164" s="1"/>
  <c r="P195" i="5"/>
  <c r="AF166" i="10" s="1"/>
  <c r="AJ166" s="1"/>
  <c r="CQ166" s="1"/>
  <c r="R195" i="5"/>
  <c r="AH166" i="10"/>
  <c r="AN166" s="1"/>
  <c r="R197" i="5"/>
  <c r="AH168" i="10" s="1"/>
  <c r="AN168" s="1"/>
  <c r="P197" i="5"/>
  <c r="AF168" i="10"/>
  <c r="AJ168" s="1"/>
  <c r="P199" i="5"/>
  <c r="AF170" i="10" s="1"/>
  <c r="AJ170" s="1"/>
  <c r="AK170" s="1"/>
  <c r="R199" i="5"/>
  <c r="AH170" i="10"/>
  <c r="AN170" s="1"/>
  <c r="R201" i="5"/>
  <c r="AH172" i="10" s="1"/>
  <c r="AN172" s="1"/>
  <c r="P201" i="5"/>
  <c r="AF172" i="10"/>
  <c r="AJ172" s="1"/>
  <c r="P203" i="5"/>
  <c r="AF174" i="10" s="1"/>
  <c r="AJ174" s="1"/>
  <c r="CQ174" s="1"/>
  <c r="R203" i="5"/>
  <c r="AH174" i="10"/>
  <c r="AN174" s="1"/>
  <c r="R205" i="5"/>
  <c r="AH176" i="10" s="1"/>
  <c r="AN176" s="1"/>
  <c r="P205" i="5"/>
  <c r="AF176" i="10"/>
  <c r="AJ176" s="1"/>
  <c r="P207" i="5"/>
  <c r="AF178" i="10" s="1"/>
  <c r="AJ178" s="1"/>
  <c r="AK178" s="1"/>
  <c r="R207" i="5"/>
  <c r="AH178" i="10"/>
  <c r="AN178" s="1"/>
  <c r="R209" i="5"/>
  <c r="AH180" i="10" s="1"/>
  <c r="AN180" s="1"/>
  <c r="P209" i="5"/>
  <c r="AF180" i="10"/>
  <c r="AJ180" s="1"/>
  <c r="P211" i="5"/>
  <c r="AF182" i="10" s="1"/>
  <c r="AJ182" s="1"/>
  <c r="CQ182" s="1"/>
  <c r="R211" i="5"/>
  <c r="AH182" i="10"/>
  <c r="AN182" s="1"/>
  <c r="R213" i="5"/>
  <c r="AH184" i="10" s="1"/>
  <c r="AN184" s="1"/>
  <c r="P213" i="5"/>
  <c r="AF184" i="10"/>
  <c r="AJ184" s="1"/>
  <c r="P215" i="5"/>
  <c r="AF186" i="10" s="1"/>
  <c r="AJ186" s="1"/>
  <c r="AK186" s="1"/>
  <c r="R215" i="5"/>
  <c r="AH186" i="10"/>
  <c r="AN186" s="1"/>
  <c r="R217" i="5"/>
  <c r="AH188" i="10" s="1"/>
  <c r="AN188" s="1"/>
  <c r="P217" i="5"/>
  <c r="AF188" i="10"/>
  <c r="AJ188" s="1"/>
  <c r="P219" i="5"/>
  <c r="AF190" i="10" s="1"/>
  <c r="AJ190" s="1"/>
  <c r="CQ190" s="1"/>
  <c r="R219" i="5"/>
  <c r="AH190" i="10"/>
  <c r="AN190" s="1"/>
  <c r="R221" i="5"/>
  <c r="AH192" i="10" s="1"/>
  <c r="AN192" s="1"/>
  <c r="P221" i="5"/>
  <c r="AF192" i="10"/>
  <c r="AJ192" s="1"/>
  <c r="P223" i="5"/>
  <c r="AF194" i="10" s="1"/>
  <c r="AJ194" s="1"/>
  <c r="AK194" s="1"/>
  <c r="R223" i="5"/>
  <c r="AH194" i="10"/>
  <c r="AN194" s="1"/>
  <c r="R225" i="5"/>
  <c r="AH196" i="10" s="1"/>
  <c r="AN196" s="1"/>
  <c r="P225" i="5"/>
  <c r="AF196" i="10"/>
  <c r="AJ196" s="1"/>
  <c r="P227" i="5"/>
  <c r="AF198" i="10" s="1"/>
  <c r="AJ198" s="1"/>
  <c r="CQ198" s="1"/>
  <c r="R227" i="5"/>
  <c r="AH198" i="10"/>
  <c r="AN198" s="1"/>
  <c r="R229" i="5"/>
  <c r="AH200" i="10" s="1"/>
  <c r="AN200" s="1"/>
  <c r="P229" i="5"/>
  <c r="AF200" i="10"/>
  <c r="AJ200" s="1"/>
  <c r="P231" i="5"/>
  <c r="AF202" i="10" s="1"/>
  <c r="AJ202" s="1"/>
  <c r="AK202" s="1"/>
  <c r="R231" i="5"/>
  <c r="AH202" i="10"/>
  <c r="AN202" s="1"/>
  <c r="R233" i="5"/>
  <c r="AH204" i="10" s="1"/>
  <c r="AN204" s="1"/>
  <c r="P233" i="5"/>
  <c r="AF204" i="10"/>
  <c r="AJ204" s="1"/>
  <c r="P235" i="5"/>
  <c r="AF206" i="10" s="1"/>
  <c r="AJ206" s="1"/>
  <c r="CQ206" s="1"/>
  <c r="R235" i="5"/>
  <c r="AH206" i="10"/>
  <c r="AN206" s="1"/>
  <c r="R237" i="5"/>
  <c r="AH208" i="10" s="1"/>
  <c r="AN208" s="1"/>
  <c r="P237" i="5"/>
  <c r="AF208" i="10"/>
  <c r="AJ208" s="1"/>
  <c r="P239" i="5"/>
  <c r="AF210" i="10" s="1"/>
  <c r="AJ210" s="1"/>
  <c r="AK210" s="1"/>
  <c r="R239" i="5"/>
  <c r="AH210" i="10"/>
  <c r="AN210" s="1"/>
  <c r="R241" i="5"/>
  <c r="AH212" i="10" s="1"/>
  <c r="AN212" s="1"/>
  <c r="P241" i="5"/>
  <c r="AF212" i="10"/>
  <c r="AJ212" s="1"/>
  <c r="P243" i="5"/>
  <c r="AF214" i="10" s="1"/>
  <c r="AJ214" s="1"/>
  <c r="CQ214" s="1"/>
  <c r="R243" i="5"/>
  <c r="AH214" i="10"/>
  <c r="AN214" s="1"/>
  <c r="R245" i="5"/>
  <c r="AH216" i="10" s="1"/>
  <c r="AN216" s="1"/>
  <c r="P245" i="5"/>
  <c r="AF216" i="10"/>
  <c r="AJ216" s="1"/>
  <c r="P247" i="5"/>
  <c r="AF218" i="10" s="1"/>
  <c r="AJ218" s="1"/>
  <c r="AK218" s="1"/>
  <c r="R247" i="5"/>
  <c r="AH218" i="10"/>
  <c r="AN218" s="1"/>
  <c r="R249" i="5"/>
  <c r="AH220" i="10" s="1"/>
  <c r="AN220" s="1"/>
  <c r="P249" i="5"/>
  <c r="AF220" i="10"/>
  <c r="AJ220" s="1"/>
  <c r="P251" i="5"/>
  <c r="AF222" i="10" s="1"/>
  <c r="AJ222" s="1"/>
  <c r="CQ222" s="1"/>
  <c r="R251" i="5"/>
  <c r="AH222" i="10"/>
  <c r="AN222" s="1"/>
  <c r="R253" i="5"/>
  <c r="AH224" i="10" s="1"/>
  <c r="AN224" s="1"/>
  <c r="P253" i="5"/>
  <c r="AF224" i="10"/>
  <c r="AJ224" s="1"/>
  <c r="P255" i="5"/>
  <c r="AF226" i="10" s="1"/>
  <c r="AJ226" s="1"/>
  <c r="AK226" s="1"/>
  <c r="R255" i="5"/>
  <c r="AH226" i="10"/>
  <c r="AN226" s="1"/>
  <c r="R257" i="5"/>
  <c r="AH228" i="10" s="1"/>
  <c r="AN228" s="1"/>
  <c r="P257" i="5"/>
  <c r="AF228" i="10"/>
  <c r="AJ228" s="1"/>
  <c r="P259" i="5"/>
  <c r="AF230" i="10" s="1"/>
  <c r="AJ230" s="1"/>
  <c r="CQ230" s="1"/>
  <c r="R259" i="5"/>
  <c r="AH230" i="10"/>
  <c r="AN230" s="1"/>
  <c r="R261" i="5"/>
  <c r="AH232" i="10" s="1"/>
  <c r="AN232" s="1"/>
  <c r="P261" i="5"/>
  <c r="AF232" i="10"/>
  <c r="AJ232" s="1"/>
  <c r="P263" i="5"/>
  <c r="AF234" i="10" s="1"/>
  <c r="AJ234" s="1"/>
  <c r="AK234" s="1"/>
  <c r="R263" i="5"/>
  <c r="AH234" i="10"/>
  <c r="AN234" s="1"/>
  <c r="R265" i="5"/>
  <c r="AH236" i="10" s="1"/>
  <c r="AN236" s="1"/>
  <c r="P265" i="5"/>
  <c r="AF236" i="10"/>
  <c r="AJ236" s="1"/>
  <c r="P267" i="5"/>
  <c r="AF238" i="10" s="1"/>
  <c r="AJ238" s="1"/>
  <c r="CQ238" s="1"/>
  <c r="R267" i="5"/>
  <c r="AH238" i="10"/>
  <c r="AN238" s="1"/>
  <c r="R269" i="5"/>
  <c r="AH240" i="10" s="1"/>
  <c r="AN240" s="1"/>
  <c r="P269" i="5"/>
  <c r="AF240" i="10"/>
  <c r="AJ240" s="1"/>
  <c r="P271" i="5"/>
  <c r="AF242" i="10" s="1"/>
  <c r="AJ242" s="1"/>
  <c r="AK242" s="1"/>
  <c r="R271" i="5"/>
  <c r="AH242" i="10"/>
  <c r="AN242" s="1"/>
  <c r="R273" i="5"/>
  <c r="AH244" i="10" s="1"/>
  <c r="AN244" s="1"/>
  <c r="P273" i="5"/>
  <c r="AF244" i="10"/>
  <c r="AJ244" s="1"/>
  <c r="P275" i="5"/>
  <c r="AF246" i="10" s="1"/>
  <c r="AJ246" s="1"/>
  <c r="CQ246" s="1"/>
  <c r="R275" i="5"/>
  <c r="AH246" i="10"/>
  <c r="AN246" s="1"/>
  <c r="R277" i="5"/>
  <c r="AH248" i="10" s="1"/>
  <c r="AN248" s="1"/>
  <c r="P277" i="5"/>
  <c r="AF248" i="10"/>
  <c r="AJ248" s="1"/>
  <c r="P279" i="5"/>
  <c r="AF250" i="10" s="1"/>
  <c r="AJ250" s="1"/>
  <c r="AK250" s="1"/>
  <c r="R279" i="5"/>
  <c r="AH250" i="10"/>
  <c r="AN250" s="1"/>
  <c r="R281" i="5"/>
  <c r="AH252" i="10" s="1"/>
  <c r="AN252" s="1"/>
  <c r="P281" i="5"/>
  <c r="AF252" i="10"/>
  <c r="AJ252" s="1"/>
  <c r="P283" i="5"/>
  <c r="AF254" i="10" s="1"/>
  <c r="AJ254" s="1"/>
  <c r="CQ254" s="1"/>
  <c r="R283" i="5"/>
  <c r="AH254" i="10"/>
  <c r="AN254" s="1"/>
  <c r="R285" i="5"/>
  <c r="AH256" i="10" s="1"/>
  <c r="AN256" s="1"/>
  <c r="P285" i="5"/>
  <c r="AF256" i="10"/>
  <c r="AJ256" s="1"/>
  <c r="P287" i="5"/>
  <c r="AF258" i="10" s="1"/>
  <c r="AJ258" s="1"/>
  <c r="AK258" s="1"/>
  <c r="R287" i="5"/>
  <c r="AH258" i="10"/>
  <c r="AN258" s="1"/>
  <c r="R289" i="5"/>
  <c r="AH260" i="10" s="1"/>
  <c r="AN260" s="1"/>
  <c r="P289" i="5"/>
  <c r="AF260" i="10"/>
  <c r="AJ260" s="1"/>
  <c r="P291" i="5"/>
  <c r="AF262" i="10" s="1"/>
  <c r="AJ262" s="1"/>
  <c r="CQ262" s="1"/>
  <c r="R291" i="5"/>
  <c r="AH262" i="10"/>
  <c r="AN262" s="1"/>
  <c r="R293" i="5"/>
  <c r="AH264" i="10" s="1"/>
  <c r="AN264" s="1"/>
  <c r="P293" i="5"/>
  <c r="AF264" i="10"/>
  <c r="AJ264" s="1"/>
  <c r="P295" i="5"/>
  <c r="AF266" i="10" s="1"/>
  <c r="AJ266" s="1"/>
  <c r="AK266" s="1"/>
  <c r="R295" i="5"/>
  <c r="AH266" i="10"/>
  <c r="AN266" s="1"/>
  <c r="R297" i="5"/>
  <c r="AH268" i="10" s="1"/>
  <c r="AN268" s="1"/>
  <c r="P297" i="5"/>
  <c r="AF268" i="10"/>
  <c r="AJ268" s="1"/>
  <c r="AL25" i="6"/>
  <c r="AR25" s="1"/>
  <c r="AL25" i="19"/>
  <c r="AR25" s="1"/>
  <c r="AS25" s="1"/>
  <c r="AL26" i="16"/>
  <c r="AR26"/>
  <c r="BQ26" s="1"/>
  <c r="Q33" i="5"/>
  <c r="AG4" i="10"/>
  <c r="AL4" s="1"/>
  <c r="S33" i="5"/>
  <c r="AI4" i="10" s="1"/>
  <c r="AP4" s="1"/>
  <c r="CZ4" s="1"/>
  <c r="Q38" i="5"/>
  <c r="AG9" i="10"/>
  <c r="AL9" s="1"/>
  <c r="S38" i="5"/>
  <c r="AI9" i="10" s="1"/>
  <c r="AP9" s="1"/>
  <c r="S41" i="5"/>
  <c r="AI12" i="10"/>
  <c r="AP12" s="1"/>
  <c r="Q41" i="5"/>
  <c r="AG12" i="10" s="1"/>
  <c r="AL12" s="1"/>
  <c r="AM12" s="1"/>
  <c r="Q43" i="5"/>
  <c r="AG14" i="10"/>
  <c r="AL14" s="1"/>
  <c r="S43" i="5"/>
  <c r="AI14" i="10" s="1"/>
  <c r="AP14" s="1"/>
  <c r="S45" i="5"/>
  <c r="AI16" i="10"/>
  <c r="AP16" s="1"/>
  <c r="Q45" i="5"/>
  <c r="AG16" i="10" s="1"/>
  <c r="AL16" s="1"/>
  <c r="CT16" s="1"/>
  <c r="Q47" i="5"/>
  <c r="AG18" i="10"/>
  <c r="AL18" s="1"/>
  <c r="S47" i="5"/>
  <c r="AI18" i="10" s="1"/>
  <c r="AP18" s="1"/>
  <c r="Q35" i="5"/>
  <c r="AG6" i="10"/>
  <c r="AL6" s="1"/>
  <c r="S35" i="5"/>
  <c r="AI6" i="10" s="1"/>
  <c r="AP6" s="1"/>
  <c r="AQ6" s="1"/>
  <c r="Q39" i="5"/>
  <c r="AG10" i="10"/>
  <c r="AL10" s="1"/>
  <c r="S39" i="5"/>
  <c r="AI10" i="10" s="1"/>
  <c r="AP10" s="1"/>
  <c r="S49" i="5"/>
  <c r="AI20" i="10"/>
  <c r="AP20" s="1"/>
  <c r="Q49" i="5"/>
  <c r="AG20" i="10" s="1"/>
  <c r="AL20" s="1"/>
  <c r="CT20" s="1"/>
  <c r="CV20" s="1"/>
  <c r="Q51" i="5"/>
  <c r="AG22" i="10"/>
  <c r="AL22" s="1"/>
  <c r="S51" i="5"/>
  <c r="AI22" i="10" s="1"/>
  <c r="AP22" s="1"/>
  <c r="S53" i="5"/>
  <c r="AI24" i="10"/>
  <c r="AP24" s="1"/>
  <c r="Q53" i="5"/>
  <c r="AG24" i="10" s="1"/>
  <c r="AL24" s="1"/>
  <c r="Q55" i="5"/>
  <c r="AG26" i="10"/>
  <c r="AL26" s="1"/>
  <c r="S55" i="5"/>
  <c r="AI26" i="10" s="1"/>
  <c r="AP26" s="1"/>
  <c r="S57" i="5"/>
  <c r="AI28" i="10"/>
  <c r="AP28" s="1"/>
  <c r="Q57" i="5"/>
  <c r="AG28" i="10" s="1"/>
  <c r="AL28" s="1"/>
  <c r="Q59" i="5"/>
  <c r="AG30" i="10"/>
  <c r="AL30" s="1"/>
  <c r="S59" i="5"/>
  <c r="AI30" i="10" s="1"/>
  <c r="AP30" s="1"/>
  <c r="S61" i="5"/>
  <c r="AI32" i="10"/>
  <c r="AP32" s="1"/>
  <c r="Q61" i="5"/>
  <c r="AG32" i="10" s="1"/>
  <c r="AL32" s="1"/>
  <c r="AM32" s="1"/>
  <c r="Q63" i="5"/>
  <c r="AG34" i="10"/>
  <c r="AL34" s="1"/>
  <c r="S63" i="5"/>
  <c r="AI34" i="10" s="1"/>
  <c r="AP34" s="1"/>
  <c r="S65" i="5"/>
  <c r="AI36" i="10"/>
  <c r="AP36" s="1"/>
  <c r="Q65" i="5"/>
  <c r="AG36" i="10" s="1"/>
  <c r="AL36" s="1"/>
  <c r="CT36" s="1"/>
  <c r="Q67" i="5"/>
  <c r="AG38" i="10"/>
  <c r="AL38" s="1"/>
  <c r="S67" i="5"/>
  <c r="AI38" i="10" s="1"/>
  <c r="AP38" s="1"/>
  <c r="S69" i="5"/>
  <c r="AI40" i="10"/>
  <c r="AP40" s="1"/>
  <c r="Q69" i="5"/>
  <c r="AG40" i="10" s="1"/>
  <c r="AL40" s="1"/>
  <c r="Q71" i="5"/>
  <c r="AG42" i="10"/>
  <c r="AL42" s="1"/>
  <c r="S71" i="5"/>
  <c r="AI42" i="10" s="1"/>
  <c r="AP42" s="1"/>
  <c r="S73" i="5"/>
  <c r="AI44" i="10"/>
  <c r="AP44" s="1"/>
  <c r="Q73" i="5"/>
  <c r="AG44" i="10" s="1"/>
  <c r="AL44" s="1"/>
  <c r="Q75" i="5"/>
  <c r="AG46" i="10"/>
  <c r="AL46" s="1"/>
  <c r="S75" i="5"/>
  <c r="AI46" i="10" s="1"/>
  <c r="AP46" s="1"/>
  <c r="S77" i="5"/>
  <c r="AI48" i="10"/>
  <c r="AP48" s="1"/>
  <c r="Q77" i="5"/>
  <c r="AG48" i="10" s="1"/>
  <c r="AL48" s="1"/>
  <c r="AM48" s="1"/>
  <c r="Q79" i="5"/>
  <c r="AG50" i="10"/>
  <c r="AL50" s="1"/>
  <c r="S79" i="5"/>
  <c r="AI50" i="10" s="1"/>
  <c r="AP50" s="1"/>
  <c r="S81" i="5"/>
  <c r="AI52" i="10"/>
  <c r="AP52" s="1"/>
  <c r="Q81" i="5"/>
  <c r="AG52" i="10" s="1"/>
  <c r="AL52" s="1"/>
  <c r="CT52" s="1"/>
  <c r="CV52" s="1"/>
  <c r="Q83" i="5"/>
  <c r="AG54" i="10"/>
  <c r="AL54" s="1"/>
  <c r="S83" i="5"/>
  <c r="AI54" i="10" s="1"/>
  <c r="AP54" s="1"/>
  <c r="S85" i="5"/>
  <c r="AI56" i="10"/>
  <c r="AP56" s="1"/>
  <c r="Q85" i="5"/>
  <c r="AG56" i="10" s="1"/>
  <c r="AL56" s="1"/>
  <c r="Q87" i="5"/>
  <c r="AG58" i="10"/>
  <c r="AL58" s="1"/>
  <c r="S87" i="5"/>
  <c r="AI58" i="10" s="1"/>
  <c r="AP58" s="1"/>
  <c r="S89" i="5"/>
  <c r="AI60" i="10"/>
  <c r="AP60" s="1"/>
  <c r="Q89" i="5"/>
  <c r="AG60" i="10" s="1"/>
  <c r="AL60" s="1"/>
  <c r="Q91" i="5"/>
  <c r="AG62" i="10"/>
  <c r="AL62" s="1"/>
  <c r="S91" i="5"/>
  <c r="AI62" i="10" s="1"/>
  <c r="AP62" s="1"/>
  <c r="S93" i="5"/>
  <c r="AI64" i="10"/>
  <c r="AP64" s="1"/>
  <c r="Q93" i="5"/>
  <c r="AG64" i="10" s="1"/>
  <c r="AL64" s="1"/>
  <c r="AM64" s="1"/>
  <c r="Q95" i="5"/>
  <c r="AG66" i="10"/>
  <c r="AL66" s="1"/>
  <c r="S95" i="5"/>
  <c r="AI66" i="10" s="1"/>
  <c r="AP66" s="1"/>
  <c r="S97" i="5"/>
  <c r="AI68" i="10"/>
  <c r="AP68" s="1"/>
  <c r="Q97" i="5"/>
  <c r="AG68" i="10" s="1"/>
  <c r="AL68" s="1"/>
  <c r="CT68" s="1"/>
  <c r="Q99" i="5"/>
  <c r="AG70" i="10"/>
  <c r="AL70" s="1"/>
  <c r="S99" i="5"/>
  <c r="AI70" i="10" s="1"/>
  <c r="AP70" s="1"/>
  <c r="S101" i="5"/>
  <c r="AI72" i="10"/>
  <c r="AP72" s="1"/>
  <c r="Q101" i="5"/>
  <c r="AG72" i="10" s="1"/>
  <c r="AL72" s="1"/>
  <c r="Q103" i="5"/>
  <c r="AG74" i="10"/>
  <c r="AL74" s="1"/>
  <c r="S103" i="5"/>
  <c r="AI74" i="10" s="1"/>
  <c r="AP74" s="1"/>
  <c r="S105" i="5"/>
  <c r="AI76" i="10"/>
  <c r="AP76" s="1"/>
  <c r="Q105" i="5"/>
  <c r="AG76" i="10" s="1"/>
  <c r="AL76" s="1"/>
  <c r="Q107" i="5"/>
  <c r="AG78" i="10"/>
  <c r="AL78" s="1"/>
  <c r="S107" i="5"/>
  <c r="AI78" i="10" s="1"/>
  <c r="AP78" s="1"/>
  <c r="S109" i="5"/>
  <c r="AI80" i="10"/>
  <c r="AP80" s="1"/>
  <c r="Q109" i="5"/>
  <c r="AG80" i="10" s="1"/>
  <c r="AL80" s="1"/>
  <c r="AM80" s="1"/>
  <c r="Q111" i="5"/>
  <c r="AG82" i="10"/>
  <c r="AL82" s="1"/>
  <c r="S111" i="5"/>
  <c r="AI82" i="10" s="1"/>
  <c r="AP82" s="1"/>
  <c r="S113" i="5"/>
  <c r="AI84" i="10"/>
  <c r="AP84" s="1"/>
  <c r="Q113" i="5"/>
  <c r="AG84" i="10" s="1"/>
  <c r="AL84" s="1"/>
  <c r="CT84" s="1"/>
  <c r="Q115" i="5"/>
  <c r="AG86" i="10"/>
  <c r="AL86" s="1"/>
  <c r="S115" i="5"/>
  <c r="AI86" i="10" s="1"/>
  <c r="AP86" s="1"/>
  <c r="S117" i="5"/>
  <c r="AI88" i="10"/>
  <c r="AP88" s="1"/>
  <c r="Q117" i="5"/>
  <c r="AG88" i="10" s="1"/>
  <c r="AL88" s="1"/>
  <c r="Q119" i="5"/>
  <c r="AG90" i="10"/>
  <c r="AL90" s="1"/>
  <c r="S119" i="5"/>
  <c r="AI90" i="10" s="1"/>
  <c r="AP90" s="1"/>
  <c r="S121" i="5"/>
  <c r="AI92" i="10"/>
  <c r="AP92" s="1"/>
  <c r="Q121" i="5"/>
  <c r="AG92" i="10" s="1"/>
  <c r="AL92" s="1"/>
  <c r="Q123" i="5"/>
  <c r="AG94" i="10"/>
  <c r="AL94" s="1"/>
  <c r="S123" i="5"/>
  <c r="AI94" i="10" s="1"/>
  <c r="AP94" s="1"/>
  <c r="S125" i="5"/>
  <c r="AI96" i="10"/>
  <c r="AP96" s="1"/>
  <c r="Q125" i="5"/>
  <c r="AG96" i="10" s="1"/>
  <c r="AL96" s="1"/>
  <c r="AM96" s="1"/>
  <c r="Q127" i="5"/>
  <c r="AG98" i="10"/>
  <c r="AL98" s="1"/>
  <c r="S127" i="5"/>
  <c r="AI98" i="10" s="1"/>
  <c r="AP98" s="1"/>
  <c r="S129" i="5"/>
  <c r="AI100" i="10"/>
  <c r="AP100" s="1"/>
  <c r="Q129" i="5"/>
  <c r="AG100" i="10" s="1"/>
  <c r="AL100" s="1"/>
  <c r="CT100" s="1"/>
  <c r="Q131" i="5"/>
  <c r="AG102" i="10"/>
  <c r="AL102" s="1"/>
  <c r="S131" i="5"/>
  <c r="AI102" i="10" s="1"/>
  <c r="AP102" s="1"/>
  <c r="S133" i="5"/>
  <c r="AI104" i="10"/>
  <c r="AP104" s="1"/>
  <c r="Q133" i="5"/>
  <c r="AG104" i="10" s="1"/>
  <c r="AL104" s="1"/>
  <c r="Q135" i="5"/>
  <c r="AG106" i="10"/>
  <c r="AL106" s="1"/>
  <c r="S135" i="5"/>
  <c r="AI106" i="10" s="1"/>
  <c r="AP106" s="1"/>
  <c r="S137" i="5"/>
  <c r="AI108" i="10"/>
  <c r="AP108" s="1"/>
  <c r="Q137" i="5"/>
  <c r="AG108" i="10" s="1"/>
  <c r="AL108" s="1"/>
  <c r="Q139" i="5"/>
  <c r="AG110" i="10"/>
  <c r="AL110" s="1"/>
  <c r="S139" i="5"/>
  <c r="AI110" i="10" s="1"/>
  <c r="AP110" s="1"/>
  <c r="S141" i="5"/>
  <c r="AI112" i="10"/>
  <c r="AP112" s="1"/>
  <c r="Q141" i="5"/>
  <c r="AG112" i="10" s="1"/>
  <c r="AL112" s="1"/>
  <c r="AM112" s="1"/>
  <c r="Q143" i="5"/>
  <c r="AG114" i="10"/>
  <c r="AL114" s="1"/>
  <c r="S143" i="5"/>
  <c r="AI114" i="10" s="1"/>
  <c r="AP114" s="1"/>
  <c r="S145" i="5"/>
  <c r="AI116" i="10"/>
  <c r="AP116" s="1"/>
  <c r="Q145" i="5"/>
  <c r="AG116" i="10" s="1"/>
  <c r="AL116" s="1"/>
  <c r="CT116" s="1"/>
  <c r="Q147" i="5"/>
  <c r="AG118" i="10"/>
  <c r="AL118" s="1"/>
  <c r="S147" i="5"/>
  <c r="AI118" i="10" s="1"/>
  <c r="AP118" s="1"/>
  <c r="S149" i="5"/>
  <c r="AI120" i="10"/>
  <c r="AP120" s="1"/>
  <c r="Q149" i="5"/>
  <c r="AG120" i="10" s="1"/>
  <c r="AL120" s="1"/>
  <c r="Q151" i="5"/>
  <c r="AG122" i="10"/>
  <c r="AL122" s="1"/>
  <c r="S151" i="5"/>
  <c r="AI122" i="10" s="1"/>
  <c r="AP122" s="1"/>
  <c r="S153" i="5"/>
  <c r="AI124" i="10"/>
  <c r="AP124" s="1"/>
  <c r="Q153" i="5"/>
  <c r="AG124" i="10" s="1"/>
  <c r="AL124" s="1"/>
  <c r="Q155" i="5"/>
  <c r="AG126" i="10"/>
  <c r="AL126" s="1"/>
  <c r="S155" i="5"/>
  <c r="AI126" i="10" s="1"/>
  <c r="AP126" s="1"/>
  <c r="S157" i="5"/>
  <c r="AI128" i="10"/>
  <c r="AP128" s="1"/>
  <c r="Q157" i="5"/>
  <c r="AG128" i="10" s="1"/>
  <c r="AL128" s="1"/>
  <c r="AM128" s="1"/>
  <c r="Q159" i="5"/>
  <c r="AG130" i="10"/>
  <c r="AL130" s="1"/>
  <c r="S159" i="5"/>
  <c r="AI130" i="10" s="1"/>
  <c r="AP130" s="1"/>
  <c r="S161" i="5"/>
  <c r="AI132" i="10"/>
  <c r="AP132" s="1"/>
  <c r="Q161" i="5"/>
  <c r="AG132" i="10" s="1"/>
  <c r="AL132" s="1"/>
  <c r="CT132" s="1"/>
  <c r="CV132" s="1"/>
  <c r="Q163" i="5"/>
  <c r="AG134" i="10"/>
  <c r="AL134" s="1"/>
  <c r="S163" i="5"/>
  <c r="AI134" i="10" s="1"/>
  <c r="AP134" s="1"/>
  <c r="S165" i="5"/>
  <c r="AI136" i="10"/>
  <c r="AP136" s="1"/>
  <c r="Q165" i="5"/>
  <c r="AG136" i="10" s="1"/>
  <c r="AL136" s="1"/>
  <c r="Q167" i="5"/>
  <c r="AG138" i="10"/>
  <c r="AL138" s="1"/>
  <c r="S167" i="5"/>
  <c r="AI138" i="10" s="1"/>
  <c r="AP138" s="1"/>
  <c r="S169" i="5"/>
  <c r="AI140" i="10"/>
  <c r="AP140" s="1"/>
  <c r="Q169" i="5"/>
  <c r="AG140" i="10" s="1"/>
  <c r="AL140" s="1"/>
  <c r="Q171" i="5"/>
  <c r="AG142" i="10"/>
  <c r="AL142" s="1"/>
  <c r="S171" i="5"/>
  <c r="AI142" i="10" s="1"/>
  <c r="AP142" s="1"/>
  <c r="S173" i="5"/>
  <c r="AI144" i="10"/>
  <c r="AP144" s="1"/>
  <c r="Q173" i="5"/>
  <c r="AG144" i="10" s="1"/>
  <c r="AL144" s="1"/>
  <c r="AM144" s="1"/>
  <c r="Q175" i="5"/>
  <c r="AG146" i="10"/>
  <c r="AL146" s="1"/>
  <c r="S175" i="5"/>
  <c r="AI146" i="10" s="1"/>
  <c r="AP146" s="1"/>
  <c r="S177" i="5"/>
  <c r="AI148" i="10"/>
  <c r="AP148" s="1"/>
  <c r="Q177" i="5"/>
  <c r="AG148" i="10" s="1"/>
  <c r="AL148" s="1"/>
  <c r="CT148" s="1"/>
  <c r="CV148" s="1"/>
  <c r="Q179" i="5"/>
  <c r="AG150" i="10"/>
  <c r="AL150" s="1"/>
  <c r="S179" i="5"/>
  <c r="AI150" i="10" s="1"/>
  <c r="AP150" s="1"/>
  <c r="S181" i="5"/>
  <c r="AI152" i="10"/>
  <c r="AP152" s="1"/>
  <c r="Q181" i="5"/>
  <c r="AG152" i="10" s="1"/>
  <c r="AL152" s="1"/>
  <c r="Q183" i="5"/>
  <c r="AG154" i="10"/>
  <c r="AL154" s="1"/>
  <c r="S183" i="5"/>
  <c r="AI154" i="10" s="1"/>
  <c r="AP154" s="1"/>
  <c r="S185" i="5"/>
  <c r="AI156" i="10"/>
  <c r="AP156" s="1"/>
  <c r="Q185" i="5"/>
  <c r="AG156" i="10" s="1"/>
  <c r="AL156" s="1"/>
  <c r="Q187" i="5"/>
  <c r="AG158" i="10"/>
  <c r="AL158" s="1"/>
  <c r="S187" i="5"/>
  <c r="AI158" i="10" s="1"/>
  <c r="AP158" s="1"/>
  <c r="S189" i="5"/>
  <c r="AI160" i="10"/>
  <c r="AP160" s="1"/>
  <c r="Q189" i="5"/>
  <c r="AG160" i="10" s="1"/>
  <c r="AL160" s="1"/>
  <c r="AM160" s="1"/>
  <c r="Q191" i="5"/>
  <c r="AG162" i="10"/>
  <c r="AL162" s="1"/>
  <c r="S191" i="5"/>
  <c r="AI162" i="10" s="1"/>
  <c r="AP162" s="1"/>
  <c r="S193" i="5"/>
  <c r="AI164" i="10"/>
  <c r="AP164" s="1"/>
  <c r="Q193" i="5"/>
  <c r="AG164" i="10" s="1"/>
  <c r="AL164" s="1"/>
  <c r="CT164" s="1"/>
  <c r="Q195" i="5"/>
  <c r="AG166" i="10"/>
  <c r="AL166" s="1"/>
  <c r="S195" i="5"/>
  <c r="AI166" i="10" s="1"/>
  <c r="AP166" s="1"/>
  <c r="S197" i="5"/>
  <c r="AI168" i="10"/>
  <c r="AP168" s="1"/>
  <c r="Q197" i="5"/>
  <c r="AG168" i="10" s="1"/>
  <c r="AL168" s="1"/>
  <c r="Q199" i="5"/>
  <c r="AG170" i="10"/>
  <c r="AL170" s="1"/>
  <c r="S199" i="5"/>
  <c r="AI170" i="10" s="1"/>
  <c r="AP170" s="1"/>
  <c r="S201" i="5"/>
  <c r="AI172" i="10"/>
  <c r="AP172" s="1"/>
  <c r="Q201" i="5"/>
  <c r="AG172" i="10" s="1"/>
  <c r="AL172" s="1"/>
  <c r="Q203" i="5"/>
  <c r="AG174" i="10"/>
  <c r="AL174" s="1"/>
  <c r="S203" i="5"/>
  <c r="AI174" i="10" s="1"/>
  <c r="AP174" s="1"/>
  <c r="S205" i="5"/>
  <c r="AI176" i="10"/>
  <c r="AP176" s="1"/>
  <c r="Q205" i="5"/>
  <c r="AG176" i="10" s="1"/>
  <c r="AL176" s="1"/>
  <c r="Q207" i="5"/>
  <c r="AG178" i="10"/>
  <c r="AL178" s="1"/>
  <c r="S207" i="5"/>
  <c r="AI178" i="10" s="1"/>
  <c r="AP178" s="1"/>
  <c r="S209" i="5"/>
  <c r="AI180" i="10"/>
  <c r="AP180" s="1"/>
  <c r="Q209" i="5"/>
  <c r="AG180" i="10" s="1"/>
  <c r="AL180" s="1"/>
  <c r="Q211" i="5"/>
  <c r="AG182" i="10"/>
  <c r="AL182" s="1"/>
  <c r="S211" i="5"/>
  <c r="AI182" i="10" s="1"/>
  <c r="AP182" s="1"/>
  <c r="S213" i="5"/>
  <c r="AI184" i="10"/>
  <c r="AP184" s="1"/>
  <c r="Q213" i="5"/>
  <c r="AG184" i="10" s="1"/>
  <c r="AL184" s="1"/>
  <c r="Q215" i="5"/>
  <c r="AG186" i="10"/>
  <c r="AL186" s="1"/>
  <c r="S215" i="5"/>
  <c r="AI186" i="10" s="1"/>
  <c r="AP186" s="1"/>
  <c r="S217" i="5"/>
  <c r="AI188" i="10"/>
  <c r="AP188" s="1"/>
  <c r="Q217" i="5"/>
  <c r="AG188" i="10" s="1"/>
  <c r="AL188" s="1"/>
  <c r="Q219" i="5"/>
  <c r="AG190" i="10"/>
  <c r="AL190" s="1"/>
  <c r="S219" i="5"/>
  <c r="AI190" i="10" s="1"/>
  <c r="AP190" s="1"/>
  <c r="S221" i="5"/>
  <c r="AI192" i="10"/>
  <c r="AP192" s="1"/>
  <c r="Q221" i="5"/>
  <c r="AG192" i="10" s="1"/>
  <c r="AL192" s="1"/>
  <c r="Q223" i="5"/>
  <c r="AG194" i="10"/>
  <c r="AL194" s="1"/>
  <c r="S223" i="5"/>
  <c r="AI194" i="10" s="1"/>
  <c r="AP194" s="1"/>
  <c r="S225" i="5"/>
  <c r="AI196" i="10"/>
  <c r="AP196" s="1"/>
  <c r="Q225" i="5"/>
  <c r="AG196" i="10" s="1"/>
  <c r="AL196" s="1"/>
  <c r="Q227" i="5"/>
  <c r="AG198" i="10"/>
  <c r="AL198" s="1"/>
  <c r="S227" i="5"/>
  <c r="AI198" i="10" s="1"/>
  <c r="AP198" s="1"/>
  <c r="S229" i="5"/>
  <c r="AI200" i="10"/>
  <c r="AP200" s="1"/>
  <c r="Q229" i="5"/>
  <c r="AG200" i="10" s="1"/>
  <c r="AL200" s="1"/>
  <c r="Q231" i="5"/>
  <c r="AG202" i="10"/>
  <c r="AL202" s="1"/>
  <c r="S231" i="5"/>
  <c r="AI202" i="10" s="1"/>
  <c r="AP202" s="1"/>
  <c r="S233" i="5"/>
  <c r="AI204" i="10"/>
  <c r="AP204" s="1"/>
  <c r="Q233" i="5"/>
  <c r="AG204" i="10" s="1"/>
  <c r="AL204" s="1"/>
  <c r="Q235" i="5"/>
  <c r="AG206" i="10"/>
  <c r="AL206" s="1"/>
  <c r="S235" i="5"/>
  <c r="AI206" i="10" s="1"/>
  <c r="AP206" s="1"/>
  <c r="S237" i="5"/>
  <c r="AI208" i="10"/>
  <c r="AP208" s="1"/>
  <c r="Q237" i="5"/>
  <c r="AG208" i="10" s="1"/>
  <c r="AL208" s="1"/>
  <c r="Q239" i="5"/>
  <c r="AG210" i="10"/>
  <c r="AL210" s="1"/>
  <c r="S239" i="5"/>
  <c r="AI210" i="10" s="1"/>
  <c r="AP210" s="1"/>
  <c r="S241" i="5"/>
  <c r="AI212" i="10"/>
  <c r="AP212" s="1"/>
  <c r="Q241" i="5"/>
  <c r="AG212" i="10" s="1"/>
  <c r="AL212" s="1"/>
  <c r="Q243" i="5"/>
  <c r="AG214" i="10"/>
  <c r="AL214" s="1"/>
  <c r="S243" i="5"/>
  <c r="AI214" i="10" s="1"/>
  <c r="AP214" s="1"/>
  <c r="S245" i="5"/>
  <c r="AI216" i="10"/>
  <c r="AP216" s="1"/>
  <c r="Q245" i="5"/>
  <c r="AG216" i="10" s="1"/>
  <c r="AL216" s="1"/>
  <c r="Q247" i="5"/>
  <c r="AG218" i="10"/>
  <c r="AL218" s="1"/>
  <c r="S247" i="5"/>
  <c r="AI218" i="10" s="1"/>
  <c r="AP218" s="1"/>
  <c r="S249" i="5"/>
  <c r="AI220" i="10"/>
  <c r="AP220" s="1"/>
  <c r="Q249" i="5"/>
  <c r="AG220" i="10" s="1"/>
  <c r="AL220" s="1"/>
  <c r="Q251" i="5"/>
  <c r="AG222" i="10"/>
  <c r="AL222" s="1"/>
  <c r="S251" i="5"/>
  <c r="AI222" i="10" s="1"/>
  <c r="AP222" s="1"/>
  <c r="S253" i="5"/>
  <c r="AI224" i="10"/>
  <c r="AP224" s="1"/>
  <c r="Q253" i="5"/>
  <c r="AG224" i="10" s="1"/>
  <c r="AL224" s="1"/>
  <c r="Q255" i="5"/>
  <c r="AG226" i="10"/>
  <c r="AL226" s="1"/>
  <c r="S255" i="5"/>
  <c r="AI226" i="10" s="1"/>
  <c r="AP226" s="1"/>
  <c r="S257" i="5"/>
  <c r="AI228" i="10"/>
  <c r="AP228" s="1"/>
  <c r="Q257" i="5"/>
  <c r="AG228" i="10" s="1"/>
  <c r="AL228" s="1"/>
  <c r="Q259" i="5"/>
  <c r="AG230" i="10"/>
  <c r="AL230" s="1"/>
  <c r="S259" i="5"/>
  <c r="AI230" i="10" s="1"/>
  <c r="AP230" s="1"/>
  <c r="S261" i="5"/>
  <c r="AI232" i="10"/>
  <c r="AP232" s="1"/>
  <c r="Q261" i="5"/>
  <c r="AG232" i="10" s="1"/>
  <c r="AL232" s="1"/>
  <c r="Q263" i="5"/>
  <c r="AG234" i="10"/>
  <c r="AL234" s="1"/>
  <c r="S263" i="5"/>
  <c r="AI234" i="10" s="1"/>
  <c r="AP234" s="1"/>
  <c r="S265" i="5"/>
  <c r="AI236" i="10"/>
  <c r="AP236" s="1"/>
  <c r="Q265" i="5"/>
  <c r="AG236" i="10" s="1"/>
  <c r="AL236" s="1"/>
  <c r="Q267" i="5"/>
  <c r="AG238" i="10"/>
  <c r="AL238" s="1"/>
  <c r="S267" i="5"/>
  <c r="AI238" i="10" s="1"/>
  <c r="AP238" s="1"/>
  <c r="S269" i="5"/>
  <c r="AI240" i="10"/>
  <c r="AP240" s="1"/>
  <c r="Q269" i="5"/>
  <c r="AG240" i="10" s="1"/>
  <c r="AL240" s="1"/>
  <c r="Q271" i="5"/>
  <c r="AG242" i="10"/>
  <c r="AL242" s="1"/>
  <c r="S271" i="5"/>
  <c r="AI242" i="10" s="1"/>
  <c r="AP242" s="1"/>
  <c r="S273" i="5"/>
  <c r="AI244" i="10"/>
  <c r="AP244" s="1"/>
  <c r="Q273" i="5"/>
  <c r="AG244" i="10" s="1"/>
  <c r="AL244" s="1"/>
  <c r="Q275" i="5"/>
  <c r="AG246" i="10"/>
  <c r="AL246" s="1"/>
  <c r="S275" i="5"/>
  <c r="AI246" i="10" s="1"/>
  <c r="AP246" s="1"/>
  <c r="S277" i="5"/>
  <c r="AI248" i="10"/>
  <c r="AP248" s="1"/>
  <c r="Q277" i="5"/>
  <c r="AG248" i="10" s="1"/>
  <c r="AL248" s="1"/>
  <c r="Q279" i="5"/>
  <c r="AG250" i="10"/>
  <c r="AL250" s="1"/>
  <c r="S279" i="5"/>
  <c r="AI250" i="10" s="1"/>
  <c r="AP250" s="1"/>
  <c r="S281" i="5"/>
  <c r="AI252" i="10"/>
  <c r="AP252" s="1"/>
  <c r="Q281" i="5"/>
  <c r="AG252" i="10" s="1"/>
  <c r="AL252" s="1"/>
  <c r="Q283" i="5"/>
  <c r="AG254" i="10"/>
  <c r="AL254" s="1"/>
  <c r="S283" i="5"/>
  <c r="AI254" i="10" s="1"/>
  <c r="AP254" s="1"/>
  <c r="S285" i="5"/>
  <c r="AI256" i="10"/>
  <c r="AP256" s="1"/>
  <c r="Q285" i="5"/>
  <c r="AG256" i="10" s="1"/>
  <c r="AL256" s="1"/>
  <c r="Q287" i="5"/>
  <c r="AG258" i="10"/>
  <c r="AL258" s="1"/>
  <c r="S287" i="5"/>
  <c r="AI258" i="10" s="1"/>
  <c r="AP258" s="1"/>
  <c r="S289" i="5"/>
  <c r="AI260" i="10"/>
  <c r="AP260" s="1"/>
  <c r="Q289" i="5"/>
  <c r="AG260" i="10" s="1"/>
  <c r="AL260" s="1"/>
  <c r="Q291" i="5"/>
  <c r="AG262" i="10"/>
  <c r="AL262" s="1"/>
  <c r="S291" i="5"/>
  <c r="AI262" i="10" s="1"/>
  <c r="AP262" s="1"/>
  <c r="S293" i="5"/>
  <c r="AI264" i="10"/>
  <c r="AP264" s="1"/>
  <c r="Q293" i="5"/>
  <c r="AG264" i="10" s="1"/>
  <c r="AL264" s="1"/>
  <c r="Q295" i="5"/>
  <c r="AG266" i="10"/>
  <c r="AL266" s="1"/>
  <c r="S295" i="5"/>
  <c r="AI266" i="10" s="1"/>
  <c r="AP266" s="1"/>
  <c r="S297" i="5"/>
  <c r="AI268" i="10"/>
  <c r="AP268" s="1"/>
  <c r="Q297" i="5"/>
  <c r="AG268" i="10" s="1"/>
  <c r="AL268" s="1"/>
  <c r="G64" i="12"/>
  <c r="I64"/>
  <c r="H64"/>
  <c r="F64"/>
  <c r="F45" i="5"/>
  <c r="J16" i="10"/>
  <c r="N16" s="1"/>
  <c r="G50" i="5"/>
  <c r="K21" i="10" s="1"/>
  <c r="P21" s="1"/>
  <c r="I48" i="5"/>
  <c r="M19" i="10"/>
  <c r="T19" s="1"/>
  <c r="I47" i="5"/>
  <c r="M18" i="10" s="1"/>
  <c r="T18" s="1"/>
  <c r="F36" i="5"/>
  <c r="J7" i="10"/>
  <c r="N7" s="1"/>
  <c r="G51" i="5"/>
  <c r="K22" i="10" s="1"/>
  <c r="P22" s="1"/>
  <c r="I36" i="5"/>
  <c r="M7" i="10"/>
  <c r="T7" s="1"/>
  <c r="G58" i="5"/>
  <c r="K29" i="10" s="1"/>
  <c r="P29" s="1"/>
  <c r="H46" i="5"/>
  <c r="L17" i="10"/>
  <c r="R17" s="1"/>
  <c r="I52" i="5"/>
  <c r="M23" i="10" s="1"/>
  <c r="T23" s="1"/>
  <c r="I41" i="5"/>
  <c r="M12" i="10"/>
  <c r="T12" s="1"/>
  <c r="F59" i="5"/>
  <c r="J30" i="10" s="1"/>
  <c r="N30" s="1"/>
  <c r="F54" i="5"/>
  <c r="J25" i="10"/>
  <c r="N25" s="1"/>
  <c r="F56" i="5"/>
  <c r="J27" i="10" s="1"/>
  <c r="N27" s="1"/>
  <c r="G37" i="5"/>
  <c r="K8" i="10"/>
  <c r="P8" s="1"/>
  <c r="F55" i="5"/>
  <c r="J26" i="10" s="1"/>
  <c r="N26" s="1"/>
  <c r="G45" i="5"/>
  <c r="K16" i="10"/>
  <c r="P16" s="1"/>
  <c r="G55" i="5"/>
  <c r="K26" i="10" s="1"/>
  <c r="P26" s="1"/>
  <c r="G35" i="5"/>
  <c r="K6" i="10"/>
  <c r="P6" s="1"/>
  <c r="H49" i="5"/>
  <c r="L20" i="10" s="1"/>
  <c r="R20" s="1"/>
  <c r="I56" i="5"/>
  <c r="M27" i="10"/>
  <c r="T27" s="1"/>
  <c r="F44" i="5"/>
  <c r="J15" i="10" s="1"/>
  <c r="N15" s="1"/>
  <c r="H53" i="5"/>
  <c r="L24" i="10"/>
  <c r="R24" s="1"/>
  <c r="I42" i="5"/>
  <c r="M13" i="10" s="1"/>
  <c r="T13" s="1"/>
  <c r="F60" i="5"/>
  <c r="J31" i="10"/>
  <c r="N31" s="1"/>
  <c r="F35" i="5"/>
  <c r="J6" i="10" s="1"/>
  <c r="N6" s="1"/>
  <c r="F51" i="5"/>
  <c r="J22" i="10"/>
  <c r="N22" s="1"/>
  <c r="I39" i="5"/>
  <c r="M10" i="10" s="1"/>
  <c r="T10" s="1"/>
  <c r="I44" i="5"/>
  <c r="M15" i="10"/>
  <c r="T15" s="1"/>
  <c r="I60" i="5"/>
  <c r="M31" i="10" s="1"/>
  <c r="T31" s="1"/>
  <c r="H33" i="5"/>
  <c r="L4" i="10"/>
  <c r="R4" s="1"/>
  <c r="I46" i="5"/>
  <c r="M17" i="10" s="1"/>
  <c r="T17" s="1"/>
  <c r="G43" i="5"/>
  <c r="K14" i="10"/>
  <c r="P14" s="1"/>
  <c r="G33" i="5"/>
  <c r="K4" i="10" s="1"/>
  <c r="P4" s="1"/>
  <c r="F52" i="5"/>
  <c r="J23" i="10"/>
  <c r="N23" s="1"/>
  <c r="G40" i="5"/>
  <c r="K11" i="10" s="1"/>
  <c r="P11" s="1"/>
  <c r="F40" i="5"/>
  <c r="J11" i="10"/>
  <c r="N11" s="1"/>
  <c r="I54" i="5"/>
  <c r="M25" i="10" s="1"/>
  <c r="T25" s="1"/>
  <c r="D63" i="5"/>
  <c r="B19"/>
  <c r="F19" s="1"/>
  <c r="H20" i="12" s="1"/>
  <c r="E63" i="5"/>
  <c r="I53"/>
  <c r="M24" i="10" s="1"/>
  <c r="T24" s="1"/>
  <c r="F37" i="5"/>
  <c r="J8" i="10"/>
  <c r="N8" s="1"/>
  <c r="I49" i="5"/>
  <c r="M20" i="10" s="1"/>
  <c r="T20" s="1"/>
  <c r="S51" i="8"/>
  <c r="S35"/>
  <c r="R51"/>
  <c r="R59"/>
  <c r="I36"/>
  <c r="J36"/>
  <c r="J40"/>
  <c r="R55"/>
  <c r="J44"/>
  <c r="S61"/>
  <c r="H63"/>
  <c r="I48"/>
  <c r="S33"/>
  <c r="S37"/>
  <c r="B20"/>
  <c r="F20"/>
  <c r="R43"/>
  <c r="S47"/>
  <c r="R33"/>
  <c r="R41"/>
  <c r="S53"/>
  <c r="R35"/>
  <c r="R61"/>
  <c r="R64"/>
  <c r="R37"/>
  <c r="S63"/>
  <c r="J64"/>
  <c r="I46"/>
  <c r="J52"/>
  <c r="J56"/>
  <c r="I64"/>
  <c r="R63"/>
  <c r="J42"/>
  <c r="R47"/>
  <c r="I50"/>
  <c r="R39"/>
  <c r="J60"/>
  <c r="S55"/>
  <c r="I34"/>
  <c r="S41"/>
  <c r="S59"/>
  <c r="R53"/>
  <c r="R45"/>
  <c r="R49"/>
  <c r="J38"/>
  <c r="H38"/>
  <c r="J50"/>
  <c r="I40"/>
  <c r="I52"/>
  <c r="J46"/>
  <c r="H46"/>
  <c r="K60"/>
  <c r="J62"/>
  <c r="H62"/>
  <c r="J34"/>
  <c r="C19"/>
  <c r="G19" s="1"/>
  <c r="I38"/>
  <c r="K63"/>
  <c r="I44"/>
  <c r="I56"/>
  <c r="K58"/>
  <c r="I54"/>
  <c r="I62"/>
  <c r="J48"/>
  <c r="G66"/>
  <c r="I33"/>
  <c r="K33"/>
  <c r="R48"/>
  <c r="B27"/>
  <c r="F27" s="1"/>
  <c r="B26"/>
  <c r="F26" s="1"/>
  <c r="H53"/>
  <c r="J53"/>
  <c r="K51"/>
  <c r="I51"/>
  <c r="S42"/>
  <c r="J55"/>
  <c r="H55"/>
  <c r="K53"/>
  <c r="I53"/>
  <c r="K37"/>
  <c r="I37"/>
  <c r="R50"/>
  <c r="R42"/>
  <c r="R34"/>
  <c r="J57"/>
  <c r="H57"/>
  <c r="J41"/>
  <c r="H41"/>
  <c r="K55"/>
  <c r="I55"/>
  <c r="K39"/>
  <c r="I39"/>
  <c r="S60"/>
  <c r="S52"/>
  <c r="H59"/>
  <c r="J59"/>
  <c r="J43"/>
  <c r="H43"/>
  <c r="K57"/>
  <c r="I57"/>
  <c r="K41"/>
  <c r="I41"/>
  <c r="R60"/>
  <c r="R52"/>
  <c r="R44"/>
  <c r="R36"/>
  <c r="H35"/>
  <c r="J35"/>
  <c r="S44"/>
  <c r="H61"/>
  <c r="J61"/>
  <c r="S62"/>
  <c r="S38"/>
  <c r="K49"/>
  <c r="I49"/>
  <c r="R56"/>
  <c r="R40"/>
  <c r="J37"/>
  <c r="H37"/>
  <c r="I35"/>
  <c r="K35"/>
  <c r="S58"/>
  <c r="S34"/>
  <c r="H39"/>
  <c r="J39"/>
  <c r="R58"/>
  <c r="H45"/>
  <c r="J45"/>
  <c r="J47"/>
  <c r="H47"/>
  <c r="K61"/>
  <c r="I61"/>
  <c r="K45"/>
  <c r="I45"/>
  <c r="R62"/>
  <c r="R54"/>
  <c r="R46"/>
  <c r="R38"/>
  <c r="O66"/>
  <c r="N66"/>
  <c r="H51"/>
  <c r="J51"/>
  <c r="S50"/>
  <c r="S36"/>
  <c r="I59"/>
  <c r="K59"/>
  <c r="K43"/>
  <c r="I43"/>
  <c r="S54"/>
  <c r="S46"/>
  <c r="H49"/>
  <c r="J49"/>
  <c r="F66"/>
  <c r="J33"/>
  <c r="H33"/>
  <c r="K47"/>
  <c r="I47"/>
  <c r="S56"/>
  <c r="S48"/>
  <c r="S40"/>
  <c r="C26"/>
  <c r="G26" s="1"/>
  <c r="C27"/>
  <c r="G27" s="1"/>
  <c r="L32" i="4"/>
  <c r="L33"/>
  <c r="L34"/>
  <c r="P34" s="1"/>
  <c r="Y6" i="6" s="1"/>
  <c r="AE6" s="1"/>
  <c r="AF6" s="1"/>
  <c r="L35" i="4"/>
  <c r="L36"/>
  <c r="L37"/>
  <c r="L38"/>
  <c r="L39"/>
  <c r="L40"/>
  <c r="L41"/>
  <c r="L42"/>
  <c r="P42" s="1"/>
  <c r="Y14" i="6" s="1"/>
  <c r="AE14" s="1"/>
  <c r="L43" i="4"/>
  <c r="L44"/>
  <c r="L45"/>
  <c r="L46"/>
  <c r="N46" s="1"/>
  <c r="L47"/>
  <c r="L48"/>
  <c r="L49"/>
  <c r="L50"/>
  <c r="P50" s="1"/>
  <c r="Y23" i="16" s="1"/>
  <c r="L51" i="4"/>
  <c r="L52"/>
  <c r="L53"/>
  <c r="L54"/>
  <c r="P54" s="1"/>
  <c r="L55"/>
  <c r="L56"/>
  <c r="L57"/>
  <c r="L58"/>
  <c r="P58" s="1"/>
  <c r="Y30" i="6" s="1"/>
  <c r="AE30" s="1"/>
  <c r="AF30" s="1"/>
  <c r="L59" i="4"/>
  <c r="L60"/>
  <c r="L61"/>
  <c r="L62"/>
  <c r="P62" s="1"/>
  <c r="Y34" i="6" s="1"/>
  <c r="AE34" s="1"/>
  <c r="AF34" s="1"/>
  <c r="L63" i="4"/>
  <c r="M32"/>
  <c r="Q32" s="1"/>
  <c r="M33"/>
  <c r="M34"/>
  <c r="O34" s="1"/>
  <c r="X7" i="16" s="1"/>
  <c r="M35" i="4"/>
  <c r="M36"/>
  <c r="O36" s="1"/>
  <c r="X9" i="16" s="1"/>
  <c r="M37" i="4"/>
  <c r="M38"/>
  <c r="Q38" s="1"/>
  <c r="M39"/>
  <c r="M40"/>
  <c r="O40" s="1"/>
  <c r="X12" i="6" s="1"/>
  <c r="AC12" s="1"/>
  <c r="AD12" s="1"/>
  <c r="M41" i="4"/>
  <c r="M42"/>
  <c r="M43"/>
  <c r="M44"/>
  <c r="O44" s="1"/>
  <c r="X17" i="16" s="1"/>
  <c r="M45" i="4"/>
  <c r="M46"/>
  <c r="Q46" s="1"/>
  <c r="Z19" i="16" s="1"/>
  <c r="M47" i="4"/>
  <c r="M48"/>
  <c r="O48" s="1"/>
  <c r="X20" i="6" s="1"/>
  <c r="AC20" s="1"/>
  <c r="AD20" s="1"/>
  <c r="M49" i="4"/>
  <c r="M50"/>
  <c r="O50" s="1"/>
  <c r="X23" i="16" s="1"/>
  <c r="M51" i="4"/>
  <c r="M52"/>
  <c r="O52" s="1"/>
  <c r="X24" i="6" s="1"/>
  <c r="AC24" s="1"/>
  <c r="AD24" s="1"/>
  <c r="M53" i="4"/>
  <c r="M54"/>
  <c r="Q54" s="1"/>
  <c r="Z26" i="6" s="1"/>
  <c r="AG26" s="1"/>
  <c r="AH26" s="1"/>
  <c r="M55" i="4"/>
  <c r="M56"/>
  <c r="O56" s="1"/>
  <c r="X28" i="6" s="1"/>
  <c r="AC28" s="1"/>
  <c r="AD28" s="1"/>
  <c r="M57" i="4"/>
  <c r="M58"/>
  <c r="Q58" s="1"/>
  <c r="M59"/>
  <c r="M60"/>
  <c r="O60" s="1"/>
  <c r="X32" i="6" s="1"/>
  <c r="AC32" s="1"/>
  <c r="AD32" s="1"/>
  <c r="M61" i="4"/>
  <c r="M62"/>
  <c r="O62" s="1"/>
  <c r="X34" i="6" s="1"/>
  <c r="AC34" s="1"/>
  <c r="AD34" s="1"/>
  <c r="M63" i="4"/>
  <c r="C26"/>
  <c r="H26" s="1"/>
  <c r="B26"/>
  <c r="G26" s="1"/>
  <c r="B25"/>
  <c r="G25" s="1"/>
  <c r="D33"/>
  <c r="F33" s="1"/>
  <c r="D35"/>
  <c r="H35" s="1"/>
  <c r="D37"/>
  <c r="H37" s="1"/>
  <c r="L9" i="6" s="1"/>
  <c r="R9" s="1"/>
  <c r="D39" i="4"/>
  <c r="D41"/>
  <c r="F41" s="1"/>
  <c r="J13" i="6" s="1"/>
  <c r="N13" s="1"/>
  <c r="D43" i="4"/>
  <c r="H43" s="1"/>
  <c r="D45"/>
  <c r="F45" s="1"/>
  <c r="J18" i="16" s="1"/>
  <c r="D47" i="4"/>
  <c r="H47" s="1"/>
  <c r="D49"/>
  <c r="F49" s="1"/>
  <c r="J22" i="16" s="1"/>
  <c r="D51" i="4"/>
  <c r="D53"/>
  <c r="F53" s="1"/>
  <c r="D55"/>
  <c r="F55" s="1"/>
  <c r="D57"/>
  <c r="D59"/>
  <c r="D61"/>
  <c r="H61" s="1"/>
  <c r="L33" i="6" s="1"/>
  <c r="R33" s="1"/>
  <c r="D63" i="4"/>
  <c r="H63" s="1"/>
  <c r="L36" i="16" s="1"/>
  <c r="E33" i="4"/>
  <c r="G33" s="1"/>
  <c r="K6" i="16" s="1"/>
  <c r="E35" i="4"/>
  <c r="E37"/>
  <c r="G37" s="1"/>
  <c r="K10" i="16" s="1"/>
  <c r="E39" i="4"/>
  <c r="G39" s="1"/>
  <c r="E41"/>
  <c r="E43"/>
  <c r="E45"/>
  <c r="G45" s="1"/>
  <c r="K18" i="16" s="1"/>
  <c r="E47" i="4"/>
  <c r="I47" s="1"/>
  <c r="M19" i="6" s="1"/>
  <c r="E49" i="4"/>
  <c r="E51"/>
  <c r="E53"/>
  <c r="G53" s="1"/>
  <c r="K26" i="16" s="1"/>
  <c r="P26" s="1"/>
  <c r="Q26" s="1"/>
  <c r="E55" i="4"/>
  <c r="G55" s="1"/>
  <c r="K28" i="16" s="1"/>
  <c r="E57" i="4"/>
  <c r="E59"/>
  <c r="E61"/>
  <c r="G61" s="1"/>
  <c r="K34" i="16" s="1"/>
  <c r="E63" i="4"/>
  <c r="I63" s="1"/>
  <c r="M35" i="6" s="1"/>
  <c r="T35" s="1"/>
  <c r="D32" i="4"/>
  <c r="D34"/>
  <c r="D36"/>
  <c r="F36" s="1"/>
  <c r="J8" i="6" s="1"/>
  <c r="N8" s="1"/>
  <c r="D38" i="4"/>
  <c r="F38" s="1"/>
  <c r="J11" i="16" s="1"/>
  <c r="D40" i="4"/>
  <c r="D42"/>
  <c r="D44"/>
  <c r="H44" s="1"/>
  <c r="L16" i="6" s="1"/>
  <c r="R16" s="1"/>
  <c r="S16" s="1"/>
  <c r="D46" i="4"/>
  <c r="H46" s="1"/>
  <c r="L19" i="16" s="1"/>
  <c r="D48" i="4"/>
  <c r="D50"/>
  <c r="D52"/>
  <c r="F52" s="1"/>
  <c r="J24" i="6" s="1"/>
  <c r="N24" s="1"/>
  <c r="O24" s="1"/>
  <c r="D54" i="4"/>
  <c r="D56"/>
  <c r="D58"/>
  <c r="D60"/>
  <c r="H60" s="1"/>
  <c r="L32" i="6" s="1"/>
  <c r="R32" s="1"/>
  <c r="D62" i="4"/>
  <c r="E32"/>
  <c r="E34"/>
  <c r="E36"/>
  <c r="G36" s="1"/>
  <c r="K8" i="6" s="1"/>
  <c r="P8" s="1"/>
  <c r="E38" i="4"/>
  <c r="E40"/>
  <c r="E42"/>
  <c r="E44"/>
  <c r="G44" s="1"/>
  <c r="K16" i="6" s="1"/>
  <c r="P16" s="1"/>
  <c r="E46" i="4"/>
  <c r="E48"/>
  <c r="E50"/>
  <c r="E52"/>
  <c r="G52" s="1"/>
  <c r="K24" i="6" s="1"/>
  <c r="P24" s="1"/>
  <c r="BM24" s="1"/>
  <c r="E54" i="4"/>
  <c r="E56"/>
  <c r="E58"/>
  <c r="E60"/>
  <c r="G60" s="1"/>
  <c r="K33" i="16" s="1"/>
  <c r="P33" s="1"/>
  <c r="E62" i="4"/>
  <c r="C18"/>
  <c r="H18" s="1"/>
  <c r="I20" i="8"/>
  <c r="E19" i="4"/>
  <c r="E18"/>
  <c r="B18"/>
  <c r="G18" s="1"/>
  <c r="H19" i="8" s="1"/>
  <c r="B19" i="4"/>
  <c r="G19" s="1"/>
  <c r="H20" i="8" s="1"/>
  <c r="AZ20" i="6"/>
  <c r="BG20" s="1"/>
  <c r="BH20" s="1"/>
  <c r="CF5" i="10"/>
  <c r="AZ17" i="16"/>
  <c r="AZ16" i="19"/>
  <c r="BG16"/>
  <c r="BH16" s="1"/>
  <c r="AL30" i="16"/>
  <c r="AL29" i="6"/>
  <c r="AR29"/>
  <c r="AS29" s="1"/>
  <c r="AY29" i="16"/>
  <c r="AY28" i="19"/>
  <c r="BE28" s="1"/>
  <c r="BF28" s="1"/>
  <c r="AM164" i="10"/>
  <c r="CT160"/>
  <c r="CV160" s="1"/>
  <c r="AM148"/>
  <c r="CT144"/>
  <c r="CV144" s="1"/>
  <c r="AM132"/>
  <c r="CT128"/>
  <c r="AM116"/>
  <c r="CT112"/>
  <c r="AM100"/>
  <c r="CT96"/>
  <c r="AM84"/>
  <c r="CT80"/>
  <c r="CV80" s="1"/>
  <c r="AM68"/>
  <c r="CT64"/>
  <c r="CV64" s="1"/>
  <c r="AM52"/>
  <c r="CT48"/>
  <c r="CV48" s="1"/>
  <c r="AM36"/>
  <c r="CT32"/>
  <c r="CV32" s="1"/>
  <c r="AM20"/>
  <c r="CZ6"/>
  <c r="AM16"/>
  <c r="CV16"/>
  <c r="CT12"/>
  <c r="CV12" s="1"/>
  <c r="AQ4"/>
  <c r="DB4"/>
  <c r="CQ266"/>
  <c r="AK262"/>
  <c r="CS262"/>
  <c r="CQ258"/>
  <c r="AK254"/>
  <c r="CQ250"/>
  <c r="CS250" s="1"/>
  <c r="AK246"/>
  <c r="CS246"/>
  <c r="CQ242"/>
  <c r="CS242" s="1"/>
  <c r="AK238"/>
  <c r="CS238"/>
  <c r="CQ234"/>
  <c r="CS234" s="1"/>
  <c r="AK230"/>
  <c r="CQ226"/>
  <c r="CS226" s="1"/>
  <c r="AK222"/>
  <c r="CS222"/>
  <c r="CQ218"/>
  <c r="AK214"/>
  <c r="CQ210"/>
  <c r="CS210" s="1"/>
  <c r="AK206"/>
  <c r="CS206"/>
  <c r="CQ202"/>
  <c r="CS202" s="1"/>
  <c r="AK198"/>
  <c r="CS198"/>
  <c r="CQ194"/>
  <c r="CS194" s="1"/>
  <c r="AK190"/>
  <c r="CS190"/>
  <c r="CQ186"/>
  <c r="CS186" s="1"/>
  <c r="AK182"/>
  <c r="CQ178"/>
  <c r="CS178" s="1"/>
  <c r="AK174"/>
  <c r="CQ170"/>
  <c r="AK166"/>
  <c r="CS166"/>
  <c r="CQ162"/>
  <c r="CS162" s="1"/>
  <c r="AK158"/>
  <c r="CS158"/>
  <c r="CQ154"/>
  <c r="CS154" s="1"/>
  <c r="AK150"/>
  <c r="CS150"/>
  <c r="CQ146"/>
  <c r="CS146"/>
  <c r="AK142"/>
  <c r="CS142"/>
  <c r="AK138"/>
  <c r="CQ138"/>
  <c r="AK134"/>
  <c r="CQ134"/>
  <c r="CS134" s="1"/>
  <c r="CQ130"/>
  <c r="AK126"/>
  <c r="CS126"/>
  <c r="AK122"/>
  <c r="CQ122"/>
  <c r="AK118"/>
  <c r="CQ118"/>
  <c r="CQ114"/>
  <c r="AK110"/>
  <c r="CS110"/>
  <c r="AK106"/>
  <c r="CQ106"/>
  <c r="CS106" s="1"/>
  <c r="AK102"/>
  <c r="CQ102"/>
  <c r="CS102"/>
  <c r="CQ98"/>
  <c r="CS98" s="1"/>
  <c r="AK94"/>
  <c r="AK90"/>
  <c r="CQ90"/>
  <c r="CS90" s="1"/>
  <c r="AK86"/>
  <c r="CQ86"/>
  <c r="CQ82"/>
  <c r="AK78"/>
  <c r="CS78"/>
  <c r="AK74"/>
  <c r="CQ74"/>
  <c r="AK70"/>
  <c r="CQ70"/>
  <c r="CS70" s="1"/>
  <c r="CQ66"/>
  <c r="CS66" s="1"/>
  <c r="AK62"/>
  <c r="CS62"/>
  <c r="AK58"/>
  <c r="CQ58"/>
  <c r="CS58" s="1"/>
  <c r="AK54"/>
  <c r="CQ54"/>
  <c r="CQ50"/>
  <c r="AK46"/>
  <c r="AK42"/>
  <c r="CQ42"/>
  <c r="CS42" s="1"/>
  <c r="AK38"/>
  <c r="CQ38"/>
  <c r="CS38"/>
  <c r="CQ34"/>
  <c r="AK30"/>
  <c r="CS30"/>
  <c r="AK26"/>
  <c r="CQ26"/>
  <c r="AK22"/>
  <c r="CQ22"/>
  <c r="CS22" s="1"/>
  <c r="CQ18"/>
  <c r="CS18"/>
  <c r="AK14"/>
  <c r="AK10"/>
  <c r="CQ10"/>
  <c r="CS10" s="1"/>
  <c r="AK6"/>
  <c r="CQ6"/>
  <c r="CS6"/>
  <c r="AQ265"/>
  <c r="CZ265"/>
  <c r="DB265" s="1"/>
  <c r="AQ261"/>
  <c r="CZ261"/>
  <c r="DB261" s="1"/>
  <c r="AQ257"/>
  <c r="CZ257"/>
  <c r="AQ253"/>
  <c r="CZ253"/>
  <c r="DB253"/>
  <c r="AQ249"/>
  <c r="CZ249"/>
  <c r="AQ245"/>
  <c r="CZ245"/>
  <c r="AQ241"/>
  <c r="CZ241"/>
  <c r="DB241"/>
  <c r="AQ237"/>
  <c r="CZ237"/>
  <c r="DB237" s="1"/>
  <c r="AQ233"/>
  <c r="CZ233"/>
  <c r="AQ229"/>
  <c r="CZ229"/>
  <c r="DB229"/>
  <c r="AQ225"/>
  <c r="CZ225"/>
  <c r="AQ221"/>
  <c r="CZ221"/>
  <c r="DB221" s="1"/>
  <c r="AQ217"/>
  <c r="CZ217"/>
  <c r="DB217"/>
  <c r="AQ213"/>
  <c r="CZ213"/>
  <c r="DB213" s="1"/>
  <c r="AQ209"/>
  <c r="CZ209"/>
  <c r="DB209" s="1"/>
  <c r="AQ205"/>
  <c r="CZ205"/>
  <c r="DB205" s="1"/>
  <c r="AQ201"/>
  <c r="CZ201"/>
  <c r="AQ197"/>
  <c r="CZ197"/>
  <c r="DB197" s="1"/>
  <c r="AQ193"/>
  <c r="CZ193"/>
  <c r="DB193" s="1"/>
  <c r="AQ189"/>
  <c r="CZ189"/>
  <c r="DB189"/>
  <c r="AQ185"/>
  <c r="CZ185"/>
  <c r="DB185"/>
  <c r="AQ181"/>
  <c r="CZ181"/>
  <c r="DB181" s="1"/>
  <c r="AQ177"/>
  <c r="CZ177"/>
  <c r="DB177" s="1"/>
  <c r="AQ173"/>
  <c r="CZ173"/>
  <c r="DB173"/>
  <c r="AQ169"/>
  <c r="CZ169"/>
  <c r="AQ165"/>
  <c r="CZ165"/>
  <c r="DB165" s="1"/>
  <c r="AQ161"/>
  <c r="CZ161"/>
  <c r="AQ157"/>
  <c r="CZ157"/>
  <c r="DB157"/>
  <c r="AQ153"/>
  <c r="CZ153"/>
  <c r="DB153" s="1"/>
  <c r="AQ149"/>
  <c r="CZ149"/>
  <c r="DB149"/>
  <c r="AQ145"/>
  <c r="CZ145"/>
  <c r="DB145"/>
  <c r="AQ141"/>
  <c r="CZ141"/>
  <c r="DB141"/>
  <c r="AQ137"/>
  <c r="CZ137"/>
  <c r="DB137" s="1"/>
  <c r="AQ133"/>
  <c r="CZ133"/>
  <c r="DB133" s="1"/>
  <c r="AQ129"/>
  <c r="CZ129"/>
  <c r="DB129"/>
  <c r="AQ125"/>
  <c r="CZ125"/>
  <c r="DB125"/>
  <c r="AQ121"/>
  <c r="CZ121"/>
  <c r="AQ117"/>
  <c r="CZ117"/>
  <c r="AQ113"/>
  <c r="CZ113"/>
  <c r="DB113"/>
  <c r="AQ109"/>
  <c r="CZ109"/>
  <c r="DB109" s="1"/>
  <c r="AQ105"/>
  <c r="CZ105"/>
  <c r="DB105" s="1"/>
  <c r="AQ101"/>
  <c r="CZ101"/>
  <c r="AQ97"/>
  <c r="CZ97"/>
  <c r="DB97"/>
  <c r="AQ93"/>
  <c r="CZ93"/>
  <c r="AQ89"/>
  <c r="CZ89"/>
  <c r="DB89" s="1"/>
  <c r="AQ85"/>
  <c r="CZ85"/>
  <c r="DB85"/>
  <c r="AQ81"/>
  <c r="CZ81"/>
  <c r="DB81"/>
  <c r="AQ77"/>
  <c r="CZ77"/>
  <c r="DB77" s="1"/>
  <c r="AQ73"/>
  <c r="CZ73"/>
  <c r="DB73" s="1"/>
  <c r="AQ69"/>
  <c r="CZ69"/>
  <c r="AQ65"/>
  <c r="CZ65"/>
  <c r="DB65"/>
  <c r="AQ61"/>
  <c r="CZ61"/>
  <c r="DB61" s="1"/>
  <c r="AQ57"/>
  <c r="CZ57"/>
  <c r="DB57" s="1"/>
  <c r="AQ53"/>
  <c r="CZ53"/>
  <c r="DB53"/>
  <c r="AQ49"/>
  <c r="CZ49"/>
  <c r="DB49" s="1"/>
  <c r="AQ45"/>
  <c r="CZ45"/>
  <c r="DB45" s="1"/>
  <c r="AQ41"/>
  <c r="CZ41"/>
  <c r="AQ37"/>
  <c r="CZ37"/>
  <c r="DB37"/>
  <c r="AQ33"/>
  <c r="CZ33"/>
  <c r="DB33"/>
  <c r="AQ29"/>
  <c r="CZ29"/>
  <c r="DB29" s="1"/>
  <c r="AQ25"/>
  <c r="CZ25"/>
  <c r="DB25" s="1"/>
  <c r="AQ21"/>
  <c r="CZ21"/>
  <c r="AQ8"/>
  <c r="CZ8"/>
  <c r="AM17"/>
  <c r="CT17"/>
  <c r="AQ13"/>
  <c r="CZ13"/>
  <c r="DB13"/>
  <c r="AQ7"/>
  <c r="CZ7"/>
  <c r="AK267"/>
  <c r="CQ267"/>
  <c r="CS267" s="1"/>
  <c r="AK263"/>
  <c r="CQ263"/>
  <c r="CS263" s="1"/>
  <c r="AK259"/>
  <c r="CQ259"/>
  <c r="CS259"/>
  <c r="AK255"/>
  <c r="CQ255"/>
  <c r="CS255"/>
  <c r="AK251"/>
  <c r="CQ251"/>
  <c r="AK247"/>
  <c r="CQ247"/>
  <c r="CS247" s="1"/>
  <c r="AK243"/>
  <c r="CQ243"/>
  <c r="CS243"/>
  <c r="AK239"/>
  <c r="CQ239"/>
  <c r="AK235"/>
  <c r="CQ235"/>
  <c r="CS235"/>
  <c r="AK231"/>
  <c r="CQ231"/>
  <c r="CS231" s="1"/>
  <c r="AK227"/>
  <c r="CQ227"/>
  <c r="CS227"/>
  <c r="AK223"/>
  <c r="CQ223"/>
  <c r="CS223"/>
  <c r="AK219"/>
  <c r="CQ219"/>
  <c r="CS219"/>
  <c r="AK215"/>
  <c r="CQ215"/>
  <c r="CS215" s="1"/>
  <c r="AK211"/>
  <c r="CQ211"/>
  <c r="CS211"/>
  <c r="AK207"/>
  <c r="CQ207"/>
  <c r="CS207"/>
  <c r="AK203"/>
  <c r="CQ203"/>
  <c r="CS203"/>
  <c r="AK199"/>
  <c r="CQ199"/>
  <c r="CS199" s="1"/>
  <c r="AK195"/>
  <c r="CQ195"/>
  <c r="CS195"/>
  <c r="AK191"/>
  <c r="CQ191"/>
  <c r="CS191"/>
  <c r="AK187"/>
  <c r="CQ187"/>
  <c r="CS187" s="1"/>
  <c r="AK183"/>
  <c r="CQ183"/>
  <c r="CS183" s="1"/>
  <c r="AK179"/>
  <c r="CQ179"/>
  <c r="CS179" s="1"/>
  <c r="AK175"/>
  <c r="CQ175"/>
  <c r="AK171"/>
  <c r="CQ171"/>
  <c r="CS171"/>
  <c r="AK167"/>
  <c r="CQ167"/>
  <c r="CS167" s="1"/>
  <c r="AK163"/>
  <c r="CQ163"/>
  <c r="CS163" s="1"/>
  <c r="AK159"/>
  <c r="CQ159"/>
  <c r="CS159"/>
  <c r="AK155"/>
  <c r="CQ155"/>
  <c r="CS155"/>
  <c r="AK151"/>
  <c r="CQ151"/>
  <c r="CS151" s="1"/>
  <c r="AK147"/>
  <c r="CQ147"/>
  <c r="AK143"/>
  <c r="CQ143"/>
  <c r="CS143"/>
  <c r="AK139"/>
  <c r="CQ139"/>
  <c r="CS139"/>
  <c r="AK135"/>
  <c r="CQ135"/>
  <c r="CS135" s="1"/>
  <c r="AK131"/>
  <c r="CQ131"/>
  <c r="CS131"/>
  <c r="AK127"/>
  <c r="CQ127"/>
  <c r="CS127"/>
  <c r="AK123"/>
  <c r="CQ123"/>
  <c r="AK119"/>
  <c r="CQ119"/>
  <c r="CS119" s="1"/>
  <c r="AK115"/>
  <c r="CQ115"/>
  <c r="CS115" s="1"/>
  <c r="AK111"/>
  <c r="CQ111"/>
  <c r="AK107"/>
  <c r="CQ107"/>
  <c r="CS107"/>
  <c r="AK103"/>
  <c r="CQ103"/>
  <c r="CS103" s="1"/>
  <c r="AK99"/>
  <c r="CQ99"/>
  <c r="CS99"/>
  <c r="AK95"/>
  <c r="CQ95"/>
  <c r="CS95"/>
  <c r="AK91"/>
  <c r="CQ91"/>
  <c r="CS91"/>
  <c r="AK87"/>
  <c r="CQ87"/>
  <c r="CS87" s="1"/>
  <c r="AK83"/>
  <c r="CQ83"/>
  <c r="CS83"/>
  <c r="AK79"/>
  <c r="CQ79"/>
  <c r="CS79"/>
  <c r="AK75"/>
  <c r="CQ75"/>
  <c r="CS75" s="1"/>
  <c r="AK71"/>
  <c r="CQ71"/>
  <c r="CS71" s="1"/>
  <c r="AK67"/>
  <c r="CQ67"/>
  <c r="CS67" s="1"/>
  <c r="AK63"/>
  <c r="CQ63"/>
  <c r="CS63"/>
  <c r="AK59"/>
  <c r="CQ59"/>
  <c r="CS59"/>
  <c r="AK55"/>
  <c r="CQ55"/>
  <c r="CS55" s="1"/>
  <c r="AK51"/>
  <c r="CQ51"/>
  <c r="CS51" s="1"/>
  <c r="AK47"/>
  <c r="CQ47"/>
  <c r="AK43"/>
  <c r="CQ43"/>
  <c r="CS43"/>
  <c r="AK39"/>
  <c r="CQ39"/>
  <c r="CS39" s="1"/>
  <c r="AK35"/>
  <c r="CQ35"/>
  <c r="CS35"/>
  <c r="AK31"/>
  <c r="CQ31"/>
  <c r="CS31"/>
  <c r="AK27"/>
  <c r="CQ27"/>
  <c r="CS27"/>
  <c r="AK23"/>
  <c r="CQ23"/>
  <c r="AK19"/>
  <c r="CQ19"/>
  <c r="CS19"/>
  <c r="AK15"/>
  <c r="CQ15"/>
  <c r="CS15"/>
  <c r="AK11"/>
  <c r="CQ11"/>
  <c r="AK7"/>
  <c r="CQ7"/>
  <c r="CS7" s="1"/>
  <c r="DB201"/>
  <c r="U13"/>
  <c r="CM13"/>
  <c r="CO13" s="1"/>
  <c r="S4"/>
  <c r="CJ4"/>
  <c r="CL4" s="1"/>
  <c r="Q6"/>
  <c r="CG6"/>
  <c r="CI6"/>
  <c r="U7"/>
  <c r="CM7"/>
  <c r="CO7" s="1"/>
  <c r="AQ264"/>
  <c r="CZ264"/>
  <c r="AQ252"/>
  <c r="CZ252"/>
  <c r="AQ240"/>
  <c r="CZ240"/>
  <c r="AQ220"/>
  <c r="CZ220"/>
  <c r="DB220"/>
  <c r="AQ208"/>
  <c r="CZ208"/>
  <c r="DB208" s="1"/>
  <c r="AQ196"/>
  <c r="CZ196"/>
  <c r="AQ180"/>
  <c r="CZ180"/>
  <c r="AQ168"/>
  <c r="CZ168"/>
  <c r="AQ156"/>
  <c r="CZ156"/>
  <c r="DB156" s="1"/>
  <c r="AQ140"/>
  <c r="CZ140"/>
  <c r="DB140" s="1"/>
  <c r="AQ124"/>
  <c r="CZ124"/>
  <c r="DB124"/>
  <c r="AQ112"/>
  <c r="CZ112"/>
  <c r="DB112" s="1"/>
  <c r="AQ100"/>
  <c r="CZ100"/>
  <c r="DB100" s="1"/>
  <c r="AQ92"/>
  <c r="CZ92"/>
  <c r="DB92" s="1"/>
  <c r="AQ84"/>
  <c r="CZ84"/>
  <c r="AQ72"/>
  <c r="CZ72"/>
  <c r="DB72"/>
  <c r="AQ60"/>
  <c r="CZ60"/>
  <c r="DB60" s="1"/>
  <c r="AQ56"/>
  <c r="CZ56"/>
  <c r="DB56" s="1"/>
  <c r="AQ52"/>
  <c r="CZ52"/>
  <c r="AQ48"/>
  <c r="CZ48"/>
  <c r="AQ44"/>
  <c r="CZ44"/>
  <c r="DB44" s="1"/>
  <c r="AQ40"/>
  <c r="CZ40"/>
  <c r="AQ36"/>
  <c r="CZ36"/>
  <c r="DB36"/>
  <c r="AQ32"/>
  <c r="CZ32"/>
  <c r="AQ24"/>
  <c r="CZ24"/>
  <c r="AQ20"/>
  <c r="CZ20"/>
  <c r="AM6"/>
  <c r="CT6"/>
  <c r="CV6"/>
  <c r="AQ16"/>
  <c r="CZ16"/>
  <c r="AQ12"/>
  <c r="CZ12"/>
  <c r="AM4"/>
  <c r="CT4"/>
  <c r="AK268"/>
  <c r="CQ268"/>
  <c r="CS268"/>
  <c r="AK264"/>
  <c r="CQ264"/>
  <c r="CS264" s="1"/>
  <c r="AK260"/>
  <c r="CQ260"/>
  <c r="CS260" s="1"/>
  <c r="AK256"/>
  <c r="CQ256"/>
  <c r="CS256" s="1"/>
  <c r="AK252"/>
  <c r="CQ252"/>
  <c r="CS252"/>
  <c r="AK248"/>
  <c r="CQ248"/>
  <c r="AK244"/>
  <c r="CQ244"/>
  <c r="AK240"/>
  <c r="CQ240"/>
  <c r="CS240" s="1"/>
  <c r="AK236"/>
  <c r="CQ236"/>
  <c r="CS236"/>
  <c r="AK232"/>
  <c r="CQ232"/>
  <c r="CS232"/>
  <c r="AK228"/>
  <c r="CQ228"/>
  <c r="AK224"/>
  <c r="CQ224"/>
  <c r="CS224" s="1"/>
  <c r="AK220"/>
  <c r="CQ220"/>
  <c r="CS220"/>
  <c r="AK216"/>
  <c r="CQ216"/>
  <c r="CS216"/>
  <c r="AK212"/>
  <c r="CQ212"/>
  <c r="AK208"/>
  <c r="CQ208"/>
  <c r="CS208"/>
  <c r="AK204"/>
  <c r="CQ204"/>
  <c r="AK200"/>
  <c r="CQ200"/>
  <c r="CS200"/>
  <c r="AK196"/>
  <c r="CQ196"/>
  <c r="CS196" s="1"/>
  <c r="AK192"/>
  <c r="CQ192"/>
  <c r="CS192" s="1"/>
  <c r="AK188"/>
  <c r="CQ188"/>
  <c r="CS188"/>
  <c r="AK184"/>
  <c r="CQ184"/>
  <c r="AK180"/>
  <c r="CQ180"/>
  <c r="CS180" s="1"/>
  <c r="AK176"/>
  <c r="CQ176"/>
  <c r="CS176"/>
  <c r="AK172"/>
  <c r="CQ172"/>
  <c r="CS172"/>
  <c r="AK168"/>
  <c r="CQ168"/>
  <c r="CS168" s="1"/>
  <c r="AK164"/>
  <c r="CQ164"/>
  <c r="CS164" s="1"/>
  <c r="AK160"/>
  <c r="CQ160"/>
  <c r="CS160" s="1"/>
  <c r="AK156"/>
  <c r="CQ156"/>
  <c r="CS156"/>
  <c r="AK152"/>
  <c r="CQ152"/>
  <c r="CS152" s="1"/>
  <c r="AK148"/>
  <c r="CQ148"/>
  <c r="CS148" s="1"/>
  <c r="AK144"/>
  <c r="CQ144"/>
  <c r="CS144" s="1"/>
  <c r="AK140"/>
  <c r="CQ140"/>
  <c r="AK136"/>
  <c r="CQ136"/>
  <c r="CS136"/>
  <c r="AK132"/>
  <c r="CQ132"/>
  <c r="CS132" s="1"/>
  <c r="AK128"/>
  <c r="CQ128"/>
  <c r="CS128" s="1"/>
  <c r="AK124"/>
  <c r="CQ124"/>
  <c r="AK120"/>
  <c r="CQ120"/>
  <c r="AK116"/>
  <c r="CQ116"/>
  <c r="CS116" s="1"/>
  <c r="AK112"/>
  <c r="CQ112"/>
  <c r="CS112" s="1"/>
  <c r="AK108"/>
  <c r="CQ108"/>
  <c r="CS108"/>
  <c r="AK104"/>
  <c r="CQ104"/>
  <c r="CS104"/>
  <c r="AK100"/>
  <c r="CQ100"/>
  <c r="CS100" s="1"/>
  <c r="AK96"/>
  <c r="CQ96"/>
  <c r="AK92"/>
  <c r="CQ92"/>
  <c r="CS92"/>
  <c r="AK88"/>
  <c r="CQ88"/>
  <c r="CS88"/>
  <c r="AK84"/>
  <c r="CQ84"/>
  <c r="CS84" s="1"/>
  <c r="AK80"/>
  <c r="CQ80"/>
  <c r="AK76"/>
  <c r="CQ76"/>
  <c r="CS76"/>
  <c r="AK72"/>
  <c r="CQ72"/>
  <c r="CS72"/>
  <c r="AK68"/>
  <c r="CQ68"/>
  <c r="CS68" s="1"/>
  <c r="AK64"/>
  <c r="CQ64"/>
  <c r="AK60"/>
  <c r="CQ60"/>
  <c r="CS60"/>
  <c r="AK56"/>
  <c r="CQ56"/>
  <c r="CS56"/>
  <c r="AK52"/>
  <c r="CQ52"/>
  <c r="AK48"/>
  <c r="CQ48"/>
  <c r="AK44"/>
  <c r="CQ44"/>
  <c r="CS44"/>
  <c r="AK40"/>
  <c r="CQ40"/>
  <c r="CS40"/>
  <c r="AK36"/>
  <c r="CQ36"/>
  <c r="AK32"/>
  <c r="CQ32"/>
  <c r="CS32" s="1"/>
  <c r="AK28"/>
  <c r="CQ28"/>
  <c r="CS28"/>
  <c r="AK24"/>
  <c r="CQ24"/>
  <c r="CS24"/>
  <c r="AK20"/>
  <c r="CQ20"/>
  <c r="CS20" s="1"/>
  <c r="AK16"/>
  <c r="CQ16"/>
  <c r="CS16"/>
  <c r="AK12"/>
  <c r="CQ12"/>
  <c r="CS12"/>
  <c r="AK8"/>
  <c r="CQ8"/>
  <c r="AO4"/>
  <c r="CW4"/>
  <c r="CY4" s="1"/>
  <c r="AM267"/>
  <c r="CT267"/>
  <c r="AM263"/>
  <c r="CT263"/>
  <c r="CV263"/>
  <c r="AM259"/>
  <c r="CT259"/>
  <c r="AM255"/>
  <c r="CT255"/>
  <c r="CV255" s="1"/>
  <c r="AM251"/>
  <c r="CT251"/>
  <c r="AM247"/>
  <c r="CT247"/>
  <c r="AM243"/>
  <c r="CT243"/>
  <c r="AM239"/>
  <c r="CT239"/>
  <c r="AM235"/>
  <c r="CT235"/>
  <c r="AM231"/>
  <c r="CT231"/>
  <c r="AM227"/>
  <c r="CT227"/>
  <c r="AM223"/>
  <c r="CT223"/>
  <c r="AM219"/>
  <c r="CT219"/>
  <c r="AM215"/>
  <c r="CT215"/>
  <c r="AM211"/>
  <c r="CT211"/>
  <c r="AM207"/>
  <c r="CT207"/>
  <c r="AM203"/>
  <c r="CT203"/>
  <c r="AM199"/>
  <c r="CT199"/>
  <c r="AM195"/>
  <c r="CT195"/>
  <c r="CV195" s="1"/>
  <c r="AM191"/>
  <c r="CT191"/>
  <c r="AM187"/>
  <c r="CT187"/>
  <c r="AM183"/>
  <c r="CT183"/>
  <c r="CV183"/>
  <c r="AM179"/>
  <c r="CT179"/>
  <c r="AM175"/>
  <c r="CT175"/>
  <c r="AM171"/>
  <c r="CT171"/>
  <c r="CV171" s="1"/>
  <c r="AM167"/>
  <c r="CT167"/>
  <c r="AM163"/>
  <c r="CT163"/>
  <c r="CV163" s="1"/>
  <c r="AM159"/>
  <c r="CT159"/>
  <c r="AM155"/>
  <c r="CT155"/>
  <c r="AM151"/>
  <c r="CT151"/>
  <c r="AM147"/>
  <c r="CT147"/>
  <c r="CV147" s="1"/>
  <c r="AM143"/>
  <c r="CT143"/>
  <c r="AM139"/>
  <c r="CT139"/>
  <c r="AM135"/>
  <c r="CT135"/>
  <c r="AM131"/>
  <c r="CT131"/>
  <c r="AM127"/>
  <c r="CT127"/>
  <c r="AM123"/>
  <c r="CT123"/>
  <c r="AM119"/>
  <c r="CT119"/>
  <c r="AM115"/>
  <c r="CT115"/>
  <c r="AM111"/>
  <c r="CT111"/>
  <c r="AM107"/>
  <c r="CT107"/>
  <c r="AM103"/>
  <c r="CT103"/>
  <c r="AM99"/>
  <c r="CT99"/>
  <c r="CV99" s="1"/>
  <c r="AM95"/>
  <c r="CT95"/>
  <c r="CV95" s="1"/>
  <c r="AM91"/>
  <c r="CT91"/>
  <c r="CV91" s="1"/>
  <c r="AM87"/>
  <c r="CT87"/>
  <c r="AM83"/>
  <c r="CT83"/>
  <c r="AM79"/>
  <c r="CT79"/>
  <c r="AM75"/>
  <c r="CT75"/>
  <c r="CV75" s="1"/>
  <c r="AM71"/>
  <c r="CT71"/>
  <c r="AM67"/>
  <c r="CT67"/>
  <c r="CV67"/>
  <c r="AM63"/>
  <c r="CT63"/>
  <c r="CV63" s="1"/>
  <c r="AM59"/>
  <c r="CT59"/>
  <c r="AM55"/>
  <c r="CT55"/>
  <c r="AM51"/>
  <c r="CT51"/>
  <c r="AM47"/>
  <c r="CT47"/>
  <c r="AM43"/>
  <c r="CT43"/>
  <c r="AM39"/>
  <c r="CT39"/>
  <c r="AM35"/>
  <c r="CT35"/>
  <c r="AM31"/>
  <c r="CT31"/>
  <c r="AM27"/>
  <c r="CT27"/>
  <c r="AM23"/>
  <c r="CT23"/>
  <c r="CV23"/>
  <c r="AM19"/>
  <c r="CT19"/>
  <c r="AM5"/>
  <c r="CT5"/>
  <c r="CV5" s="1"/>
  <c r="AM15"/>
  <c r="CT15"/>
  <c r="AM11"/>
  <c r="CT11"/>
  <c r="AO267"/>
  <c r="CW267"/>
  <c r="CY267"/>
  <c r="AO263"/>
  <c r="CW263"/>
  <c r="CY263" s="1"/>
  <c r="AO259"/>
  <c r="CW259"/>
  <c r="CY259" s="1"/>
  <c r="AO255"/>
  <c r="CW255"/>
  <c r="AO251"/>
  <c r="CW251"/>
  <c r="AO247"/>
  <c r="CW247"/>
  <c r="CY247" s="1"/>
  <c r="AO243"/>
  <c r="CW243"/>
  <c r="CY243" s="1"/>
  <c r="AO239"/>
  <c r="CW239"/>
  <c r="AO235"/>
  <c r="CW235"/>
  <c r="CY235" s="1"/>
  <c r="AO231"/>
  <c r="CW231"/>
  <c r="CY231" s="1"/>
  <c r="AO227"/>
  <c r="CW227"/>
  <c r="CY227" s="1"/>
  <c r="AO223"/>
  <c r="CW223"/>
  <c r="CY223"/>
  <c r="AO219"/>
  <c r="CW219"/>
  <c r="CY219" s="1"/>
  <c r="AO215"/>
  <c r="CW215"/>
  <c r="CY215" s="1"/>
  <c r="AO211"/>
  <c r="CW211"/>
  <c r="AO207"/>
  <c r="CW207"/>
  <c r="AO203"/>
  <c r="CW203"/>
  <c r="CY203" s="1"/>
  <c r="AO199"/>
  <c r="CW199"/>
  <c r="CY199" s="1"/>
  <c r="AO195"/>
  <c r="CW195"/>
  <c r="CY195" s="1"/>
  <c r="AO191"/>
  <c r="CW191"/>
  <c r="CY191"/>
  <c r="AO187"/>
  <c r="CW187"/>
  <c r="AO183"/>
  <c r="CW183"/>
  <c r="CY183" s="1"/>
  <c r="AO179"/>
  <c r="CW179"/>
  <c r="CY179" s="1"/>
  <c r="AO175"/>
  <c r="CW175"/>
  <c r="AO171"/>
  <c r="CW171"/>
  <c r="CY171"/>
  <c r="AO167"/>
  <c r="CW167"/>
  <c r="CY167" s="1"/>
  <c r="AO163"/>
  <c r="CW163"/>
  <c r="CY163" s="1"/>
  <c r="AO159"/>
  <c r="CW159"/>
  <c r="CY159"/>
  <c r="AO155"/>
  <c r="CW155"/>
  <c r="CY155"/>
  <c r="AO151"/>
  <c r="CW151"/>
  <c r="CY151" s="1"/>
  <c r="AO147"/>
  <c r="CW147"/>
  <c r="CY147" s="1"/>
  <c r="AO143"/>
  <c r="CW143"/>
  <c r="AO139"/>
  <c r="CW139"/>
  <c r="CY139" s="1"/>
  <c r="AO135"/>
  <c r="CW135"/>
  <c r="CY135" s="1"/>
  <c r="AO131"/>
  <c r="CW131"/>
  <c r="CY131" s="1"/>
  <c r="AO127"/>
  <c r="CW127"/>
  <c r="CY127"/>
  <c r="AO123"/>
  <c r="CW123"/>
  <c r="AO119"/>
  <c r="CW119"/>
  <c r="CY119" s="1"/>
  <c r="AO115"/>
  <c r="CW115"/>
  <c r="CY115" s="1"/>
  <c r="AO111"/>
  <c r="CW111"/>
  <c r="AO107"/>
  <c r="CW107"/>
  <c r="CY107" s="1"/>
  <c r="AO103"/>
  <c r="CW103"/>
  <c r="CY103" s="1"/>
  <c r="AO99"/>
  <c r="CW99"/>
  <c r="CY99" s="1"/>
  <c r="AO95"/>
  <c r="CW95"/>
  <c r="CY95"/>
  <c r="AO91"/>
  <c r="CW91"/>
  <c r="CY91" s="1"/>
  <c r="AO87"/>
  <c r="CW87"/>
  <c r="CY87" s="1"/>
  <c r="AO83"/>
  <c r="CW83"/>
  <c r="AO79"/>
  <c r="CW79"/>
  <c r="AO75"/>
  <c r="CW75"/>
  <c r="CY75" s="1"/>
  <c r="AO71"/>
  <c r="CW71"/>
  <c r="CY71" s="1"/>
  <c r="AO67"/>
  <c r="CW67"/>
  <c r="CY67" s="1"/>
  <c r="AO63"/>
  <c r="CW63"/>
  <c r="AO59"/>
  <c r="CW59"/>
  <c r="AO55"/>
  <c r="CW55"/>
  <c r="CY55" s="1"/>
  <c r="AO51"/>
  <c r="CW51"/>
  <c r="CY51" s="1"/>
  <c r="AO47"/>
  <c r="CW47"/>
  <c r="AO43"/>
  <c r="CW43"/>
  <c r="CY43"/>
  <c r="AO39"/>
  <c r="CW39"/>
  <c r="CY39" s="1"/>
  <c r="AO35"/>
  <c r="CW35"/>
  <c r="CY35" s="1"/>
  <c r="AO31"/>
  <c r="CW31"/>
  <c r="CY31"/>
  <c r="AO27"/>
  <c r="CW27"/>
  <c r="CY27"/>
  <c r="AO23"/>
  <c r="CW23"/>
  <c r="CY23" s="1"/>
  <c r="AO19"/>
  <c r="CW19"/>
  <c r="CY19" s="1"/>
  <c r="AO15"/>
  <c r="CW15"/>
  <c r="CY15"/>
  <c r="AO11"/>
  <c r="CW11"/>
  <c r="AO7"/>
  <c r="CW7"/>
  <c r="S12"/>
  <c r="CJ12"/>
  <c r="CL12" s="1"/>
  <c r="S18"/>
  <c r="CJ18"/>
  <c r="CL18"/>
  <c r="DB233"/>
  <c r="O26"/>
  <c r="CD26"/>
  <c r="CF26" s="1"/>
  <c r="O22"/>
  <c r="CD22"/>
  <c r="CF22" s="1"/>
  <c r="U12"/>
  <c r="CM12"/>
  <c r="AQ260"/>
  <c r="CZ260"/>
  <c r="AQ248"/>
  <c r="CZ248"/>
  <c r="DB248" s="1"/>
  <c r="AQ236"/>
  <c r="CZ236"/>
  <c r="DB236"/>
  <c r="AQ228"/>
  <c r="CZ228"/>
  <c r="AQ212"/>
  <c r="CZ212"/>
  <c r="DB212" s="1"/>
  <c r="AQ200"/>
  <c r="CZ200"/>
  <c r="AQ188"/>
  <c r="CZ188"/>
  <c r="AQ176"/>
  <c r="CZ176"/>
  <c r="AQ160"/>
  <c r="CZ160"/>
  <c r="AQ148"/>
  <c r="CZ148"/>
  <c r="DB148" s="1"/>
  <c r="AQ136"/>
  <c r="CZ136"/>
  <c r="AQ128"/>
  <c r="CZ128"/>
  <c r="DB128" s="1"/>
  <c r="AQ116"/>
  <c r="CZ116"/>
  <c r="DB116" s="1"/>
  <c r="AQ104"/>
  <c r="CZ104"/>
  <c r="AQ96"/>
  <c r="CZ96"/>
  <c r="DB96"/>
  <c r="AQ88"/>
  <c r="CZ88"/>
  <c r="DB88" s="1"/>
  <c r="AQ80"/>
  <c r="CZ80"/>
  <c r="AQ76"/>
  <c r="CZ76"/>
  <c r="AQ64"/>
  <c r="CZ64"/>
  <c r="AQ28"/>
  <c r="CZ28"/>
  <c r="DB28" s="1"/>
  <c r="U24"/>
  <c r="CM24"/>
  <c r="CO24" s="1"/>
  <c r="U25"/>
  <c r="CM25"/>
  <c r="CO25" s="1"/>
  <c r="Q4"/>
  <c r="CG4"/>
  <c r="CI4"/>
  <c r="U31"/>
  <c r="CM31"/>
  <c r="CO31" s="1"/>
  <c r="O6"/>
  <c r="CD6"/>
  <c r="CF6" s="1"/>
  <c r="O15"/>
  <c r="CD15"/>
  <c r="CF15" s="1"/>
  <c r="Q26"/>
  <c r="CG26"/>
  <c r="O27"/>
  <c r="CD27"/>
  <c r="CF27" s="1"/>
  <c r="U23"/>
  <c r="CM23"/>
  <c r="CO23" s="1"/>
  <c r="Q22"/>
  <c r="CG22"/>
  <c r="CI22" s="1"/>
  <c r="Q21"/>
  <c r="CG21"/>
  <c r="AQ266"/>
  <c r="CZ266"/>
  <c r="AQ262"/>
  <c r="CZ262"/>
  <c r="DB262" s="1"/>
  <c r="AQ258"/>
  <c r="CZ258"/>
  <c r="DB258" s="1"/>
  <c r="AQ254"/>
  <c r="CZ254"/>
  <c r="DB254"/>
  <c r="AQ250"/>
  <c r="CZ250"/>
  <c r="DB250" s="1"/>
  <c r="AQ246"/>
  <c r="CZ246"/>
  <c r="DB246" s="1"/>
  <c r="AQ242"/>
  <c r="CZ242"/>
  <c r="DB242" s="1"/>
  <c r="AQ238"/>
  <c r="CZ238"/>
  <c r="DB238"/>
  <c r="AQ234"/>
  <c r="CZ234"/>
  <c r="DB234" s="1"/>
  <c r="AQ230"/>
  <c r="CZ230"/>
  <c r="AQ226"/>
  <c r="CZ226"/>
  <c r="DB226" s="1"/>
  <c r="AQ222"/>
  <c r="CZ222"/>
  <c r="DB222"/>
  <c r="AQ218"/>
  <c r="CZ218"/>
  <c r="DB218" s="1"/>
  <c r="AQ214"/>
  <c r="CZ214"/>
  <c r="DB214" s="1"/>
  <c r="AQ210"/>
  <c r="CZ210"/>
  <c r="DB210" s="1"/>
  <c r="AQ206"/>
  <c r="CZ206"/>
  <c r="DB206"/>
  <c r="AQ202"/>
  <c r="CZ202"/>
  <c r="DB202" s="1"/>
  <c r="AQ198"/>
  <c r="CZ198"/>
  <c r="DB198" s="1"/>
  <c r="AQ194"/>
  <c r="CZ194"/>
  <c r="DB194" s="1"/>
  <c r="AQ190"/>
  <c r="CZ190"/>
  <c r="DB190"/>
  <c r="AQ186"/>
  <c r="CZ186"/>
  <c r="DB186" s="1"/>
  <c r="AQ182"/>
  <c r="CZ182"/>
  <c r="DB182" s="1"/>
  <c r="AQ178"/>
  <c r="CZ178"/>
  <c r="DB178" s="1"/>
  <c r="AQ174"/>
  <c r="CZ174"/>
  <c r="DB174"/>
  <c r="AQ170"/>
  <c r="CZ170"/>
  <c r="DB170" s="1"/>
  <c r="AQ166"/>
  <c r="CZ166"/>
  <c r="AQ162"/>
  <c r="CZ162"/>
  <c r="DB162" s="1"/>
  <c r="AQ158"/>
  <c r="CZ158"/>
  <c r="DB158"/>
  <c r="AQ154"/>
  <c r="CZ154"/>
  <c r="DB154" s="1"/>
  <c r="AQ150"/>
  <c r="CZ150"/>
  <c r="DB150" s="1"/>
  <c r="AQ146"/>
  <c r="CZ146"/>
  <c r="DB146" s="1"/>
  <c r="AQ142"/>
  <c r="CZ142"/>
  <c r="DB142"/>
  <c r="AQ138"/>
  <c r="CZ138"/>
  <c r="DB138" s="1"/>
  <c r="AQ134"/>
  <c r="CZ134"/>
  <c r="DB134" s="1"/>
  <c r="AQ130"/>
  <c r="CZ130"/>
  <c r="DB130" s="1"/>
  <c r="AQ126"/>
  <c r="CZ126"/>
  <c r="DB126"/>
  <c r="AQ122"/>
  <c r="CZ122"/>
  <c r="AQ118"/>
  <c r="CZ118"/>
  <c r="DB118" s="1"/>
  <c r="AQ114"/>
  <c r="CZ114"/>
  <c r="DB114" s="1"/>
  <c r="AQ110"/>
  <c r="CZ110"/>
  <c r="DB110"/>
  <c r="AQ106"/>
  <c r="CZ106"/>
  <c r="DB106" s="1"/>
  <c r="AQ102"/>
  <c r="CZ102"/>
  <c r="AQ98"/>
  <c r="CZ98"/>
  <c r="DB98" s="1"/>
  <c r="AQ94"/>
  <c r="CZ94"/>
  <c r="DB94"/>
  <c r="AQ90"/>
  <c r="CZ90"/>
  <c r="DB90" s="1"/>
  <c r="AQ86"/>
  <c r="CZ86"/>
  <c r="DB86" s="1"/>
  <c r="AQ82"/>
  <c r="CZ82"/>
  <c r="DB82" s="1"/>
  <c r="AQ78"/>
  <c r="CZ78"/>
  <c r="DB78"/>
  <c r="AQ74"/>
  <c r="CZ74"/>
  <c r="DB74" s="1"/>
  <c r="AQ70"/>
  <c r="CZ70"/>
  <c r="DB70" s="1"/>
  <c r="AQ66"/>
  <c r="CZ66"/>
  <c r="DB66" s="1"/>
  <c r="AQ62"/>
  <c r="CZ62"/>
  <c r="DB62"/>
  <c r="AQ58"/>
  <c r="CZ58"/>
  <c r="DB58" s="1"/>
  <c r="AQ54"/>
  <c r="CZ54"/>
  <c r="DB54" s="1"/>
  <c r="AQ50"/>
  <c r="CZ50"/>
  <c r="DB50" s="1"/>
  <c r="AQ46"/>
  <c r="CZ46"/>
  <c r="DB46"/>
  <c r="AQ42"/>
  <c r="CZ42"/>
  <c r="DB42" s="1"/>
  <c r="AQ38"/>
  <c r="CZ38"/>
  <c r="AQ34"/>
  <c r="CZ34"/>
  <c r="DB34" s="1"/>
  <c r="AQ30"/>
  <c r="CZ30"/>
  <c r="AQ26"/>
  <c r="CZ26"/>
  <c r="AQ22"/>
  <c r="CZ22"/>
  <c r="AQ10"/>
  <c r="CZ10"/>
  <c r="DB10" s="1"/>
  <c r="AQ18"/>
  <c r="CZ18"/>
  <c r="AQ14"/>
  <c r="CZ14"/>
  <c r="AQ9"/>
  <c r="CZ9"/>
  <c r="AS26" i="16"/>
  <c r="AO268" i="10"/>
  <c r="CW268"/>
  <c r="CY268" s="1"/>
  <c r="AO264"/>
  <c r="CW264"/>
  <c r="CY264" s="1"/>
  <c r="AO260"/>
  <c r="CW260"/>
  <c r="CY260"/>
  <c r="AO256"/>
  <c r="CW256"/>
  <c r="CY256"/>
  <c r="AO252"/>
  <c r="CW252"/>
  <c r="CY252" s="1"/>
  <c r="AO248"/>
  <c r="CW248"/>
  <c r="CY248" s="1"/>
  <c r="AO244"/>
  <c r="CW244"/>
  <c r="CY244"/>
  <c r="AO240"/>
  <c r="CW240"/>
  <c r="CY240"/>
  <c r="AO236"/>
  <c r="CW236"/>
  <c r="CY236" s="1"/>
  <c r="AO232"/>
  <c r="CW232"/>
  <c r="CY232" s="1"/>
  <c r="AO228"/>
  <c r="CW228"/>
  <c r="CY228"/>
  <c r="AO224"/>
  <c r="CW224"/>
  <c r="AO220"/>
  <c r="CW220"/>
  <c r="CY220" s="1"/>
  <c r="AO216"/>
  <c r="CW216"/>
  <c r="CY216"/>
  <c r="AO212"/>
  <c r="CW212"/>
  <c r="AO208"/>
  <c r="CW208"/>
  <c r="CY208" s="1"/>
  <c r="AO204"/>
  <c r="CW204"/>
  <c r="CY204" s="1"/>
  <c r="AO200"/>
  <c r="CW200"/>
  <c r="CY200"/>
  <c r="AO196"/>
  <c r="CW196"/>
  <c r="CY196"/>
  <c r="AO192"/>
  <c r="CW192"/>
  <c r="CY192"/>
  <c r="AO188"/>
  <c r="CW188"/>
  <c r="AO184"/>
  <c r="CW184"/>
  <c r="CY184" s="1"/>
  <c r="AO180"/>
  <c r="CW180"/>
  <c r="CY180"/>
  <c r="AO176"/>
  <c r="CW176"/>
  <c r="CY176"/>
  <c r="AO172"/>
  <c r="CW172"/>
  <c r="CY172" s="1"/>
  <c r="AO168"/>
  <c r="CW168"/>
  <c r="CY168" s="1"/>
  <c r="AO164"/>
  <c r="CW164"/>
  <c r="CY164"/>
  <c r="AO160"/>
  <c r="CW160"/>
  <c r="CY160"/>
  <c r="AO156"/>
  <c r="CW156"/>
  <c r="CY156" s="1"/>
  <c r="AO152"/>
  <c r="CW152"/>
  <c r="CY152" s="1"/>
  <c r="AO148"/>
  <c r="CW148"/>
  <c r="CY148"/>
  <c r="AO144"/>
  <c r="CW144"/>
  <c r="AO140"/>
  <c r="CW140"/>
  <c r="CY140" s="1"/>
  <c r="AO136"/>
  <c r="CW136"/>
  <c r="CY136" s="1"/>
  <c r="AO132"/>
  <c r="CW132"/>
  <c r="AO128"/>
  <c r="CW128"/>
  <c r="CY128"/>
  <c r="AO124"/>
  <c r="CW124"/>
  <c r="AO120"/>
  <c r="CW120"/>
  <c r="CY120" s="1"/>
  <c r="AO116"/>
  <c r="CW116"/>
  <c r="AO112"/>
  <c r="CW112"/>
  <c r="CY112"/>
  <c r="AO108"/>
  <c r="CW108"/>
  <c r="AO104"/>
  <c r="CW104"/>
  <c r="CY104" s="1"/>
  <c r="AO100"/>
  <c r="CW100"/>
  <c r="CY100"/>
  <c r="AO96"/>
  <c r="CW96"/>
  <c r="CY96"/>
  <c r="AO92"/>
  <c r="CW92"/>
  <c r="AO88"/>
  <c r="CW88"/>
  <c r="AO84"/>
  <c r="CW84"/>
  <c r="AO80"/>
  <c r="CW80"/>
  <c r="CY80"/>
  <c r="AO76"/>
  <c r="CW76"/>
  <c r="CY76" s="1"/>
  <c r="AO72"/>
  <c r="CW72"/>
  <c r="CY72" s="1"/>
  <c r="AO68"/>
  <c r="CW68"/>
  <c r="CY68"/>
  <c r="AO64"/>
  <c r="CW64"/>
  <c r="AO60"/>
  <c r="CW60"/>
  <c r="CY60" s="1"/>
  <c r="AO56"/>
  <c r="CW56"/>
  <c r="AO52"/>
  <c r="CW52"/>
  <c r="CY52"/>
  <c r="AO48"/>
  <c r="CW48"/>
  <c r="CY48" s="1"/>
  <c r="AO44"/>
  <c r="CW44"/>
  <c r="CY44" s="1"/>
  <c r="AO40"/>
  <c r="CW40"/>
  <c r="CY40" s="1"/>
  <c r="AO36"/>
  <c r="CW36"/>
  <c r="AO32"/>
  <c r="CW32"/>
  <c r="CY32" s="1"/>
  <c r="AO28"/>
  <c r="CW28"/>
  <c r="CY28" s="1"/>
  <c r="AO24"/>
  <c r="CW24"/>
  <c r="AO20"/>
  <c r="CW20"/>
  <c r="CY20"/>
  <c r="AO16"/>
  <c r="CW16"/>
  <c r="CY16" s="1"/>
  <c r="AO12"/>
  <c r="CW12"/>
  <c r="CY12" s="1"/>
  <c r="AO8"/>
  <c r="CW8"/>
  <c r="AK4"/>
  <c r="CQ4"/>
  <c r="CS4"/>
  <c r="AQ267"/>
  <c r="CZ267"/>
  <c r="AQ263"/>
  <c r="CZ263"/>
  <c r="AQ259"/>
  <c r="CZ259"/>
  <c r="AQ255"/>
  <c r="CZ255"/>
  <c r="AQ251"/>
  <c r="CZ251"/>
  <c r="AQ247"/>
  <c r="CZ247"/>
  <c r="DB247" s="1"/>
  <c r="AQ243"/>
  <c r="CZ243"/>
  <c r="AQ239"/>
  <c r="CZ239"/>
  <c r="DB239"/>
  <c r="AQ235"/>
  <c r="CZ235"/>
  <c r="DB235" s="1"/>
  <c r="AQ231"/>
  <c r="CZ231"/>
  <c r="AQ227"/>
  <c r="CZ227"/>
  <c r="DB227" s="1"/>
  <c r="AQ223"/>
  <c r="CZ223"/>
  <c r="DB223"/>
  <c r="AQ219"/>
  <c r="CZ219"/>
  <c r="DB219" s="1"/>
  <c r="AQ215"/>
  <c r="CZ215"/>
  <c r="DB215" s="1"/>
  <c r="AQ211"/>
  <c r="CZ211"/>
  <c r="DB211" s="1"/>
  <c r="AQ207"/>
  <c r="CZ207"/>
  <c r="DB207"/>
  <c r="AQ203"/>
  <c r="CZ203"/>
  <c r="DB203" s="1"/>
  <c r="AQ199"/>
  <c r="CZ199"/>
  <c r="DB199" s="1"/>
  <c r="AQ195"/>
  <c r="CZ195"/>
  <c r="AQ191"/>
  <c r="CZ191"/>
  <c r="AQ187"/>
  <c r="CZ187"/>
  <c r="AQ183"/>
  <c r="CZ183"/>
  <c r="AQ179"/>
  <c r="CZ179"/>
  <c r="DB179" s="1"/>
  <c r="AQ175"/>
  <c r="CZ175"/>
  <c r="AQ171"/>
  <c r="CZ171"/>
  <c r="AQ167"/>
  <c r="CZ167"/>
  <c r="DB167" s="1"/>
  <c r="AQ163"/>
  <c r="CZ163"/>
  <c r="AQ159"/>
  <c r="CZ159"/>
  <c r="DB159"/>
  <c r="AQ155"/>
  <c r="CZ155"/>
  <c r="DB155" s="1"/>
  <c r="AQ151"/>
  <c r="CZ151"/>
  <c r="DB151" s="1"/>
  <c r="AQ147"/>
  <c r="CZ147"/>
  <c r="AQ143"/>
  <c r="CZ143"/>
  <c r="AQ139"/>
  <c r="CZ139"/>
  <c r="DB139" s="1"/>
  <c r="AQ135"/>
  <c r="CZ135"/>
  <c r="DB135" s="1"/>
  <c r="AQ131"/>
  <c r="CZ131"/>
  <c r="DB131" s="1"/>
  <c r="AQ127"/>
  <c r="CZ127"/>
  <c r="DB127"/>
  <c r="AQ123"/>
  <c r="CZ123"/>
  <c r="DB123" s="1"/>
  <c r="AQ119"/>
  <c r="CZ119"/>
  <c r="DB119" s="1"/>
  <c r="AQ115"/>
  <c r="CZ115"/>
  <c r="AQ111"/>
  <c r="CZ111"/>
  <c r="AQ107"/>
  <c r="CZ107"/>
  <c r="DB107" s="1"/>
  <c r="AQ103"/>
  <c r="CZ103"/>
  <c r="DB103" s="1"/>
  <c r="AQ99"/>
  <c r="CZ99"/>
  <c r="AQ95"/>
  <c r="CZ95"/>
  <c r="AQ91"/>
  <c r="CZ91"/>
  <c r="AQ87"/>
  <c r="CZ87"/>
  <c r="DB87" s="1"/>
  <c r="AQ83"/>
  <c r="CZ83"/>
  <c r="DB83" s="1"/>
  <c r="AQ79"/>
  <c r="CZ79"/>
  <c r="AQ75"/>
  <c r="CZ75"/>
  <c r="AQ71"/>
  <c r="CZ71"/>
  <c r="DB71" s="1"/>
  <c r="AQ67"/>
  <c r="CZ67"/>
  <c r="AQ63"/>
  <c r="CZ63"/>
  <c r="AQ59"/>
  <c r="CZ59"/>
  <c r="AQ55"/>
  <c r="CZ55"/>
  <c r="DB55" s="1"/>
  <c r="AQ51"/>
  <c r="CZ51"/>
  <c r="DB51" s="1"/>
  <c r="AQ47"/>
  <c r="CZ47"/>
  <c r="DB47"/>
  <c r="AQ43"/>
  <c r="CZ43"/>
  <c r="DB43" s="1"/>
  <c r="AQ39"/>
  <c r="CZ39"/>
  <c r="DB39" s="1"/>
  <c r="AQ35"/>
  <c r="CZ35"/>
  <c r="AQ31"/>
  <c r="CZ31"/>
  <c r="DB31"/>
  <c r="AQ27"/>
  <c r="CZ27"/>
  <c r="DB27" s="1"/>
  <c r="AQ23"/>
  <c r="CZ23"/>
  <c r="AQ19"/>
  <c r="CZ19"/>
  <c r="DB19" s="1"/>
  <c r="AQ5"/>
  <c r="CZ5"/>
  <c r="AQ15"/>
  <c r="CZ15"/>
  <c r="DB15" s="1"/>
  <c r="AQ11"/>
  <c r="CZ11"/>
  <c r="DB11" s="1"/>
  <c r="AK265"/>
  <c r="CQ265"/>
  <c r="CS265" s="1"/>
  <c r="AK261"/>
  <c r="CQ261"/>
  <c r="CS261"/>
  <c r="AK257"/>
  <c r="CQ257"/>
  <c r="CS257"/>
  <c r="AK253"/>
  <c r="CQ253"/>
  <c r="AK249"/>
  <c r="CQ249"/>
  <c r="AK245"/>
  <c r="CQ245"/>
  <c r="CS245"/>
  <c r="AK241"/>
  <c r="CQ241"/>
  <c r="CS241" s="1"/>
  <c r="AK237"/>
  <c r="CQ237"/>
  <c r="AK233"/>
  <c r="CQ233"/>
  <c r="CS233" s="1"/>
  <c r="AK229"/>
  <c r="CQ229"/>
  <c r="CS229"/>
  <c r="AK225"/>
  <c r="CQ225"/>
  <c r="CS225"/>
  <c r="AK221"/>
  <c r="CQ221"/>
  <c r="CS221" s="1"/>
  <c r="AK217"/>
  <c r="CQ217"/>
  <c r="CS217" s="1"/>
  <c r="AK213"/>
  <c r="CQ213"/>
  <c r="CS213"/>
  <c r="AK209"/>
  <c r="CQ209"/>
  <c r="CS209"/>
  <c r="AK205"/>
  <c r="CQ205"/>
  <c r="AK201"/>
  <c r="CQ201"/>
  <c r="CS201" s="1"/>
  <c r="AK197"/>
  <c r="CQ197"/>
  <c r="CS197"/>
  <c r="AK193"/>
  <c r="CQ193"/>
  <c r="CS193"/>
  <c r="AK189"/>
  <c r="CQ189"/>
  <c r="CS189" s="1"/>
  <c r="AK185"/>
  <c r="CQ185"/>
  <c r="CS185" s="1"/>
  <c r="AK181"/>
  <c r="CQ181"/>
  <c r="CS181"/>
  <c r="AK177"/>
  <c r="CQ177"/>
  <c r="CS177"/>
  <c r="AK173"/>
  <c r="CQ173"/>
  <c r="AK169"/>
  <c r="CQ169"/>
  <c r="CS169"/>
  <c r="AK165"/>
  <c r="CQ165"/>
  <c r="CS165"/>
  <c r="AK161"/>
  <c r="CQ161"/>
  <c r="CS161"/>
  <c r="AK157"/>
  <c r="CQ157"/>
  <c r="CS157" s="1"/>
  <c r="AK153"/>
  <c r="CQ153"/>
  <c r="CS153"/>
  <c r="AK149"/>
  <c r="CQ149"/>
  <c r="CS149"/>
  <c r="AK145"/>
  <c r="CQ145"/>
  <c r="CS145"/>
  <c r="AK141"/>
  <c r="CQ141"/>
  <c r="AK137"/>
  <c r="CQ137"/>
  <c r="CS137"/>
  <c r="AK133"/>
  <c r="CQ133"/>
  <c r="CS133"/>
  <c r="AK129"/>
  <c r="CQ129"/>
  <c r="CS129"/>
  <c r="AK125"/>
  <c r="CQ125"/>
  <c r="CS125" s="1"/>
  <c r="AK121"/>
  <c r="CQ121"/>
  <c r="AK117"/>
  <c r="CQ117"/>
  <c r="CS117"/>
  <c r="AK113"/>
  <c r="CQ113"/>
  <c r="CS113"/>
  <c r="AK109"/>
  <c r="CQ109"/>
  <c r="AK105"/>
  <c r="CQ105"/>
  <c r="CS105" s="1"/>
  <c r="AK101"/>
  <c r="CQ101"/>
  <c r="CS101"/>
  <c r="AK97"/>
  <c r="CQ97"/>
  <c r="CS97"/>
  <c r="AK93"/>
  <c r="CQ93"/>
  <c r="CS93" s="1"/>
  <c r="AK89"/>
  <c r="CQ89"/>
  <c r="CS89"/>
  <c r="AK85"/>
  <c r="CQ85"/>
  <c r="CS85"/>
  <c r="AK81"/>
  <c r="CQ81"/>
  <c r="CS81"/>
  <c r="AK77"/>
  <c r="CQ77"/>
  <c r="CS77" s="1"/>
  <c r="AK73"/>
  <c r="CQ73"/>
  <c r="CS73"/>
  <c r="AK69"/>
  <c r="CQ69"/>
  <c r="CS69"/>
  <c r="AK65"/>
  <c r="CQ65"/>
  <c r="CS65"/>
  <c r="AK61"/>
  <c r="CQ61"/>
  <c r="CS61" s="1"/>
  <c r="AK57"/>
  <c r="CQ57"/>
  <c r="CS57"/>
  <c r="AK53"/>
  <c r="CQ53"/>
  <c r="CS53"/>
  <c r="AK49"/>
  <c r="CQ49"/>
  <c r="CS49"/>
  <c r="AK45"/>
  <c r="CQ45"/>
  <c r="AK41"/>
  <c r="CQ41"/>
  <c r="CS41"/>
  <c r="AK37"/>
  <c r="CQ37"/>
  <c r="CS37"/>
  <c r="AK33"/>
  <c r="CQ33"/>
  <c r="CS33"/>
  <c r="AK29"/>
  <c r="CQ29"/>
  <c r="CS29" s="1"/>
  <c r="AK25"/>
  <c r="CQ25"/>
  <c r="CS25" s="1"/>
  <c r="AK21"/>
  <c r="CQ21"/>
  <c r="CS21"/>
  <c r="AK17"/>
  <c r="CQ17"/>
  <c r="CS17" s="1"/>
  <c r="AK13"/>
  <c r="CQ13"/>
  <c r="CS13" s="1"/>
  <c r="AK9"/>
  <c r="CQ9"/>
  <c r="CS9"/>
  <c r="AK5"/>
  <c r="CQ5"/>
  <c r="O21"/>
  <c r="CD21"/>
  <c r="DB121"/>
  <c r="S20"/>
  <c r="CJ20"/>
  <c r="CL20" s="1"/>
  <c r="O8"/>
  <c r="CD8"/>
  <c r="O23"/>
  <c r="CD23"/>
  <c r="CF23"/>
  <c r="S24"/>
  <c r="CJ24"/>
  <c r="CL24" s="1"/>
  <c r="Q8"/>
  <c r="CG8"/>
  <c r="CI8" s="1"/>
  <c r="U19"/>
  <c r="CM19"/>
  <c r="AQ268"/>
  <c r="CZ268"/>
  <c r="AQ256"/>
  <c r="CZ256"/>
  <c r="DB256" s="1"/>
  <c r="AQ244"/>
  <c r="CZ244"/>
  <c r="AQ232"/>
  <c r="CZ232"/>
  <c r="DB232"/>
  <c r="AQ224"/>
  <c r="CZ224"/>
  <c r="DB224" s="1"/>
  <c r="AQ216"/>
  <c r="CZ216"/>
  <c r="AQ204"/>
  <c r="CZ204"/>
  <c r="AQ192"/>
  <c r="CZ192"/>
  <c r="AQ184"/>
  <c r="CZ184"/>
  <c r="DB184" s="1"/>
  <c r="AQ172"/>
  <c r="CZ172"/>
  <c r="AQ164"/>
  <c r="CZ164"/>
  <c r="DB164" s="1"/>
  <c r="AQ152"/>
  <c r="CZ152"/>
  <c r="AQ144"/>
  <c r="CZ144"/>
  <c r="AQ132"/>
  <c r="CZ132"/>
  <c r="AQ120"/>
  <c r="CZ120"/>
  <c r="DB120" s="1"/>
  <c r="AQ108"/>
  <c r="CZ108"/>
  <c r="DB108"/>
  <c r="AQ68"/>
  <c r="CZ68"/>
  <c r="DB68" s="1"/>
  <c r="O11"/>
  <c r="CD11"/>
  <c r="CF11" s="1"/>
  <c r="Q14"/>
  <c r="CG14"/>
  <c r="CI14" s="1"/>
  <c r="U15"/>
  <c r="CM15"/>
  <c r="CO15"/>
  <c r="O31"/>
  <c r="CD31"/>
  <c r="CF31" s="1"/>
  <c r="U27"/>
  <c r="CM27"/>
  <c r="CO27" s="1"/>
  <c r="Q16"/>
  <c r="CG16"/>
  <c r="CI16"/>
  <c r="O25"/>
  <c r="CD25"/>
  <c r="CF25"/>
  <c r="S17"/>
  <c r="CJ17"/>
  <c r="CL17" s="1"/>
  <c r="O7"/>
  <c r="CD7"/>
  <c r="CF7" s="1"/>
  <c r="O16"/>
  <c r="CD16"/>
  <c r="AM266"/>
  <c r="CT266"/>
  <c r="AM262"/>
  <c r="CT262"/>
  <c r="CV262"/>
  <c r="AM258"/>
  <c r="CT258"/>
  <c r="CV258" s="1"/>
  <c r="AM254"/>
  <c r="CT254"/>
  <c r="CV254" s="1"/>
  <c r="AM250"/>
  <c r="CT250"/>
  <c r="AM246"/>
  <c r="CT246"/>
  <c r="CV246"/>
  <c r="AM242"/>
  <c r="CT242"/>
  <c r="CV242" s="1"/>
  <c r="AM238"/>
  <c r="CT238"/>
  <c r="CV238" s="1"/>
  <c r="AM234"/>
  <c r="CT234"/>
  <c r="CV234"/>
  <c r="AM230"/>
  <c r="CT230"/>
  <c r="AM226"/>
  <c r="CT226"/>
  <c r="CV226" s="1"/>
  <c r="AM222"/>
  <c r="CT222"/>
  <c r="CV222" s="1"/>
  <c r="AM218"/>
  <c r="CT218"/>
  <c r="CV218"/>
  <c r="AM214"/>
  <c r="CT214"/>
  <c r="CV214" s="1"/>
  <c r="AM210"/>
  <c r="CT210"/>
  <c r="CV210" s="1"/>
  <c r="AM206"/>
  <c r="CT206"/>
  <c r="CV206" s="1"/>
  <c r="AM202"/>
  <c r="CT202"/>
  <c r="CV202"/>
  <c r="AM198"/>
  <c r="CT198"/>
  <c r="AM194"/>
  <c r="CT194"/>
  <c r="CV194" s="1"/>
  <c r="AM190"/>
  <c r="CT190"/>
  <c r="CV190" s="1"/>
  <c r="AM186"/>
  <c r="CT186"/>
  <c r="AM182"/>
  <c r="CT182"/>
  <c r="AM178"/>
  <c r="CT178"/>
  <c r="CV178" s="1"/>
  <c r="AM174"/>
  <c r="CT174"/>
  <c r="CV174" s="1"/>
  <c r="AM170"/>
  <c r="CT170"/>
  <c r="CV170"/>
  <c r="AM166"/>
  <c r="CT166"/>
  <c r="AM162"/>
  <c r="CT162"/>
  <c r="CV162" s="1"/>
  <c r="AM158"/>
  <c r="CT158"/>
  <c r="CV158" s="1"/>
  <c r="AM154"/>
  <c r="CT154"/>
  <c r="CV154"/>
  <c r="AM150"/>
  <c r="CT150"/>
  <c r="CV150" s="1"/>
  <c r="AM146"/>
  <c r="CT146"/>
  <c r="CV146" s="1"/>
  <c r="AM142"/>
  <c r="CT142"/>
  <c r="CV142" s="1"/>
  <c r="AM138"/>
  <c r="CT138"/>
  <c r="CV138"/>
  <c r="AM134"/>
  <c r="CT134"/>
  <c r="AM130"/>
  <c r="CT130"/>
  <c r="CV130" s="1"/>
  <c r="AM126"/>
  <c r="CT126"/>
  <c r="CV126" s="1"/>
  <c r="AM122"/>
  <c r="CT122"/>
  <c r="AM118"/>
  <c r="CT118"/>
  <c r="CV118"/>
  <c r="AM114"/>
  <c r="CT114"/>
  <c r="CV114" s="1"/>
  <c r="AM110"/>
  <c r="CT110"/>
  <c r="CV110" s="1"/>
  <c r="AM106"/>
  <c r="CT106"/>
  <c r="CV106"/>
  <c r="AM102"/>
  <c r="CT102"/>
  <c r="AM98"/>
  <c r="CT98"/>
  <c r="CV98" s="1"/>
  <c r="AM94"/>
  <c r="CT94"/>
  <c r="CV94" s="1"/>
  <c r="AM90"/>
  <c r="CT90"/>
  <c r="CV90"/>
  <c r="AM86"/>
  <c r="CT86"/>
  <c r="CV86" s="1"/>
  <c r="AM82"/>
  <c r="CT82"/>
  <c r="CV82" s="1"/>
  <c r="AM78"/>
  <c r="CT78"/>
  <c r="CV78" s="1"/>
  <c r="AM74"/>
  <c r="CT74"/>
  <c r="CV74"/>
  <c r="AM70"/>
  <c r="CT70"/>
  <c r="AM66"/>
  <c r="CT66"/>
  <c r="CV66" s="1"/>
  <c r="AM62"/>
  <c r="CT62"/>
  <c r="CV62" s="1"/>
  <c r="AM58"/>
  <c r="CT58"/>
  <c r="AM54"/>
  <c r="CT54"/>
  <c r="CV54" s="1"/>
  <c r="AM50"/>
  <c r="CT50"/>
  <c r="CV50" s="1"/>
  <c r="AM46"/>
  <c r="CT46"/>
  <c r="CV46" s="1"/>
  <c r="AM42"/>
  <c r="CT42"/>
  <c r="CV42"/>
  <c r="AM38"/>
  <c r="CT38"/>
  <c r="AM34"/>
  <c r="CT34"/>
  <c r="CV34" s="1"/>
  <c r="AM30"/>
  <c r="CT30"/>
  <c r="CV30" s="1"/>
  <c r="AM26"/>
  <c r="CT26"/>
  <c r="AM22"/>
  <c r="CT22"/>
  <c r="CV22" s="1"/>
  <c r="AM10"/>
  <c r="CT10"/>
  <c r="AM18"/>
  <c r="CT18"/>
  <c r="CV18" s="1"/>
  <c r="AM14"/>
  <c r="CT14"/>
  <c r="CV14"/>
  <c r="AM9"/>
  <c r="CT9"/>
  <c r="AO266"/>
  <c r="CW266"/>
  <c r="CY266" s="1"/>
  <c r="AO262"/>
  <c r="CW262"/>
  <c r="CY262" s="1"/>
  <c r="AO258"/>
  <c r="CW258"/>
  <c r="AO254"/>
  <c r="CW254"/>
  <c r="AO250"/>
  <c r="CW250"/>
  <c r="CY250" s="1"/>
  <c r="AO246"/>
  <c r="CW246"/>
  <c r="AO242"/>
  <c r="CW242"/>
  <c r="CY242"/>
  <c r="AO238"/>
  <c r="CW238"/>
  <c r="CY238"/>
  <c r="AO234"/>
  <c r="CW234"/>
  <c r="CY234" s="1"/>
  <c r="AO230"/>
  <c r="CW230"/>
  <c r="CY230" s="1"/>
  <c r="AO226"/>
  <c r="CW226"/>
  <c r="CY226"/>
  <c r="AO222"/>
  <c r="CW222"/>
  <c r="AO218"/>
  <c r="CW218"/>
  <c r="AO214"/>
  <c r="CW214"/>
  <c r="CY214" s="1"/>
  <c r="AO210"/>
  <c r="CW210"/>
  <c r="CY210"/>
  <c r="AO206"/>
  <c r="CW206"/>
  <c r="CY206" s="1"/>
  <c r="AO202"/>
  <c r="CW202"/>
  <c r="CY202" s="1"/>
  <c r="AO198"/>
  <c r="CW198"/>
  <c r="AO194"/>
  <c r="CW194"/>
  <c r="CY194"/>
  <c r="AO190"/>
  <c r="CW190"/>
  <c r="CY190" s="1"/>
  <c r="AO186"/>
  <c r="CW186"/>
  <c r="AO182"/>
  <c r="CW182"/>
  <c r="CY182" s="1"/>
  <c r="AO178"/>
  <c r="CW178"/>
  <c r="CY178"/>
  <c r="AO174"/>
  <c r="CW174"/>
  <c r="CY174"/>
  <c r="AO170"/>
  <c r="CW170"/>
  <c r="AO166"/>
  <c r="CW166"/>
  <c r="AO162"/>
  <c r="CW162"/>
  <c r="AO158"/>
  <c r="CW158"/>
  <c r="CY158" s="1"/>
  <c r="AO154"/>
  <c r="CW154"/>
  <c r="AO150"/>
  <c r="CW150"/>
  <c r="CY150" s="1"/>
  <c r="AO146"/>
  <c r="CW146"/>
  <c r="CY146"/>
  <c r="AO142"/>
  <c r="CW142"/>
  <c r="CY142" s="1"/>
  <c r="AO138"/>
  <c r="CW138"/>
  <c r="CY138" s="1"/>
  <c r="AO134"/>
  <c r="CW134"/>
  <c r="CY134" s="1"/>
  <c r="AO130"/>
  <c r="CW130"/>
  <c r="CY130"/>
  <c r="AO126"/>
  <c r="CW126"/>
  <c r="CY126" s="1"/>
  <c r="AO122"/>
  <c r="CW122"/>
  <c r="AO118"/>
  <c r="CW118"/>
  <c r="AO114"/>
  <c r="CW114"/>
  <c r="CY114"/>
  <c r="AO110"/>
  <c r="CW110"/>
  <c r="AO106"/>
  <c r="CW106"/>
  <c r="AO102"/>
  <c r="CW102"/>
  <c r="CY102" s="1"/>
  <c r="AO98"/>
  <c r="CW98"/>
  <c r="CY98"/>
  <c r="AO94"/>
  <c r="CW94"/>
  <c r="AO90"/>
  <c r="CW90"/>
  <c r="AO86"/>
  <c r="CW86"/>
  <c r="CY86" s="1"/>
  <c r="AO82"/>
  <c r="CW82"/>
  <c r="AO78"/>
  <c r="CW78"/>
  <c r="CY78" s="1"/>
  <c r="AO74"/>
  <c r="CW74"/>
  <c r="AO70"/>
  <c r="CW70"/>
  <c r="CY70" s="1"/>
  <c r="AO66"/>
  <c r="CW66"/>
  <c r="CY66"/>
  <c r="AO62"/>
  <c r="CW62"/>
  <c r="CY62" s="1"/>
  <c r="AO58"/>
  <c r="CW58"/>
  <c r="AO54"/>
  <c r="CW54"/>
  <c r="CY54" s="1"/>
  <c r="AO50"/>
  <c r="CW50"/>
  <c r="AO46"/>
  <c r="CW46"/>
  <c r="CY46"/>
  <c r="AO42"/>
  <c r="CW42"/>
  <c r="CY42" s="1"/>
  <c r="AO38"/>
  <c r="CW38"/>
  <c r="CY38" s="1"/>
  <c r="AO34"/>
  <c r="CW34"/>
  <c r="CY34"/>
  <c r="AO30"/>
  <c r="CW30"/>
  <c r="CY30"/>
  <c r="AO26"/>
  <c r="CW26"/>
  <c r="CY26" s="1"/>
  <c r="AO22"/>
  <c r="CW22"/>
  <c r="CY22" s="1"/>
  <c r="AO18"/>
  <c r="CW18"/>
  <c r="CY18"/>
  <c r="AO14"/>
  <c r="CW14"/>
  <c r="AO10"/>
  <c r="CW10"/>
  <c r="AO6"/>
  <c r="CW6"/>
  <c r="CY6" s="1"/>
  <c r="AM265"/>
  <c r="CT265"/>
  <c r="AM261"/>
  <c r="CT261"/>
  <c r="CV261"/>
  <c r="AM257"/>
  <c r="CT257"/>
  <c r="CV257" s="1"/>
  <c r="AM253"/>
  <c r="CT253"/>
  <c r="CV253" s="1"/>
  <c r="AM249"/>
  <c r="CT249"/>
  <c r="CV249"/>
  <c r="AM245"/>
  <c r="CT245"/>
  <c r="CV245" s="1"/>
  <c r="AM241"/>
  <c r="CT241"/>
  <c r="AM237"/>
  <c r="CT237"/>
  <c r="CV237" s="1"/>
  <c r="AM233"/>
  <c r="CT233"/>
  <c r="CV233"/>
  <c r="AM229"/>
  <c r="CT229"/>
  <c r="CV229"/>
  <c r="AM225"/>
  <c r="CT225"/>
  <c r="AM221"/>
  <c r="CT221"/>
  <c r="CV221" s="1"/>
  <c r="AM217"/>
  <c r="CT217"/>
  <c r="CV217"/>
  <c r="AM213"/>
  <c r="CT213"/>
  <c r="CV213"/>
  <c r="AM209"/>
  <c r="CT209"/>
  <c r="CV209" s="1"/>
  <c r="AM205"/>
  <c r="CT205"/>
  <c r="CV205" s="1"/>
  <c r="AM201"/>
  <c r="CT201"/>
  <c r="CV201"/>
  <c r="AM197"/>
  <c r="CT197"/>
  <c r="CV197"/>
  <c r="AM193"/>
  <c r="CT193"/>
  <c r="AM189"/>
  <c r="CT189"/>
  <c r="CV189" s="1"/>
  <c r="AM185"/>
  <c r="CT185"/>
  <c r="CV185"/>
  <c r="AM181"/>
  <c r="CT181"/>
  <c r="AM177"/>
  <c r="CT177"/>
  <c r="CV177" s="1"/>
  <c r="AM173"/>
  <c r="CT173"/>
  <c r="CV173" s="1"/>
  <c r="AM169"/>
  <c r="CT169"/>
  <c r="CV169"/>
  <c r="AM165"/>
  <c r="CT165"/>
  <c r="CV165"/>
  <c r="AM161"/>
  <c r="CT161"/>
  <c r="AM157"/>
  <c r="CT157"/>
  <c r="CV157" s="1"/>
  <c r="AM153"/>
  <c r="CT153"/>
  <c r="CV153"/>
  <c r="AM149"/>
  <c r="CT149"/>
  <c r="CV149"/>
  <c r="AM145"/>
  <c r="CT145"/>
  <c r="CV145" s="1"/>
  <c r="AM141"/>
  <c r="CT141"/>
  <c r="CV141" s="1"/>
  <c r="AM137"/>
  <c r="CT137"/>
  <c r="CV137"/>
  <c r="AM133"/>
  <c r="CT133"/>
  <c r="CV133"/>
  <c r="AM129"/>
  <c r="CT129"/>
  <c r="AM125"/>
  <c r="CT125"/>
  <c r="CV125" s="1"/>
  <c r="AM121"/>
  <c r="CT121"/>
  <c r="CV121"/>
  <c r="AM117"/>
  <c r="CT117"/>
  <c r="AM113"/>
  <c r="CT113"/>
  <c r="AM109"/>
  <c r="CT109"/>
  <c r="CV109" s="1"/>
  <c r="AM105"/>
  <c r="CT105"/>
  <c r="CV105"/>
  <c r="AM101"/>
  <c r="CT101"/>
  <c r="CV101"/>
  <c r="AM97"/>
  <c r="CT97"/>
  <c r="AM93"/>
  <c r="CT93"/>
  <c r="CV93" s="1"/>
  <c r="AM89"/>
  <c r="CT89"/>
  <c r="AM85"/>
  <c r="CT85"/>
  <c r="AM81"/>
  <c r="CT81"/>
  <c r="AM77"/>
  <c r="CT77"/>
  <c r="AM73"/>
  <c r="CT73"/>
  <c r="CV73"/>
  <c r="AM69"/>
  <c r="CT69"/>
  <c r="CV69" s="1"/>
  <c r="AM65"/>
  <c r="CT65"/>
  <c r="AM61"/>
  <c r="CT61"/>
  <c r="CV61" s="1"/>
  <c r="AM57"/>
  <c r="CT57"/>
  <c r="AM53"/>
  <c r="CT53"/>
  <c r="AM49"/>
  <c r="CT49"/>
  <c r="AM45"/>
  <c r="CT45"/>
  <c r="CV45" s="1"/>
  <c r="AM41"/>
  <c r="CT41"/>
  <c r="CV41"/>
  <c r="AM37"/>
  <c r="CT37"/>
  <c r="AM33"/>
  <c r="CT33"/>
  <c r="AM29"/>
  <c r="CT29"/>
  <c r="AM25"/>
  <c r="CT25"/>
  <c r="AM21"/>
  <c r="CT21"/>
  <c r="CV21"/>
  <c r="AM8"/>
  <c r="CT8"/>
  <c r="CV8" s="1"/>
  <c r="AQ17"/>
  <c r="CZ17"/>
  <c r="AM13"/>
  <c r="CT13"/>
  <c r="AM7"/>
  <c r="CT7"/>
  <c r="CV7"/>
  <c r="AO265"/>
  <c r="CW265"/>
  <c r="CY265" s="1"/>
  <c r="AO261"/>
  <c r="CW261"/>
  <c r="CY261" s="1"/>
  <c r="AO257"/>
  <c r="CW257"/>
  <c r="CY257"/>
  <c r="AO253"/>
  <c r="CW253"/>
  <c r="CY253"/>
  <c r="AO249"/>
  <c r="CW249"/>
  <c r="AO245"/>
  <c r="CW245"/>
  <c r="CY245" s="1"/>
  <c r="AO241"/>
  <c r="CW241"/>
  <c r="CY241"/>
  <c r="AO237"/>
  <c r="CW237"/>
  <c r="AO233"/>
  <c r="CW233"/>
  <c r="CY233" s="1"/>
  <c r="AO229"/>
  <c r="CW229"/>
  <c r="CY229" s="1"/>
  <c r="AO225"/>
  <c r="CW225"/>
  <c r="CY225"/>
  <c r="AO221"/>
  <c r="CW221"/>
  <c r="CY221" s="1"/>
  <c r="AO217"/>
  <c r="CW217"/>
  <c r="CY217" s="1"/>
  <c r="AO213"/>
  <c r="CW213"/>
  <c r="CY213" s="1"/>
  <c r="AO209"/>
  <c r="CW209"/>
  <c r="AO205"/>
  <c r="CW205"/>
  <c r="CY205" s="1"/>
  <c r="AO201"/>
  <c r="CW201"/>
  <c r="CY201" s="1"/>
  <c r="AO197"/>
  <c r="CW197"/>
  <c r="CY197" s="1"/>
  <c r="AO193"/>
  <c r="CW193"/>
  <c r="CY193"/>
  <c r="AO189"/>
  <c r="CW189"/>
  <c r="AO185"/>
  <c r="CW185"/>
  <c r="AO181"/>
  <c r="CW181"/>
  <c r="CY181" s="1"/>
  <c r="AO177"/>
  <c r="CW177"/>
  <c r="CY177"/>
  <c r="AO173"/>
  <c r="CW173"/>
  <c r="AO169"/>
  <c r="CW169"/>
  <c r="CY169" s="1"/>
  <c r="AO165"/>
  <c r="CW165"/>
  <c r="CY165" s="1"/>
  <c r="AO161"/>
  <c r="CW161"/>
  <c r="CY161"/>
  <c r="AO157"/>
  <c r="CW157"/>
  <c r="CY157" s="1"/>
  <c r="AO153"/>
  <c r="CW153"/>
  <c r="CY153" s="1"/>
  <c r="AO149"/>
  <c r="CW149"/>
  <c r="CY149" s="1"/>
  <c r="AO145"/>
  <c r="CW145"/>
  <c r="AO141"/>
  <c r="CW141"/>
  <c r="CY141" s="1"/>
  <c r="AO137"/>
  <c r="CW137"/>
  <c r="CY137" s="1"/>
  <c r="AO133"/>
  <c r="CW133"/>
  <c r="CY133" s="1"/>
  <c r="AO129"/>
  <c r="CW129"/>
  <c r="CY129"/>
  <c r="AO125"/>
  <c r="CW125"/>
  <c r="AO121"/>
  <c r="CW121"/>
  <c r="AO117"/>
  <c r="CW117"/>
  <c r="CY117" s="1"/>
  <c r="AO113"/>
  <c r="CW113"/>
  <c r="CY113"/>
  <c r="AO109"/>
  <c r="CW109"/>
  <c r="AO105"/>
  <c r="CW105"/>
  <c r="CY105" s="1"/>
  <c r="AO101"/>
  <c r="CW101"/>
  <c r="CY101" s="1"/>
  <c r="AO97"/>
  <c r="CW97"/>
  <c r="CY97"/>
  <c r="AO93"/>
  <c r="CW93"/>
  <c r="CY93" s="1"/>
  <c r="AO89"/>
  <c r="CW89"/>
  <c r="CY89" s="1"/>
  <c r="AO85"/>
  <c r="CW85"/>
  <c r="CY85" s="1"/>
  <c r="AO81"/>
  <c r="CW81"/>
  <c r="AO77"/>
  <c r="CW77"/>
  <c r="AO73"/>
  <c r="CW73"/>
  <c r="CY73" s="1"/>
  <c r="AO69"/>
  <c r="CW69"/>
  <c r="CY69" s="1"/>
  <c r="AO65"/>
  <c r="CW65"/>
  <c r="CY65"/>
  <c r="AO61"/>
  <c r="CW61"/>
  <c r="AO57"/>
  <c r="CW57"/>
  <c r="AO53"/>
  <c r="CW53"/>
  <c r="CY53" s="1"/>
  <c r="AO49"/>
  <c r="CW49"/>
  <c r="CY49"/>
  <c r="AO45"/>
  <c r="CW45"/>
  <c r="AO41"/>
  <c r="CW41"/>
  <c r="CY41" s="1"/>
  <c r="AO37"/>
  <c r="CW37"/>
  <c r="CY37" s="1"/>
  <c r="AO33"/>
  <c r="CW33"/>
  <c r="AO29"/>
  <c r="CW29"/>
  <c r="CY29" s="1"/>
  <c r="AO25"/>
  <c r="CW25"/>
  <c r="CY25" s="1"/>
  <c r="AO21"/>
  <c r="CW21"/>
  <c r="AO17"/>
  <c r="CW17"/>
  <c r="CY17"/>
  <c r="AO13"/>
  <c r="CW13"/>
  <c r="AO9"/>
  <c r="CW9"/>
  <c r="CY9" s="1"/>
  <c r="AO5"/>
  <c r="CW5"/>
  <c r="S29"/>
  <c r="CJ29"/>
  <c r="CL29"/>
  <c r="DB169"/>
  <c r="DB249"/>
  <c r="O28"/>
  <c r="CD28"/>
  <c r="CF28" s="1"/>
  <c r="AJ25" i="6"/>
  <c r="AN25" s="1"/>
  <c r="AK13"/>
  <c r="AP13"/>
  <c r="AQ13" s="1"/>
  <c r="AK13" i="19"/>
  <c r="AP13"/>
  <c r="AQ13"/>
  <c r="AJ25"/>
  <c r="AN25" s="1"/>
  <c r="AO25" s="1"/>
  <c r="AU23" i="6"/>
  <c r="BT23"/>
  <c r="AU25"/>
  <c r="BT25"/>
  <c r="AO13"/>
  <c r="BK13"/>
  <c r="AU9"/>
  <c r="BT9"/>
  <c r="AO11"/>
  <c r="BK11"/>
  <c r="AU21"/>
  <c r="BT21"/>
  <c r="AO5"/>
  <c r="BK5"/>
  <c r="BQ29"/>
  <c r="AU15"/>
  <c r="BT15"/>
  <c r="AQ29"/>
  <c r="BN29"/>
  <c r="AS25"/>
  <c r="BQ25"/>
  <c r="AU7"/>
  <c r="BT7"/>
  <c r="AO27"/>
  <c r="BK27"/>
  <c r="AU35"/>
  <c r="BT35"/>
  <c r="AZ19"/>
  <c r="BG19"/>
  <c r="BH19" s="1"/>
  <c r="AZ20" i="16"/>
  <c r="AZ19" i="19"/>
  <c r="BG19"/>
  <c r="BH19" s="1"/>
  <c r="AK18" i="6"/>
  <c r="AP18"/>
  <c r="AK18" i="19"/>
  <c r="AP18" s="1"/>
  <c r="AQ18" s="1"/>
  <c r="AK19" i="16"/>
  <c r="AJ4" i="6"/>
  <c r="AN4" s="1"/>
  <c r="AJ4" i="19"/>
  <c r="AN4"/>
  <c r="AO4"/>
  <c r="AJ5" i="16"/>
  <c r="AJ20" i="6"/>
  <c r="AN20"/>
  <c r="AJ20" i="19"/>
  <c r="AN20" s="1"/>
  <c r="AO20" s="1"/>
  <c r="AJ21" i="16"/>
  <c r="AZ25" i="6"/>
  <c r="BG25" s="1"/>
  <c r="BH25" s="1"/>
  <c r="AZ25" i="19"/>
  <c r="BG25"/>
  <c r="BH25" s="1"/>
  <c r="AZ26" i="16"/>
  <c r="BG26" s="1"/>
  <c r="BH26" s="1"/>
  <c r="AM14" i="6"/>
  <c r="AT14" s="1"/>
  <c r="AM14" i="19"/>
  <c r="AT14"/>
  <c r="AU14"/>
  <c r="AM15" i="16"/>
  <c r="AT15" s="1"/>
  <c r="AK30" i="6"/>
  <c r="AP30"/>
  <c r="AK30" i="19"/>
  <c r="AP30" s="1"/>
  <c r="AQ30" s="1"/>
  <c r="AK31" i="16"/>
  <c r="AP31" s="1"/>
  <c r="AZ21" i="6"/>
  <c r="BG21" s="1"/>
  <c r="BH21" s="1"/>
  <c r="AZ22" i="16"/>
  <c r="AZ21" i="19"/>
  <c r="BG21" s="1"/>
  <c r="BH21" s="1"/>
  <c r="AJ22" i="6"/>
  <c r="AN22" s="1"/>
  <c r="AJ22" i="19"/>
  <c r="AN22"/>
  <c r="AO22" s="1"/>
  <c r="AJ23" i="16"/>
  <c r="AY17" i="6"/>
  <c r="BE17"/>
  <c r="BF17" s="1"/>
  <c r="AY17" i="19"/>
  <c r="BE17" s="1"/>
  <c r="BF17" s="1"/>
  <c r="AY18" i="16"/>
  <c r="AY33" i="6"/>
  <c r="BE33" s="1"/>
  <c r="BF33" s="1"/>
  <c r="AY33" i="19"/>
  <c r="BE33" s="1"/>
  <c r="BF33" s="1"/>
  <c r="AY34" i="16"/>
  <c r="AM16" i="6"/>
  <c r="AT16" s="1"/>
  <c r="AM17" i="16"/>
  <c r="AM16" i="19"/>
  <c r="AT16" s="1"/>
  <c r="AU16" s="1"/>
  <c r="AM32" i="6"/>
  <c r="AT32"/>
  <c r="AM32" i="19"/>
  <c r="AT32" s="1"/>
  <c r="AU32" s="1"/>
  <c r="AM33" i="16"/>
  <c r="AT33" s="1"/>
  <c r="BU33" s="1"/>
  <c r="AL18" i="6"/>
  <c r="AR18"/>
  <c r="AL18" i="19"/>
  <c r="AR18" s="1"/>
  <c r="AS18" s="1"/>
  <c r="AL19" i="16"/>
  <c r="AJ16" i="6"/>
  <c r="AN16" s="1"/>
  <c r="AJ16" i="19"/>
  <c r="AN16"/>
  <c r="AO16"/>
  <c r="AJ17" i="16"/>
  <c r="AL10" i="6"/>
  <c r="AR10"/>
  <c r="AL10" i="19"/>
  <c r="AR10" s="1"/>
  <c r="AS10" s="1"/>
  <c r="AL11" i="16"/>
  <c r="AZ5" i="6"/>
  <c r="BG5" s="1"/>
  <c r="BH5" s="1"/>
  <c r="AZ5" i="19"/>
  <c r="BG5"/>
  <c r="BH5" s="1"/>
  <c r="AZ6" i="16"/>
  <c r="AM6" i="6"/>
  <c r="AT6"/>
  <c r="AM6" i="19"/>
  <c r="AT6" s="1"/>
  <c r="AU6" s="1"/>
  <c r="AM7" i="16"/>
  <c r="AJ8" i="6"/>
  <c r="AN8" s="1"/>
  <c r="AJ8" i="19"/>
  <c r="AN8"/>
  <c r="AO8" s="1"/>
  <c r="AJ9" i="16"/>
  <c r="AY11" i="6"/>
  <c r="BE11"/>
  <c r="BF11" s="1"/>
  <c r="AY11" i="19"/>
  <c r="BE11"/>
  <c r="BF11"/>
  <c r="AY12" i="16"/>
  <c r="AK20" i="6"/>
  <c r="AP20"/>
  <c r="AK21" i="16"/>
  <c r="AK20" i="19"/>
  <c r="AP20" s="1"/>
  <c r="AQ20" s="1"/>
  <c r="AZ9" i="6"/>
  <c r="BG9" s="1"/>
  <c r="BH9" s="1"/>
  <c r="AZ10" i="16"/>
  <c r="BG10"/>
  <c r="BH10" s="1"/>
  <c r="AZ9" i="19"/>
  <c r="BG9" s="1"/>
  <c r="BH9" s="1"/>
  <c r="AL32" i="6"/>
  <c r="AR32" s="1"/>
  <c r="AL32" i="19"/>
  <c r="AR32"/>
  <c r="AS32"/>
  <c r="AL33" i="16"/>
  <c r="AR33" s="1"/>
  <c r="AS33" s="1"/>
  <c r="AZ15" i="6"/>
  <c r="BG15"/>
  <c r="BH15" s="1"/>
  <c r="AZ15" i="19"/>
  <c r="BG15"/>
  <c r="BH15"/>
  <c r="AZ16" i="16"/>
  <c r="AJ6" i="6"/>
  <c r="AN6"/>
  <c r="AJ6" i="19"/>
  <c r="AN6" s="1"/>
  <c r="AO6" s="1"/>
  <c r="AJ7" i="16"/>
  <c r="AY15" i="6"/>
  <c r="BE15" s="1"/>
  <c r="BF15" s="1"/>
  <c r="AY15" i="19"/>
  <c r="BE15"/>
  <c r="BF15" s="1"/>
  <c r="AY16" i="16"/>
  <c r="AY31" i="6"/>
  <c r="BE31"/>
  <c r="BF31" s="1"/>
  <c r="AY31" i="19"/>
  <c r="BE31"/>
  <c r="BF31"/>
  <c r="AY32" i="16"/>
  <c r="AM12" i="6"/>
  <c r="AT12"/>
  <c r="AM13" i="16"/>
  <c r="AM12" i="19"/>
  <c r="AT12" s="1"/>
  <c r="AU12" s="1"/>
  <c r="AM28" i="6"/>
  <c r="AT28" s="1"/>
  <c r="AM28" i="19"/>
  <c r="AT28" s="1"/>
  <c r="AU28" s="1"/>
  <c r="AM29" i="16"/>
  <c r="AL14" i="6"/>
  <c r="AR14" s="1"/>
  <c r="AL14" i="19"/>
  <c r="AR14" s="1"/>
  <c r="AS14" s="1"/>
  <c r="AL15" i="16"/>
  <c r="AR15"/>
  <c r="AJ30" i="6"/>
  <c r="AN30" s="1"/>
  <c r="AJ30" i="19"/>
  <c r="AN30"/>
  <c r="AO30" s="1"/>
  <c r="AJ31" i="16"/>
  <c r="AN31"/>
  <c r="BK31" s="1"/>
  <c r="AZ31" i="6"/>
  <c r="BG31" s="1"/>
  <c r="BH31" s="1"/>
  <c r="AZ31" i="19"/>
  <c r="BG31"/>
  <c r="BH31" s="1"/>
  <c r="AZ32" i="16"/>
  <c r="AM10" i="6"/>
  <c r="AT10"/>
  <c r="AM10" i="19"/>
  <c r="AT10" s="1"/>
  <c r="AU10" s="1"/>
  <c r="AM11" i="16"/>
  <c r="AM26" i="6"/>
  <c r="AT26" s="1"/>
  <c r="AM26" i="19"/>
  <c r="AT26"/>
  <c r="AU26" s="1"/>
  <c r="AM27" i="16"/>
  <c r="AL12" i="6"/>
  <c r="AR12"/>
  <c r="AL12" i="19"/>
  <c r="AR12" s="1"/>
  <c r="AS12" s="1"/>
  <c r="AL13" i="16"/>
  <c r="AL28" i="6"/>
  <c r="AR28" s="1"/>
  <c r="AL28" i="19"/>
  <c r="AR28"/>
  <c r="AS28" s="1"/>
  <c r="AL29" i="16"/>
  <c r="AY13" i="6"/>
  <c r="BE13"/>
  <c r="BF13" s="1"/>
  <c r="AY13" i="19"/>
  <c r="BE13" s="1"/>
  <c r="BF13" s="1"/>
  <c r="AY14" i="16"/>
  <c r="AK8" i="6"/>
  <c r="AP8"/>
  <c r="AK8" i="19"/>
  <c r="AP8" s="1"/>
  <c r="AQ8" s="1"/>
  <c r="AK9" i="16"/>
  <c r="AK24" i="6"/>
  <c r="AP24" s="1"/>
  <c r="AK24" i="19"/>
  <c r="AP24"/>
  <c r="AQ24"/>
  <c r="AK25" i="16"/>
  <c r="AJ26" i="6"/>
  <c r="AN26"/>
  <c r="AJ26" i="19"/>
  <c r="AN26" s="1"/>
  <c r="AO26" s="1"/>
  <c r="AJ27" i="16"/>
  <c r="AZ13" i="6"/>
  <c r="BG13" s="1"/>
  <c r="BH13" s="1"/>
  <c r="AZ13" i="19"/>
  <c r="BG13"/>
  <c r="BH13" s="1"/>
  <c r="AZ14" i="16"/>
  <c r="AM22" i="6"/>
  <c r="AT22"/>
  <c r="AM23" i="16"/>
  <c r="AM22" i="19"/>
  <c r="AT22" s="1"/>
  <c r="AU22" s="1"/>
  <c r="AJ24" i="6"/>
  <c r="AN24" s="1"/>
  <c r="AJ24" i="19"/>
  <c r="AN24"/>
  <c r="AO24" s="1"/>
  <c r="AJ25" i="16"/>
  <c r="AM4" i="6"/>
  <c r="AT4"/>
  <c r="AM5" i="16"/>
  <c r="AM4" i="19"/>
  <c r="AT4"/>
  <c r="AU4"/>
  <c r="AK33" i="6"/>
  <c r="AP33" s="1"/>
  <c r="AK33" i="19"/>
  <c r="AP33"/>
  <c r="AQ33" s="1"/>
  <c r="AK34" i="16"/>
  <c r="AM29" i="6"/>
  <c r="AT29"/>
  <c r="AM29" i="19"/>
  <c r="AT29" s="1"/>
  <c r="AU29" s="1"/>
  <c r="AM30" i="16"/>
  <c r="AK15" i="6"/>
  <c r="AP15" s="1"/>
  <c r="AK16" i="16"/>
  <c r="AK15" i="19"/>
  <c r="AP15" s="1"/>
  <c r="AQ15" s="1"/>
  <c r="AK9" i="6"/>
  <c r="AP9"/>
  <c r="AK10" i="16"/>
  <c r="AP10" s="1"/>
  <c r="AK9" i="19"/>
  <c r="AP9"/>
  <c r="AQ9" s="1"/>
  <c r="AL5" i="6"/>
  <c r="AR5" s="1"/>
  <c r="AL5" i="19"/>
  <c r="AR5" s="1"/>
  <c r="AS5" s="1"/>
  <c r="AL6" i="16"/>
  <c r="AL33" i="6"/>
  <c r="AR33" s="1"/>
  <c r="AL33" i="19"/>
  <c r="AR33" s="1"/>
  <c r="AS33" s="1"/>
  <c r="AL34" i="16"/>
  <c r="AJ17" i="6"/>
  <c r="AN17"/>
  <c r="AJ17" i="19"/>
  <c r="AN17" s="1"/>
  <c r="AO17" s="1"/>
  <c r="AJ18" i="16"/>
  <c r="AK23" i="6"/>
  <c r="AP23" s="1"/>
  <c r="AK23" i="19"/>
  <c r="AP23"/>
  <c r="AQ23"/>
  <c r="AK24" i="16"/>
  <c r="AL21" i="6"/>
  <c r="AR21"/>
  <c r="AL21" i="19"/>
  <c r="AR21" s="1"/>
  <c r="AS21" s="1"/>
  <c r="AL22" i="16"/>
  <c r="AL9" i="6"/>
  <c r="AR9" s="1"/>
  <c r="AL9" i="19"/>
  <c r="AR9"/>
  <c r="AS9"/>
  <c r="AL10" i="16"/>
  <c r="AR10" s="1"/>
  <c r="AY16" i="6"/>
  <c r="BE16"/>
  <c r="BF16" s="1"/>
  <c r="AY16" i="19"/>
  <c r="BE16"/>
  <c r="BF16"/>
  <c r="AY17" i="16"/>
  <c r="AZ30" i="6"/>
  <c r="BG30"/>
  <c r="BH30"/>
  <c r="AZ30" i="19"/>
  <c r="BG30" s="1"/>
  <c r="BH30" s="1"/>
  <c r="AZ31" i="16"/>
  <c r="BG31" s="1"/>
  <c r="BH31" s="1"/>
  <c r="AK5" i="6"/>
  <c r="AP5"/>
  <c r="AK5" i="19"/>
  <c r="AP5" s="1"/>
  <c r="AQ5" s="1"/>
  <c r="AK6" i="16"/>
  <c r="AL31" i="6"/>
  <c r="AR31" s="1"/>
  <c r="AL31" i="19"/>
  <c r="AR31"/>
  <c r="AS31"/>
  <c r="AL32" i="16"/>
  <c r="AK21" i="6"/>
  <c r="AP21"/>
  <c r="AK22" i="16"/>
  <c r="AK21" i="19"/>
  <c r="AP21" s="1"/>
  <c r="AQ21" s="1"/>
  <c r="AL13" i="6"/>
  <c r="AR13" s="1"/>
  <c r="AL13" i="19"/>
  <c r="AR13" s="1"/>
  <c r="AS13" s="1"/>
  <c r="AL14" i="16"/>
  <c r="AK35" i="6"/>
  <c r="AP35"/>
  <c r="AK35" i="19"/>
  <c r="AP35" s="1"/>
  <c r="AQ35" s="1"/>
  <c r="AK36" i="16"/>
  <c r="AL23" i="6"/>
  <c r="AR23" s="1"/>
  <c r="AL23" i="19"/>
  <c r="AR23"/>
  <c r="AS23"/>
  <c r="AL24" i="16"/>
  <c r="AL35" i="6"/>
  <c r="AR35"/>
  <c r="AL35" i="19"/>
  <c r="AR35" s="1"/>
  <c r="AS35" s="1"/>
  <c r="AL36" i="16"/>
  <c r="AY8" i="6"/>
  <c r="BE8" s="1"/>
  <c r="BF8" s="1"/>
  <c r="AY8" i="19"/>
  <c r="BE8"/>
  <c r="BF8" s="1"/>
  <c r="AY9" i="16"/>
  <c r="AY32" i="6"/>
  <c r="BE32"/>
  <c r="BF32" s="1"/>
  <c r="AY32" i="19"/>
  <c r="BE32"/>
  <c r="BF32"/>
  <c r="AY33" i="16"/>
  <c r="BE33" s="1"/>
  <c r="BF33" s="1"/>
  <c r="AZ24" i="6"/>
  <c r="BG24"/>
  <c r="BH24" s="1"/>
  <c r="AZ24" i="19"/>
  <c r="BG24"/>
  <c r="BH24"/>
  <c r="AZ25" i="16"/>
  <c r="AY4" i="6"/>
  <c r="BE4"/>
  <c r="BF4"/>
  <c r="AY4" i="19"/>
  <c r="BE4" s="1"/>
  <c r="BF4" s="1"/>
  <c r="AY5" i="16"/>
  <c r="AY14" i="6"/>
  <c r="BE14" s="1"/>
  <c r="BF14" s="1"/>
  <c r="AY14" i="19"/>
  <c r="BE14" s="1"/>
  <c r="BF14" s="1"/>
  <c r="AY15" i="16"/>
  <c r="BE15"/>
  <c r="BF15" s="1"/>
  <c r="AZ8" i="6"/>
  <c r="BG8" s="1"/>
  <c r="BH8" s="1"/>
  <c r="AZ9" i="16"/>
  <c r="AZ8" i="19"/>
  <c r="BG8" s="1"/>
  <c r="BH8" s="1"/>
  <c r="AK19" i="6"/>
  <c r="AP19" s="1"/>
  <c r="AK19" i="19"/>
  <c r="AP19"/>
  <c r="AQ19"/>
  <c r="AK20" i="16"/>
  <c r="AZ32" i="6"/>
  <c r="BG32"/>
  <c r="BH32"/>
  <c r="AZ32" i="19"/>
  <c r="BG32" s="1"/>
  <c r="BH32" s="1"/>
  <c r="AZ33" i="16"/>
  <c r="BG33" s="1"/>
  <c r="BH33" s="1"/>
  <c r="AY26" i="6"/>
  <c r="BE26"/>
  <c r="BF26"/>
  <c r="AY26" i="19"/>
  <c r="BE26" s="1"/>
  <c r="BF26" s="1"/>
  <c r="AY27" i="16"/>
  <c r="AL7" i="6"/>
  <c r="AR7" s="1"/>
  <c r="AL7" i="19"/>
  <c r="AR7"/>
  <c r="AS7" s="1"/>
  <c r="AL8" i="16"/>
  <c r="AY30" i="6"/>
  <c r="BE30"/>
  <c r="BF30" s="1"/>
  <c r="AY30" i="19"/>
  <c r="BE30" s="1"/>
  <c r="BF30" s="1"/>
  <c r="AY31" i="16"/>
  <c r="BE31" s="1"/>
  <c r="BF31" s="1"/>
  <c r="AZ6" i="6"/>
  <c r="BG6"/>
  <c r="BH6" s="1"/>
  <c r="AZ7" i="16"/>
  <c r="AZ6" i="19"/>
  <c r="BG6"/>
  <c r="BH6" s="1"/>
  <c r="AZ11" i="6"/>
  <c r="BG11"/>
  <c r="BH11"/>
  <c r="AZ12" i="16"/>
  <c r="AZ11" i="19"/>
  <c r="BG11"/>
  <c r="BH11"/>
  <c r="AZ27" i="6"/>
  <c r="BG27" s="1"/>
  <c r="BH27" s="1"/>
  <c r="AZ27" i="19"/>
  <c r="BG27" s="1"/>
  <c r="BH27" s="1"/>
  <c r="AZ28" i="16"/>
  <c r="AM18" i="6"/>
  <c r="AT18" s="1"/>
  <c r="AM18" i="19"/>
  <c r="AT18"/>
  <c r="AU18"/>
  <c r="AM19" i="16"/>
  <c r="AL4" i="6"/>
  <c r="AR4"/>
  <c r="AL4" i="19"/>
  <c r="AR4" s="1"/>
  <c r="AS4" s="1"/>
  <c r="AL5" i="16"/>
  <c r="AL20" i="6"/>
  <c r="AR20" s="1"/>
  <c r="AL20" i="19"/>
  <c r="AR20"/>
  <c r="AS20"/>
  <c r="AL21" i="16"/>
  <c r="AZ17" i="6"/>
  <c r="BG17"/>
  <c r="BH17"/>
  <c r="AZ17" i="19"/>
  <c r="BG17" s="1"/>
  <c r="BH17" s="1"/>
  <c r="AZ18" i="16"/>
  <c r="AK14" i="6"/>
  <c r="AP14" s="1"/>
  <c r="AK14" i="19"/>
  <c r="AP14"/>
  <c r="AQ14" s="1"/>
  <c r="AK15" i="16"/>
  <c r="AP15" s="1"/>
  <c r="AQ15" s="1"/>
  <c r="AM30" i="6"/>
  <c r="AT30" s="1"/>
  <c r="AM30" i="19"/>
  <c r="AT30" s="1"/>
  <c r="AU30" s="1"/>
  <c r="AM31" i="16"/>
  <c r="AT31" s="1"/>
  <c r="AZ7" i="6"/>
  <c r="BG7"/>
  <c r="BH7" s="1"/>
  <c r="AZ7" i="19"/>
  <c r="BG7" s="1"/>
  <c r="BH7" s="1"/>
  <c r="AZ8" i="16"/>
  <c r="AL22" i="6"/>
  <c r="AR22"/>
  <c r="AL22" i="19"/>
  <c r="AR22" s="1"/>
  <c r="AS22" s="1"/>
  <c r="AL23" i="16"/>
  <c r="AY9" i="6"/>
  <c r="BE9" s="1"/>
  <c r="BF9" s="1"/>
  <c r="AY9" i="19"/>
  <c r="BE9"/>
  <c r="BF9" s="1"/>
  <c r="AY10" i="16"/>
  <c r="BE10"/>
  <c r="BF10" s="1"/>
  <c r="AY25" i="6"/>
  <c r="BE25" s="1"/>
  <c r="BF25" s="1"/>
  <c r="AY25" i="19"/>
  <c r="BE25"/>
  <c r="BF25" s="1"/>
  <c r="AY26" i="16"/>
  <c r="BE26"/>
  <c r="BF26" s="1"/>
  <c r="AK16" i="6"/>
  <c r="AP16" s="1"/>
  <c r="AK17" i="16"/>
  <c r="AK16" i="19"/>
  <c r="AP16"/>
  <c r="AQ16" s="1"/>
  <c r="AK32" i="6"/>
  <c r="AP32"/>
  <c r="AK32" i="19"/>
  <c r="AP32" s="1"/>
  <c r="AQ32" s="1"/>
  <c r="AK33" i="16"/>
  <c r="AP33"/>
  <c r="AJ18" i="6"/>
  <c r="AN18" s="1"/>
  <c r="AJ18" i="19"/>
  <c r="AN18"/>
  <c r="AO18" s="1"/>
  <c r="AJ19" i="16"/>
  <c r="AL16" i="6"/>
  <c r="AR16"/>
  <c r="AL16" i="19"/>
  <c r="AR16" s="1"/>
  <c r="AS16" s="1"/>
  <c r="AL17" i="16"/>
  <c r="AY29" i="6"/>
  <c r="BE29" s="1"/>
  <c r="BF29" s="1"/>
  <c r="AY29" i="19"/>
  <c r="BE29" s="1"/>
  <c r="BF29" s="1"/>
  <c r="AY30" i="16"/>
  <c r="AJ10" i="6"/>
  <c r="AN10" s="1"/>
  <c r="AJ10" i="19"/>
  <c r="AN10"/>
  <c r="AO10"/>
  <c r="AJ11" i="16"/>
  <c r="AZ29" i="6"/>
  <c r="BG29"/>
  <c r="BH29"/>
  <c r="AZ29" i="19"/>
  <c r="BG29" s="1"/>
  <c r="BH29" s="1"/>
  <c r="AZ30" i="16"/>
  <c r="AK6" i="6"/>
  <c r="AP6" s="1"/>
  <c r="AK6" i="19"/>
  <c r="AP6"/>
  <c r="AQ6" s="1"/>
  <c r="AK7" i="16"/>
  <c r="AL8" i="6"/>
  <c r="AR8"/>
  <c r="AL8" i="19"/>
  <c r="AR8" s="1"/>
  <c r="AS8" s="1"/>
  <c r="AL9" i="16"/>
  <c r="AY27" i="6"/>
  <c r="BE27" s="1"/>
  <c r="BF27" s="1"/>
  <c r="AY27" i="19"/>
  <c r="BE27" s="1"/>
  <c r="BF27" s="1"/>
  <c r="AY28" i="16"/>
  <c r="AM20" i="6"/>
  <c r="AT20" s="1"/>
  <c r="AM21" i="16"/>
  <c r="AM20" i="19"/>
  <c r="AT20"/>
  <c r="AU20" s="1"/>
  <c r="AZ33" i="6"/>
  <c r="BG33"/>
  <c r="BH33"/>
  <c r="AZ33" i="19"/>
  <c r="BG33" s="1"/>
  <c r="BH33" s="1"/>
  <c r="AZ34" i="16"/>
  <c r="AJ32" i="6"/>
  <c r="AN32" s="1"/>
  <c r="AJ32" i="19"/>
  <c r="AN32"/>
  <c r="AO32" s="1"/>
  <c r="AJ33" i="16"/>
  <c r="AN33"/>
  <c r="AL6" i="6"/>
  <c r="AR6" s="1"/>
  <c r="AL6" i="19"/>
  <c r="AR6"/>
  <c r="AS6"/>
  <c r="AL7" i="16"/>
  <c r="AY7" i="6"/>
  <c r="BE7"/>
  <c r="BF7"/>
  <c r="AY7" i="19"/>
  <c r="BE7" s="1"/>
  <c r="BF7" s="1"/>
  <c r="AY8" i="16"/>
  <c r="AY23" i="6"/>
  <c r="BE23" s="1"/>
  <c r="BF23" s="1"/>
  <c r="AY23" i="19"/>
  <c r="BE23" s="1"/>
  <c r="BF23" s="1"/>
  <c r="AY24" i="16"/>
  <c r="AK12" i="6"/>
  <c r="AP12" s="1"/>
  <c r="AK13" i="16"/>
  <c r="AK12" i="19"/>
  <c r="AP12"/>
  <c r="AQ12" s="1"/>
  <c r="AK28" i="6"/>
  <c r="AP28"/>
  <c r="AK28" i="19"/>
  <c r="AP28" s="1"/>
  <c r="AQ28" s="1"/>
  <c r="AK29" i="16"/>
  <c r="AJ14" i="6"/>
  <c r="AN14" s="1"/>
  <c r="AJ14" i="19"/>
  <c r="AN14"/>
  <c r="AO14"/>
  <c r="AJ15" i="16"/>
  <c r="AN15" s="1"/>
  <c r="AO15" s="1"/>
  <c r="AL30" i="6"/>
  <c r="AR30"/>
  <c r="AL30" i="19"/>
  <c r="AR30" s="1"/>
  <c r="AS30" s="1"/>
  <c r="AL31" i="16"/>
  <c r="AR31" s="1"/>
  <c r="AZ23" i="6"/>
  <c r="BG23"/>
  <c r="BH23"/>
  <c r="AZ23" i="19"/>
  <c r="BG23" s="1"/>
  <c r="BH23" s="1"/>
  <c r="AZ24" i="16"/>
  <c r="AK10" i="6"/>
  <c r="AP10" s="1"/>
  <c r="AK10" i="19"/>
  <c r="AP10"/>
  <c r="AQ10" s="1"/>
  <c r="AK11" i="16"/>
  <c r="AK26" i="6"/>
  <c r="AP26"/>
  <c r="AK26" i="19"/>
  <c r="AP26" s="1"/>
  <c r="AQ26" s="1"/>
  <c r="AK27" i="16"/>
  <c r="AJ12" i="6"/>
  <c r="AN12" s="1"/>
  <c r="AJ12" i="19"/>
  <c r="AN12"/>
  <c r="AO12" s="1"/>
  <c r="AJ13" i="16"/>
  <c r="AJ28" i="6"/>
  <c r="AN28"/>
  <c r="AJ28" i="19"/>
  <c r="AN28" s="1"/>
  <c r="AO28" s="1"/>
  <c r="AJ29" i="16"/>
  <c r="AY5" i="6"/>
  <c r="BE5" s="1"/>
  <c r="BF5" s="1"/>
  <c r="AY5" i="19"/>
  <c r="BE5" s="1"/>
  <c r="BF5" s="1"/>
  <c r="AY6" i="16"/>
  <c r="AY21" i="6"/>
  <c r="BE21" s="1"/>
  <c r="BF21" s="1"/>
  <c r="AY21" i="19"/>
  <c r="BE21"/>
  <c r="BF21" s="1"/>
  <c r="AY22" i="16"/>
  <c r="AM8" i="6"/>
  <c r="AT8"/>
  <c r="AM8" i="19"/>
  <c r="AT8" s="1"/>
  <c r="AU8" s="1"/>
  <c r="AM9" i="16"/>
  <c r="AM24" i="6"/>
  <c r="AT24" s="1"/>
  <c r="AM24" i="19"/>
  <c r="AT24"/>
  <c r="AU24" s="1"/>
  <c r="AM25" i="16"/>
  <c r="AL26" i="6"/>
  <c r="AR26"/>
  <c r="AL26" i="19"/>
  <c r="AR26" s="1"/>
  <c r="AS26" s="1"/>
  <c r="AL27" i="16"/>
  <c r="AK22" i="6"/>
  <c r="AP22" s="1"/>
  <c r="AK23" i="16"/>
  <c r="AK22" i="19"/>
  <c r="AP22" s="1"/>
  <c r="AQ22" s="1"/>
  <c r="AL24" i="6"/>
  <c r="AR24"/>
  <c r="AL24" i="19"/>
  <c r="AR24" s="1"/>
  <c r="AS24" s="1"/>
  <c r="AL25" i="16"/>
  <c r="AY19" i="6"/>
  <c r="BE19" s="1"/>
  <c r="BF19" s="1"/>
  <c r="AY19" i="19"/>
  <c r="BE19" s="1"/>
  <c r="BF19" s="1"/>
  <c r="AY20" i="16"/>
  <c r="AK4" i="6"/>
  <c r="AP4" s="1"/>
  <c r="AK5" i="16"/>
  <c r="AK4" i="19"/>
  <c r="AP4"/>
  <c r="AQ4" s="1"/>
  <c r="AL19" i="6"/>
  <c r="AR19"/>
  <c r="AL19" i="19"/>
  <c r="AR19" s="1"/>
  <c r="AS19" s="1"/>
  <c r="AL20" i="16"/>
  <c r="AK25" i="6"/>
  <c r="AP25" s="1"/>
  <c r="AK25" i="19"/>
  <c r="AP25"/>
  <c r="AQ25"/>
  <c r="AK26" i="16"/>
  <c r="AP26" s="1"/>
  <c r="AK27" i="6"/>
  <c r="AP27"/>
  <c r="AK27" i="19"/>
  <c r="AP27" s="1"/>
  <c r="AQ27" s="1"/>
  <c r="AK28" i="16"/>
  <c r="AM34" i="6"/>
  <c r="AT34" s="1"/>
  <c r="AM34" i="19"/>
  <c r="AT34"/>
  <c r="AU34" s="1"/>
  <c r="AM35" i="16"/>
  <c r="AJ33" i="6"/>
  <c r="AN33"/>
  <c r="AJ33" i="19"/>
  <c r="AN33" s="1"/>
  <c r="AO33" s="1"/>
  <c r="AJ34" i="16"/>
  <c r="AM31" i="6"/>
  <c r="AT31" s="1"/>
  <c r="AM31" i="19"/>
  <c r="AT31"/>
  <c r="AU31" s="1"/>
  <c r="AM32" i="16"/>
  <c r="AL17" i="6"/>
  <c r="AR17"/>
  <c r="AL17" i="19"/>
  <c r="AR17" s="1"/>
  <c r="AS17" s="1"/>
  <c r="AL18" i="16"/>
  <c r="AK11" i="6"/>
  <c r="AP11" s="1"/>
  <c r="AK11" i="19"/>
  <c r="AP11"/>
  <c r="AQ11" s="1"/>
  <c r="AK12" i="16"/>
  <c r="AJ9" i="6"/>
  <c r="AN9"/>
  <c r="AJ9" i="19"/>
  <c r="AN9" s="1"/>
  <c r="AO9" s="1"/>
  <c r="AJ10" i="16"/>
  <c r="AN10" s="1"/>
  <c r="AY20" i="6"/>
  <c r="BE20" s="1"/>
  <c r="BF20" s="1"/>
  <c r="AY20" i="19"/>
  <c r="BE20" s="1"/>
  <c r="BF20" s="1"/>
  <c r="AY21" i="16"/>
  <c r="AY24" i="6"/>
  <c r="BE24" s="1"/>
  <c r="BF24" s="1"/>
  <c r="AY24" i="19"/>
  <c r="BE24" s="1"/>
  <c r="BF24" s="1"/>
  <c r="AY25" i="16"/>
  <c r="AZ12" i="6"/>
  <c r="BG12" s="1"/>
  <c r="BH12" s="1"/>
  <c r="AZ12" i="19"/>
  <c r="BG12"/>
  <c r="BH12" s="1"/>
  <c r="AZ13" i="16"/>
  <c r="AZ26" i="6"/>
  <c r="BG26"/>
  <c r="BH26" s="1"/>
  <c r="AZ26" i="19"/>
  <c r="BG26" s="1"/>
  <c r="BH26" s="1"/>
  <c r="AZ27" i="16"/>
  <c r="AY10" i="6"/>
  <c r="BE10" s="1"/>
  <c r="BF10" s="1"/>
  <c r="AY10" i="19"/>
  <c r="BE10" s="1"/>
  <c r="BF10" s="1"/>
  <c r="AY11" i="16"/>
  <c r="AY18" i="6"/>
  <c r="BE18" s="1"/>
  <c r="BF18" s="1"/>
  <c r="AY18" i="19"/>
  <c r="BE18" s="1"/>
  <c r="BF18" s="1"/>
  <c r="AY19" i="16"/>
  <c r="AY34" i="6"/>
  <c r="BE34" s="1"/>
  <c r="BF34" s="1"/>
  <c r="AY34" i="19"/>
  <c r="BE34"/>
  <c r="BF34" s="1"/>
  <c r="AY35" i="16"/>
  <c r="AL27" i="6"/>
  <c r="AR27"/>
  <c r="AL27" i="19"/>
  <c r="AR27" s="1"/>
  <c r="AS27" s="1"/>
  <c r="AL28" i="16"/>
  <c r="AK17" i="6"/>
  <c r="AP17" s="1"/>
  <c r="AK17" i="19"/>
  <c r="AP17"/>
  <c r="AQ17" s="1"/>
  <c r="AK18" i="16"/>
  <c r="AZ34" i="6"/>
  <c r="BG34"/>
  <c r="BH34" s="1"/>
  <c r="AZ34" i="19"/>
  <c r="BG34" s="1"/>
  <c r="BH34" s="1"/>
  <c r="AZ35" i="16"/>
  <c r="AY35" i="6"/>
  <c r="BE35" s="1"/>
  <c r="BF35" s="1"/>
  <c r="AY35" i="19"/>
  <c r="BE35" s="1"/>
  <c r="BF35" s="1"/>
  <c r="AY36" i="16"/>
  <c r="AY6" i="6"/>
  <c r="BE6" s="1"/>
  <c r="BF6" s="1"/>
  <c r="AY6" i="19"/>
  <c r="BE6" s="1"/>
  <c r="BF6" s="1"/>
  <c r="AY7" i="16"/>
  <c r="AY12" i="6"/>
  <c r="BE12" s="1"/>
  <c r="BF12" s="1"/>
  <c r="AY12" i="19"/>
  <c r="BE12"/>
  <c r="BF12" s="1"/>
  <c r="AY13" i="16"/>
  <c r="AZ18" i="6"/>
  <c r="BG18"/>
  <c r="BH18" s="1"/>
  <c r="AZ19" i="16"/>
  <c r="AZ18" i="19"/>
  <c r="BG18"/>
  <c r="BH18" s="1"/>
  <c r="AZ4" i="6"/>
  <c r="BG4" s="1"/>
  <c r="BH4" s="1"/>
  <c r="AZ4" i="19"/>
  <c r="BG4" s="1"/>
  <c r="BH4" s="1"/>
  <c r="AZ5" i="16"/>
  <c r="AJ34" i="6"/>
  <c r="AN34" s="1"/>
  <c r="AJ34" i="19"/>
  <c r="AN34"/>
  <c r="AO34" s="1"/>
  <c r="AJ35" i="16"/>
  <c r="AL15" i="6"/>
  <c r="AR15"/>
  <c r="AL15" i="19"/>
  <c r="AR15" s="1"/>
  <c r="AS15" s="1"/>
  <c r="AL16" i="16"/>
  <c r="AL11" i="6"/>
  <c r="AR11" s="1"/>
  <c r="AL11" i="19"/>
  <c r="AR11"/>
  <c r="AS11" s="1"/>
  <c r="AL12" i="16"/>
  <c r="AK7" i="6"/>
  <c r="AP7"/>
  <c r="AK8" i="16"/>
  <c r="AK7" i="19"/>
  <c r="AP7"/>
  <c r="AQ7"/>
  <c r="AY22" i="6"/>
  <c r="BE22" s="1"/>
  <c r="BF22" s="1"/>
  <c r="AY22" i="19"/>
  <c r="BE22" s="1"/>
  <c r="BF22" s="1"/>
  <c r="AY23" i="16"/>
  <c r="AZ22" i="6"/>
  <c r="BG22" s="1"/>
  <c r="BH22" s="1"/>
  <c r="AZ22" i="19"/>
  <c r="BG22"/>
  <c r="BH22" s="1"/>
  <c r="AZ23" i="16"/>
  <c r="G63" i="5"/>
  <c r="F63"/>
  <c r="I63"/>
  <c r="H63"/>
  <c r="R66" i="8"/>
  <c r="S66"/>
  <c r="I66"/>
  <c r="K66"/>
  <c r="J66"/>
  <c r="Q66"/>
  <c r="H66"/>
  <c r="P66"/>
  <c r="Q62" i="4"/>
  <c r="Z34" i="6" s="1"/>
  <c r="AG34" s="1"/>
  <c r="AH34" s="1"/>
  <c r="O58" i="4"/>
  <c r="X30" i="6" s="1"/>
  <c r="AC30" s="1"/>
  <c r="AD30" s="1"/>
  <c r="Q56" i="4"/>
  <c r="Z28" i="6" s="1"/>
  <c r="AG28" s="1"/>
  <c r="AH28" s="1"/>
  <c r="Q52" i="4"/>
  <c r="Q50"/>
  <c r="Z22" i="6" s="1"/>
  <c r="AG22" s="1"/>
  <c r="AH22" s="1"/>
  <c r="Q42" i="4"/>
  <c r="Z14" i="6" s="1"/>
  <c r="AG14" s="1"/>
  <c r="AH14" s="1"/>
  <c r="O42" i="4"/>
  <c r="Q34"/>
  <c r="Z7" i="16" s="1"/>
  <c r="N62" i="4"/>
  <c r="W35" i="16" s="1"/>
  <c r="N58" i="4"/>
  <c r="N50"/>
  <c r="W23" i="16" s="1"/>
  <c r="P46" i="4"/>
  <c r="Y18" i="6" s="1"/>
  <c r="AE18" s="1"/>
  <c r="AF18" s="1"/>
  <c r="P38" i="4"/>
  <c r="N38"/>
  <c r="Q63"/>
  <c r="Z36" i="16" s="1"/>
  <c r="O63" i="4"/>
  <c r="Q55"/>
  <c r="Z27" i="6" s="1"/>
  <c r="AG27" s="1"/>
  <c r="AH27" s="1"/>
  <c r="O55" i="4"/>
  <c r="X28" i="16" s="1"/>
  <c r="Q47" i="4"/>
  <c r="O47"/>
  <c r="Q39"/>
  <c r="Z12" i="16" s="1"/>
  <c r="O39" i="4"/>
  <c r="P63"/>
  <c r="N63"/>
  <c r="P55"/>
  <c r="N55"/>
  <c r="W28" i="16" s="1"/>
  <c r="P47" i="4"/>
  <c r="Y19" i="6" s="1"/>
  <c r="AE19" s="1"/>
  <c r="AF19" s="1"/>
  <c r="N47" i="4"/>
  <c r="W20" i="16" s="1"/>
  <c r="P39" i="4"/>
  <c r="N39"/>
  <c r="W12" i="16" s="1"/>
  <c r="I60" i="4"/>
  <c r="M32" i="6" s="1"/>
  <c r="T32" s="1"/>
  <c r="F60" i="4"/>
  <c r="J33" i="16" s="1"/>
  <c r="N33" s="1"/>
  <c r="O33" s="1"/>
  <c r="F44" i="4"/>
  <c r="I53"/>
  <c r="I37"/>
  <c r="M10" i="16" s="1"/>
  <c r="T10" s="1"/>
  <c r="BS10" s="1"/>
  <c r="I33" i="4"/>
  <c r="H41"/>
  <c r="L14" i="16" s="1"/>
  <c r="F37" i="4"/>
  <c r="J9" i="6" s="1"/>
  <c r="N9" s="1"/>
  <c r="BL9" s="1"/>
  <c r="G62" i="4"/>
  <c r="I62"/>
  <c r="M34" i="6" s="1"/>
  <c r="T34" s="1"/>
  <c r="G46" i="4"/>
  <c r="K19" i="16" s="1"/>
  <c r="I46" i="4"/>
  <c r="M18" i="6" s="1"/>
  <c r="T18" s="1"/>
  <c r="F62" i="4"/>
  <c r="H62"/>
  <c r="L34" i="6" s="1"/>
  <c r="R34" s="1"/>
  <c r="S34" s="1"/>
  <c r="F46" i="4"/>
  <c r="J18" i="6" s="1"/>
  <c r="N18" s="1"/>
  <c r="O18" s="1"/>
  <c r="H38" i="4"/>
  <c r="L10" i="6" s="1"/>
  <c r="R10" s="1"/>
  <c r="S10" s="1"/>
  <c r="G63" i="4"/>
  <c r="I55"/>
  <c r="M27" i="6" s="1"/>
  <c r="T27" s="1"/>
  <c r="G47" i="4"/>
  <c r="K19" i="6" s="1"/>
  <c r="P19" s="1"/>
  <c r="I39" i="4"/>
  <c r="F63"/>
  <c r="J36" i="16" s="1"/>
  <c r="H55" i="4"/>
  <c r="F47"/>
  <c r="J19" i="6" s="1"/>
  <c r="N19" s="1"/>
  <c r="BJ19" s="1"/>
  <c r="F39" i="4"/>
  <c r="J11" i="6" s="1"/>
  <c r="N11" s="1"/>
  <c r="H39" i="4"/>
  <c r="L11" i="6" s="1"/>
  <c r="R11" s="1"/>
  <c r="BN13"/>
  <c r="AO33"/>
  <c r="BK33"/>
  <c r="AQ8"/>
  <c r="BN8"/>
  <c r="AQ7"/>
  <c r="BN7"/>
  <c r="AS26"/>
  <c r="BQ26"/>
  <c r="AS22"/>
  <c r="BQ22"/>
  <c r="AQ35"/>
  <c r="BN35"/>
  <c r="AS21"/>
  <c r="BQ21"/>
  <c r="AQ20"/>
  <c r="BN20"/>
  <c r="AU32"/>
  <c r="BT32"/>
  <c r="AS17"/>
  <c r="BQ17"/>
  <c r="AO28"/>
  <c r="BK28"/>
  <c r="AS8"/>
  <c r="BQ8"/>
  <c r="AQ9"/>
  <c r="BN9"/>
  <c r="AO26"/>
  <c r="BK26"/>
  <c r="AS10"/>
  <c r="BQ10"/>
  <c r="AS15"/>
  <c r="BQ15"/>
  <c r="AU8"/>
  <c r="BT8"/>
  <c r="AS30"/>
  <c r="BQ30"/>
  <c r="AS16"/>
  <c r="BQ16"/>
  <c r="AQ21"/>
  <c r="BN21"/>
  <c r="AO17"/>
  <c r="BK17"/>
  <c r="AS12"/>
  <c r="BQ12"/>
  <c r="AS18"/>
  <c r="BQ18"/>
  <c r="AQ28"/>
  <c r="BN28"/>
  <c r="AQ32"/>
  <c r="BN32"/>
  <c r="AQ5"/>
  <c r="BN5"/>
  <c r="AU10"/>
  <c r="BT10"/>
  <c r="AQ27"/>
  <c r="BN27"/>
  <c r="AU12"/>
  <c r="BT12"/>
  <c r="AS24"/>
  <c r="BQ24"/>
  <c r="AS4"/>
  <c r="BQ4"/>
  <c r="AS35"/>
  <c r="BQ35"/>
  <c r="AQ30"/>
  <c r="BN30"/>
  <c r="AQ26"/>
  <c r="BN26"/>
  <c r="AU29"/>
  <c r="BT29"/>
  <c r="AO6"/>
  <c r="BK6"/>
  <c r="AU4"/>
  <c r="BT4"/>
  <c r="AO20"/>
  <c r="BK20"/>
  <c r="AS27"/>
  <c r="BQ27"/>
  <c r="AO9"/>
  <c r="BK9"/>
  <c r="AS19"/>
  <c r="BQ19"/>
  <c r="AU22"/>
  <c r="BT22"/>
  <c r="AU6"/>
  <c r="BT6"/>
  <c r="AQ18"/>
  <c r="BN18"/>
  <c r="K27"/>
  <c r="P27" s="1"/>
  <c r="Q27" s="1"/>
  <c r="J5"/>
  <c r="N5" s="1"/>
  <c r="J6" i="16"/>
  <c r="J17" i="6"/>
  <c r="N17" s="1"/>
  <c r="O17" s="1"/>
  <c r="J21"/>
  <c r="N21" s="1"/>
  <c r="O21" s="1"/>
  <c r="K9"/>
  <c r="P9" s="1"/>
  <c r="BM9" s="1"/>
  <c r="P10" i="16"/>
  <c r="Q10" s="1"/>
  <c r="K25"/>
  <c r="AF14" i="6"/>
  <c r="Y15" i="16"/>
  <c r="AE15" s="1"/>
  <c r="AF15" s="1"/>
  <c r="Y31"/>
  <c r="AE31" s="1"/>
  <c r="AF31" s="1"/>
  <c r="X6" i="6"/>
  <c r="AC6" s="1"/>
  <c r="AD6" s="1"/>
  <c r="X8"/>
  <c r="AC8" s="1"/>
  <c r="AD8" s="1"/>
  <c r="X21" i="16"/>
  <c r="X22" i="6"/>
  <c r="AC22" s="1"/>
  <c r="AD22" s="1"/>
  <c r="X31" i="16"/>
  <c r="AC31" s="1"/>
  <c r="AD31" s="1"/>
  <c r="X33"/>
  <c r="AC33" s="1"/>
  <c r="AD33" s="1"/>
  <c r="X35"/>
  <c r="L35" i="6"/>
  <c r="R35" s="1"/>
  <c r="T19"/>
  <c r="M20" i="16"/>
  <c r="M36"/>
  <c r="L18" i="6"/>
  <c r="R18" s="1"/>
  <c r="S18" s="1"/>
  <c r="M35" i="16"/>
  <c r="L10"/>
  <c r="R10" s="1"/>
  <c r="BP10" s="1"/>
  <c r="L33"/>
  <c r="R33" s="1"/>
  <c r="S33" s="1"/>
  <c r="M33"/>
  <c r="T33" s="1"/>
  <c r="X27" i="6"/>
  <c r="AC27" s="1"/>
  <c r="AD27" s="1"/>
  <c r="W22"/>
  <c r="AA22" s="1"/>
  <c r="AB22" s="1"/>
  <c r="Z10"/>
  <c r="AG10" s="1"/>
  <c r="AH10" s="1"/>
  <c r="Z11" i="16"/>
  <c r="Z18" i="6"/>
  <c r="AG18" s="1"/>
  <c r="AH18" s="1"/>
  <c r="Z27" i="16"/>
  <c r="BJ24" i="6"/>
  <c r="BP34"/>
  <c r="U35"/>
  <c r="BS35"/>
  <c r="BU35"/>
  <c r="Q9"/>
  <c r="BN17" l="1"/>
  <c r="AQ17"/>
  <c r="BN11"/>
  <c r="AQ11"/>
  <c r="BT31"/>
  <c r="AU31"/>
  <c r="BT34"/>
  <c r="AU34"/>
  <c r="BK14"/>
  <c r="AO14"/>
  <c r="BN12"/>
  <c r="AQ12"/>
  <c r="BK10"/>
  <c r="AO10"/>
  <c r="BN16"/>
  <c r="AQ16"/>
  <c r="BT18"/>
  <c r="AU18"/>
  <c r="BN23"/>
  <c r="AQ23"/>
  <c r="BK24"/>
  <c r="AO24"/>
  <c r="BK8"/>
  <c r="AO8"/>
  <c r="BT16"/>
  <c r="AU16"/>
  <c r="BK4"/>
  <c r="AO4"/>
  <c r="BN22"/>
  <c r="AQ22"/>
  <c r="BT24"/>
  <c r="AU24"/>
  <c r="BT20"/>
  <c r="AU20"/>
  <c r="BK18"/>
  <c r="AO18"/>
  <c r="BQ20"/>
  <c r="AS20"/>
  <c r="BQ7"/>
  <c r="AS7"/>
  <c r="BQ23"/>
  <c r="AS23"/>
  <c r="BQ31"/>
  <c r="AS31"/>
  <c r="BQ9"/>
  <c r="AS9"/>
  <c r="BQ33"/>
  <c r="AS33"/>
  <c r="BK22"/>
  <c r="AO22"/>
  <c r="BT14"/>
  <c r="AU14"/>
  <c r="AO25"/>
  <c r="BK25"/>
  <c r="BQ11"/>
  <c r="AS11"/>
  <c r="BK34"/>
  <c r="AO34"/>
  <c r="BK12"/>
  <c r="AO12"/>
  <c r="BN10"/>
  <c r="AQ10"/>
  <c r="BK32"/>
  <c r="AO32"/>
  <c r="BN6"/>
  <c r="AQ6"/>
  <c r="BN19"/>
  <c r="AQ19"/>
  <c r="BQ13"/>
  <c r="AS13"/>
  <c r="BQ5"/>
  <c r="AS5"/>
  <c r="BN15"/>
  <c r="AQ15"/>
  <c r="BN33"/>
  <c r="AQ33"/>
  <c r="BK30"/>
  <c r="AO30"/>
  <c r="BQ14"/>
  <c r="AS14"/>
  <c r="BQ32"/>
  <c r="AS32"/>
  <c r="BN25"/>
  <c r="AQ25"/>
  <c r="BN4"/>
  <c r="AQ4"/>
  <c r="BQ6"/>
  <c r="AS6"/>
  <c r="BT30"/>
  <c r="AU30"/>
  <c r="BN14"/>
  <c r="AQ14"/>
  <c r="BN24"/>
  <c r="AQ24"/>
  <c r="BQ28"/>
  <c r="AS28"/>
  <c r="BT26"/>
  <c r="AU26"/>
  <c r="BT28"/>
  <c r="AU28"/>
  <c r="BK16"/>
  <c r="AO16"/>
  <c r="CJ19" i="10"/>
  <c r="CL19" s="1"/>
  <c r="S19"/>
  <c r="CG32"/>
  <c r="Q32"/>
  <c r="AK31" i="19"/>
  <c r="AP31" s="1"/>
  <c r="AQ31" s="1"/>
  <c r="AK32" i="16"/>
  <c r="AK31" i="6"/>
  <c r="AP31" s="1"/>
  <c r="AM19" i="19"/>
  <c r="AT19" s="1"/>
  <c r="AU19" s="1"/>
  <c r="AM20" i="16"/>
  <c r="AM19" i="6"/>
  <c r="AT19" s="1"/>
  <c r="AJ23" i="19"/>
  <c r="AN23" s="1"/>
  <c r="AO23" s="1"/>
  <c r="AJ24" i="16"/>
  <c r="AJ23" i="6"/>
  <c r="AN23" s="1"/>
  <c r="AX23"/>
  <c r="BC23" s="1"/>
  <c r="BD23" s="1"/>
  <c r="AX23" i="19"/>
  <c r="BC23" s="1"/>
  <c r="BD23" s="1"/>
  <c r="AX24" i="16"/>
  <c r="AM13" i="6"/>
  <c r="AT13" s="1"/>
  <c r="AM13" i="19"/>
  <c r="AT13" s="1"/>
  <c r="AU13" s="1"/>
  <c r="AM14" i="16"/>
  <c r="AX10" i="6"/>
  <c r="BC10" s="1"/>
  <c r="BD10" s="1"/>
  <c r="AX10" i="19"/>
  <c r="BC10" s="1"/>
  <c r="BD10" s="1"/>
  <c r="AX11" i="16"/>
  <c r="AW6" i="19"/>
  <c r="BA6" s="1"/>
  <c r="BB6" s="1"/>
  <c r="AW7" i="16"/>
  <c r="AW6" i="6"/>
  <c r="BA6" s="1"/>
  <c r="BB6" s="1"/>
  <c r="AW24" i="19"/>
  <c r="BA24" s="1"/>
  <c r="BB24" s="1"/>
  <c r="AW25" i="16"/>
  <c r="AW24" i="6"/>
  <c r="BA24" s="1"/>
  <c r="BB24" s="1"/>
  <c r="AW23" i="16"/>
  <c r="AW22" i="6"/>
  <c r="BA22" s="1"/>
  <c r="BB22" s="1"/>
  <c r="AW22" i="19"/>
  <c r="BA22" s="1"/>
  <c r="BB22" s="1"/>
  <c r="AX16" i="6"/>
  <c r="BC16" s="1"/>
  <c r="BD16" s="1"/>
  <c r="AX16" i="19"/>
  <c r="BC16" s="1"/>
  <c r="BD16" s="1"/>
  <c r="AX17" i="16"/>
  <c r="AX12"/>
  <c r="AX11" i="6"/>
  <c r="BC11" s="1"/>
  <c r="BD11" s="1"/>
  <c r="AX11" i="19"/>
  <c r="BC11" s="1"/>
  <c r="BD11" s="1"/>
  <c r="AJ29"/>
  <c r="AN29" s="1"/>
  <c r="AO29" s="1"/>
  <c r="AJ30" i="16"/>
  <c r="AJ29" i="6"/>
  <c r="AN29" s="1"/>
  <c r="AX14"/>
  <c r="BC14" s="1"/>
  <c r="BD14" s="1"/>
  <c r="AX15" i="16"/>
  <c r="BC15" s="1"/>
  <c r="BD15" s="1"/>
  <c r="AX14" i="19"/>
  <c r="BC14" s="1"/>
  <c r="BD14" s="1"/>
  <c r="CM4" i="10"/>
  <c r="CO4" s="1"/>
  <c r="U4"/>
  <c r="Q20"/>
  <c r="CG20"/>
  <c r="CI20" s="1"/>
  <c r="Q15"/>
  <c r="CG15"/>
  <c r="CG31"/>
  <c r="Q31"/>
  <c r="CM14"/>
  <c r="CO14" s="1"/>
  <c r="U14"/>
  <c r="CM30"/>
  <c r="CO30" s="1"/>
  <c r="U30"/>
  <c r="CG17"/>
  <c r="Q17"/>
  <c r="CG25"/>
  <c r="Q25"/>
  <c r="CD4"/>
  <c r="CF4" s="1"/>
  <c r="O4"/>
  <c r="O20"/>
  <c r="CD20"/>
  <c r="CJ7"/>
  <c r="CL7" s="1"/>
  <c r="S7"/>
  <c r="S31"/>
  <c r="CJ31"/>
  <c r="CL31" s="1"/>
  <c r="CD18"/>
  <c r="CF18" s="1"/>
  <c r="O18"/>
  <c r="S27"/>
  <c r="CJ27"/>
  <c r="CL27" s="1"/>
  <c r="CJ13"/>
  <c r="CL13" s="1"/>
  <c r="S13"/>
  <c r="O29"/>
  <c r="CD29"/>
  <c r="CF29" s="1"/>
  <c r="CX173"/>
  <c r="CY173" s="1"/>
  <c r="BZ173"/>
  <c r="CX109"/>
  <c r="CY109" s="1"/>
  <c r="BZ109"/>
  <c r="CX77"/>
  <c r="CY77" s="1"/>
  <c r="BZ77"/>
  <c r="CX212"/>
  <c r="CY212" s="1"/>
  <c r="BZ212"/>
  <c r="CX239"/>
  <c r="CY239" s="1"/>
  <c r="BZ239"/>
  <c r="BZ207"/>
  <c r="CX207"/>
  <c r="CY207" s="1"/>
  <c r="CR47"/>
  <c r="CS47" s="1"/>
  <c r="BV47"/>
  <c r="CX8"/>
  <c r="CY8" s="1"/>
  <c r="BZ8"/>
  <c r="CR204"/>
  <c r="CS204" s="1"/>
  <c r="BV204"/>
  <c r="CX118"/>
  <c r="CY118" s="1"/>
  <c r="BZ118"/>
  <c r="CR50"/>
  <c r="CS50" s="1"/>
  <c r="BV50"/>
  <c r="BV266"/>
  <c r="CR266"/>
  <c r="CX170"/>
  <c r="CY170" s="1"/>
  <c r="BZ170"/>
  <c r="CU38"/>
  <c r="CV38" s="1"/>
  <c r="BX38"/>
  <c r="BX70"/>
  <c r="CU70"/>
  <c r="CV70" s="1"/>
  <c r="DA230"/>
  <c r="DB230" s="1"/>
  <c r="CB230"/>
  <c r="CU266"/>
  <c r="CV266" s="1"/>
  <c r="BX266"/>
  <c r="BX129"/>
  <c r="CU129"/>
  <c r="CV129" s="1"/>
  <c r="CX249"/>
  <c r="CY249" s="1"/>
  <c r="BZ249"/>
  <c r="CX121"/>
  <c r="CY121" s="1"/>
  <c r="BZ121"/>
  <c r="BZ57"/>
  <c r="CX57"/>
  <c r="CY57" s="1"/>
  <c r="CR123"/>
  <c r="CS123" s="1"/>
  <c r="BV123"/>
  <c r="CX14"/>
  <c r="CY14" s="1"/>
  <c r="BZ14"/>
  <c r="CR34"/>
  <c r="CS34" s="1"/>
  <c r="BV34"/>
  <c r="BF12"/>
  <c r="CN12"/>
  <c r="CO12" s="1"/>
  <c r="CU122"/>
  <c r="CV122" s="1"/>
  <c r="BX122"/>
  <c r="CU186"/>
  <c r="CV186" s="1"/>
  <c r="BX186"/>
  <c r="BB26"/>
  <c r="CH26"/>
  <c r="CI26" s="1"/>
  <c r="CX7"/>
  <c r="CY7" s="1"/>
  <c r="BZ7"/>
  <c r="CX10"/>
  <c r="CY10" s="1"/>
  <c r="BZ10"/>
  <c r="CR46"/>
  <c r="CS46" s="1"/>
  <c r="BV46"/>
  <c r="CR214"/>
  <c r="CS214" s="1"/>
  <c r="BV214"/>
  <c r="CM20"/>
  <c r="CO20" s="1"/>
  <c r="U20"/>
  <c r="CM17"/>
  <c r="CO17" s="1"/>
  <c r="U17"/>
  <c r="CG29"/>
  <c r="Q29"/>
  <c r="AM268"/>
  <c r="CT268"/>
  <c r="CV268" s="1"/>
  <c r="CT260"/>
  <c r="AM260"/>
  <c r="AM252"/>
  <c r="CT252"/>
  <c r="CV252" s="1"/>
  <c r="CT244"/>
  <c r="CV244" s="1"/>
  <c r="AM244"/>
  <c r="AM236"/>
  <c r="CT236"/>
  <c r="CT228"/>
  <c r="CV228" s="1"/>
  <c r="AM228"/>
  <c r="AM220"/>
  <c r="CT220"/>
  <c r="CT212"/>
  <c r="AM212"/>
  <c r="AM204"/>
  <c r="CT204"/>
  <c r="CV204" s="1"/>
  <c r="CT196"/>
  <c r="CV196" s="1"/>
  <c r="AM196"/>
  <c r="AM188"/>
  <c r="CT188"/>
  <c r="CT180"/>
  <c r="CV180" s="1"/>
  <c r="AM180"/>
  <c r="AM172"/>
  <c r="CT172"/>
  <c r="CV172" s="1"/>
  <c r="AM156"/>
  <c r="CT156"/>
  <c r="CV156" s="1"/>
  <c r="AM140"/>
  <c r="CT140"/>
  <c r="AM124"/>
  <c r="CT124"/>
  <c r="AM108"/>
  <c r="CT108"/>
  <c r="AM92"/>
  <c r="CT92"/>
  <c r="AM76"/>
  <c r="CT76"/>
  <c r="CV76" s="1"/>
  <c r="AM60"/>
  <c r="CT60"/>
  <c r="AM44"/>
  <c r="CT44"/>
  <c r="AM28"/>
  <c r="CT28"/>
  <c r="S32"/>
  <c r="CJ32"/>
  <c r="CL32" s="1"/>
  <c r="CD13"/>
  <c r="O13"/>
  <c r="CJ14"/>
  <c r="CL14" s="1"/>
  <c r="S14"/>
  <c r="CM9"/>
  <c r="U9"/>
  <c r="AM18" i="16"/>
  <c r="AM17" i="6"/>
  <c r="AT17" s="1"/>
  <c r="AM17" i="19"/>
  <c r="AT17" s="1"/>
  <c r="AU17" s="1"/>
  <c r="AK35" i="16"/>
  <c r="AK34" i="6"/>
  <c r="AP34" s="1"/>
  <c r="AK34" i="19"/>
  <c r="AP34" s="1"/>
  <c r="AQ34" s="1"/>
  <c r="AX4"/>
  <c r="BC4" s="1"/>
  <c r="BD4" s="1"/>
  <c r="AX5" i="16"/>
  <c r="AX4" i="6"/>
  <c r="BC4" s="1"/>
  <c r="BD4" s="1"/>
  <c r="AX16" i="16"/>
  <c r="AX15" i="6"/>
  <c r="BC15" s="1"/>
  <c r="BD15" s="1"/>
  <c r="AX15" i="19"/>
  <c r="BC15" s="1"/>
  <c r="BD15" s="1"/>
  <c r="AX35" i="16"/>
  <c r="AX34" i="6"/>
  <c r="BC34" s="1"/>
  <c r="BD34" s="1"/>
  <c r="AX34" i="19"/>
  <c r="BC34" s="1"/>
  <c r="BD34" s="1"/>
  <c r="AW12" i="6"/>
  <c r="BA12" s="1"/>
  <c r="BB12" s="1"/>
  <c r="AW12" i="19"/>
  <c r="BA12" s="1"/>
  <c r="BB12" s="1"/>
  <c r="AW13" i="16"/>
  <c r="AW16" i="6"/>
  <c r="BA16" s="1"/>
  <c r="BB16" s="1"/>
  <c r="AW16" i="19"/>
  <c r="BA16" s="1"/>
  <c r="BB16" s="1"/>
  <c r="AW17" i="16"/>
  <c r="AW25" i="19"/>
  <c r="BA25" s="1"/>
  <c r="BB25" s="1"/>
  <c r="AW26" i="16"/>
  <c r="BA26" s="1"/>
  <c r="BB26" s="1"/>
  <c r="AW25" i="6"/>
  <c r="BA25" s="1"/>
  <c r="BB25" s="1"/>
  <c r="AX8"/>
  <c r="BC8" s="1"/>
  <c r="BD8" s="1"/>
  <c r="AX8" i="19"/>
  <c r="BC8" s="1"/>
  <c r="BD8" s="1"/>
  <c r="AX9" i="16"/>
  <c r="AW9" i="19"/>
  <c r="BA9" s="1"/>
  <c r="BB9" s="1"/>
  <c r="AW10" i="16"/>
  <c r="BA10" s="1"/>
  <c r="BB10" s="1"/>
  <c r="AW9" i="6"/>
  <c r="BA9" s="1"/>
  <c r="BB9" s="1"/>
  <c r="AL35" i="16"/>
  <c r="AL34" i="6"/>
  <c r="AR34" s="1"/>
  <c r="AL34" i="19"/>
  <c r="AR34" s="1"/>
  <c r="AS34" s="1"/>
  <c r="AX6" i="6"/>
  <c r="BC6" s="1"/>
  <c r="BD6" s="1"/>
  <c r="AX6" i="19"/>
  <c r="BC6" s="1"/>
  <c r="BD6" s="1"/>
  <c r="AX7" i="16"/>
  <c r="U16" i="10"/>
  <c r="CM16"/>
  <c r="CO16" s="1"/>
  <c r="CM11"/>
  <c r="CO11" s="1"/>
  <c r="U11"/>
  <c r="CG27"/>
  <c r="Q27"/>
  <c r="CG10"/>
  <c r="CI10" s="1"/>
  <c r="Q10"/>
  <c r="CM26"/>
  <c r="CO26" s="1"/>
  <c r="U26"/>
  <c r="CG13"/>
  <c r="Q13"/>
  <c r="CG24"/>
  <c r="CI24" s="1"/>
  <c r="Q24"/>
  <c r="S8"/>
  <c r="CJ8"/>
  <c r="CL8" s="1"/>
  <c r="O24"/>
  <c r="CD24"/>
  <c r="CF24" s="1"/>
  <c r="CJ11"/>
  <c r="CL11" s="1"/>
  <c r="S11"/>
  <c r="CJ6"/>
  <c r="CL6" s="1"/>
  <c r="S6"/>
  <c r="CJ22"/>
  <c r="CL22" s="1"/>
  <c r="S22"/>
  <c r="CJ23"/>
  <c r="CL23" s="1"/>
  <c r="S23"/>
  <c r="O17"/>
  <c r="CD17"/>
  <c r="CF17" s="1"/>
  <c r="BV109"/>
  <c r="CR109"/>
  <c r="CS109" s="1"/>
  <c r="CX45"/>
  <c r="CY45" s="1"/>
  <c r="BZ45"/>
  <c r="CX21"/>
  <c r="CY21" s="1"/>
  <c r="BZ21"/>
  <c r="CR239"/>
  <c r="CS239" s="1"/>
  <c r="BV239"/>
  <c r="CX175"/>
  <c r="CY175" s="1"/>
  <c r="BZ175"/>
  <c r="BZ143"/>
  <c r="CX143"/>
  <c r="CY143" s="1"/>
  <c r="CR8"/>
  <c r="CS8" s="1"/>
  <c r="BV8"/>
  <c r="CR64"/>
  <c r="CS64" s="1"/>
  <c r="BV64"/>
  <c r="AZ13"/>
  <c r="CE13"/>
  <c r="CX50"/>
  <c r="CY50" s="1"/>
  <c r="BZ50"/>
  <c r="CR94"/>
  <c r="CS94" s="1"/>
  <c r="BV94"/>
  <c r="CR174"/>
  <c r="CS174" s="1"/>
  <c r="BV174"/>
  <c r="DA38"/>
  <c r="DB38" s="1"/>
  <c r="CB38"/>
  <c r="CU102"/>
  <c r="CV102" s="1"/>
  <c r="BX102"/>
  <c r="CU134"/>
  <c r="CV134" s="1"/>
  <c r="BX134"/>
  <c r="DA266"/>
  <c r="DB266" s="1"/>
  <c r="CB266"/>
  <c r="CU161"/>
  <c r="CV161" s="1"/>
  <c r="BX161"/>
  <c r="CU193"/>
  <c r="CV193" s="1"/>
  <c r="BX193"/>
  <c r="CR121"/>
  <c r="CS121" s="1"/>
  <c r="BV121"/>
  <c r="CX11"/>
  <c r="CY11" s="1"/>
  <c r="BZ11"/>
  <c r="CR244"/>
  <c r="CS244" s="1"/>
  <c r="BV244"/>
  <c r="CR14"/>
  <c r="CS14" s="1"/>
  <c r="BV14"/>
  <c r="CR36"/>
  <c r="CS36" s="1"/>
  <c r="BV36"/>
  <c r="BV182"/>
  <c r="CR182"/>
  <c r="CS182" s="1"/>
  <c r="DA122"/>
  <c r="DB122" s="1"/>
  <c r="CB122"/>
  <c r="CU117"/>
  <c r="CV117" s="1"/>
  <c r="BX117"/>
  <c r="BX181"/>
  <c r="CU181"/>
  <c r="CV181" s="1"/>
  <c r="CX189"/>
  <c r="CY189" s="1"/>
  <c r="BZ189"/>
  <c r="BZ125"/>
  <c r="CX125"/>
  <c r="CY125" s="1"/>
  <c r="CR248"/>
  <c r="CS248" s="1"/>
  <c r="BV248"/>
  <c r="CX255"/>
  <c r="CY255" s="1"/>
  <c r="BZ255"/>
  <c r="CU182"/>
  <c r="CV182" s="1"/>
  <c r="BX182"/>
  <c r="BX241"/>
  <c r="CU241"/>
  <c r="CV241" s="1"/>
  <c r="BZ145"/>
  <c r="CX145"/>
  <c r="CY145" s="1"/>
  <c r="BV23"/>
  <c r="CR23"/>
  <c r="CS23" s="1"/>
  <c r="BZ144"/>
  <c r="CX144"/>
  <c r="CY144" s="1"/>
  <c r="BV147"/>
  <c r="CR147"/>
  <c r="CS147" s="1"/>
  <c r="BV26"/>
  <c r="CR26"/>
  <c r="BZ162"/>
  <c r="CX162"/>
  <c r="CY162" s="1"/>
  <c r="BZ110"/>
  <c r="CX110"/>
  <c r="CY110" s="1"/>
  <c r="BZ92"/>
  <c r="CX92"/>
  <c r="CY92" s="1"/>
  <c r="CD10"/>
  <c r="O10"/>
  <c r="CG28"/>
  <c r="CI28" s="1"/>
  <c r="Q28"/>
  <c r="AJ19" i="19"/>
  <c r="AN19" s="1"/>
  <c r="AO19" s="1"/>
  <c r="AJ20" i="16"/>
  <c r="AJ19" i="6"/>
  <c r="AN19" s="1"/>
  <c r="AM33" i="19"/>
  <c r="AT33" s="1"/>
  <c r="AU33" s="1"/>
  <c r="AM34" i="16"/>
  <c r="AM33" i="6"/>
  <c r="AT33" s="1"/>
  <c r="AJ21" i="19"/>
  <c r="AN21" s="1"/>
  <c r="AO21" s="1"/>
  <c r="AJ22" i="16"/>
  <c r="AJ21" i="6"/>
  <c r="AN21" s="1"/>
  <c r="AX7" i="19"/>
  <c r="BC7" s="1"/>
  <c r="BD7" s="1"/>
  <c r="AX8" i="16"/>
  <c r="AX7" i="6"/>
  <c r="BC7" s="1"/>
  <c r="BD7" s="1"/>
  <c r="AX26" i="19"/>
  <c r="BC26" s="1"/>
  <c r="BD26" s="1"/>
  <c r="AX27" i="16"/>
  <c r="AX26" i="6"/>
  <c r="BC26" s="1"/>
  <c r="BD26" s="1"/>
  <c r="AW23"/>
  <c r="BA23" s="1"/>
  <c r="BB23" s="1"/>
  <c r="AW23" i="19"/>
  <c r="BA23" s="1"/>
  <c r="BB23" s="1"/>
  <c r="AW24" i="16"/>
  <c r="AW8" i="6"/>
  <c r="BA8" s="1"/>
  <c r="BB8" s="1"/>
  <c r="AW8" i="19"/>
  <c r="BA8" s="1"/>
  <c r="BB8" s="1"/>
  <c r="AW9" i="16"/>
  <c r="AX32" i="19"/>
  <c r="BC32" s="1"/>
  <c r="BD32" s="1"/>
  <c r="AX33" i="16"/>
  <c r="AX32" i="6"/>
  <c r="BC32" s="1"/>
  <c r="BD32" s="1"/>
  <c r="AM5" i="19"/>
  <c r="AT5" s="1"/>
  <c r="AU5" s="1"/>
  <c r="AM6" i="16"/>
  <c r="AM5" i="6"/>
  <c r="AT5" s="1"/>
  <c r="AJ15"/>
  <c r="AN15" s="1"/>
  <c r="AJ15" i="19"/>
  <c r="AN15" s="1"/>
  <c r="AO15" s="1"/>
  <c r="AJ16" i="16"/>
  <c r="CG12" i="10"/>
  <c r="Q12"/>
  <c r="CG7"/>
  <c r="Q7"/>
  <c r="CG23"/>
  <c r="Q23"/>
  <c r="CM6"/>
  <c r="CO6" s="1"/>
  <c r="U6"/>
  <c r="CM22"/>
  <c r="CO22" s="1"/>
  <c r="U22"/>
  <c r="CG9"/>
  <c r="Q9"/>
  <c r="U29"/>
  <c r="CM29"/>
  <c r="CO29" s="1"/>
  <c r="O12"/>
  <c r="CD12"/>
  <c r="CF12" s="1"/>
  <c r="CJ28"/>
  <c r="CL28" s="1"/>
  <c r="S28"/>
  <c r="CJ15"/>
  <c r="S15"/>
  <c r="CJ10"/>
  <c r="CL10" s="1"/>
  <c r="S10"/>
  <c r="S26"/>
  <c r="CJ26"/>
  <c r="CL26" s="1"/>
  <c r="S5"/>
  <c r="CJ5"/>
  <c r="CL5" s="1"/>
  <c r="CJ21"/>
  <c r="CL21" s="1"/>
  <c r="S21"/>
  <c r="CR237"/>
  <c r="CS237" s="1"/>
  <c r="BV237"/>
  <c r="BV205"/>
  <c r="CR205"/>
  <c r="CS205" s="1"/>
  <c r="CR45"/>
  <c r="CS45" s="1"/>
  <c r="BV45"/>
  <c r="CX5"/>
  <c r="CY5" s="1"/>
  <c r="BZ5"/>
  <c r="CR184"/>
  <c r="CS184" s="1"/>
  <c r="BV184"/>
  <c r="BV175"/>
  <c r="CR175"/>
  <c r="CS175" s="1"/>
  <c r="CX111"/>
  <c r="CY111" s="1"/>
  <c r="BZ111"/>
  <c r="CX79"/>
  <c r="CY79" s="1"/>
  <c r="BZ79"/>
  <c r="BZ64"/>
  <c r="CX64"/>
  <c r="CY64" s="1"/>
  <c r="CR254"/>
  <c r="CS254" s="1"/>
  <c r="BV254"/>
  <c r="AZ20"/>
  <c r="CE20"/>
  <c r="BZ94"/>
  <c r="CX94"/>
  <c r="CY94" s="1"/>
  <c r="CR74"/>
  <c r="CS74" s="1"/>
  <c r="BV74"/>
  <c r="BV120"/>
  <c r="CR120"/>
  <c r="CS120" s="1"/>
  <c r="CB102"/>
  <c r="DA102"/>
  <c r="DB102" s="1"/>
  <c r="CU166"/>
  <c r="CV166" s="1"/>
  <c r="BX166"/>
  <c r="BX198"/>
  <c r="CU198"/>
  <c r="CV198" s="1"/>
  <c r="DA161"/>
  <c r="DB161" s="1"/>
  <c r="CB161"/>
  <c r="CU225"/>
  <c r="CV225" s="1"/>
  <c r="BX225"/>
  <c r="CB257"/>
  <c r="DA257"/>
  <c r="DB257" s="1"/>
  <c r="CR11"/>
  <c r="CS11" s="1"/>
  <c r="BV11"/>
  <c r="CX251"/>
  <c r="CY251" s="1"/>
  <c r="BZ251"/>
  <c r="BZ187"/>
  <c r="CX187"/>
  <c r="CY187" s="1"/>
  <c r="CX36"/>
  <c r="CY36" s="1"/>
  <c r="BZ36"/>
  <c r="CR82"/>
  <c r="CS82" s="1"/>
  <c r="BV82"/>
  <c r="CE21"/>
  <c r="CF21" s="1"/>
  <c r="AZ21"/>
  <c r="DA117"/>
  <c r="DB117" s="1"/>
  <c r="CB117"/>
  <c r="CX63"/>
  <c r="CY63" s="1"/>
  <c r="BZ63"/>
  <c r="BV96"/>
  <c r="CR96"/>
  <c r="CS96" s="1"/>
  <c r="BX113"/>
  <c r="CU113"/>
  <c r="CV113" s="1"/>
  <c r="BZ209"/>
  <c r="CX209"/>
  <c r="CY209" s="1"/>
  <c r="BZ81"/>
  <c r="CX81"/>
  <c r="CY81" s="1"/>
  <c r="CR228"/>
  <c r="CS228" s="1"/>
  <c r="BV228"/>
  <c r="BZ211"/>
  <c r="CX211"/>
  <c r="CY211" s="1"/>
  <c r="BZ83"/>
  <c r="CX83"/>
  <c r="CY83" s="1"/>
  <c r="CE8"/>
  <c r="CF8" s="1"/>
  <c r="AZ8"/>
  <c r="CE10"/>
  <c r="AZ10"/>
  <c r="CR48"/>
  <c r="CS48" s="1"/>
  <c r="BV48"/>
  <c r="BU34" i="6"/>
  <c r="CS266" i="10"/>
  <c r="Q11"/>
  <c r="CG11"/>
  <c r="CM10"/>
  <c r="CO10" s="1"/>
  <c r="U10"/>
  <c r="O30"/>
  <c r="CD30"/>
  <c r="CF30" s="1"/>
  <c r="CM18"/>
  <c r="CO18" s="1"/>
  <c r="U18"/>
  <c r="CT264"/>
  <c r="AM264"/>
  <c r="CT256"/>
  <c r="AM256"/>
  <c r="CT248"/>
  <c r="CV248" s="1"/>
  <c r="AM248"/>
  <c r="CT240"/>
  <c r="CV240" s="1"/>
  <c r="AM240"/>
  <c r="CT232"/>
  <c r="AM232"/>
  <c r="CT224"/>
  <c r="AM224"/>
  <c r="CT216"/>
  <c r="AM216"/>
  <c r="CT208"/>
  <c r="AM208"/>
  <c r="CT200"/>
  <c r="AM200"/>
  <c r="CT192"/>
  <c r="CV192" s="1"/>
  <c r="AM192"/>
  <c r="CT184"/>
  <c r="CV184" s="1"/>
  <c r="AM184"/>
  <c r="CT176"/>
  <c r="AM176"/>
  <c r="CT168"/>
  <c r="CV168" s="1"/>
  <c r="AM168"/>
  <c r="CT152"/>
  <c r="CV152" s="1"/>
  <c r="AM152"/>
  <c r="CT136"/>
  <c r="CV136" s="1"/>
  <c r="AM136"/>
  <c r="CT120"/>
  <c r="AM120"/>
  <c r="CT104"/>
  <c r="CV104" s="1"/>
  <c r="AM104"/>
  <c r="CT88"/>
  <c r="AM88"/>
  <c r="CT72"/>
  <c r="AM72"/>
  <c r="CT56"/>
  <c r="AM56"/>
  <c r="CT40"/>
  <c r="AM40"/>
  <c r="CT24"/>
  <c r="AM24"/>
  <c r="Q30"/>
  <c r="CG30"/>
  <c r="CI30" s="1"/>
  <c r="S9"/>
  <c r="CJ9"/>
  <c r="CL9" s="1"/>
  <c r="CM5"/>
  <c r="CO5" s="1"/>
  <c r="U5"/>
  <c r="AM28" i="16"/>
  <c r="AM27" i="6"/>
  <c r="AT27" s="1"/>
  <c r="AM27" i="19"/>
  <c r="AT27" s="1"/>
  <c r="AU27" s="1"/>
  <c r="AM12" i="16"/>
  <c r="AM11" i="6"/>
  <c r="AT11" s="1"/>
  <c r="AM11" i="19"/>
  <c r="AT11" s="1"/>
  <c r="AU11" s="1"/>
  <c r="AJ31" i="6"/>
  <c r="AN31" s="1"/>
  <c r="AJ31" i="19"/>
  <c r="AN31" s="1"/>
  <c r="AO31" s="1"/>
  <c r="AJ32" i="16"/>
  <c r="AJ35" i="19"/>
  <c r="AN35" s="1"/>
  <c r="AO35" s="1"/>
  <c r="AJ36" i="16"/>
  <c r="AJ35" i="6"/>
  <c r="AN35" s="1"/>
  <c r="AW14"/>
  <c r="BA14" s="1"/>
  <c r="BB14" s="1"/>
  <c r="AW14" i="19"/>
  <c r="BA14" s="1"/>
  <c r="BB14" s="1"/>
  <c r="AW15" i="16"/>
  <c r="BA15" s="1"/>
  <c r="BB15" s="1"/>
  <c r="AX18" i="6"/>
  <c r="BC18" s="1"/>
  <c r="BD18" s="1"/>
  <c r="AX18" i="19"/>
  <c r="BC18" s="1"/>
  <c r="BD18" s="1"/>
  <c r="AX19" i="16"/>
  <c r="AW33"/>
  <c r="AW32" i="6"/>
  <c r="BA32" s="1"/>
  <c r="BB32" s="1"/>
  <c r="AW32" i="19"/>
  <c r="BA32" s="1"/>
  <c r="BB32" s="1"/>
  <c r="AX24" i="6"/>
  <c r="BC24" s="1"/>
  <c r="BD24" s="1"/>
  <c r="AX24" i="19"/>
  <c r="BC24" s="1"/>
  <c r="BD24" s="1"/>
  <c r="AX25" i="16"/>
  <c r="AJ8"/>
  <c r="AJ7" i="6"/>
  <c r="AN7" s="1"/>
  <c r="AJ7" i="19"/>
  <c r="AN7" s="1"/>
  <c r="AO7" s="1"/>
  <c r="AX21" i="16"/>
  <c r="AX20" i="6"/>
  <c r="BC20" s="1"/>
  <c r="BD20" s="1"/>
  <c r="AX20" i="19"/>
  <c r="BC20" s="1"/>
  <c r="BD20" s="1"/>
  <c r="AX33"/>
  <c r="BC33" s="1"/>
  <c r="BD33" s="1"/>
  <c r="AX34" i="16"/>
  <c r="AX33" i="6"/>
  <c r="BC33" s="1"/>
  <c r="BD33" s="1"/>
  <c r="U8" i="10"/>
  <c r="CM8"/>
  <c r="CO8" s="1"/>
  <c r="CM32"/>
  <c r="CO32" s="1"/>
  <c r="U32"/>
  <c r="CG19"/>
  <c r="CI19" s="1"/>
  <c r="Q19"/>
  <c r="CM28"/>
  <c r="CO28" s="1"/>
  <c r="U28"/>
  <c r="CG18"/>
  <c r="Q18"/>
  <c r="CG5"/>
  <c r="Q5"/>
  <c r="CM21"/>
  <c r="CO21" s="1"/>
  <c r="U21"/>
  <c r="S16"/>
  <c r="CJ16"/>
  <c r="CL16" s="1"/>
  <c r="CD32"/>
  <c r="CF32" s="1"/>
  <c r="O32"/>
  <c r="CD19"/>
  <c r="CF19" s="1"/>
  <c r="O19"/>
  <c r="CD14"/>
  <c r="CF14" s="1"/>
  <c r="O14"/>
  <c r="CJ30"/>
  <c r="CL30" s="1"/>
  <c r="S30"/>
  <c r="O9"/>
  <c r="CD9"/>
  <c r="CF9" s="1"/>
  <c r="CJ25"/>
  <c r="CL25" s="1"/>
  <c r="S25"/>
  <c r="CX237"/>
  <c r="CY237" s="1"/>
  <c r="BZ237"/>
  <c r="CR173"/>
  <c r="CS173" s="1"/>
  <c r="BV173"/>
  <c r="BV141"/>
  <c r="CR141"/>
  <c r="CS141" s="1"/>
  <c r="CR5"/>
  <c r="CS5" s="1"/>
  <c r="BV5"/>
  <c r="CR212"/>
  <c r="CS212" s="1"/>
  <c r="BV212"/>
  <c r="BV140"/>
  <c r="CR140"/>
  <c r="CS140" s="1"/>
  <c r="CR111"/>
  <c r="CS111" s="1"/>
  <c r="BV111"/>
  <c r="CX47"/>
  <c r="CY47" s="1"/>
  <c r="BZ47"/>
  <c r="CX24"/>
  <c r="CY24" s="1"/>
  <c r="BZ24"/>
  <c r="CX254"/>
  <c r="CY254" s="1"/>
  <c r="BZ254"/>
  <c r="CR118"/>
  <c r="CS118" s="1"/>
  <c r="BV118"/>
  <c r="CE16"/>
  <c r="CF16" s="1"/>
  <c r="AZ16"/>
  <c r="CX74"/>
  <c r="CY74" s="1"/>
  <c r="BZ74"/>
  <c r="CR170"/>
  <c r="CS170" s="1"/>
  <c r="BV170"/>
  <c r="CH18"/>
  <c r="BB18"/>
  <c r="DA166"/>
  <c r="DB166" s="1"/>
  <c r="CB166"/>
  <c r="CU230"/>
  <c r="CV230" s="1"/>
  <c r="BX230"/>
  <c r="CU250"/>
  <c r="CV250" s="1"/>
  <c r="BX250"/>
  <c r="CB225"/>
  <c r="DA225"/>
  <c r="DB225" s="1"/>
  <c r="CR249"/>
  <c r="CS249" s="1"/>
  <c r="BV249"/>
  <c r="CX185"/>
  <c r="CY185" s="1"/>
  <c r="BZ185"/>
  <c r="BV251"/>
  <c r="CR251"/>
  <c r="CS251" s="1"/>
  <c r="CX123"/>
  <c r="CY123" s="1"/>
  <c r="BZ123"/>
  <c r="CX59"/>
  <c r="CY59" s="1"/>
  <c r="BZ59"/>
  <c r="CX82"/>
  <c r="CY82" s="1"/>
  <c r="BZ82"/>
  <c r="CH12"/>
  <c r="BB12"/>
  <c r="BX58"/>
  <c r="CU58"/>
  <c r="CV58" s="1"/>
  <c r="DA245"/>
  <c r="DB245" s="1"/>
  <c r="CB245"/>
  <c r="BV253"/>
  <c r="CR253"/>
  <c r="CS253" s="1"/>
  <c r="CX61"/>
  <c r="CY61" s="1"/>
  <c r="BZ61"/>
  <c r="BZ13"/>
  <c r="CX13"/>
  <c r="CY13" s="1"/>
  <c r="CR80"/>
  <c r="CS80" s="1"/>
  <c r="BV80"/>
  <c r="CX188"/>
  <c r="CY188" s="1"/>
  <c r="BZ188"/>
  <c r="CX224"/>
  <c r="CY224" s="1"/>
  <c r="BZ224"/>
  <c r="CX222"/>
  <c r="CY222" s="1"/>
  <c r="BZ222"/>
  <c r="CK15"/>
  <c r="BD15"/>
  <c r="BU19" i="6"/>
  <c r="BO19"/>
  <c r="CS26" i="10"/>
  <c r="CB175"/>
  <c r="DA175"/>
  <c r="DB175" s="1"/>
  <c r="CR218"/>
  <c r="CS218" s="1"/>
  <c r="BV218"/>
  <c r="CU24"/>
  <c r="BX24"/>
  <c r="BX191"/>
  <c r="CU191"/>
  <c r="CV191" s="1"/>
  <c r="DA21"/>
  <c r="DB21" s="1"/>
  <c r="CB21"/>
  <c r="DA192"/>
  <c r="DB192" s="1"/>
  <c r="CB192"/>
  <c r="CB104"/>
  <c r="DA104"/>
  <c r="DB104" s="1"/>
  <c r="CB101"/>
  <c r="DA101"/>
  <c r="DB101" s="1"/>
  <c r="DA115"/>
  <c r="DB115" s="1"/>
  <c r="CB115"/>
  <c r="DA80"/>
  <c r="DB80" s="1"/>
  <c r="CB80"/>
  <c r="DA204"/>
  <c r="DB204" s="1"/>
  <c r="CB204"/>
  <c r="DA144"/>
  <c r="DB144" s="1"/>
  <c r="CB144"/>
  <c r="DA23"/>
  <c r="DB23" s="1"/>
  <c r="CB23"/>
  <c r="DA7"/>
  <c r="DB7" s="1"/>
  <c r="CB7"/>
  <c r="DA17"/>
  <c r="DB17" s="1"/>
  <c r="CB17"/>
  <c r="CU39"/>
  <c r="CV39" s="1"/>
  <c r="BX39"/>
  <c r="CU26"/>
  <c r="CV26" s="1"/>
  <c r="BX26"/>
  <c r="CR130"/>
  <c r="CS130" s="1"/>
  <c r="BV130"/>
  <c r="CH5"/>
  <c r="BB5"/>
  <c r="CH15"/>
  <c r="BB15"/>
  <c r="CH23"/>
  <c r="BB23"/>
  <c r="CH31"/>
  <c r="BB31"/>
  <c r="CH11"/>
  <c r="BB11"/>
  <c r="CH32"/>
  <c r="BB32"/>
  <c r="CH29"/>
  <c r="BB29"/>
  <c r="CX84"/>
  <c r="CY84" s="1"/>
  <c r="BZ84"/>
  <c r="CX90"/>
  <c r="CY90" s="1"/>
  <c r="BZ90"/>
  <c r="CR138"/>
  <c r="CS138" s="1"/>
  <c r="BV138"/>
  <c r="CR258"/>
  <c r="CS258" s="1"/>
  <c r="BV258"/>
  <c r="CR114"/>
  <c r="CS114" s="1"/>
  <c r="BV114"/>
  <c r="CX132"/>
  <c r="CY132" s="1"/>
  <c r="BZ132"/>
  <c r="CR86"/>
  <c r="CS86" s="1"/>
  <c r="BV86"/>
  <c r="CX88"/>
  <c r="CY88" s="1"/>
  <c r="BZ88"/>
  <c r="CX186"/>
  <c r="CY186" s="1"/>
  <c r="BZ186"/>
  <c r="CR54"/>
  <c r="CS54" s="1"/>
  <c r="BV54"/>
  <c r="CX154"/>
  <c r="CY154" s="1"/>
  <c r="BZ154"/>
  <c r="CX122"/>
  <c r="CY122" s="1"/>
  <c r="BZ122"/>
  <c r="DA251"/>
  <c r="DB251" s="1"/>
  <c r="CB251"/>
  <c r="CU223"/>
  <c r="CV223" s="1"/>
  <c r="BX223"/>
  <c r="CU199"/>
  <c r="CV199" s="1"/>
  <c r="BX199"/>
  <c r="CU175"/>
  <c r="CV175" s="1"/>
  <c r="BX175"/>
  <c r="CU116"/>
  <c r="CV116" s="1"/>
  <c r="BX116"/>
  <c r="CU89"/>
  <c r="CV89" s="1"/>
  <c r="BX89"/>
  <c r="CU55"/>
  <c r="CV55" s="1"/>
  <c r="BX55"/>
  <c r="CU29"/>
  <c r="CV29" s="1"/>
  <c r="BX29"/>
  <c r="CU13"/>
  <c r="CV13" s="1"/>
  <c r="BX13"/>
  <c r="CU215"/>
  <c r="CV215" s="1"/>
  <c r="BX215"/>
  <c r="DA191"/>
  <c r="DB191" s="1"/>
  <c r="CB191"/>
  <c r="CU167"/>
  <c r="CV167" s="1"/>
  <c r="BX167"/>
  <c r="CU131"/>
  <c r="CV131" s="1"/>
  <c r="BX131"/>
  <c r="CU85"/>
  <c r="CV85" s="1"/>
  <c r="BX85"/>
  <c r="CU31"/>
  <c r="CV31" s="1"/>
  <c r="BX31"/>
  <c r="CU4"/>
  <c r="CV4" s="1"/>
  <c r="BX4"/>
  <c r="DA252"/>
  <c r="DB252" s="1"/>
  <c r="CB252"/>
  <c r="CU224"/>
  <c r="BX224"/>
  <c r="CU200"/>
  <c r="BX200"/>
  <c r="CU176"/>
  <c r="BX176"/>
  <c r="CU151"/>
  <c r="CV151" s="1"/>
  <c r="BX151"/>
  <c r="CU128"/>
  <c r="CV128" s="1"/>
  <c r="BX128"/>
  <c r="CU84"/>
  <c r="CV84" s="1"/>
  <c r="BX84"/>
  <c r="CU71"/>
  <c r="CV71" s="1"/>
  <c r="BX71"/>
  <c r="CU56"/>
  <c r="BX56"/>
  <c r="CU43"/>
  <c r="CV43" s="1"/>
  <c r="BX43"/>
  <c r="DA24"/>
  <c r="DB24" s="1"/>
  <c r="CB24"/>
  <c r="DA8"/>
  <c r="DB8" s="1"/>
  <c r="CB8"/>
  <c r="CU143"/>
  <c r="CV143" s="1"/>
  <c r="BX143"/>
  <c r="CU65"/>
  <c r="CV65" s="1"/>
  <c r="BX65"/>
  <c r="CB255"/>
  <c r="DA255"/>
  <c r="DB255" s="1"/>
  <c r="BX164"/>
  <c r="CU164"/>
  <c r="CV164" s="1"/>
  <c r="CU140"/>
  <c r="BX140"/>
  <c r="CU108"/>
  <c r="BX108"/>
  <c r="DA91"/>
  <c r="DB91" s="1"/>
  <c r="CB91"/>
  <c r="DA64"/>
  <c r="DB64" s="1"/>
  <c r="CB64"/>
  <c r="BX37"/>
  <c r="CU37"/>
  <c r="CV37" s="1"/>
  <c r="CU25"/>
  <c r="CV25" s="1"/>
  <c r="BX25"/>
  <c r="CU9"/>
  <c r="CV9" s="1"/>
  <c r="BX9"/>
  <c r="DA240"/>
  <c r="DB240" s="1"/>
  <c r="CB240"/>
  <c r="CB244"/>
  <c r="DA244"/>
  <c r="DB244" s="1"/>
  <c r="CU219"/>
  <c r="CV219" s="1"/>
  <c r="BX219"/>
  <c r="CU123"/>
  <c r="CV123" s="1"/>
  <c r="BX123"/>
  <c r="BX87"/>
  <c r="CU87"/>
  <c r="CV87" s="1"/>
  <c r="CB59"/>
  <c r="DA59"/>
  <c r="DB59" s="1"/>
  <c r="DA32"/>
  <c r="DB32" s="1"/>
  <c r="CB32"/>
  <c r="DA16"/>
  <c r="DB16" s="1"/>
  <c r="CB16"/>
  <c r="DA263"/>
  <c r="DB263" s="1"/>
  <c r="CB263"/>
  <c r="BX232"/>
  <c r="CU232"/>
  <c r="CU208"/>
  <c r="BX208"/>
  <c r="DA183"/>
  <c r="DB183" s="1"/>
  <c r="CB183"/>
  <c r="CU159"/>
  <c r="CV159" s="1"/>
  <c r="BX159"/>
  <c r="CU135"/>
  <c r="CV135" s="1"/>
  <c r="BX135"/>
  <c r="CU103"/>
  <c r="CV103" s="1"/>
  <c r="BX103"/>
  <c r="BX88"/>
  <c r="CU88"/>
  <c r="DA75"/>
  <c r="DB75" s="1"/>
  <c r="CB75"/>
  <c r="CU60"/>
  <c r="BX60"/>
  <c r="CU47"/>
  <c r="CV47" s="1"/>
  <c r="BX47"/>
  <c r="CB22"/>
  <c r="DA22"/>
  <c r="DB22" s="1"/>
  <c r="CB6"/>
  <c r="DA6"/>
  <c r="DB6" s="1"/>
  <c r="DF301" i="15"/>
  <c r="DG301" s="1"/>
  <c r="CI301"/>
  <c r="BO16" i="6"/>
  <c r="BL8"/>
  <c r="BR9"/>
  <c r="CR122" i="10"/>
  <c r="CS122" s="1"/>
  <c r="BV122"/>
  <c r="DA176"/>
  <c r="DB176" s="1"/>
  <c r="CB176"/>
  <c r="CU260"/>
  <c r="BX260"/>
  <c r="CU187"/>
  <c r="CV187" s="1"/>
  <c r="BX187"/>
  <c r="DA35"/>
  <c r="DB35" s="1"/>
  <c r="CB35"/>
  <c r="DA231"/>
  <c r="DB231" s="1"/>
  <c r="CB231"/>
  <c r="CU267"/>
  <c r="CV267" s="1"/>
  <c r="BX267"/>
  <c r="CU243"/>
  <c r="CV243" s="1"/>
  <c r="BX243"/>
  <c r="DA188"/>
  <c r="DB188" s="1"/>
  <c r="CB188"/>
  <c r="CU96"/>
  <c r="CV96" s="1"/>
  <c r="BX96"/>
  <c r="DA5"/>
  <c r="DB5" s="1"/>
  <c r="CB5"/>
  <c r="CB160"/>
  <c r="DA160"/>
  <c r="DB160" s="1"/>
  <c r="CB228"/>
  <c r="DA228"/>
  <c r="DB228" s="1"/>
  <c r="DA69"/>
  <c r="DB69" s="1"/>
  <c r="CB69"/>
  <c r="CB168"/>
  <c r="DA168"/>
  <c r="DB168" s="1"/>
  <c r="DA48"/>
  <c r="DB48" s="1"/>
  <c r="CB48"/>
  <c r="BX28"/>
  <c r="CU28"/>
  <c r="DA216"/>
  <c r="DB216" s="1"/>
  <c r="CB216"/>
  <c r="CB111"/>
  <c r="DA111"/>
  <c r="DB111" s="1"/>
  <c r="CU10"/>
  <c r="CV10" s="1"/>
  <c r="BX10"/>
  <c r="DA264"/>
  <c r="DB264" s="1"/>
  <c r="CB264"/>
  <c r="CU256"/>
  <c r="BX256"/>
  <c r="DA79"/>
  <c r="DB79" s="1"/>
  <c r="CB79"/>
  <c r="DF294" i="15"/>
  <c r="DG294" s="1"/>
  <c r="CI294"/>
  <c r="DA40" i="10"/>
  <c r="DB40" s="1"/>
  <c r="CB40"/>
  <c r="CX258"/>
  <c r="CY258" s="1"/>
  <c r="BZ258"/>
  <c r="DA84"/>
  <c r="DB84" s="1"/>
  <c r="CB84"/>
  <c r="DA200"/>
  <c r="DB200" s="1"/>
  <c r="CB200"/>
  <c r="AX10" i="16"/>
  <c r="AX9" i="6"/>
  <c r="BC9" s="1"/>
  <c r="BD9" s="1"/>
  <c r="CU259" i="10"/>
  <c r="CV259" s="1"/>
  <c r="BX259"/>
  <c r="CB52"/>
  <c r="DA52"/>
  <c r="DB52" s="1"/>
  <c r="DA136"/>
  <c r="DB136" s="1"/>
  <c r="CB136"/>
  <c r="DA243"/>
  <c r="DB243" s="1"/>
  <c r="CB243"/>
  <c r="CU115"/>
  <c r="CV115" s="1"/>
  <c r="BX115"/>
  <c r="CB267"/>
  <c r="DA267"/>
  <c r="DB267" s="1"/>
  <c r="DA12"/>
  <c r="DB12" s="1"/>
  <c r="CB12"/>
  <c r="DA76"/>
  <c r="DB76" s="1"/>
  <c r="CB76"/>
  <c r="DA41"/>
  <c r="DB41" s="1"/>
  <c r="CB41"/>
  <c r="DA26"/>
  <c r="DB26" s="1"/>
  <c r="CB26"/>
  <c r="CH9"/>
  <c r="BB9"/>
  <c r="CH25"/>
  <c r="BB25"/>
  <c r="BB27"/>
  <c r="CH27"/>
  <c r="CH13"/>
  <c r="BB13"/>
  <c r="CH17"/>
  <c r="BB17"/>
  <c r="CH7"/>
  <c r="BB7"/>
  <c r="CH21"/>
  <c r="CI21" s="1"/>
  <c r="BB21"/>
  <c r="CX116"/>
  <c r="CY116" s="1"/>
  <c r="BZ116"/>
  <c r="CX246"/>
  <c r="CY246" s="1"/>
  <c r="BZ246"/>
  <c r="CX108"/>
  <c r="CY108" s="1"/>
  <c r="BZ108"/>
  <c r="BZ124"/>
  <c r="CX124"/>
  <c r="CY124" s="1"/>
  <c r="BZ56"/>
  <c r="CX56"/>
  <c r="CY56" s="1"/>
  <c r="CX218"/>
  <c r="CY218" s="1"/>
  <c r="BZ218"/>
  <c r="CX166"/>
  <c r="CY166" s="1"/>
  <c r="BZ166"/>
  <c r="CR52"/>
  <c r="CS52" s="1"/>
  <c r="BV52"/>
  <c r="CR230"/>
  <c r="CS230" s="1"/>
  <c r="BV230"/>
  <c r="CX58"/>
  <c r="CY58" s="1"/>
  <c r="BZ58"/>
  <c r="CX198"/>
  <c r="CY198" s="1"/>
  <c r="BZ198"/>
  <c r="CX106"/>
  <c r="CY106" s="1"/>
  <c r="BZ106"/>
  <c r="CX33"/>
  <c r="CY33" s="1"/>
  <c r="BZ33"/>
  <c r="BX235"/>
  <c r="CU235"/>
  <c r="CV235" s="1"/>
  <c r="CU211"/>
  <c r="CV211" s="1"/>
  <c r="BX211"/>
  <c r="DA187"/>
  <c r="DB187" s="1"/>
  <c r="CB187"/>
  <c r="CU127"/>
  <c r="CV127" s="1"/>
  <c r="BX127"/>
  <c r="CU97"/>
  <c r="CV97" s="1"/>
  <c r="BX97"/>
  <c r="CU83"/>
  <c r="CV83" s="1"/>
  <c r="BX83"/>
  <c r="CU35"/>
  <c r="CV35" s="1"/>
  <c r="BX35"/>
  <c r="CB18"/>
  <c r="DA18"/>
  <c r="DB18" s="1"/>
  <c r="CU227"/>
  <c r="CV227" s="1"/>
  <c r="BX227"/>
  <c r="CU203"/>
  <c r="CV203" s="1"/>
  <c r="BX203"/>
  <c r="CU179"/>
  <c r="CV179" s="1"/>
  <c r="BX179"/>
  <c r="CU155"/>
  <c r="CV155" s="1"/>
  <c r="BX155"/>
  <c r="BX100"/>
  <c r="CU100"/>
  <c r="CV100" s="1"/>
  <c r="CU57"/>
  <c r="CV57" s="1"/>
  <c r="BX57"/>
  <c r="CU15"/>
  <c r="CV15" s="1"/>
  <c r="BX15"/>
  <c r="DA268"/>
  <c r="DB268" s="1"/>
  <c r="CB268"/>
  <c r="BX236"/>
  <c r="CU236"/>
  <c r="BX212"/>
  <c r="CU212"/>
  <c r="CU188"/>
  <c r="BX188"/>
  <c r="DA163"/>
  <c r="DB163" s="1"/>
  <c r="CB163"/>
  <c r="CU139"/>
  <c r="CV139" s="1"/>
  <c r="BX139"/>
  <c r="CU107"/>
  <c r="CV107" s="1"/>
  <c r="BX107"/>
  <c r="BX77"/>
  <c r="CU77"/>
  <c r="CV77" s="1"/>
  <c r="DA63"/>
  <c r="DB63" s="1"/>
  <c r="CB63"/>
  <c r="CU49"/>
  <c r="CV49" s="1"/>
  <c r="BX49"/>
  <c r="CU36"/>
  <c r="CV36" s="1"/>
  <c r="BX36"/>
  <c r="BX19"/>
  <c r="CU19"/>
  <c r="CV19" s="1"/>
  <c r="DA93"/>
  <c r="DB93" s="1"/>
  <c r="CB93"/>
  <c r="CU92"/>
  <c r="BX92"/>
  <c r="DA20"/>
  <c r="DB20" s="1"/>
  <c r="CB20"/>
  <c r="CU239"/>
  <c r="CV239" s="1"/>
  <c r="BX239"/>
  <c r="DA152"/>
  <c r="DB152" s="1"/>
  <c r="CB152"/>
  <c r="CU119"/>
  <c r="CV119" s="1"/>
  <c r="BX119"/>
  <c r="DA99"/>
  <c r="DB99" s="1"/>
  <c r="CB99"/>
  <c r="CU72"/>
  <c r="BX72"/>
  <c r="CU44"/>
  <c r="BX44"/>
  <c r="DA30"/>
  <c r="DB30" s="1"/>
  <c r="CB30"/>
  <c r="DA14"/>
  <c r="DB14" s="1"/>
  <c r="CB14"/>
  <c r="CU265"/>
  <c r="CV265" s="1"/>
  <c r="BX265"/>
  <c r="DA260"/>
  <c r="DB260" s="1"/>
  <c r="CB260"/>
  <c r="CU231"/>
  <c r="CV231" s="1"/>
  <c r="BX231"/>
  <c r="CU207"/>
  <c r="CV207" s="1"/>
  <c r="BX207"/>
  <c r="CU112"/>
  <c r="CV112" s="1"/>
  <c r="BX112"/>
  <c r="DA67"/>
  <c r="DB67" s="1"/>
  <c r="CB67"/>
  <c r="CU40"/>
  <c r="BX40"/>
  <c r="CU27"/>
  <c r="CV27" s="1"/>
  <c r="BX27"/>
  <c r="CU11"/>
  <c r="CV11" s="1"/>
  <c r="BX11"/>
  <c r="CU247"/>
  <c r="CV247" s="1"/>
  <c r="BX247"/>
  <c r="CU220"/>
  <c r="BX220"/>
  <c r="DA195"/>
  <c r="DB195" s="1"/>
  <c r="CB195"/>
  <c r="DA171"/>
  <c r="DB171" s="1"/>
  <c r="CB171"/>
  <c r="DA147"/>
  <c r="DB147" s="1"/>
  <c r="CB147"/>
  <c r="CU124"/>
  <c r="BX124"/>
  <c r="DA95"/>
  <c r="DB95" s="1"/>
  <c r="CB95"/>
  <c r="CU81"/>
  <c r="CV81" s="1"/>
  <c r="BX81"/>
  <c r="CU68"/>
  <c r="CV68" s="1"/>
  <c r="BX68"/>
  <c r="CU53"/>
  <c r="CV53" s="1"/>
  <c r="BX53"/>
  <c r="CU33"/>
  <c r="CV33" s="1"/>
  <c r="BX33"/>
  <c r="CU17"/>
  <c r="CV17" s="1"/>
  <c r="BX17"/>
  <c r="CI289" i="15"/>
  <c r="DF289"/>
  <c r="I19" i="8"/>
  <c r="BL13" i="6"/>
  <c r="BX59" i="10"/>
  <c r="CU59"/>
  <c r="CV59" s="1"/>
  <c r="CN9"/>
  <c r="BF9"/>
  <c r="DA9"/>
  <c r="DB9" s="1"/>
  <c r="CB9"/>
  <c r="CU251"/>
  <c r="CV251" s="1"/>
  <c r="BX251"/>
  <c r="CR124"/>
  <c r="CS124" s="1"/>
  <c r="BV124"/>
  <c r="CU216"/>
  <c r="BX216"/>
  <c r="CU79"/>
  <c r="CV79" s="1"/>
  <c r="BX79"/>
  <c r="CB196"/>
  <c r="DA196"/>
  <c r="DB196" s="1"/>
  <c r="CB172"/>
  <c r="DA172"/>
  <c r="DB172" s="1"/>
  <c r="DA143"/>
  <c r="DB143" s="1"/>
  <c r="CB143"/>
  <c r="DA132"/>
  <c r="DB132" s="1"/>
  <c r="CB132"/>
  <c r="CN19"/>
  <c r="CO19" s="1"/>
  <c r="BF19"/>
  <c r="CB259"/>
  <c r="DA259"/>
  <c r="DB259" s="1"/>
  <c r="CB180"/>
  <c r="DA180"/>
  <c r="DB180" s="1"/>
  <c r="CU111"/>
  <c r="CV111" s="1"/>
  <c r="BX111"/>
  <c r="CU264"/>
  <c r="BX264"/>
  <c r="CU120"/>
  <c r="BX120"/>
  <c r="CU51"/>
  <c r="CV51" s="1"/>
  <c r="BX51"/>
  <c r="DF305" i="15"/>
  <c r="DG305" s="1"/>
  <c r="CI305"/>
  <c r="DF285"/>
  <c r="CI285"/>
  <c r="CB199" i="10"/>
  <c r="BX30"/>
  <c r="CU42" i="15"/>
  <c r="CW42" s="1"/>
  <c r="S42"/>
  <c r="CR49"/>
  <c r="CT49" s="1"/>
  <c r="Q49"/>
  <c r="DL283"/>
  <c r="DM283" s="1"/>
  <c r="CM283"/>
  <c r="BN49"/>
  <c r="CV49"/>
  <c r="CW49" s="1"/>
  <c r="AP304"/>
  <c r="DH304"/>
  <c r="DJ304" s="1"/>
  <c r="AP256"/>
  <c r="DH256"/>
  <c r="DJ256" s="1"/>
  <c r="U256"/>
  <c r="CX256"/>
  <c r="CZ256" s="1"/>
  <c r="CX128"/>
  <c r="CZ128" s="1"/>
  <c r="U128"/>
  <c r="U56"/>
  <c r="CX56"/>
  <c r="CZ56" s="1"/>
  <c r="CO198"/>
  <c r="CQ198" s="1"/>
  <c r="O198"/>
  <c r="O102"/>
  <c r="CO102"/>
  <c r="CQ102" s="1"/>
  <c r="CU294"/>
  <c r="CW294" s="1"/>
  <c r="S294"/>
  <c r="CU86"/>
  <c r="CW86" s="1"/>
  <c r="S86"/>
  <c r="CX295"/>
  <c r="CZ295" s="1"/>
  <c r="U295"/>
  <c r="CX231"/>
  <c r="CZ231" s="1"/>
  <c r="U231"/>
  <c r="CX179"/>
  <c r="CZ179" s="1"/>
  <c r="U179"/>
  <c r="DH136"/>
  <c r="DJ136" s="1"/>
  <c r="AP136"/>
  <c r="DH64"/>
  <c r="DJ64" s="1"/>
  <c r="AP64"/>
  <c r="DK288"/>
  <c r="DM288" s="1"/>
  <c r="AR288"/>
  <c r="AR268"/>
  <c r="DK268"/>
  <c r="DM268" s="1"/>
  <c r="DK140"/>
  <c r="DM140" s="1"/>
  <c r="AR140"/>
  <c r="DK112"/>
  <c r="DM112" s="1"/>
  <c r="AR112"/>
  <c r="DE289"/>
  <c r="DG289" s="1"/>
  <c r="AN289"/>
  <c r="AN257"/>
  <c r="DE257"/>
  <c r="DG257" s="1"/>
  <c r="AN233"/>
  <c r="DE233"/>
  <c r="DG233" s="1"/>
  <c r="DE157"/>
  <c r="DG157" s="1"/>
  <c r="AN157"/>
  <c r="DE81"/>
  <c r="DG81" s="1"/>
  <c r="AN81"/>
  <c r="DL187"/>
  <c r="DM187" s="1"/>
  <c r="CM187"/>
  <c r="CP274"/>
  <c r="CQ274" s="1"/>
  <c r="BJ274"/>
  <c r="CV39"/>
  <c r="CW39" s="1"/>
  <c r="BN39"/>
  <c r="DL235"/>
  <c r="DM235" s="1"/>
  <c r="CM235"/>
  <c r="CX279"/>
  <c r="CZ279" s="1"/>
  <c r="U279"/>
  <c r="U284"/>
  <c r="CX284"/>
  <c r="CZ284" s="1"/>
  <c r="CU50"/>
  <c r="CW50" s="1"/>
  <c r="S50"/>
  <c r="CO166"/>
  <c r="CQ166" s="1"/>
  <c r="O166"/>
  <c r="CU202"/>
  <c r="CW202" s="1"/>
  <c r="S202"/>
  <c r="CU54"/>
  <c r="CW54" s="1"/>
  <c r="S54"/>
  <c r="CX239"/>
  <c r="CZ239" s="1"/>
  <c r="U239"/>
  <c r="CX215"/>
  <c r="CZ215" s="1"/>
  <c r="U215"/>
  <c r="U183"/>
  <c r="CX183"/>
  <c r="CZ183" s="1"/>
  <c r="CX167"/>
  <c r="CZ167" s="1"/>
  <c r="U167"/>
  <c r="CX115"/>
  <c r="CZ115" s="1"/>
  <c r="U115"/>
  <c r="CX83"/>
  <c r="CZ83" s="1"/>
  <c r="U83"/>
  <c r="CX63"/>
  <c r="CZ63" s="1"/>
  <c r="U63"/>
  <c r="U31"/>
  <c r="CX31"/>
  <c r="CZ31" s="1"/>
  <c r="CX15"/>
  <c r="CZ15" s="1"/>
  <c r="U15"/>
  <c r="CU246"/>
  <c r="CW246" s="1"/>
  <c r="S246"/>
  <c r="CU206"/>
  <c r="CW206" s="1"/>
  <c r="S206"/>
  <c r="CU126"/>
  <c r="CW126" s="1"/>
  <c r="S126"/>
  <c r="CU78"/>
  <c r="CW78" s="1"/>
  <c r="S78"/>
  <c r="AP212"/>
  <c r="DH212"/>
  <c r="DJ212" s="1"/>
  <c r="DH184"/>
  <c r="DJ184" s="1"/>
  <c r="AP184"/>
  <c r="DH120"/>
  <c r="DJ120" s="1"/>
  <c r="AP120"/>
  <c r="DH56"/>
  <c r="DJ56" s="1"/>
  <c r="AP56"/>
  <c r="DH296"/>
  <c r="DJ296" s="1"/>
  <c r="AP296"/>
  <c r="DH284"/>
  <c r="DJ284" s="1"/>
  <c r="AP284"/>
  <c r="AP160"/>
  <c r="DH160"/>
  <c r="DJ160" s="1"/>
  <c r="DH12"/>
  <c r="DJ12" s="1"/>
  <c r="AP12"/>
  <c r="AR216"/>
  <c r="DK216"/>
  <c r="DM216" s="1"/>
  <c r="DK56"/>
  <c r="DM56" s="1"/>
  <c r="AR56"/>
  <c r="AR32"/>
  <c r="DK32"/>
  <c r="DM32" s="1"/>
  <c r="DE241"/>
  <c r="DG241" s="1"/>
  <c r="AN241"/>
  <c r="DE217"/>
  <c r="DG217" s="1"/>
  <c r="AN217"/>
  <c r="AN29"/>
  <c r="DE29"/>
  <c r="DG29" s="1"/>
  <c r="DC229"/>
  <c r="DD229" s="1"/>
  <c r="CG229"/>
  <c r="CG197"/>
  <c r="DC197"/>
  <c r="DD197" s="1"/>
  <c r="DI273"/>
  <c r="DJ273" s="1"/>
  <c r="CK273"/>
  <c r="CP282"/>
  <c r="CQ282" s="1"/>
  <c r="BJ282"/>
  <c r="CP218"/>
  <c r="CQ218" s="1"/>
  <c r="BJ218"/>
  <c r="CP94"/>
  <c r="CQ94" s="1"/>
  <c r="BJ94"/>
  <c r="AR236"/>
  <c r="DK236"/>
  <c r="DM236" s="1"/>
  <c r="DC249"/>
  <c r="DD249" s="1"/>
  <c r="CG249"/>
  <c r="DK192"/>
  <c r="DM192" s="1"/>
  <c r="AR192"/>
  <c r="AR184"/>
  <c r="DK184"/>
  <c r="DM184" s="1"/>
  <c r="CX255"/>
  <c r="CZ255" s="1"/>
  <c r="U255"/>
  <c r="U232"/>
  <c r="CX232"/>
  <c r="CZ232" s="1"/>
  <c r="CX156"/>
  <c r="CZ156" s="1"/>
  <c r="U156"/>
  <c r="U28"/>
  <c r="CX28"/>
  <c r="CZ28" s="1"/>
  <c r="CO286"/>
  <c r="CQ286" s="1"/>
  <c r="O286"/>
  <c r="CO190"/>
  <c r="CQ190" s="1"/>
  <c r="O190"/>
  <c r="CO130"/>
  <c r="CQ130" s="1"/>
  <c r="O130"/>
  <c r="CU254"/>
  <c r="CW254" s="1"/>
  <c r="S254"/>
  <c r="CU174"/>
  <c r="CW174" s="1"/>
  <c r="S174"/>
  <c r="S70"/>
  <c r="CU70"/>
  <c r="CW70" s="1"/>
  <c r="CU26"/>
  <c r="CW26" s="1"/>
  <c r="S26"/>
  <c r="CX287"/>
  <c r="CZ287" s="1"/>
  <c r="U287"/>
  <c r="U263"/>
  <c r="CX263"/>
  <c r="CZ263" s="1"/>
  <c r="CX207"/>
  <c r="CZ207" s="1"/>
  <c r="U207"/>
  <c r="AP240"/>
  <c r="DH240"/>
  <c r="DJ240" s="1"/>
  <c r="AP164"/>
  <c r="DH164"/>
  <c r="DJ164" s="1"/>
  <c r="AP96"/>
  <c r="DH96"/>
  <c r="DJ96" s="1"/>
  <c r="AP24"/>
  <c r="DH24"/>
  <c r="DJ24" s="1"/>
  <c r="DK296"/>
  <c r="DM296" s="1"/>
  <c r="AR296"/>
  <c r="DK240"/>
  <c r="DM240" s="1"/>
  <c r="AR240"/>
  <c r="DK80"/>
  <c r="DM80" s="1"/>
  <c r="AR80"/>
  <c r="DK40"/>
  <c r="DM40" s="1"/>
  <c r="AR40"/>
  <c r="DK12"/>
  <c r="DM12" s="1"/>
  <c r="AR12"/>
  <c r="DE285"/>
  <c r="DG285" s="1"/>
  <c r="AN285"/>
  <c r="DE265"/>
  <c r="DG265" s="1"/>
  <c r="AN265"/>
  <c r="AN185"/>
  <c r="DE185"/>
  <c r="DG185" s="1"/>
  <c r="CK293"/>
  <c r="DI293"/>
  <c r="DJ293" s="1"/>
  <c r="DC277"/>
  <c r="DD277" s="1"/>
  <c r="CG277"/>
  <c r="DC289"/>
  <c r="DD289" s="1"/>
  <c r="CG289"/>
  <c r="CP306"/>
  <c r="CQ306" s="1"/>
  <c r="BJ306"/>
  <c r="BJ242"/>
  <c r="CP242"/>
  <c r="CQ242" s="1"/>
  <c r="BJ110"/>
  <c r="CP110"/>
  <c r="CQ110" s="1"/>
  <c r="Q9"/>
  <c r="CR9"/>
  <c r="CT9" s="1"/>
  <c r="CM73"/>
  <c r="DL73"/>
  <c r="DM73" s="1"/>
  <c r="DH208"/>
  <c r="DJ208" s="1"/>
  <c r="AP208"/>
  <c r="CX184"/>
  <c r="CZ184" s="1"/>
  <c r="U184"/>
  <c r="U104"/>
  <c r="CX104"/>
  <c r="CZ104" s="1"/>
  <c r="O238"/>
  <c r="CO238"/>
  <c r="CQ238" s="1"/>
  <c r="S302"/>
  <c r="CU302"/>
  <c r="CW302" s="1"/>
  <c r="S134"/>
  <c r="CU134"/>
  <c r="CW134" s="1"/>
  <c r="CU6"/>
  <c r="CW6" s="1"/>
  <c r="S6"/>
  <c r="CX271"/>
  <c r="CZ271" s="1"/>
  <c r="U271"/>
  <c r="CX243"/>
  <c r="CZ243" s="1"/>
  <c r="U243"/>
  <c r="CX191"/>
  <c r="CZ191" s="1"/>
  <c r="U191"/>
  <c r="CX159"/>
  <c r="CZ159" s="1"/>
  <c r="U159"/>
  <c r="CX143"/>
  <c r="CZ143" s="1"/>
  <c r="U143"/>
  <c r="U111"/>
  <c r="CX111"/>
  <c r="CZ111" s="1"/>
  <c r="CX87"/>
  <c r="CZ87" s="1"/>
  <c r="U87"/>
  <c r="U55"/>
  <c r="CX55"/>
  <c r="CZ55" s="1"/>
  <c r="CX39"/>
  <c r="CZ39" s="1"/>
  <c r="U39"/>
  <c r="CU262"/>
  <c r="CW262" s="1"/>
  <c r="S262"/>
  <c r="CU182"/>
  <c r="CW182" s="1"/>
  <c r="S182"/>
  <c r="CU138"/>
  <c r="CW138" s="1"/>
  <c r="S138"/>
  <c r="AP176"/>
  <c r="DH176"/>
  <c r="DJ176" s="1"/>
  <c r="AP124"/>
  <c r="DH124"/>
  <c r="DJ124" s="1"/>
  <c r="AP8"/>
  <c r="DH8"/>
  <c r="DJ8" s="1"/>
  <c r="DH280"/>
  <c r="DJ280" s="1"/>
  <c r="AP280"/>
  <c r="AP200"/>
  <c r="DH200"/>
  <c r="DJ200" s="1"/>
  <c r="AP116"/>
  <c r="DH116"/>
  <c r="DJ116" s="1"/>
  <c r="DH48"/>
  <c r="DJ48" s="1"/>
  <c r="AP48"/>
  <c r="AR160"/>
  <c r="DK160"/>
  <c r="DM160" s="1"/>
  <c r="DK136"/>
  <c r="DM136" s="1"/>
  <c r="AR136"/>
  <c r="DK88"/>
  <c r="DM88" s="1"/>
  <c r="AR88"/>
  <c r="DK64"/>
  <c r="DM64" s="1"/>
  <c r="AR64"/>
  <c r="DE129"/>
  <c r="DG129" s="1"/>
  <c r="AN129"/>
  <c r="CM4"/>
  <c r="DL4"/>
  <c r="DM4" s="1"/>
  <c r="DL219"/>
  <c r="DM219" s="1"/>
  <c r="CM219"/>
  <c r="CK277"/>
  <c r="DI277"/>
  <c r="DJ277" s="1"/>
  <c r="CG221"/>
  <c r="DC221"/>
  <c r="DD221" s="1"/>
  <c r="DI197"/>
  <c r="DJ197" s="1"/>
  <c r="CK197"/>
  <c r="CP250"/>
  <c r="CQ250" s="1"/>
  <c r="BJ250"/>
  <c r="DI183"/>
  <c r="DJ183" s="1"/>
  <c r="CK183"/>
  <c r="Z100" i="14"/>
  <c r="BF70" i="15" s="1"/>
  <c r="BK70" s="1"/>
  <c r="AB100" i="14"/>
  <c r="BH70" i="15" s="1"/>
  <c r="BO70" s="1"/>
  <c r="BC10" i="16"/>
  <c r="BD10" s="1"/>
  <c r="Z23"/>
  <c r="W34" i="6"/>
  <c r="AA34" s="1"/>
  <c r="AB34" s="1"/>
  <c r="S32"/>
  <c r="BR32"/>
  <c r="BP32"/>
  <c r="Z4"/>
  <c r="AG4" s="1"/>
  <c r="AH4" s="1"/>
  <c r="Z5" i="16"/>
  <c r="I18"/>
  <c r="N18" s="1"/>
  <c r="O18" s="1"/>
  <c r="I34"/>
  <c r="I7"/>
  <c r="I23"/>
  <c r="AG23" s="1"/>
  <c r="AH23" s="1"/>
  <c r="S9" i="6"/>
  <c r="BL19"/>
  <c r="W27"/>
  <c r="AA27" s="1"/>
  <c r="AB27" s="1"/>
  <c r="X29" i="16"/>
  <c r="X16" i="6"/>
  <c r="AC16" s="1"/>
  <c r="AD16" s="1"/>
  <c r="K9" i="16"/>
  <c r="F35" i="4"/>
  <c r="J8" i="16" s="1"/>
  <c r="H53" i="4"/>
  <c r="I61"/>
  <c r="I36"/>
  <c r="M8" i="6" s="1"/>
  <c r="T8" s="1"/>
  <c r="BL24"/>
  <c r="W11"/>
  <c r="AA11" s="1"/>
  <c r="AB11" s="1"/>
  <c r="M9"/>
  <c r="T9" s="1"/>
  <c r="BU9" s="1"/>
  <c r="X13" i="16"/>
  <c r="J9"/>
  <c r="I52" i="4"/>
  <c r="M25" i="16" s="1"/>
  <c r="S11" i="6"/>
  <c r="BR11"/>
  <c r="BP11"/>
  <c r="I11" i="16"/>
  <c r="I19"/>
  <c r="P19" s="1"/>
  <c r="I27"/>
  <c r="AG27" s="1"/>
  <c r="AH27" s="1"/>
  <c r="I35"/>
  <c r="I6"/>
  <c r="P6" s="1"/>
  <c r="I14"/>
  <c r="R14" s="1"/>
  <c r="I22"/>
  <c r="I30"/>
  <c r="N6"/>
  <c r="O6" s="1"/>
  <c r="AG11"/>
  <c r="AH11" s="1"/>
  <c r="O9" i="6"/>
  <c r="Z15" i="16"/>
  <c r="AG15" s="1"/>
  <c r="AH15" s="1"/>
  <c r="L12"/>
  <c r="X25"/>
  <c r="K5" i="6"/>
  <c r="P5" s="1"/>
  <c r="BO5" s="1"/>
  <c r="K18"/>
  <c r="P18" s="1"/>
  <c r="Q18" s="1"/>
  <c r="H49" i="4"/>
  <c r="Q36"/>
  <c r="Z8" i="6" s="1"/>
  <c r="AG8" s="1"/>
  <c r="AH8" s="1"/>
  <c r="Q48" i="4"/>
  <c r="N11" i="16"/>
  <c r="BJ9" i="6"/>
  <c r="BO9"/>
  <c r="Z6"/>
  <c r="AG6" s="1"/>
  <c r="AH6" s="1"/>
  <c r="L35" i="16"/>
  <c r="R35" s="1"/>
  <c r="S35" s="1"/>
  <c r="J14"/>
  <c r="F43" i="4"/>
  <c r="J15" i="6" s="1"/>
  <c r="N15" s="1"/>
  <c r="H33" i="4"/>
  <c r="AA35" i="16"/>
  <c r="AB35" s="1"/>
  <c r="Q40" i="4"/>
  <c r="M24" i="6"/>
  <c r="T24" s="1"/>
  <c r="AO10" i="16"/>
  <c r="BK10"/>
  <c r="BP18" i="6"/>
  <c r="BM10" i="16"/>
  <c r="Z29"/>
  <c r="U33"/>
  <c r="BS33"/>
  <c r="BJ21" i="6"/>
  <c r="BL21"/>
  <c r="M26" i="16"/>
  <c r="T26" s="1"/>
  <c r="BU26" s="1"/>
  <c r="M25" i="6"/>
  <c r="T25" s="1"/>
  <c r="W10"/>
  <c r="AA10" s="1"/>
  <c r="AB10" s="1"/>
  <c r="W11" i="16"/>
  <c r="AA11" s="1"/>
  <c r="AB11" s="1"/>
  <c r="W30" i="6"/>
  <c r="AA30" s="1"/>
  <c r="AB30" s="1"/>
  <c r="W31" i="16"/>
  <c r="AA31" s="1"/>
  <c r="AB31" s="1"/>
  <c r="BN26"/>
  <c r="AQ26"/>
  <c r="BU32" i="6"/>
  <c r="BS32"/>
  <c r="BR18"/>
  <c r="L17" i="16"/>
  <c r="BM5" i="6"/>
  <c r="Q5"/>
  <c r="BP10"/>
  <c r="BR10"/>
  <c r="BQ31" i="16"/>
  <c r="AS31"/>
  <c r="BO8" i="6"/>
  <c r="BM8"/>
  <c r="S33"/>
  <c r="BP33"/>
  <c r="J26" i="16"/>
  <c r="N26" s="1"/>
  <c r="J25" i="6"/>
  <c r="N25" s="1"/>
  <c r="Z30"/>
  <c r="AG30" s="1"/>
  <c r="AH30" s="1"/>
  <c r="Z31" i="16"/>
  <c r="AG31" s="1"/>
  <c r="AH31" s="1"/>
  <c r="W19"/>
  <c r="AA19" s="1"/>
  <c r="AB19" s="1"/>
  <c r="W18" i="6"/>
  <c r="AA18" s="1"/>
  <c r="AB18" s="1"/>
  <c r="AU33" i="16"/>
  <c r="BT33"/>
  <c r="Z9"/>
  <c r="L34"/>
  <c r="R34" s="1"/>
  <c r="S34" s="1"/>
  <c r="Y7"/>
  <c r="I45" i="4"/>
  <c r="M18" i="16" s="1"/>
  <c r="T18" s="1"/>
  <c r="BS18" s="1"/>
  <c r="H52" i="4"/>
  <c r="I44"/>
  <c r="N42"/>
  <c r="N54"/>
  <c r="O38"/>
  <c r="O46"/>
  <c r="F50"/>
  <c r="H50"/>
  <c r="Q19" i="6"/>
  <c r="Q24"/>
  <c r="J7"/>
  <c r="N7" s="1"/>
  <c r="BJ7" s="1"/>
  <c r="W19"/>
  <c r="AA19" s="1"/>
  <c r="AB19" s="1"/>
  <c r="Y22"/>
  <c r="AE22" s="1"/>
  <c r="AF22" s="1"/>
  <c r="J25" i="16"/>
  <c r="K25" i="6"/>
  <c r="P25" s="1"/>
  <c r="Q25" s="1"/>
  <c r="J10" i="16"/>
  <c r="N10" s="1"/>
  <c r="H45" i="4"/>
  <c r="F61"/>
  <c r="J34" i="16" s="1"/>
  <c r="N34" s="1"/>
  <c r="H36" i="4"/>
  <c r="N34"/>
  <c r="O54"/>
  <c r="AS15" i="16"/>
  <c r="BQ15"/>
  <c r="BA33"/>
  <c r="BB33" s="1"/>
  <c r="BC33"/>
  <c r="BD33" s="1"/>
  <c r="I8"/>
  <c r="I12"/>
  <c r="AA12" s="1"/>
  <c r="AB12" s="1"/>
  <c r="I16"/>
  <c r="I20"/>
  <c r="T20" s="1"/>
  <c r="BS20" s="1"/>
  <c r="I24"/>
  <c r="I28"/>
  <c r="P28" s="1"/>
  <c r="I32"/>
  <c r="I36"/>
  <c r="N36" s="1"/>
  <c r="I5"/>
  <c r="I9"/>
  <c r="I13"/>
  <c r="I17"/>
  <c r="I21"/>
  <c r="AC21" s="1"/>
  <c r="AD21" s="1"/>
  <c r="I25"/>
  <c r="I29"/>
  <c r="Q44" i="4"/>
  <c r="Q60"/>
  <c r="AU26" i="16"/>
  <c r="BM25" i="6"/>
  <c r="BO25"/>
  <c r="O5"/>
  <c r="BJ5"/>
  <c r="BL5"/>
  <c r="U18"/>
  <c r="BS18"/>
  <c r="BU18"/>
  <c r="X11"/>
  <c r="AC11" s="1"/>
  <c r="AD11" s="1"/>
  <c r="X12" i="16"/>
  <c r="AC12" s="1"/>
  <c r="AD12" s="1"/>
  <c r="BL17" i="6"/>
  <c r="BR33"/>
  <c r="BS34"/>
  <c r="BM27"/>
  <c r="BJ17"/>
  <c r="BP9"/>
  <c r="U34"/>
  <c r="BM19"/>
  <c r="O19"/>
  <c r="Z35" i="16"/>
  <c r="AG35" s="1"/>
  <c r="AH35" s="1"/>
  <c r="Y35"/>
  <c r="AE35" s="1"/>
  <c r="AF35" s="1"/>
  <c r="J19"/>
  <c r="N19" s="1"/>
  <c r="K35" i="6"/>
  <c r="P35" s="1"/>
  <c r="BM35" s="1"/>
  <c r="K36" i="16"/>
  <c r="J33" i="6"/>
  <c r="N33" s="1"/>
  <c r="M17"/>
  <c r="T17" s="1"/>
  <c r="U17" s="1"/>
  <c r="M33"/>
  <c r="T33" s="1"/>
  <c r="BU33" s="1"/>
  <c r="M34" i="16"/>
  <c r="T34" s="1"/>
  <c r="U34" s="1"/>
  <c r="W35" i="6"/>
  <c r="AA35" s="1"/>
  <c r="AB35" s="1"/>
  <c r="W36" i="16"/>
  <c r="X19" i="6"/>
  <c r="AC19" s="1"/>
  <c r="AD19" s="1"/>
  <c r="X20" i="16"/>
  <c r="X35" i="6"/>
  <c r="AC35" s="1"/>
  <c r="AD35" s="1"/>
  <c r="X36" i="16"/>
  <c r="W26" i="6"/>
  <c r="AA26" s="1"/>
  <c r="AB26" s="1"/>
  <c r="W27" i="16"/>
  <c r="BO27" i="6"/>
  <c r="J20" i="16"/>
  <c r="M12"/>
  <c r="T12" s="1"/>
  <c r="M11" i="6"/>
  <c r="T11" s="1"/>
  <c r="BU11" s="1"/>
  <c r="L26" i="16"/>
  <c r="R26" s="1"/>
  <c r="L25" i="6"/>
  <c r="R25" s="1"/>
  <c r="M6" i="16"/>
  <c r="T6" s="1"/>
  <c r="U6" s="1"/>
  <c r="M5" i="6"/>
  <c r="T5" s="1"/>
  <c r="BL33" i="16"/>
  <c r="BJ33"/>
  <c r="Q33"/>
  <c r="BM33"/>
  <c r="Z19" i="6"/>
  <c r="AG19" s="1"/>
  <c r="AH19" s="1"/>
  <c r="Z20" i="16"/>
  <c r="Z24" i="6"/>
  <c r="AG24" s="1"/>
  <c r="AH24" s="1"/>
  <c r="Z25" i="16"/>
  <c r="AG25" s="1"/>
  <c r="AH25" s="1"/>
  <c r="L13" i="6"/>
  <c r="R13" s="1"/>
  <c r="M19" i="16"/>
  <c r="T19" s="1"/>
  <c r="K20"/>
  <c r="P20" s="1"/>
  <c r="G54" i="4"/>
  <c r="I54"/>
  <c r="G38"/>
  <c r="I38"/>
  <c r="F54"/>
  <c r="H54"/>
  <c r="K11" i="6"/>
  <c r="P11" s="1"/>
  <c r="K12" i="16"/>
  <c r="P12" s="1"/>
  <c r="BM12" s="1"/>
  <c r="L19" i="6"/>
  <c r="R19" s="1"/>
  <c r="L20" i="16"/>
  <c r="Q59" i="4"/>
  <c r="O59"/>
  <c r="Q51"/>
  <c r="O51"/>
  <c r="Q43"/>
  <c r="O43"/>
  <c r="Q35"/>
  <c r="O35"/>
  <c r="P59"/>
  <c r="N59"/>
  <c r="W31" i="6" s="1"/>
  <c r="AA31" s="1"/>
  <c r="AB31" s="1"/>
  <c r="P51" i="4"/>
  <c r="N51"/>
  <c r="P43"/>
  <c r="N43"/>
  <c r="P35"/>
  <c r="N35"/>
  <c r="AO26" i="16"/>
  <c r="BK26"/>
  <c r="D19" i="4"/>
  <c r="D18"/>
  <c r="L39" i="22"/>
  <c r="L47"/>
  <c r="L41"/>
  <c r="BM18" i="6"/>
  <c r="O11"/>
  <c r="BJ11"/>
  <c r="BL11"/>
  <c r="U33"/>
  <c r="U11"/>
  <c r="O7"/>
  <c r="K17"/>
  <c r="P17" s="1"/>
  <c r="L27"/>
  <c r="R27" s="1"/>
  <c r="BR27" s="1"/>
  <c r="L28" i="16"/>
  <c r="R28" s="1"/>
  <c r="L22" i="6"/>
  <c r="R22" s="1"/>
  <c r="L23" i="16"/>
  <c r="R23" s="1"/>
  <c r="S23" s="1"/>
  <c r="J34" i="6"/>
  <c r="N34" s="1"/>
  <c r="BJ34" s="1"/>
  <c r="J35" i="16"/>
  <c r="N35" s="1"/>
  <c r="O35" s="1"/>
  <c r="K34" i="6"/>
  <c r="P34" s="1"/>
  <c r="K35" i="16"/>
  <c r="P35" s="1"/>
  <c r="J16" i="6"/>
  <c r="N16" s="1"/>
  <c r="J17" i="16"/>
  <c r="Y11" i="6"/>
  <c r="AE11" s="1"/>
  <c r="AF11" s="1"/>
  <c r="Y12" i="16"/>
  <c r="AE12" s="1"/>
  <c r="AF12" s="1"/>
  <c r="Y36"/>
  <c r="Y35" i="6"/>
  <c r="AE35" s="1"/>
  <c r="AF35" s="1"/>
  <c r="Y10"/>
  <c r="AE10" s="1"/>
  <c r="AF10" s="1"/>
  <c r="Y11" i="16"/>
  <c r="AE11" s="1"/>
  <c r="AF11" s="1"/>
  <c r="Y26" i="6"/>
  <c r="AE26" s="1"/>
  <c r="AF26" s="1"/>
  <c r="Y27" i="16"/>
  <c r="X14" i="6"/>
  <c r="AC14" s="1"/>
  <c r="AD14" s="1"/>
  <c r="X15" i="16"/>
  <c r="AC15" s="1"/>
  <c r="AD15" s="1"/>
  <c r="BL7" i="6"/>
  <c r="L11" i="16"/>
  <c r="R11" s="1"/>
  <c r="BP11" s="1"/>
  <c r="Z28"/>
  <c r="AG28" s="1"/>
  <c r="AH28" s="1"/>
  <c r="Z11" i="6"/>
  <c r="AG11" s="1"/>
  <c r="AH11" s="1"/>
  <c r="Y20" i="16"/>
  <c r="K32" i="6"/>
  <c r="P32" s="1"/>
  <c r="BM32" s="1"/>
  <c r="K17" i="16"/>
  <c r="P17" s="1"/>
  <c r="Q17" s="1"/>
  <c r="J12"/>
  <c r="N12" s="1"/>
  <c r="X11"/>
  <c r="AC11" s="1"/>
  <c r="AD11" s="1"/>
  <c r="X10" i="6"/>
  <c r="AC10" s="1"/>
  <c r="AD10" s="1"/>
  <c r="BO24"/>
  <c r="U32"/>
  <c r="BO33" i="16"/>
  <c r="M28"/>
  <c r="T28" s="1"/>
  <c r="BS28" s="1"/>
  <c r="Y19"/>
  <c r="AE19" s="1"/>
  <c r="AF19" s="1"/>
  <c r="Z35" i="6"/>
  <c r="AG35" s="1"/>
  <c r="AH35" s="1"/>
  <c r="K33"/>
  <c r="P33" s="1"/>
  <c r="J10"/>
  <c r="N10" s="1"/>
  <c r="F39" i="22"/>
  <c r="BQ33" i="16"/>
  <c r="BK15"/>
  <c r="L43" i="22"/>
  <c r="L35"/>
  <c r="AO31" i="16"/>
  <c r="BN15"/>
  <c r="F43" i="22"/>
  <c r="BP27" i="6"/>
  <c r="BR16"/>
  <c r="BP16"/>
  <c r="BS6" i="16"/>
  <c r="U19" i="6"/>
  <c r="BS19"/>
  <c r="BS17"/>
  <c r="BU17"/>
  <c r="BP26" i="16"/>
  <c r="BR26"/>
  <c r="BR35" i="6"/>
  <c r="BP35"/>
  <c r="Q16"/>
  <c r="BM16"/>
  <c r="BL18"/>
  <c r="U25"/>
  <c r="Q8"/>
  <c r="S26" i="16"/>
  <c r="BS26"/>
  <c r="U26"/>
  <c r="U27" i="6"/>
  <c r="BS27"/>
  <c r="BJ18"/>
  <c r="S35"/>
  <c r="O8"/>
  <c r="BJ8"/>
  <c r="BM26" i="16"/>
  <c r="BO26"/>
  <c r="O13" i="6"/>
  <c r="BJ13"/>
  <c r="BJ6" i="16"/>
  <c r="J16"/>
  <c r="N16" s="1"/>
  <c r="J27" i="6"/>
  <c r="N27" s="1"/>
  <c r="J28" i="16"/>
  <c r="N28" s="1"/>
  <c r="G58" i="4"/>
  <c r="I58"/>
  <c r="G50"/>
  <c r="I50"/>
  <c r="G42"/>
  <c r="I42"/>
  <c r="G34"/>
  <c r="I34"/>
  <c r="E65"/>
  <c r="F58"/>
  <c r="H58"/>
  <c r="J22" i="6"/>
  <c r="N22" s="1"/>
  <c r="J23" i="16"/>
  <c r="N23" s="1"/>
  <c r="F42" i="4"/>
  <c r="H42"/>
  <c r="F34"/>
  <c r="H34"/>
  <c r="D65"/>
  <c r="G59"/>
  <c r="I59"/>
  <c r="G51"/>
  <c r="I51"/>
  <c r="G43"/>
  <c r="I43"/>
  <c r="G35"/>
  <c r="I35"/>
  <c r="F59"/>
  <c r="H59"/>
  <c r="H51"/>
  <c r="F51"/>
  <c r="L15" i="6"/>
  <c r="R15" s="1"/>
  <c r="L16" i="16"/>
  <c r="R16" s="1"/>
  <c r="L7" i="6"/>
  <c r="R7" s="1"/>
  <c r="L8" i="16"/>
  <c r="R8" s="1"/>
  <c r="AU10"/>
  <c r="BT10"/>
  <c r="J32" i="6"/>
  <c r="N32" s="1"/>
  <c r="I30" i="10"/>
  <c r="Y28" i="16"/>
  <c r="AE28" s="1"/>
  <c r="AF28" s="1"/>
  <c r="Y27" i="6"/>
  <c r="AE27" s="1"/>
  <c r="AF27" s="1"/>
  <c r="BQ10" i="16"/>
  <c r="AS10"/>
  <c r="BN31"/>
  <c r="AQ31"/>
  <c r="BT31"/>
  <c r="AU31"/>
  <c r="G56" i="4"/>
  <c r="I56"/>
  <c r="G48"/>
  <c r="I48"/>
  <c r="G40"/>
  <c r="I40"/>
  <c r="G32"/>
  <c r="I32"/>
  <c r="F56"/>
  <c r="H56"/>
  <c r="F48"/>
  <c r="H48"/>
  <c r="F40"/>
  <c r="H40"/>
  <c r="F32"/>
  <c r="H32"/>
  <c r="G57"/>
  <c r="I57"/>
  <c r="G49"/>
  <c r="I49"/>
  <c r="G41"/>
  <c r="I41"/>
  <c r="F57"/>
  <c r="H57"/>
  <c r="J35" i="6"/>
  <c r="N35" s="1"/>
  <c r="I32" i="10"/>
  <c r="Q61" i="4"/>
  <c r="O61"/>
  <c r="Q57"/>
  <c r="O57"/>
  <c r="Q53"/>
  <c r="O53"/>
  <c r="Q49"/>
  <c r="O49"/>
  <c r="Q45"/>
  <c r="O45"/>
  <c r="Q41"/>
  <c r="O41"/>
  <c r="Q37"/>
  <c r="O37"/>
  <c r="Q33"/>
  <c r="O33"/>
  <c r="P61"/>
  <c r="N61"/>
  <c r="P57"/>
  <c r="N57"/>
  <c r="P53"/>
  <c r="N53"/>
  <c r="P49"/>
  <c r="N49"/>
  <c r="P45"/>
  <c r="N45"/>
  <c r="P41"/>
  <c r="N41"/>
  <c r="P37"/>
  <c r="N37"/>
  <c r="P33"/>
  <c r="N33"/>
  <c r="L65"/>
  <c r="O32"/>
  <c r="M65"/>
  <c r="P60"/>
  <c r="N60"/>
  <c r="P56"/>
  <c r="N56"/>
  <c r="P52"/>
  <c r="N52"/>
  <c r="P48"/>
  <c r="N48"/>
  <c r="P44"/>
  <c r="N44"/>
  <c r="P40"/>
  <c r="N40"/>
  <c r="P36"/>
  <c r="N36"/>
  <c r="P32"/>
  <c r="N32"/>
  <c r="I47" i="22"/>
  <c r="B43" i="25"/>
  <c r="C43" s="1"/>
  <c r="P37" i="22"/>
  <c r="I41"/>
  <c r="I37"/>
  <c r="I35"/>
  <c r="I45"/>
  <c r="F41"/>
  <c r="BN10" i="16"/>
  <c r="BO10"/>
  <c r="BR33"/>
  <c r="BP33"/>
  <c r="BS34"/>
  <c r="U10"/>
  <c r="BU10"/>
  <c r="BP34"/>
  <c r="S10"/>
  <c r="BR10"/>
  <c r="BP35"/>
  <c r="S11"/>
  <c r="AQ10"/>
  <c r="BN33"/>
  <c r="AQ33"/>
  <c r="AU15"/>
  <c r="BT15"/>
  <c r="BK33"/>
  <c r="AO33"/>
  <c r="G35" i="22"/>
  <c r="H35" s="1"/>
  <c r="M35" s="1"/>
  <c r="N35" s="1"/>
  <c r="B36" i="25"/>
  <c r="C25"/>
  <c r="C26" s="1"/>
  <c r="C27" s="1"/>
  <c r="C20" i="22"/>
  <c r="B33" i="25"/>
  <c r="B35" s="1"/>
  <c r="B40"/>
  <c r="B41" s="1"/>
  <c r="B42" s="1"/>
  <c r="B44"/>
  <c r="B45" s="1"/>
  <c r="B46" s="1"/>
  <c r="F45" i="22"/>
  <c r="E41"/>
  <c r="E47"/>
  <c r="BB344" i="24"/>
  <c r="E45" i="22"/>
  <c r="E37"/>
  <c r="E39"/>
  <c r="G39" s="1"/>
  <c r="E43"/>
  <c r="BP70" i="15" l="1"/>
  <c r="CY70"/>
  <c r="CZ70" s="1"/>
  <c r="BK31" i="6"/>
  <c r="AO31"/>
  <c r="BK15"/>
  <c r="AO15"/>
  <c r="AO29"/>
  <c r="BK29"/>
  <c r="CV40" i="10"/>
  <c r="CV72"/>
  <c r="CV200"/>
  <c r="CV216"/>
  <c r="CV232"/>
  <c r="CV264"/>
  <c r="CI13"/>
  <c r="CO9"/>
  <c r="CF13"/>
  <c r="CV212"/>
  <c r="CV260"/>
  <c r="CI29"/>
  <c r="CI17"/>
  <c r="BK35" i="6"/>
  <c r="AO35"/>
  <c r="BK21"/>
  <c r="AO21"/>
  <c r="AS34"/>
  <c r="BR34"/>
  <c r="BQ34"/>
  <c r="BT13"/>
  <c r="AU13"/>
  <c r="BK23"/>
  <c r="AO23"/>
  <c r="AC23" i="16"/>
  <c r="AD23" s="1"/>
  <c r="CI5" i="10"/>
  <c r="CI11"/>
  <c r="CL15"/>
  <c r="CI9"/>
  <c r="CI7"/>
  <c r="CF10"/>
  <c r="CV28"/>
  <c r="CV60"/>
  <c r="CV92"/>
  <c r="CV124"/>
  <c r="CI15"/>
  <c r="BT11" i="6"/>
  <c r="AU11"/>
  <c r="BT33"/>
  <c r="AU33"/>
  <c r="AQ34"/>
  <c r="BN34"/>
  <c r="BT19"/>
  <c r="AU19"/>
  <c r="AE23" i="16"/>
  <c r="AF23" s="1"/>
  <c r="CV24" i="10"/>
  <c r="CV56"/>
  <c r="CV88"/>
  <c r="CV120"/>
  <c r="CV176"/>
  <c r="CV208"/>
  <c r="CV224"/>
  <c r="CV256"/>
  <c r="CI27"/>
  <c r="CI25"/>
  <c r="CI31"/>
  <c r="CS70" i="15"/>
  <c r="CT70" s="1"/>
  <c r="BL70"/>
  <c r="AO7" i="6"/>
  <c r="BK7"/>
  <c r="BT27"/>
  <c r="AU27"/>
  <c r="BT5"/>
  <c r="AU5"/>
  <c r="BK19"/>
  <c r="AO19"/>
  <c r="BT17"/>
  <c r="AU17"/>
  <c r="BN31"/>
  <c r="AQ31"/>
  <c r="CI18" i="10"/>
  <c r="BU27" i="6"/>
  <c r="CI23" i="10"/>
  <c r="CI12"/>
  <c r="CV44"/>
  <c r="CV108"/>
  <c r="CV140"/>
  <c r="CV188"/>
  <c r="CV220"/>
  <c r="CV236"/>
  <c r="CF20"/>
  <c r="CI32"/>
  <c r="G43" i="22"/>
  <c r="H43" s="1"/>
  <c r="S14" i="16"/>
  <c r="BP14"/>
  <c r="AA23"/>
  <c r="AB23" s="1"/>
  <c r="P18"/>
  <c r="BU8" i="6"/>
  <c r="U8"/>
  <c r="BA7" i="16"/>
  <c r="BB7" s="1"/>
  <c r="AP7"/>
  <c r="AT7"/>
  <c r="BE7"/>
  <c r="BF7" s="1"/>
  <c r="AN7"/>
  <c r="BG7"/>
  <c r="BH7" s="1"/>
  <c r="AR7"/>
  <c r="BC7"/>
  <c r="BD7" s="1"/>
  <c r="BO18" i="6"/>
  <c r="M9" i="16"/>
  <c r="BP23"/>
  <c r="BJ18"/>
  <c r="W32"/>
  <c r="AA32" s="1"/>
  <c r="AB32" s="1"/>
  <c r="AE20"/>
  <c r="AF20" s="1"/>
  <c r="AE27"/>
  <c r="AF27" s="1"/>
  <c r="N17"/>
  <c r="O17" s="1"/>
  <c r="R20"/>
  <c r="BS8" i="6"/>
  <c r="BS9"/>
  <c r="N14" i="16"/>
  <c r="AP34"/>
  <c r="AR34"/>
  <c r="AN34"/>
  <c r="AT34"/>
  <c r="BG34"/>
  <c r="BH34" s="1"/>
  <c r="BA34"/>
  <c r="BB34" s="1"/>
  <c r="BE34"/>
  <c r="BF34" s="1"/>
  <c r="BC34"/>
  <c r="BD34" s="1"/>
  <c r="P34"/>
  <c r="AE36"/>
  <c r="AF36" s="1"/>
  <c r="BS33" i="6"/>
  <c r="AA27" i="16"/>
  <c r="AB27" s="1"/>
  <c r="AC20"/>
  <c r="AD20" s="1"/>
  <c r="P36"/>
  <c r="AE7"/>
  <c r="AF7" s="1"/>
  <c r="U9" i="6"/>
  <c r="AG19" i="16"/>
  <c r="AH19" s="1"/>
  <c r="AC7"/>
  <c r="AD7" s="1"/>
  <c r="AG7"/>
  <c r="AH7" s="1"/>
  <c r="BE23"/>
  <c r="BF23" s="1"/>
  <c r="AN23"/>
  <c r="AT23"/>
  <c r="AR23"/>
  <c r="BR23" s="1"/>
  <c r="AP23"/>
  <c r="BA23"/>
  <c r="BB23" s="1"/>
  <c r="BC23"/>
  <c r="BD23" s="1"/>
  <c r="BG23"/>
  <c r="BH23" s="1"/>
  <c r="AP18"/>
  <c r="BG18"/>
  <c r="BH18" s="1"/>
  <c r="BA18"/>
  <c r="BB18" s="1"/>
  <c r="AR18"/>
  <c r="BE18"/>
  <c r="BF18" s="1"/>
  <c r="AN18"/>
  <c r="AT18"/>
  <c r="BC18"/>
  <c r="BD18" s="1"/>
  <c r="AA20"/>
  <c r="AB20" s="1"/>
  <c r="Z13"/>
  <c r="Z12" i="6"/>
  <c r="AG12" s="1"/>
  <c r="AH12" s="1"/>
  <c r="O11" i="16"/>
  <c r="BJ11"/>
  <c r="AT30"/>
  <c r="AR30"/>
  <c r="BG30"/>
  <c r="BH30" s="1"/>
  <c r="BE30"/>
  <c r="BF30" s="1"/>
  <c r="BA30"/>
  <c r="BB30" s="1"/>
  <c r="AP30"/>
  <c r="AN30"/>
  <c r="BC30"/>
  <c r="BD30" s="1"/>
  <c r="BA35"/>
  <c r="BB35" s="1"/>
  <c r="BE35"/>
  <c r="BF35" s="1"/>
  <c r="AT35"/>
  <c r="AP35"/>
  <c r="AR35"/>
  <c r="BG35"/>
  <c r="BH35" s="1"/>
  <c r="AN35"/>
  <c r="BL35" s="1"/>
  <c r="BC35"/>
  <c r="BD35" s="1"/>
  <c r="R36"/>
  <c r="AG36"/>
  <c r="AH36" s="1"/>
  <c r="BJ14"/>
  <c r="O14"/>
  <c r="Z20" i="6"/>
  <c r="AG20" s="1"/>
  <c r="AH20" s="1"/>
  <c r="Z21" i="16"/>
  <c r="T35"/>
  <c r="AT22"/>
  <c r="BC22"/>
  <c r="BD22" s="1"/>
  <c r="AP22"/>
  <c r="AR22"/>
  <c r="BA22"/>
  <c r="BB22" s="1"/>
  <c r="AN22"/>
  <c r="BE22"/>
  <c r="BF22" s="1"/>
  <c r="BG22"/>
  <c r="BH22" s="1"/>
  <c r="BA27"/>
  <c r="BB27" s="1"/>
  <c r="BG27"/>
  <c r="BH27" s="1"/>
  <c r="AT27"/>
  <c r="BE27"/>
  <c r="BF27" s="1"/>
  <c r="AR27"/>
  <c r="AN27"/>
  <c r="AP27"/>
  <c r="BC27"/>
  <c r="BD27" s="1"/>
  <c r="L6"/>
  <c r="R6" s="1"/>
  <c r="L5" i="6"/>
  <c r="R5" s="1"/>
  <c r="BM19" i="16"/>
  <c r="Q19"/>
  <c r="AP14"/>
  <c r="BE14"/>
  <c r="BF14" s="1"/>
  <c r="AR14"/>
  <c r="BG14"/>
  <c r="BH14" s="1"/>
  <c r="AN14"/>
  <c r="BL14" s="1"/>
  <c r="BA14"/>
  <c r="BB14" s="1"/>
  <c r="AT14"/>
  <c r="BC14"/>
  <c r="BD14" s="1"/>
  <c r="BA19"/>
  <c r="BB19" s="1"/>
  <c r="AP19"/>
  <c r="BO19" s="1"/>
  <c r="BE19"/>
  <c r="BF19" s="1"/>
  <c r="BG19"/>
  <c r="BH19" s="1"/>
  <c r="AR19"/>
  <c r="AT19"/>
  <c r="AN19"/>
  <c r="R19"/>
  <c r="BC19"/>
  <c r="BD19" s="1"/>
  <c r="S27" i="6"/>
  <c r="BS11"/>
  <c r="AG20" i="16"/>
  <c r="AH20" s="1"/>
  <c r="N20"/>
  <c r="AC36"/>
  <c r="AD36" s="1"/>
  <c r="AA36"/>
  <c r="AB36" s="1"/>
  <c r="AG12"/>
  <c r="AH12" s="1"/>
  <c r="AC35"/>
  <c r="AD35" s="1"/>
  <c r="L21" i="6"/>
  <c r="R21" s="1"/>
  <c r="L22" i="16"/>
  <c r="R22" s="1"/>
  <c r="Q6"/>
  <c r="BM6"/>
  <c r="BG6"/>
  <c r="BH6" s="1"/>
  <c r="AR6"/>
  <c r="AP6"/>
  <c r="BO6" s="1"/>
  <c r="BE6"/>
  <c r="BF6" s="1"/>
  <c r="BA6"/>
  <c r="BB6" s="1"/>
  <c r="AN6"/>
  <c r="AT6"/>
  <c r="BC6"/>
  <c r="BD6" s="1"/>
  <c r="BA11"/>
  <c r="BB11" s="1"/>
  <c r="AP11"/>
  <c r="BE11"/>
  <c r="BF11" s="1"/>
  <c r="AR11"/>
  <c r="AT11"/>
  <c r="BG11"/>
  <c r="BH11" s="1"/>
  <c r="AN11"/>
  <c r="BL11" s="1"/>
  <c r="BC11"/>
  <c r="BD11" s="1"/>
  <c r="N22"/>
  <c r="O36"/>
  <c r="BJ36"/>
  <c r="BM28"/>
  <c r="Q28"/>
  <c r="Z16" i="6"/>
  <c r="AG16" s="1"/>
  <c r="AH16" s="1"/>
  <c r="Z17" i="16"/>
  <c r="AG17" s="1"/>
  <c r="AH17" s="1"/>
  <c r="BG29"/>
  <c r="BH29" s="1"/>
  <c r="BA29"/>
  <c r="BB29" s="1"/>
  <c r="BC29"/>
  <c r="BD29" s="1"/>
  <c r="AT29"/>
  <c r="AP29"/>
  <c r="BE29"/>
  <c r="BF29" s="1"/>
  <c r="AR29"/>
  <c r="AN29"/>
  <c r="BA13"/>
  <c r="BB13" s="1"/>
  <c r="AR13"/>
  <c r="AN13"/>
  <c r="BG13"/>
  <c r="BH13" s="1"/>
  <c r="BC13"/>
  <c r="BD13" s="1"/>
  <c r="BE13"/>
  <c r="BF13" s="1"/>
  <c r="AT13"/>
  <c r="AP13"/>
  <c r="BA32"/>
  <c r="BB32" s="1"/>
  <c r="BC32"/>
  <c r="BD32" s="1"/>
  <c r="AP32"/>
  <c r="AN32"/>
  <c r="AR32"/>
  <c r="AT32"/>
  <c r="BE32"/>
  <c r="BF32" s="1"/>
  <c r="BG32"/>
  <c r="BH32" s="1"/>
  <c r="AT16"/>
  <c r="BC16"/>
  <c r="BD16" s="1"/>
  <c r="BA16"/>
  <c r="BB16" s="1"/>
  <c r="AN16"/>
  <c r="BG16"/>
  <c r="BH16" s="1"/>
  <c r="AP16"/>
  <c r="AR16"/>
  <c r="BR16" s="1"/>
  <c r="BE16"/>
  <c r="BF16" s="1"/>
  <c r="AG13"/>
  <c r="AH13" s="1"/>
  <c r="BL10"/>
  <c r="BJ10"/>
  <c r="AC13"/>
  <c r="AD13" s="1"/>
  <c r="W14" i="6"/>
  <c r="AA14" s="1"/>
  <c r="AB14" s="1"/>
  <c r="W15" i="16"/>
  <c r="AA15" s="1"/>
  <c r="AB15" s="1"/>
  <c r="BJ26"/>
  <c r="BL26"/>
  <c r="O26"/>
  <c r="AG29"/>
  <c r="AH29" s="1"/>
  <c r="AN25"/>
  <c r="AR25"/>
  <c r="BA25"/>
  <c r="BB25" s="1"/>
  <c r="BC25"/>
  <c r="BD25" s="1"/>
  <c r="AP25"/>
  <c r="AT25"/>
  <c r="BE25"/>
  <c r="BF25" s="1"/>
  <c r="BG25"/>
  <c r="BH25" s="1"/>
  <c r="AN9"/>
  <c r="AP9"/>
  <c r="AR9"/>
  <c r="AT9"/>
  <c r="BA9"/>
  <c r="BB9" s="1"/>
  <c r="BC9"/>
  <c r="BD9" s="1"/>
  <c r="BE9"/>
  <c r="BF9" s="1"/>
  <c r="BG9"/>
  <c r="BH9" s="1"/>
  <c r="BA28"/>
  <c r="BB28" s="1"/>
  <c r="BE28"/>
  <c r="BF28" s="1"/>
  <c r="AP28"/>
  <c r="AT28"/>
  <c r="AN28"/>
  <c r="BC28"/>
  <c r="BD28" s="1"/>
  <c r="AR28"/>
  <c r="BG28"/>
  <c r="BH28" s="1"/>
  <c r="BA12"/>
  <c r="BB12" s="1"/>
  <c r="BE12"/>
  <c r="BF12" s="1"/>
  <c r="BC12"/>
  <c r="BD12" s="1"/>
  <c r="AT12"/>
  <c r="AN12"/>
  <c r="BG12"/>
  <c r="BH12" s="1"/>
  <c r="AP12"/>
  <c r="AR12"/>
  <c r="W7"/>
  <c r="AA7" s="1"/>
  <c r="AB7" s="1"/>
  <c r="W6" i="6"/>
  <c r="AA6" s="1"/>
  <c r="AB6" s="1"/>
  <c r="L8"/>
  <c r="R8" s="1"/>
  <c r="L9" i="16"/>
  <c r="R9" s="1"/>
  <c r="U20"/>
  <c r="X19"/>
  <c r="AC19" s="1"/>
  <c r="AD19" s="1"/>
  <c r="X18" i="6"/>
  <c r="AC18" s="1"/>
  <c r="AD18" s="1"/>
  <c r="AG9" i="16"/>
  <c r="AH9" s="1"/>
  <c r="P9"/>
  <c r="P25"/>
  <c r="BA21"/>
  <c r="BB21" s="1"/>
  <c r="AP21"/>
  <c r="AT21"/>
  <c r="BC21"/>
  <c r="BD21" s="1"/>
  <c r="BG21"/>
  <c r="BH21" s="1"/>
  <c r="AR21"/>
  <c r="AN21"/>
  <c r="BE21"/>
  <c r="BF21" s="1"/>
  <c r="AT5"/>
  <c r="AP5"/>
  <c r="BC5"/>
  <c r="BD5" s="1"/>
  <c r="BA5"/>
  <c r="BB5" s="1"/>
  <c r="AN5"/>
  <c r="BG5"/>
  <c r="BH5" s="1"/>
  <c r="AR5"/>
  <c r="BE5"/>
  <c r="BF5" s="1"/>
  <c r="AN24"/>
  <c r="AT24"/>
  <c r="BC24"/>
  <c r="BD24" s="1"/>
  <c r="BA24"/>
  <c r="BB24" s="1"/>
  <c r="AP24"/>
  <c r="AR24"/>
  <c r="BG24"/>
  <c r="BH24" s="1"/>
  <c r="BE24"/>
  <c r="BF24" s="1"/>
  <c r="AN8"/>
  <c r="AT8"/>
  <c r="BA8"/>
  <c r="BB8" s="1"/>
  <c r="BG8"/>
  <c r="BH8" s="1"/>
  <c r="BC8"/>
  <c r="BD8" s="1"/>
  <c r="AP8"/>
  <c r="N8"/>
  <c r="AR8"/>
  <c r="BE8"/>
  <c r="BF8" s="1"/>
  <c r="AC28"/>
  <c r="AD28" s="1"/>
  <c r="BL34"/>
  <c r="BJ34"/>
  <c r="O34"/>
  <c r="N25"/>
  <c r="T9"/>
  <c r="M17"/>
  <c r="T17" s="1"/>
  <c r="M16" i="6"/>
  <c r="T16" s="1"/>
  <c r="R12" i="16"/>
  <c r="AC9"/>
  <c r="AD9" s="1"/>
  <c r="R17"/>
  <c r="BU25" i="6"/>
  <c r="BS25"/>
  <c r="AC25" i="16"/>
  <c r="AD25" s="1"/>
  <c r="AG21"/>
  <c r="AH21" s="1"/>
  <c r="BS24" i="6"/>
  <c r="U24"/>
  <c r="BU24"/>
  <c r="I31" i="10"/>
  <c r="O10" i="16"/>
  <c r="Z32" i="6"/>
  <c r="AG32" s="1"/>
  <c r="AH32" s="1"/>
  <c r="Z33" i="16"/>
  <c r="AG33" s="1"/>
  <c r="AH33" s="1"/>
  <c r="AC29"/>
  <c r="AD29" s="1"/>
  <c r="AC17"/>
  <c r="AD17" s="1"/>
  <c r="BA17"/>
  <c r="BB17" s="1"/>
  <c r="BC17"/>
  <c r="BD17" s="1"/>
  <c r="BG17"/>
  <c r="BH17" s="1"/>
  <c r="AT17"/>
  <c r="AN17"/>
  <c r="BE17"/>
  <c r="BF17" s="1"/>
  <c r="AP17"/>
  <c r="AR17"/>
  <c r="BA36"/>
  <c r="BB36" s="1"/>
  <c r="AP36"/>
  <c r="BC36"/>
  <c r="BD36" s="1"/>
  <c r="AT36"/>
  <c r="AN36"/>
  <c r="BL36" s="1"/>
  <c r="BG36"/>
  <c r="BH36" s="1"/>
  <c r="AR36"/>
  <c r="BR36" s="1"/>
  <c r="BE36"/>
  <c r="BF36" s="1"/>
  <c r="BA20"/>
  <c r="BB20" s="1"/>
  <c r="BE20"/>
  <c r="BF20" s="1"/>
  <c r="AT20"/>
  <c r="BU20" s="1"/>
  <c r="BC20"/>
  <c r="BD20" s="1"/>
  <c r="AN20"/>
  <c r="AR20"/>
  <c r="BR20" s="1"/>
  <c r="BG20"/>
  <c r="BH20" s="1"/>
  <c r="AP20"/>
  <c r="BO20" s="1"/>
  <c r="X27"/>
  <c r="AC27" s="1"/>
  <c r="AD27" s="1"/>
  <c r="X26" i="6"/>
  <c r="AC26" s="1"/>
  <c r="AD26" s="1"/>
  <c r="AA28" i="16"/>
  <c r="AB28" s="1"/>
  <c r="L18"/>
  <c r="R18" s="1"/>
  <c r="L17" i="6"/>
  <c r="R17" s="1"/>
  <c r="L24"/>
  <c r="R24" s="1"/>
  <c r="L25" i="16"/>
  <c r="R25" s="1"/>
  <c r="T36"/>
  <c r="BL25" i="6"/>
  <c r="O25"/>
  <c r="BJ25"/>
  <c r="AG5" i="16"/>
  <c r="AH5" s="1"/>
  <c r="N9"/>
  <c r="T25"/>
  <c r="Y15" i="6"/>
  <c r="AE15" s="1"/>
  <c r="AF15" s="1"/>
  <c r="Y16" i="16"/>
  <c r="AE16" s="1"/>
  <c r="AF16" s="1"/>
  <c r="Y31" i="6"/>
  <c r="AE31" s="1"/>
  <c r="AF31" s="1"/>
  <c r="Y32" i="16"/>
  <c r="AE32" s="1"/>
  <c r="AF32" s="1"/>
  <c r="Z15" i="6"/>
  <c r="AG15" s="1"/>
  <c r="AH15" s="1"/>
  <c r="Z16" i="16"/>
  <c r="AG16" s="1"/>
  <c r="AH16" s="1"/>
  <c r="Z32"/>
  <c r="AG32" s="1"/>
  <c r="AH32" s="1"/>
  <c r="Z31" i="6"/>
  <c r="AG31" s="1"/>
  <c r="AH31" s="1"/>
  <c r="Q11"/>
  <c r="BO11"/>
  <c r="BM11"/>
  <c r="K11" i="16"/>
  <c r="P11" s="1"/>
  <c r="K10" i="6"/>
  <c r="P10" s="1"/>
  <c r="W7"/>
  <c r="AA7" s="1"/>
  <c r="AB7" s="1"/>
  <c r="W8" i="16"/>
  <c r="AA8" s="1"/>
  <c r="AB8" s="1"/>
  <c r="W24"/>
  <c r="AA24" s="1"/>
  <c r="AB24" s="1"/>
  <c r="W23" i="6"/>
  <c r="AA23" s="1"/>
  <c r="AB23" s="1"/>
  <c r="X7"/>
  <c r="AC7" s="1"/>
  <c r="AD7" s="1"/>
  <c r="X8" i="16"/>
  <c r="AC8" s="1"/>
  <c r="AD8" s="1"/>
  <c r="X24"/>
  <c r="AC24" s="1"/>
  <c r="AD24" s="1"/>
  <c r="X23" i="6"/>
  <c r="AC23" s="1"/>
  <c r="AD23" s="1"/>
  <c r="BP20" i="16"/>
  <c r="S20"/>
  <c r="L27"/>
  <c r="R27" s="1"/>
  <c r="L26" i="6"/>
  <c r="R26" s="1"/>
  <c r="M26"/>
  <c r="T26" s="1"/>
  <c r="M27" i="16"/>
  <c r="T27" s="1"/>
  <c r="Q20"/>
  <c r="BM20"/>
  <c r="BU5" i="6"/>
  <c r="BS5"/>
  <c r="U5"/>
  <c r="U18" i="16"/>
  <c r="BU18"/>
  <c r="Q36"/>
  <c r="BM36"/>
  <c r="BO36"/>
  <c r="BM17"/>
  <c r="U28"/>
  <c r="Y8"/>
  <c r="AE8" s="1"/>
  <c r="AF8" s="1"/>
  <c r="Y7" i="6"/>
  <c r="AE7" s="1"/>
  <c r="AF7" s="1"/>
  <c r="Y24" i="16"/>
  <c r="AE24" s="1"/>
  <c r="AF24" s="1"/>
  <c r="Y23" i="6"/>
  <c r="AE23" s="1"/>
  <c r="AF23" s="1"/>
  <c r="Z8" i="16"/>
  <c r="AG8" s="1"/>
  <c r="AH8" s="1"/>
  <c r="Z7" i="6"/>
  <c r="AG7" s="1"/>
  <c r="AH7" s="1"/>
  <c r="Z24" i="16"/>
  <c r="AG24" s="1"/>
  <c r="AH24" s="1"/>
  <c r="Z23" i="6"/>
  <c r="AG23" s="1"/>
  <c r="AH23" s="1"/>
  <c r="BP19"/>
  <c r="S19"/>
  <c r="BR19"/>
  <c r="J26"/>
  <c r="N26" s="1"/>
  <c r="J27" i="16"/>
  <c r="N27" s="1"/>
  <c r="K26" i="6"/>
  <c r="P26" s="1"/>
  <c r="K27" i="16"/>
  <c r="P27" s="1"/>
  <c r="U19"/>
  <c r="BS19"/>
  <c r="BS12"/>
  <c r="BU12"/>
  <c r="U12"/>
  <c r="BO35" i="6"/>
  <c r="Q35"/>
  <c r="W16" i="16"/>
  <c r="AA16" s="1"/>
  <c r="AB16" s="1"/>
  <c r="W15" i="6"/>
  <c r="AA15" s="1"/>
  <c r="AB15" s="1"/>
  <c r="X16" i="16"/>
  <c r="AC16" s="1"/>
  <c r="AD16" s="1"/>
  <c r="X15" i="6"/>
  <c r="AC15" s="1"/>
  <c r="AD15" s="1"/>
  <c r="X31"/>
  <c r="AC31" s="1"/>
  <c r="AD31" s="1"/>
  <c r="X32" i="16"/>
  <c r="AC32" s="1"/>
  <c r="AD32" s="1"/>
  <c r="Q12"/>
  <c r="BO12"/>
  <c r="M10" i="6"/>
  <c r="T10" s="1"/>
  <c r="M11" i="16"/>
  <c r="T11" s="1"/>
  <c r="BP13" i="6"/>
  <c r="S13"/>
  <c r="BR13"/>
  <c r="BP25"/>
  <c r="S25"/>
  <c r="BR25"/>
  <c r="BL33"/>
  <c r="O33"/>
  <c r="BJ33"/>
  <c r="O19" i="16"/>
  <c r="BJ19"/>
  <c r="BJ35"/>
  <c r="O12"/>
  <c r="BJ12"/>
  <c r="BL12"/>
  <c r="BO34" i="6"/>
  <c r="Q34"/>
  <c r="BM34"/>
  <c r="BP22"/>
  <c r="BR22"/>
  <c r="S22"/>
  <c r="G41" i="22"/>
  <c r="H41" s="1"/>
  <c r="J41" s="1"/>
  <c r="K41" s="1"/>
  <c r="BU28" i="16"/>
  <c r="BL17"/>
  <c r="BO33" i="6"/>
  <c r="BM33"/>
  <c r="Q33"/>
  <c r="Q32"/>
  <c r="BO32"/>
  <c r="O16"/>
  <c r="BJ16"/>
  <c r="BL16"/>
  <c r="BL34"/>
  <c r="O34"/>
  <c r="BJ10"/>
  <c r="BL10"/>
  <c r="O10"/>
  <c r="S28" i="16"/>
  <c r="BP28"/>
  <c r="BJ17"/>
  <c r="BO35"/>
  <c r="Q35"/>
  <c r="BM35"/>
  <c r="BM17" i="6"/>
  <c r="Q17"/>
  <c r="BO17"/>
  <c r="Y4"/>
  <c r="AE4" s="1"/>
  <c r="AF4" s="1"/>
  <c r="Y5" i="16"/>
  <c r="AE5" s="1"/>
  <c r="AF5" s="1"/>
  <c r="P65" i="4"/>
  <c r="Y13" i="16"/>
  <c r="AE13" s="1"/>
  <c r="AF13" s="1"/>
  <c r="Y12" i="6"/>
  <c r="AE12" s="1"/>
  <c r="AF12" s="1"/>
  <c r="Y20"/>
  <c r="AE20" s="1"/>
  <c r="AF20" s="1"/>
  <c r="Y21" i="16"/>
  <c r="AE21" s="1"/>
  <c r="AF21" s="1"/>
  <c r="Y28" i="6"/>
  <c r="AE28" s="1"/>
  <c r="AF28" s="1"/>
  <c r="Y29" i="16"/>
  <c r="AE29" s="1"/>
  <c r="AF29" s="1"/>
  <c r="X5"/>
  <c r="AC5" s="1"/>
  <c r="AD5" s="1"/>
  <c r="X4" i="6"/>
  <c r="AC4" s="1"/>
  <c r="AD4" s="1"/>
  <c r="O65" i="4"/>
  <c r="W5" i="6"/>
  <c r="AA5" s="1"/>
  <c r="AB5" s="1"/>
  <c r="W6" i="16"/>
  <c r="AA6" s="1"/>
  <c r="AB6" s="1"/>
  <c r="W13" i="6"/>
  <c r="AA13" s="1"/>
  <c r="AB13" s="1"/>
  <c r="W14" i="16"/>
  <c r="AA14" s="1"/>
  <c r="AB14" s="1"/>
  <c r="W22"/>
  <c r="AA22" s="1"/>
  <c r="AB22" s="1"/>
  <c r="W21" i="6"/>
  <c r="AA21" s="1"/>
  <c r="AB21" s="1"/>
  <c r="W29"/>
  <c r="AA29" s="1"/>
  <c r="AB29" s="1"/>
  <c r="W30" i="16"/>
  <c r="AA30" s="1"/>
  <c r="AB30" s="1"/>
  <c r="X5" i="6"/>
  <c r="AC5" s="1"/>
  <c r="AD5" s="1"/>
  <c r="X6" i="16"/>
  <c r="AC6" s="1"/>
  <c r="AD6" s="1"/>
  <c r="X14"/>
  <c r="AC14" s="1"/>
  <c r="AD14" s="1"/>
  <c r="X13" i="6"/>
  <c r="AC13" s="1"/>
  <c r="AD13" s="1"/>
  <c r="X22" i="16"/>
  <c r="AC22" s="1"/>
  <c r="AD22" s="1"/>
  <c r="X21" i="6"/>
  <c r="AC21" s="1"/>
  <c r="AD21" s="1"/>
  <c r="X29"/>
  <c r="AC29" s="1"/>
  <c r="AD29" s="1"/>
  <c r="X30" i="16"/>
  <c r="AC30" s="1"/>
  <c r="AD30" s="1"/>
  <c r="L29" i="6"/>
  <c r="R29" s="1"/>
  <c r="L30" i="16"/>
  <c r="R30" s="1"/>
  <c r="M21" i="6"/>
  <c r="T21" s="1"/>
  <c r="M22" i="16"/>
  <c r="T22" s="1"/>
  <c r="L4" i="6"/>
  <c r="R4" s="1"/>
  <c r="L5" i="16"/>
  <c r="R5" s="1"/>
  <c r="H65" i="4"/>
  <c r="L20" i="6"/>
  <c r="R20" s="1"/>
  <c r="L21" i="16"/>
  <c r="R21" s="1"/>
  <c r="M4" i="6"/>
  <c r="T4" s="1"/>
  <c r="I65" i="4"/>
  <c r="M5" i="16"/>
  <c r="T5" s="1"/>
  <c r="M20" i="6"/>
  <c r="T20" s="1"/>
  <c r="M21" i="16"/>
  <c r="T21" s="1"/>
  <c r="S15" i="6"/>
  <c r="BP15"/>
  <c r="BR15"/>
  <c r="J31"/>
  <c r="N31" s="1"/>
  <c r="J32" i="16"/>
  <c r="N32" s="1"/>
  <c r="K16"/>
  <c r="P16" s="1"/>
  <c r="K15" i="6"/>
  <c r="P15" s="1"/>
  <c r="K32" i="16"/>
  <c r="P32" s="1"/>
  <c r="K31" i="6"/>
  <c r="P31" s="1"/>
  <c r="L14"/>
  <c r="R14" s="1"/>
  <c r="L15" i="16"/>
  <c r="R15" s="1"/>
  <c r="L30" i="6"/>
  <c r="R30" s="1"/>
  <c r="L31" i="16"/>
  <c r="R31" s="1"/>
  <c r="K6" i="6"/>
  <c r="P6" s="1"/>
  <c r="K7" i="16"/>
  <c r="P7" s="1"/>
  <c r="K22" i="6"/>
  <c r="P22" s="1"/>
  <c r="K23" i="16"/>
  <c r="P23" s="1"/>
  <c r="BL27" i="6"/>
  <c r="O27"/>
  <c r="BJ27"/>
  <c r="W8"/>
  <c r="AA8" s="1"/>
  <c r="AB8" s="1"/>
  <c r="W9" i="16"/>
  <c r="AA9" s="1"/>
  <c r="AB9" s="1"/>
  <c r="W17"/>
  <c r="AA17" s="1"/>
  <c r="AB17" s="1"/>
  <c r="W16" i="6"/>
  <c r="AA16" s="1"/>
  <c r="AB16" s="1"/>
  <c r="W24"/>
  <c r="AA24" s="1"/>
  <c r="AB24" s="1"/>
  <c r="W25" i="16"/>
  <c r="AA25" s="1"/>
  <c r="AB25" s="1"/>
  <c r="W32" i="6"/>
  <c r="AA32" s="1"/>
  <c r="AB32" s="1"/>
  <c r="W33" i="16"/>
  <c r="AA33" s="1"/>
  <c r="AB33" s="1"/>
  <c r="Y5" i="6"/>
  <c r="AE5" s="1"/>
  <c r="AF5" s="1"/>
  <c r="Y6" i="16"/>
  <c r="AE6" s="1"/>
  <c r="AF6" s="1"/>
  <c r="Y14"/>
  <c r="AE14" s="1"/>
  <c r="AF14" s="1"/>
  <c r="Y13" i="6"/>
  <c r="AE13" s="1"/>
  <c r="AF13" s="1"/>
  <c r="Y22" i="16"/>
  <c r="AE22" s="1"/>
  <c r="AF22" s="1"/>
  <c r="Y21" i="6"/>
  <c r="AE21" s="1"/>
  <c r="AF21" s="1"/>
  <c r="Y29"/>
  <c r="AE29" s="1"/>
  <c r="AF29" s="1"/>
  <c r="Y30" i="16"/>
  <c r="AE30" s="1"/>
  <c r="AF30" s="1"/>
  <c r="Z5" i="6"/>
  <c r="AG5" s="1"/>
  <c r="AH5" s="1"/>
  <c r="Z6" i="16"/>
  <c r="AG6" s="1"/>
  <c r="AH6" s="1"/>
  <c r="Q65" i="4"/>
  <c r="Z13" i="6"/>
  <c r="AG13" s="1"/>
  <c r="AH13" s="1"/>
  <c r="Z14" i="16"/>
  <c r="AG14" s="1"/>
  <c r="AH14" s="1"/>
  <c r="Z21" i="6"/>
  <c r="AG21" s="1"/>
  <c r="AH21" s="1"/>
  <c r="Z22" i="16"/>
  <c r="AG22" s="1"/>
  <c r="AH22" s="1"/>
  <c r="Z30"/>
  <c r="AG30" s="1"/>
  <c r="AH30" s="1"/>
  <c r="Z29" i="6"/>
  <c r="AG29" s="1"/>
  <c r="AH29" s="1"/>
  <c r="O35"/>
  <c r="BL35"/>
  <c r="BJ35"/>
  <c r="J30" i="16"/>
  <c r="N30" s="1"/>
  <c r="J29" i="6"/>
  <c r="N29" s="1"/>
  <c r="K22" i="16"/>
  <c r="P22" s="1"/>
  <c r="K21" i="6"/>
  <c r="P21" s="1"/>
  <c r="J4"/>
  <c r="N4" s="1"/>
  <c r="J5" i="16"/>
  <c r="N5" s="1"/>
  <c r="F65" i="4"/>
  <c r="J20" i="6"/>
  <c r="N20" s="1"/>
  <c r="J21" i="16"/>
  <c r="N21" s="1"/>
  <c r="K5"/>
  <c r="P5" s="1"/>
  <c r="G65" i="4"/>
  <c r="K4" i="6"/>
  <c r="P4" s="1"/>
  <c r="K20"/>
  <c r="P20" s="1"/>
  <c r="K21" i="16"/>
  <c r="P21" s="1"/>
  <c r="S8"/>
  <c r="BR8"/>
  <c r="BP8"/>
  <c r="J23" i="6"/>
  <c r="N23" s="1"/>
  <c r="J24" i="16"/>
  <c r="N24" s="1"/>
  <c r="M7" i="6"/>
  <c r="T7" s="1"/>
  <c r="M8" i="16"/>
  <c r="T8" s="1"/>
  <c r="M23" i="6"/>
  <c r="T23" s="1"/>
  <c r="M24" i="16"/>
  <c r="T24" s="1"/>
  <c r="J15"/>
  <c r="N15" s="1"/>
  <c r="J14" i="6"/>
  <c r="N14" s="1"/>
  <c r="J31" i="16"/>
  <c r="N31" s="1"/>
  <c r="J30" i="6"/>
  <c r="N30" s="1"/>
  <c r="M14"/>
  <c r="T14" s="1"/>
  <c r="M15" i="16"/>
  <c r="T15" s="1"/>
  <c r="M30" i="6"/>
  <c r="T30" s="1"/>
  <c r="M31" i="16"/>
  <c r="T31" s="1"/>
  <c r="O16"/>
  <c r="BJ16"/>
  <c r="BL16"/>
  <c r="Y8" i="6"/>
  <c r="AE8" s="1"/>
  <c r="AF8" s="1"/>
  <c r="Y9" i="16"/>
  <c r="AE9" s="1"/>
  <c r="AF9" s="1"/>
  <c r="Y17"/>
  <c r="AE17" s="1"/>
  <c r="AF17" s="1"/>
  <c r="Y16" i="6"/>
  <c r="AE16" s="1"/>
  <c r="AF16" s="1"/>
  <c r="Y25" i="16"/>
  <c r="AE25" s="1"/>
  <c r="AF25" s="1"/>
  <c r="Y24" i="6"/>
  <c r="AE24" s="1"/>
  <c r="AF24" s="1"/>
  <c r="Y33" i="16"/>
  <c r="AE33" s="1"/>
  <c r="AF33" s="1"/>
  <c r="Y32" i="6"/>
  <c r="AE32" s="1"/>
  <c r="AF32" s="1"/>
  <c r="W10" i="16"/>
  <c r="AA10" s="1"/>
  <c r="AB10" s="1"/>
  <c r="W9" i="6"/>
  <c r="AA9" s="1"/>
  <c r="AB9" s="1"/>
  <c r="W18" i="16"/>
  <c r="AA18" s="1"/>
  <c r="AB18" s="1"/>
  <c r="W17" i="6"/>
  <c r="AA17" s="1"/>
  <c r="AB17" s="1"/>
  <c r="W25"/>
  <c r="AA25" s="1"/>
  <c r="AB25" s="1"/>
  <c r="W26" i="16"/>
  <c r="AA26" s="1"/>
  <c r="AB26" s="1"/>
  <c r="W34"/>
  <c r="AA34" s="1"/>
  <c r="AB34" s="1"/>
  <c r="W33" i="6"/>
  <c r="AA33" s="1"/>
  <c r="AB33" s="1"/>
  <c r="X10" i="16"/>
  <c r="AC10" s="1"/>
  <c r="AD10" s="1"/>
  <c r="X9" i="6"/>
  <c r="AC9" s="1"/>
  <c r="AD9" s="1"/>
  <c r="X17"/>
  <c r="AC17" s="1"/>
  <c r="AD17" s="1"/>
  <c r="X18" i="16"/>
  <c r="AC18" s="1"/>
  <c r="AD18" s="1"/>
  <c r="X25" i="6"/>
  <c r="AC25" s="1"/>
  <c r="AD25" s="1"/>
  <c r="X26" i="16"/>
  <c r="AC26" s="1"/>
  <c r="AD26" s="1"/>
  <c r="X33" i="6"/>
  <c r="AC33" s="1"/>
  <c r="AD33" s="1"/>
  <c r="X34" i="16"/>
  <c r="AC34" s="1"/>
  <c r="AD34" s="1"/>
  <c r="M13" i="6"/>
  <c r="T13" s="1"/>
  <c r="M14" i="16"/>
  <c r="T14" s="1"/>
  <c r="M29" i="6"/>
  <c r="T29" s="1"/>
  <c r="M30" i="16"/>
  <c r="T30" s="1"/>
  <c r="L12" i="6"/>
  <c r="R12" s="1"/>
  <c r="L13" i="16"/>
  <c r="R13" s="1"/>
  <c r="L28" i="6"/>
  <c r="R28" s="1"/>
  <c r="L29" i="16"/>
  <c r="R29" s="1"/>
  <c r="M12" i="6"/>
  <c r="T12" s="1"/>
  <c r="M13" i="16"/>
  <c r="T13" s="1"/>
  <c r="M29"/>
  <c r="T29" s="1"/>
  <c r="M28" i="6"/>
  <c r="T28" s="1"/>
  <c r="S7"/>
  <c r="BR7"/>
  <c r="BP7"/>
  <c r="L23"/>
  <c r="R23" s="1"/>
  <c r="L24" i="16"/>
  <c r="R24" s="1"/>
  <c r="K7" i="6"/>
  <c r="P7" s="1"/>
  <c r="K8" i="16"/>
  <c r="P8" s="1"/>
  <c r="K23" i="6"/>
  <c r="P23" s="1"/>
  <c r="K24" i="16"/>
  <c r="P24" s="1"/>
  <c r="L6" i="6"/>
  <c r="R6" s="1"/>
  <c r="L7" i="16"/>
  <c r="R7" s="1"/>
  <c r="O23"/>
  <c r="BL23"/>
  <c r="BJ23"/>
  <c r="K15"/>
  <c r="P15" s="1"/>
  <c r="K14" i="6"/>
  <c r="P14" s="1"/>
  <c r="K31" i="16"/>
  <c r="P31" s="1"/>
  <c r="K30" i="6"/>
  <c r="P30" s="1"/>
  <c r="O15"/>
  <c r="BL15"/>
  <c r="BJ15"/>
  <c r="W4"/>
  <c r="AA4" s="1"/>
  <c r="AB4" s="1"/>
  <c r="W5" i="16"/>
  <c r="AA5" s="1"/>
  <c r="AB5" s="1"/>
  <c r="N65" i="4"/>
  <c r="W12" i="6"/>
  <c r="AA12" s="1"/>
  <c r="AB12" s="1"/>
  <c r="W13" i="16"/>
  <c r="AA13" s="1"/>
  <c r="AB13" s="1"/>
  <c r="W21"/>
  <c r="AA21" s="1"/>
  <c r="AB21" s="1"/>
  <c r="W20" i="6"/>
  <c r="AA20" s="1"/>
  <c r="AB20" s="1"/>
  <c r="W28"/>
  <c r="AA28" s="1"/>
  <c r="AB28" s="1"/>
  <c r="W29" i="16"/>
  <c r="AA29" s="1"/>
  <c r="AB29" s="1"/>
  <c r="Y10"/>
  <c r="AE10" s="1"/>
  <c r="AF10" s="1"/>
  <c r="Y9" i="6"/>
  <c r="AE9" s="1"/>
  <c r="AF9" s="1"/>
  <c r="Y18" i="16"/>
  <c r="AE18" s="1"/>
  <c r="AF18" s="1"/>
  <c r="Y17" i="6"/>
  <c r="AE17" s="1"/>
  <c r="AF17" s="1"/>
  <c r="Y25"/>
  <c r="AE25" s="1"/>
  <c r="AF25" s="1"/>
  <c r="Y26" i="16"/>
  <c r="AE26" s="1"/>
  <c r="AF26" s="1"/>
  <c r="Y34"/>
  <c r="AE34" s="1"/>
  <c r="AF34" s="1"/>
  <c r="Y33" i="6"/>
  <c r="AE33" s="1"/>
  <c r="AF33" s="1"/>
  <c r="Z10" i="16"/>
  <c r="AG10" s="1"/>
  <c r="AH10" s="1"/>
  <c r="Z9" i="6"/>
  <c r="AG9" s="1"/>
  <c r="AH9" s="1"/>
  <c r="Z18" i="16"/>
  <c r="AG18" s="1"/>
  <c r="AH18" s="1"/>
  <c r="Z17" i="6"/>
  <c r="AG17" s="1"/>
  <c r="AH17" s="1"/>
  <c r="Z26" i="16"/>
  <c r="AG26" s="1"/>
  <c r="AH26" s="1"/>
  <c r="Z25" i="6"/>
  <c r="AG25" s="1"/>
  <c r="AH25" s="1"/>
  <c r="Z33"/>
  <c r="AG33" s="1"/>
  <c r="AH33" s="1"/>
  <c r="Z34" i="16"/>
  <c r="AG34" s="1"/>
  <c r="AH34" s="1"/>
  <c r="K14"/>
  <c r="P14" s="1"/>
  <c r="K13" i="6"/>
  <c r="P13" s="1"/>
  <c r="K30" i="16"/>
  <c r="P30" s="1"/>
  <c r="K29" i="6"/>
  <c r="P29" s="1"/>
  <c r="J12"/>
  <c r="N12" s="1"/>
  <c r="J13" i="16"/>
  <c r="N13" s="1"/>
  <c r="J28" i="6"/>
  <c r="N28" s="1"/>
  <c r="J29" i="16"/>
  <c r="N29" s="1"/>
  <c r="K13"/>
  <c r="P13" s="1"/>
  <c r="K12" i="6"/>
  <c r="P12" s="1"/>
  <c r="K29" i="16"/>
  <c r="P29" s="1"/>
  <c r="K28" i="6"/>
  <c r="P28" s="1"/>
  <c r="BJ32"/>
  <c r="BL32"/>
  <c r="O32"/>
  <c r="S16" i="16"/>
  <c r="BP16"/>
  <c r="L31" i="6"/>
  <c r="R31" s="1"/>
  <c r="L32" i="16"/>
  <c r="R32" s="1"/>
  <c r="M15" i="6"/>
  <c r="T15" s="1"/>
  <c r="M16" i="16"/>
  <c r="T16" s="1"/>
  <c r="M31" i="6"/>
  <c r="T31" s="1"/>
  <c r="M32" i="16"/>
  <c r="T32" s="1"/>
  <c r="J6" i="6"/>
  <c r="N6" s="1"/>
  <c r="J7" i="16"/>
  <c r="N7" s="1"/>
  <c r="BJ22" i="6"/>
  <c r="BL22"/>
  <c r="O22"/>
  <c r="M6"/>
  <c r="T6" s="1"/>
  <c r="M7" i="16"/>
  <c r="T7" s="1"/>
  <c r="M22" i="6"/>
  <c r="T22" s="1"/>
  <c r="M23" i="16"/>
  <c r="T23" s="1"/>
  <c r="O28"/>
  <c r="BJ28"/>
  <c r="BL28"/>
  <c r="J35" i="22"/>
  <c r="K35" s="1"/>
  <c r="B39" i="25"/>
  <c r="B37"/>
  <c r="B38" s="1"/>
  <c r="M41" i="22"/>
  <c r="N41" s="1"/>
  <c r="H47"/>
  <c r="G47"/>
  <c r="G45"/>
  <c r="H45" s="1"/>
  <c r="M45" s="1"/>
  <c r="N45" s="1"/>
  <c r="H39"/>
  <c r="M39" s="1"/>
  <c r="N39" s="1"/>
  <c r="J43"/>
  <c r="K43" s="1"/>
  <c r="M43"/>
  <c r="N43" s="1"/>
  <c r="H37"/>
  <c r="G37"/>
  <c r="BM18" i="16" l="1"/>
  <c r="Q18"/>
  <c r="AQ18"/>
  <c r="BO18"/>
  <c r="BN18"/>
  <c r="AQ23"/>
  <c r="BN23"/>
  <c r="AS34"/>
  <c r="BQ34"/>
  <c r="AQ7"/>
  <c r="BN7"/>
  <c r="AS18"/>
  <c r="BQ18"/>
  <c r="BQ23"/>
  <c r="AS23"/>
  <c r="BM34"/>
  <c r="Q34"/>
  <c r="BO34"/>
  <c r="AQ34"/>
  <c r="BN34"/>
  <c r="BK7"/>
  <c r="AO7"/>
  <c r="BT18"/>
  <c r="AU18"/>
  <c r="BT23"/>
  <c r="AU23"/>
  <c r="AU34"/>
  <c r="BT34"/>
  <c r="BU34"/>
  <c r="BK18"/>
  <c r="AO18"/>
  <c r="BL18"/>
  <c r="AO23"/>
  <c r="BK23"/>
  <c r="BR34"/>
  <c r="AO34"/>
  <c r="BK34"/>
  <c r="BQ7"/>
  <c r="AS7"/>
  <c r="AU7"/>
  <c r="BT7"/>
  <c r="AQ11"/>
  <c r="BN11"/>
  <c r="AO6"/>
  <c r="BL6"/>
  <c r="BK6"/>
  <c r="AS6"/>
  <c r="BQ6"/>
  <c r="S19"/>
  <c r="BP19"/>
  <c r="BR19"/>
  <c r="BP6"/>
  <c r="BR6"/>
  <c r="S6"/>
  <c r="BQ27"/>
  <c r="AS27"/>
  <c r="AU22"/>
  <c r="BT22"/>
  <c r="S36"/>
  <c r="BP36"/>
  <c r="BN30"/>
  <c r="AQ30"/>
  <c r="BQ30"/>
  <c r="AS30"/>
  <c r="O22"/>
  <c r="BL22"/>
  <c r="BJ22"/>
  <c r="BT11"/>
  <c r="AU11"/>
  <c r="S22"/>
  <c r="BR22"/>
  <c r="BP22"/>
  <c r="AO19"/>
  <c r="BK19"/>
  <c r="BL19"/>
  <c r="AU14"/>
  <c r="BT14"/>
  <c r="BR14"/>
  <c r="BQ14"/>
  <c r="AS14"/>
  <c r="AS22"/>
  <c r="BQ22"/>
  <c r="U35"/>
  <c r="BU35"/>
  <c r="BS35"/>
  <c r="AS35"/>
  <c r="BQ35"/>
  <c r="BR35"/>
  <c r="AU30"/>
  <c r="BT30"/>
  <c r="BR11"/>
  <c r="BQ11"/>
  <c r="AS11"/>
  <c r="BP21" i="6"/>
  <c r="S21"/>
  <c r="BR21"/>
  <c r="BT19" i="16"/>
  <c r="AU19"/>
  <c r="BU19"/>
  <c r="BN19"/>
  <c r="AQ19"/>
  <c r="BN27"/>
  <c r="AQ27"/>
  <c r="BT27"/>
  <c r="AU27"/>
  <c r="AQ22"/>
  <c r="BN22"/>
  <c r="AQ35"/>
  <c r="BN35"/>
  <c r="AO11"/>
  <c r="BK11"/>
  <c r="AU6"/>
  <c r="BU6"/>
  <c r="BT6"/>
  <c r="BN6"/>
  <c r="AQ6"/>
  <c r="O20"/>
  <c r="BJ20"/>
  <c r="AS19"/>
  <c r="BQ19"/>
  <c r="BK14"/>
  <c r="AO14"/>
  <c r="AQ14"/>
  <c r="BN14"/>
  <c r="S5" i="6"/>
  <c r="BP5"/>
  <c r="BR5"/>
  <c r="AO27" i="16"/>
  <c r="BK27"/>
  <c r="BK22"/>
  <c r="AO22"/>
  <c r="BK35"/>
  <c r="AO35"/>
  <c r="AU35"/>
  <c r="BT35"/>
  <c r="AO30"/>
  <c r="BK30"/>
  <c r="U36"/>
  <c r="BU36"/>
  <c r="BS36"/>
  <c r="BP18"/>
  <c r="S18"/>
  <c r="BR18"/>
  <c r="AQ20"/>
  <c r="BN20"/>
  <c r="AU36"/>
  <c r="BT36"/>
  <c r="AS17"/>
  <c r="BQ17"/>
  <c r="BT17"/>
  <c r="AU17"/>
  <c r="BS9"/>
  <c r="U9"/>
  <c r="BU9"/>
  <c r="BL8"/>
  <c r="BJ8"/>
  <c r="O8"/>
  <c r="AS5"/>
  <c r="BQ5"/>
  <c r="AO21"/>
  <c r="BK21"/>
  <c r="AU21"/>
  <c r="BT21"/>
  <c r="Q9"/>
  <c r="BM9"/>
  <c r="BO9"/>
  <c r="AQ9"/>
  <c r="BN9"/>
  <c r="AU25"/>
  <c r="BT25"/>
  <c r="BQ25"/>
  <c r="AS25"/>
  <c r="BK16"/>
  <c r="AO16"/>
  <c r="BK32"/>
  <c r="AO32"/>
  <c r="BN13"/>
  <c r="AQ13"/>
  <c r="AO29"/>
  <c r="BK29"/>
  <c r="BT29"/>
  <c r="AU29"/>
  <c r="S25"/>
  <c r="BP25"/>
  <c r="BR25"/>
  <c r="BT20"/>
  <c r="AU20"/>
  <c r="BQ36"/>
  <c r="AS36"/>
  <c r="AQ17"/>
  <c r="BN17"/>
  <c r="S12"/>
  <c r="BP12"/>
  <c r="BR12"/>
  <c r="O25"/>
  <c r="BL25"/>
  <c r="BJ25"/>
  <c r="AQ8"/>
  <c r="BN8"/>
  <c r="AU8"/>
  <c r="BT8"/>
  <c r="BQ24"/>
  <c r="AS24"/>
  <c r="AU24"/>
  <c r="BT24"/>
  <c r="AQ5"/>
  <c r="BN5"/>
  <c r="AS21"/>
  <c r="BQ21"/>
  <c r="BN21"/>
  <c r="AQ21"/>
  <c r="AO12"/>
  <c r="BK12"/>
  <c r="BK28"/>
  <c r="AO28"/>
  <c r="BK9"/>
  <c r="AO9"/>
  <c r="AQ25"/>
  <c r="BN25"/>
  <c r="AO25"/>
  <c r="BK25"/>
  <c r="AS16"/>
  <c r="BQ16"/>
  <c r="AQ32"/>
  <c r="BN32"/>
  <c r="AU13"/>
  <c r="BT13"/>
  <c r="AO13"/>
  <c r="BK13"/>
  <c r="AS29"/>
  <c r="BQ29"/>
  <c r="BS25"/>
  <c r="U25"/>
  <c r="BU25"/>
  <c r="BR24" i="6"/>
  <c r="S24"/>
  <c r="BP24"/>
  <c r="AS20" i="16"/>
  <c r="BQ20"/>
  <c r="AQ36"/>
  <c r="BN36"/>
  <c r="BS16" i="6"/>
  <c r="U16"/>
  <c r="BU16"/>
  <c r="BK8" i="16"/>
  <c r="AO8"/>
  <c r="BN24"/>
  <c r="AQ24"/>
  <c r="AO24"/>
  <c r="BK24"/>
  <c r="AO5"/>
  <c r="BK5"/>
  <c r="BT5"/>
  <c r="AU5"/>
  <c r="BP9"/>
  <c r="S9"/>
  <c r="BR9"/>
  <c r="AS12"/>
  <c r="BQ12"/>
  <c r="AU12"/>
  <c r="BT12"/>
  <c r="BT28"/>
  <c r="AU28"/>
  <c r="AU9"/>
  <c r="BT9"/>
  <c r="AQ16"/>
  <c r="BN16"/>
  <c r="BT32"/>
  <c r="AU32"/>
  <c r="AS13"/>
  <c r="BQ13"/>
  <c r="O9"/>
  <c r="BJ9"/>
  <c r="BL9"/>
  <c r="S17" i="6"/>
  <c r="BP17"/>
  <c r="BR17"/>
  <c r="AO20" i="16"/>
  <c r="BK20"/>
  <c r="BL20"/>
  <c r="AO36"/>
  <c r="BK36"/>
  <c r="AO17"/>
  <c r="BK17"/>
  <c r="BO17"/>
  <c r="S17"/>
  <c r="BR17"/>
  <c r="BP17"/>
  <c r="BU17"/>
  <c r="U17"/>
  <c r="BS17"/>
  <c r="AS8"/>
  <c r="BQ8"/>
  <c r="BO25"/>
  <c r="Q25"/>
  <c r="BM25"/>
  <c r="BR8" i="6"/>
  <c r="S8"/>
  <c r="BP8"/>
  <c r="BN12" i="16"/>
  <c r="AQ12"/>
  <c r="BR28"/>
  <c r="AS28"/>
  <c r="BQ28"/>
  <c r="BN28"/>
  <c r="BO28"/>
  <c r="AQ28"/>
  <c r="BQ9"/>
  <c r="AS9"/>
  <c r="BT16"/>
  <c r="AU16"/>
  <c r="AS32"/>
  <c r="BQ32"/>
  <c r="BN29"/>
  <c r="AQ29"/>
  <c r="BU10" i="6"/>
  <c r="U10"/>
  <c r="BS10"/>
  <c r="BM27" i="16"/>
  <c r="Q27"/>
  <c r="BO27"/>
  <c r="BU27"/>
  <c r="U27"/>
  <c r="BS27"/>
  <c r="BO11"/>
  <c r="Q11"/>
  <c r="BM11"/>
  <c r="Q26" i="6"/>
  <c r="BO26"/>
  <c r="BM26"/>
  <c r="U26"/>
  <c r="BS26"/>
  <c r="BU26"/>
  <c r="O27" i="16"/>
  <c r="BL27"/>
  <c r="BJ27"/>
  <c r="S26" i="6"/>
  <c r="BP26"/>
  <c r="BR26"/>
  <c r="BS11" i="16"/>
  <c r="BU11"/>
  <c r="U11"/>
  <c r="BL26" i="6"/>
  <c r="O26"/>
  <c r="BJ26"/>
  <c r="S27" i="16"/>
  <c r="BP27"/>
  <c r="BR27"/>
  <c r="BM10" i="6"/>
  <c r="BO10"/>
  <c r="Q10"/>
  <c r="BM28"/>
  <c r="BO28"/>
  <c r="Q28"/>
  <c r="BS6"/>
  <c r="BU6"/>
  <c r="U6"/>
  <c r="BJ7" i="16"/>
  <c r="BL7"/>
  <c r="O7"/>
  <c r="BS16"/>
  <c r="U16"/>
  <c r="BU16"/>
  <c r="BO13"/>
  <c r="Q13"/>
  <c r="BM13"/>
  <c r="O12" i="6"/>
  <c r="BJ12"/>
  <c r="BL12"/>
  <c r="BM14" i="16"/>
  <c r="BO14"/>
  <c r="Q14"/>
  <c r="Q15"/>
  <c r="BM15"/>
  <c r="BO15"/>
  <c r="S7"/>
  <c r="BP7"/>
  <c r="BR7"/>
  <c r="BM8"/>
  <c r="BO8"/>
  <c r="Q8"/>
  <c r="U29"/>
  <c r="BU29"/>
  <c r="BS29"/>
  <c r="BP28" i="6"/>
  <c r="S28"/>
  <c r="BR28"/>
  <c r="U29"/>
  <c r="BS29"/>
  <c r="BU29"/>
  <c r="BS15" i="16"/>
  <c r="BU15"/>
  <c r="U15"/>
  <c r="O14" i="6"/>
  <c r="BJ14"/>
  <c r="BL14"/>
  <c r="U8" i="16"/>
  <c r="BU8"/>
  <c r="BS8"/>
  <c r="Q20" i="6"/>
  <c r="BM20"/>
  <c r="BO20"/>
  <c r="O21" i="16"/>
  <c r="BJ21"/>
  <c r="BL21"/>
  <c r="O4" i="6"/>
  <c r="BJ4"/>
  <c r="BL4"/>
  <c r="BJ30" i="16"/>
  <c r="O30"/>
  <c r="BL30"/>
  <c r="Q6" i="6"/>
  <c r="BM6"/>
  <c r="BO6"/>
  <c r="S14"/>
  <c r="BP14"/>
  <c r="BR14"/>
  <c r="Q16" i="16"/>
  <c r="BM16"/>
  <c r="BO16"/>
  <c r="BS5"/>
  <c r="U5"/>
  <c r="BU5"/>
  <c r="BP20" i="6"/>
  <c r="BR20"/>
  <c r="S20"/>
  <c r="U22" i="16"/>
  <c r="BU22"/>
  <c r="BS22"/>
  <c r="BL6" i="6"/>
  <c r="O6"/>
  <c r="BJ6"/>
  <c r="BL29" i="16"/>
  <c r="BJ29"/>
  <c r="O29"/>
  <c r="BM30" i="6"/>
  <c r="BO30"/>
  <c r="Q30"/>
  <c r="S6"/>
  <c r="BR6"/>
  <c r="BP6"/>
  <c r="Q7"/>
  <c r="BO7"/>
  <c r="BM7"/>
  <c r="U13" i="16"/>
  <c r="BS13"/>
  <c r="BU13"/>
  <c r="S13"/>
  <c r="BR13"/>
  <c r="BP13"/>
  <c r="BS14"/>
  <c r="U14"/>
  <c r="BU14"/>
  <c r="BS14" i="6"/>
  <c r="BU14"/>
  <c r="U14"/>
  <c r="O15" i="16"/>
  <c r="BL15"/>
  <c r="BJ15"/>
  <c r="U7" i="6"/>
  <c r="BS7"/>
  <c r="BU7"/>
  <c r="BO4"/>
  <c r="Q4"/>
  <c r="BM4"/>
  <c r="BL20"/>
  <c r="O20"/>
  <c r="BJ20"/>
  <c r="Q21"/>
  <c r="BO21"/>
  <c r="BM21"/>
  <c r="Q23" i="16"/>
  <c r="BM23"/>
  <c r="BO23"/>
  <c r="R3"/>
  <c r="BP31"/>
  <c r="S31"/>
  <c r="S3" s="1"/>
  <c r="BR31"/>
  <c r="BO31" i="6"/>
  <c r="BM31"/>
  <c r="Q31"/>
  <c r="BJ32" i="16"/>
  <c r="BL32"/>
  <c r="O32"/>
  <c r="U21" i="6"/>
  <c r="BS21"/>
  <c r="BU21"/>
  <c r="U23" i="16"/>
  <c r="BU23"/>
  <c r="BS23"/>
  <c r="U22" i="6"/>
  <c r="BS22"/>
  <c r="BU22"/>
  <c r="BS32" i="16"/>
  <c r="BU32"/>
  <c r="U32"/>
  <c r="S32"/>
  <c r="BR32"/>
  <c r="BP32"/>
  <c r="Q29"/>
  <c r="BM29"/>
  <c r="BO29"/>
  <c r="O28" i="6"/>
  <c r="BJ28"/>
  <c r="BL28"/>
  <c r="BO30" i="16"/>
  <c r="Q30"/>
  <c r="BM30"/>
  <c r="P3"/>
  <c r="BO31"/>
  <c r="Q31"/>
  <c r="Q3" s="1"/>
  <c r="BM31"/>
  <c r="Q24"/>
  <c r="BM24"/>
  <c r="BO24"/>
  <c r="BP24"/>
  <c r="S24"/>
  <c r="BR24"/>
  <c r="BU12" i="6"/>
  <c r="BS12"/>
  <c r="U12"/>
  <c r="S12"/>
  <c r="BR12"/>
  <c r="BP12"/>
  <c r="BS13"/>
  <c r="BU13"/>
  <c r="U13"/>
  <c r="BS31" i="16"/>
  <c r="T3"/>
  <c r="U31"/>
  <c r="U3" s="1"/>
  <c r="BU31"/>
  <c r="O30" i="6"/>
  <c r="BJ30"/>
  <c r="BL30"/>
  <c r="U24" i="16"/>
  <c r="BU24"/>
  <c r="BS24"/>
  <c r="BL24"/>
  <c r="O24"/>
  <c r="BJ24"/>
  <c r="Q22"/>
  <c r="BM22"/>
  <c r="BO22"/>
  <c r="Q22" i="6"/>
  <c r="BM22"/>
  <c r="BO22"/>
  <c r="BP30"/>
  <c r="S30"/>
  <c r="BR30"/>
  <c r="BO32" i="16"/>
  <c r="Q32"/>
  <c r="BM32"/>
  <c r="BL31" i="6"/>
  <c r="O31"/>
  <c r="BJ31"/>
  <c r="BS21" i="16"/>
  <c r="U21"/>
  <c r="BU21"/>
  <c r="BU4" i="6"/>
  <c r="BS4"/>
  <c r="U4"/>
  <c r="S5" i="16"/>
  <c r="BP5"/>
  <c r="BR5"/>
  <c r="BP30"/>
  <c r="S30"/>
  <c r="BR30"/>
  <c r="BS15" i="6"/>
  <c r="BU15"/>
  <c r="U15"/>
  <c r="BO29"/>
  <c r="BM29"/>
  <c r="Q29"/>
  <c r="U7" i="16"/>
  <c r="BU7"/>
  <c r="BS7"/>
  <c r="U31" i="6"/>
  <c r="BS31"/>
  <c r="BU31"/>
  <c r="BR31"/>
  <c r="BP31"/>
  <c r="S31"/>
  <c r="BM12"/>
  <c r="BO12"/>
  <c r="Q12"/>
  <c r="O13" i="16"/>
  <c r="BJ13"/>
  <c r="BL13"/>
  <c r="BM13" i="6"/>
  <c r="Q13"/>
  <c r="BO13"/>
  <c r="BO14"/>
  <c r="BM14"/>
  <c r="Q14"/>
  <c r="Q23"/>
  <c r="BM23"/>
  <c r="BO23"/>
  <c r="S23"/>
  <c r="BR23"/>
  <c r="BP23"/>
  <c r="U28"/>
  <c r="BU28"/>
  <c r="BS28"/>
  <c r="S29" i="16"/>
  <c r="BR29"/>
  <c r="BP29"/>
  <c r="BS30"/>
  <c r="U30"/>
  <c r="BU30"/>
  <c r="U30" i="6"/>
  <c r="BS30"/>
  <c r="BU30"/>
  <c r="BJ31" i="16"/>
  <c r="O31"/>
  <c r="O3" s="1"/>
  <c r="N3"/>
  <c r="BL31"/>
  <c r="U23" i="6"/>
  <c r="BS23"/>
  <c r="BU23"/>
  <c r="BJ23"/>
  <c r="BL23"/>
  <c r="O23"/>
  <c r="BM21" i="16"/>
  <c r="BO21"/>
  <c r="Q21"/>
  <c r="Q5"/>
  <c r="BM5"/>
  <c r="BO5"/>
  <c r="BJ5"/>
  <c r="BL5"/>
  <c r="O5"/>
  <c r="O29" i="6"/>
  <c r="BL29"/>
  <c r="BJ29"/>
  <c r="BM7" i="16"/>
  <c r="BO7"/>
  <c r="Q7"/>
  <c r="BP15"/>
  <c r="S15"/>
  <c r="BR15"/>
  <c r="BM15" i="6"/>
  <c r="Q15"/>
  <c r="BO15"/>
  <c r="U20"/>
  <c r="BU20"/>
  <c r="BS20"/>
  <c r="BP21" i="16"/>
  <c r="S21"/>
  <c r="BR21"/>
  <c r="S4" i="6"/>
  <c r="BR4"/>
  <c r="BP4"/>
  <c r="BP29"/>
  <c r="S29"/>
  <c r="BR29"/>
  <c r="J45" i="22"/>
  <c r="K45" s="1"/>
  <c r="J47"/>
  <c r="K47" s="1"/>
  <c r="M47"/>
  <c r="N47" s="1"/>
  <c r="J39"/>
  <c r="K39" s="1"/>
  <c r="M37"/>
  <c r="N37" s="1"/>
  <c r="J37"/>
  <c r="K37" s="1"/>
  <c r="I7" l="1"/>
  <c r="I10" s="1"/>
  <c r="H13"/>
  <c r="L10"/>
  <c r="H7"/>
  <c r="J7"/>
  <c r="J10" s="1"/>
  <c r="K7"/>
  <c r="K10" s="1"/>
  <c r="J13"/>
  <c r="M7" l="1"/>
  <c r="H10"/>
  <c r="L7"/>
</calcChain>
</file>

<file path=xl/comments1.xml><?xml version="1.0" encoding="utf-8"?>
<comments xmlns="http://schemas.openxmlformats.org/spreadsheetml/2006/main">
  <authors>
    <author>Author</author>
  </authors>
  <commentList>
    <comment ref="H4" authorId="0">
      <text>
        <r>
          <rPr>
            <b/>
            <sz val="8"/>
            <color indexed="81"/>
            <rFont val="Tahoma"/>
            <family val="2"/>
          </rPr>
          <t>Author:</t>
        </r>
        <r>
          <rPr>
            <sz val="8"/>
            <color indexed="81"/>
            <rFont val="Tahoma"/>
            <family val="2"/>
          </rPr>
          <t xml:space="preserve">
Via both employment density and population channels</t>
        </r>
      </text>
    </comment>
  </commentList>
</comments>
</file>

<file path=xl/comments2.xml><?xml version="1.0" encoding="utf-8"?>
<comments xmlns="http://schemas.openxmlformats.org/spreadsheetml/2006/main">
  <authors>
    <author>Author</author>
  </authors>
  <commentList>
    <comment ref="F1" authorId="0">
      <text>
        <r>
          <rPr>
            <b/>
            <sz val="8"/>
            <color indexed="81"/>
            <rFont val="Tahoma"/>
            <family val="2"/>
          </rPr>
          <t>Author:</t>
        </r>
        <r>
          <rPr>
            <sz val="8"/>
            <color indexed="81"/>
            <rFont val="Tahoma"/>
            <family val="2"/>
          </rPr>
          <t xml:space="preserve">
In millions</t>
        </r>
      </text>
    </comment>
  </commentList>
</comments>
</file>

<file path=xl/comments3.xml><?xml version="1.0" encoding="utf-8"?>
<comments xmlns="http://schemas.openxmlformats.org/spreadsheetml/2006/main">
  <authors>
    <author>Author</author>
  </authors>
  <commentList>
    <comment ref="O7" authorId="0">
      <text>
        <r>
          <rPr>
            <b/>
            <sz val="9"/>
            <color indexed="81"/>
            <rFont val="Tahoma"/>
            <family val="2"/>
          </rPr>
          <t>Author:</t>
        </r>
        <r>
          <rPr>
            <sz val="9"/>
            <color indexed="81"/>
            <rFont val="Tahoma"/>
            <family val="2"/>
          </rPr>
          <t xml:space="preserve">
Removed asterisks to convert to number for reference from input-output worksheet</t>
        </r>
      </text>
    </comment>
  </commentList>
</comments>
</file>

<file path=xl/sharedStrings.xml><?xml version="1.0" encoding="utf-8"?>
<sst xmlns="http://schemas.openxmlformats.org/spreadsheetml/2006/main" count="6667" uniqueCount="1449">
  <si>
    <t>Productivity models with total track miles, OLS plus IV with robust se.</t>
  </si>
  <si>
    <t>OLS</t>
  </si>
  <si>
    <t>IV</t>
  </si>
  <si>
    <t>0.0554</t>
  </si>
  <si>
    <t/>
  </si>
  <si>
    <t>0.152</t>
  </si>
  <si>
    <t>0.114</t>
  </si>
  <si>
    <t>0.135</t>
  </si>
  <si>
    <t>(3.54)</t>
  </si>
  <si>
    <t>(4.32)</t>
  </si>
  <si>
    <t>(3.10)</t>
  </si>
  <si>
    <t>(1.75)</t>
  </si>
  <si>
    <t>0.0613</t>
  </si>
  <si>
    <t>0.154</t>
  </si>
  <si>
    <t>0.109</t>
  </si>
  <si>
    <t>0.140</t>
  </si>
  <si>
    <t>(3.95)</t>
  </si>
  <si>
    <t>(4.41)</t>
  </si>
  <si>
    <t>(3.17)</t>
  </si>
  <si>
    <t>(1.93)</t>
  </si>
  <si>
    <t>0.149</t>
  </si>
  <si>
    <t>0.347</t>
  </si>
  <si>
    <t>0.349</t>
  </si>
  <si>
    <t>0.123</t>
  </si>
  <si>
    <t>0.128</t>
  </si>
  <si>
    <t>0.355</t>
  </si>
  <si>
    <t>0.356</t>
  </si>
  <si>
    <t>(6.24)</t>
  </si>
  <si>
    <t>(6.23)</t>
  </si>
  <si>
    <t>(6.42)</t>
  </si>
  <si>
    <t>(6.47)</t>
  </si>
  <si>
    <t>(3.69)</t>
  </si>
  <si>
    <t>(3.92)</t>
  </si>
  <si>
    <t>(5.32)</t>
  </si>
  <si>
    <t>(5.43)</t>
  </si>
  <si>
    <t>0.0420</t>
  </si>
  <si>
    <t>0.0451</t>
  </si>
  <si>
    <t>0.0610</t>
  </si>
  <si>
    <t>0.0652</t>
  </si>
  <si>
    <t>0.0344</t>
  </si>
  <si>
    <t>0.0392</t>
  </si>
  <si>
    <t>0.0633</t>
  </si>
  <si>
    <t>0.0670</t>
  </si>
  <si>
    <t>(4.79)</t>
  </si>
  <si>
    <t>(5.22)</t>
  </si>
  <si>
    <t>(3.08)</t>
  </si>
  <si>
    <t>(3.35)</t>
  </si>
  <si>
    <t>(4.04)</t>
  </si>
  <si>
    <t>(2.94)</t>
  </si>
  <si>
    <t>(3.24)</t>
  </si>
  <si>
    <t>1.151</t>
  </si>
  <si>
    <t>23.69</t>
  </si>
  <si>
    <t>0.829</t>
  </si>
  <si>
    <t>23.78</t>
  </si>
  <si>
    <t>(0.15)</t>
  </si>
  <si>
    <t>(1.37)</t>
  </si>
  <si>
    <t>(0.14)</t>
  </si>
  <si>
    <t>(1.46)</t>
  </si>
  <si>
    <t>1.484</t>
  </si>
  <si>
    <t>21.81</t>
  </si>
  <si>
    <t>1.528</t>
  </si>
  <si>
    <t>21.80</t>
  </si>
  <si>
    <t>(0.20)</t>
  </si>
  <si>
    <t>(1.29)</t>
  </si>
  <si>
    <t>(0.27)</t>
  </si>
  <si>
    <t>(1.41)</t>
  </si>
  <si>
    <t>0.0299</t>
  </si>
  <si>
    <t>0.0245</t>
  </si>
  <si>
    <t>0.0259</t>
  </si>
  <si>
    <t>0.0257</t>
  </si>
  <si>
    <t>(4.23)</t>
  </si>
  <si>
    <t>(1.54)</t>
  </si>
  <si>
    <t>(3.01)</t>
  </si>
  <si>
    <t>(1.94)</t>
  </si>
  <si>
    <t>0.0258</t>
  </si>
  <si>
    <t>0.0190</t>
  </si>
  <si>
    <t>0.0224</t>
  </si>
  <si>
    <t>0.0200</t>
  </si>
  <si>
    <t>(3.61)</t>
  </si>
  <si>
    <t>(1.18)</t>
  </si>
  <si>
    <t>(2.53)</t>
  </si>
  <si>
    <t>(1.53)</t>
  </si>
  <si>
    <t>9.754</t>
  </si>
  <si>
    <t>9.674</t>
  </si>
  <si>
    <t>-4.821</t>
  </si>
  <si>
    <t>-4.877</t>
  </si>
  <si>
    <t>9.383</t>
  </si>
  <si>
    <t>9.370</t>
  </si>
  <si>
    <t>-4.711</t>
  </si>
  <si>
    <t>-4.785</t>
  </si>
  <si>
    <t>(60.77)</t>
  </si>
  <si>
    <t>(60.35)</t>
  </si>
  <si>
    <t>(-13.32)</t>
  </si>
  <si>
    <t>(-13.51)</t>
  </si>
  <si>
    <t>(34.56)</t>
  </si>
  <si>
    <t>(35.71)</t>
  </si>
  <si>
    <t>(-8.22)</t>
  </si>
  <si>
    <t>(-8.66)</t>
  </si>
  <si>
    <t>351</t>
  </si>
  <si>
    <t>0.500</t>
  </si>
  <si>
    <t>0.497</t>
  </si>
  <si>
    <t>0.375</t>
  </si>
  <si>
    <t>0.373</t>
  </si>
  <si>
    <t>0.480</t>
  </si>
  <si>
    <t>0.484</t>
  </si>
  <si>
    <t>0.374</t>
  </si>
  <si>
    <t>20.32</t>
  </si>
  <si>
    <t>24.01</t>
  </si>
  <si>
    <t>0.279</t>
  </si>
  <si>
    <t>0.0926</t>
  </si>
  <si>
    <t>4.460</t>
  </si>
  <si>
    <t>4.096</t>
  </si>
  <si>
    <t>0.870</t>
  </si>
  <si>
    <t>0.955</t>
  </si>
  <si>
    <t>0.108</t>
  </si>
  <si>
    <t>0.129</t>
  </si>
  <si>
    <t>(5)</t>
  </si>
  <si>
    <t>(6)</t>
  </si>
  <si>
    <t>(7)</t>
  </si>
  <si>
    <t>(8)</t>
  </si>
  <si>
    <t>(13)</t>
  </si>
  <si>
    <t>(14)</t>
  </si>
  <si>
    <t>(15)</t>
  </si>
  <si>
    <t>(16)</t>
  </si>
  <si>
    <t>eden_pcity</t>
  </si>
  <si>
    <t>Omit NYC</t>
  </si>
  <si>
    <t>(3.21)</t>
  </si>
  <si>
    <t>(-1.28)</t>
  </si>
  <si>
    <t>(-1.36)</t>
  </si>
  <si>
    <t>(-1.07)</t>
  </si>
  <si>
    <t>population</t>
  </si>
  <si>
    <t>_cons</t>
  </si>
  <si>
    <t>N</t>
  </si>
  <si>
    <t>354</t>
  </si>
  <si>
    <t>353</t>
  </si>
  <si>
    <t>350</t>
  </si>
  <si>
    <t>r2_a</t>
  </si>
  <si>
    <t>widstat</t>
  </si>
  <si>
    <t>sargan</t>
  </si>
  <si>
    <t>sarganp</t>
  </si>
  <si>
    <t>t statistics in parentheses</t>
  </si>
  <si>
    <t>Total track miles, OLS and IV All MSAs</t>
  </si>
  <si>
    <t>12117.2</t>
  </si>
  <si>
    <t>45319.3</t>
  </si>
  <si>
    <t>(2.30)</t>
  </si>
  <si>
    <t>(3.19)</t>
  </si>
  <si>
    <t>11715.9</t>
  </si>
  <si>
    <t>44035.4</t>
  </si>
  <si>
    <t>(2.20)</t>
  </si>
  <si>
    <t>(3.20)</t>
  </si>
  <si>
    <t>1877.4</t>
  </si>
  <si>
    <t>1637.8</t>
  </si>
  <si>
    <t>(4.97)</t>
  </si>
  <si>
    <t>(4.00)</t>
  </si>
  <si>
    <t>2005.2</t>
  </si>
  <si>
    <t>1679.2</t>
  </si>
  <si>
    <t>(4.85)</t>
  </si>
  <si>
    <t>(3.72)</t>
  </si>
  <si>
    <t>0.000168</t>
  </si>
  <si>
    <t>0.000175</t>
  </si>
  <si>
    <t>-0.0000818</t>
  </si>
  <si>
    <t>-0.0000645</t>
  </si>
  <si>
    <t>(3.45)</t>
  </si>
  <si>
    <t>(3.59)</t>
  </si>
  <si>
    <t>(-0.74)</t>
  </si>
  <si>
    <t>(-0.61)</t>
  </si>
  <si>
    <t>1130.5</t>
  </si>
  <si>
    <t>1137.0</t>
  </si>
  <si>
    <t>1276.7</t>
  </si>
  <si>
    <t>1292.0</t>
  </si>
  <si>
    <t>(12.42)</t>
  </si>
  <si>
    <t>(12.41)</t>
  </si>
  <si>
    <t>(11.38)</t>
  </si>
  <si>
    <t>(11.37)</t>
  </si>
  <si>
    <t>0.346</t>
  </si>
  <si>
    <t>0.273</t>
  </si>
  <si>
    <t>0.277</t>
  </si>
  <si>
    <t>21.55</t>
  </si>
  <si>
    <t>1.435</t>
  </si>
  <si>
    <t>1.442</t>
  </si>
  <si>
    <t>0.488</t>
  </si>
  <si>
    <t>0.486</t>
  </si>
  <si>
    <t>Track miles per square mile CBSA all MSA</t>
  </si>
  <si>
    <t>L2.aptasqmiles</t>
  </si>
  <si>
    <t>L4.aptasqmiles</t>
  </si>
  <si>
    <t>L2.freeartsqmiles</t>
  </si>
  <si>
    <t>L4.freeartsqmiles</t>
  </si>
  <si>
    <t>L2.apta_cleaned</t>
  </si>
  <si>
    <t>2.218</t>
  </si>
  <si>
    <t>5.936</t>
  </si>
  <si>
    <t>1.419</t>
  </si>
  <si>
    <t>7.840</t>
  </si>
  <si>
    <t>(2.03)</t>
  </si>
  <si>
    <t>(3.75)</t>
  </si>
  <si>
    <t>(1.10)</t>
  </si>
  <si>
    <t>L4.apta_cleaned</t>
  </si>
  <si>
    <t>2.075</t>
  </si>
  <si>
    <t>5.960</t>
  </si>
  <si>
    <t>1.248</t>
  </si>
  <si>
    <t>8.364</t>
  </si>
  <si>
    <t>(1.96)</t>
  </si>
  <si>
    <t>(3.76)</t>
  </si>
  <si>
    <t>(0.99)</t>
  </si>
  <si>
    <t>L2.freeart</t>
  </si>
  <si>
    <t>0.284</t>
  </si>
  <si>
    <t>0.583</t>
  </si>
  <si>
    <t>0.314</t>
  </si>
  <si>
    <t>0.620</t>
  </si>
  <si>
    <t>(1.48)</t>
  </si>
  <si>
    <t>(2.71)</t>
  </si>
  <si>
    <t>(1.62)</t>
  </si>
  <si>
    <t>(2.78)</t>
  </si>
  <si>
    <t>L4.freeart</t>
  </si>
  <si>
    <t>0.267</t>
  </si>
  <si>
    <t>0.568</t>
  </si>
  <si>
    <t>0.315</t>
  </si>
  <si>
    <t>0.586</t>
  </si>
  <si>
    <t>(1.32)</t>
  </si>
  <si>
    <t>(2.54)</t>
  </si>
  <si>
    <t>0.000130</t>
  </si>
  <si>
    <t>0.000151</t>
  </si>
  <si>
    <t>-0.000139</t>
  </si>
  <si>
    <t>-0.000116</t>
  </si>
  <si>
    <t>0.000125</t>
  </si>
  <si>
    <t>0.000141</t>
  </si>
  <si>
    <t>-0.000199</t>
  </si>
  <si>
    <t>-0.000182</t>
  </si>
  <si>
    <t>(1.30)</t>
  </si>
  <si>
    <t>(1.60)</t>
  </si>
  <si>
    <t>(-0.93)</t>
  </si>
  <si>
    <t>(1.26)</t>
  </si>
  <si>
    <t>(1.50)</t>
  </si>
  <si>
    <t>1447.4</t>
  </si>
  <si>
    <t>1453.8</t>
  </si>
  <si>
    <t>1443.2</t>
  </si>
  <si>
    <t>1457.7</t>
  </si>
  <si>
    <t>1441.0</t>
  </si>
  <si>
    <t>1444.0</t>
  </si>
  <si>
    <t>1450.1</t>
  </si>
  <si>
    <t>1473.4</t>
  </si>
  <si>
    <t>(22.93)</t>
  </si>
  <si>
    <t>(23.04)</t>
  </si>
  <si>
    <t>(22.47)</t>
  </si>
  <si>
    <t>(22.65)</t>
  </si>
  <si>
    <t>(22.76)</t>
  </si>
  <si>
    <t>(22.72)</t>
  </si>
  <si>
    <t>(22.08)</t>
  </si>
  <si>
    <t>(21.95)</t>
  </si>
  <si>
    <t>0.296</t>
  </si>
  <si>
    <t>0.295</t>
  </si>
  <si>
    <t>0.272</t>
  </si>
  <si>
    <t>0.268</t>
  </si>
  <si>
    <t>0.168</t>
  </si>
  <si>
    <t>0.167</t>
  </si>
  <si>
    <t>0.0903</t>
  </si>
  <si>
    <t>110.5</t>
  </si>
  <si>
    <t>98.80</t>
  </si>
  <si>
    <t>48.19</t>
  </si>
  <si>
    <t>38.68</t>
  </si>
  <si>
    <t>6.650</t>
  </si>
  <si>
    <t>6.533</t>
  </si>
  <si>
    <t>6.326</t>
  </si>
  <si>
    <t>6.036</t>
  </si>
  <si>
    <t>0.0360</t>
  </si>
  <si>
    <t>0.0381</t>
  </si>
  <si>
    <t>0.0423</t>
  </si>
  <si>
    <t>0.0489</t>
  </si>
  <si>
    <t>Productivity elasticity</t>
  </si>
  <si>
    <t>Pcity density 2008</t>
  </si>
  <si>
    <t>Track miles 2008</t>
  </si>
  <si>
    <t>Track miles per sq mile 2008</t>
  </si>
  <si>
    <t>Rail revenue miles 2008</t>
  </si>
  <si>
    <t>Total revenue miles 2008</t>
  </si>
  <si>
    <t>Total revenue miles</t>
  </si>
  <si>
    <t>name</t>
  </si>
  <si>
    <t>pcity density 2008</t>
  </si>
  <si>
    <t>total track miles 2008</t>
  </si>
  <si>
    <t>MSA specific track miles per sqm</t>
  </si>
  <si>
    <t>Albuquerque, NM</t>
  </si>
  <si>
    <t>Abilene, TX</t>
  </si>
  <si>
    <t>Atlanta-Sandy Springs-Marietta, GA</t>
  </si>
  <si>
    <t>Albany, GA</t>
  </si>
  <si>
    <t>Baltimore-Towson, MD</t>
  </si>
  <si>
    <t>Albany-Schenectady-Troy, NY</t>
  </si>
  <si>
    <t>Buffalo-Niagara Falls, NY</t>
  </si>
  <si>
    <t>Charlotte-Gastonia-Concord, NC-SC</t>
  </si>
  <si>
    <t>Alexandria, LA</t>
  </si>
  <si>
    <t>Chicago-Naperville-Joliet, IL-IN-WI</t>
  </si>
  <si>
    <t>Allentown-Bethlehem-Easton, PA-NJ</t>
  </si>
  <si>
    <t>Cleveland-Elyria-Mentor, OH</t>
  </si>
  <si>
    <t>Altoona, PA</t>
  </si>
  <si>
    <t>Dallas-Fort Worth-Arlington, TX</t>
  </si>
  <si>
    <t>Amarillo, TX</t>
  </si>
  <si>
    <t>Denver-Aurora, CO</t>
  </si>
  <si>
    <t>Ames, IA</t>
  </si>
  <si>
    <t>Houston-Baytown-Sugar Land, TX</t>
  </si>
  <si>
    <t>Anchorage, AK</t>
  </si>
  <si>
    <t>Little Rock-North Little Rock, AR</t>
  </si>
  <si>
    <t>Anderson, IN</t>
  </si>
  <si>
    <t>Los Angeles-Long Beach-Santa Ana, CA</t>
  </si>
  <si>
    <t>Ann Arbor, MI</t>
  </si>
  <si>
    <t>Memphis, TN-MS-AR</t>
  </si>
  <si>
    <t>Appleton, WI</t>
  </si>
  <si>
    <t>Miami-Fort Lauderdale-Miami Beach, FL</t>
  </si>
  <si>
    <t>Athens-Clarke County, GA</t>
  </si>
  <si>
    <t>Minneapolis-St. Paul-Bloomington, MN-WI</t>
  </si>
  <si>
    <t>Nashville-Davidson--Murfreesboro, TN</t>
  </si>
  <si>
    <t>Auburn-Opelika, AL</t>
  </si>
  <si>
    <t>New Orleans-Metairie-Kenner, LA</t>
  </si>
  <si>
    <t>Augusta-Richmond County, GA-SC</t>
  </si>
  <si>
    <t>New York-Northern New Jersey-Long Island, NY-NJ-PA</t>
  </si>
  <si>
    <t>Bakersfield, CA</t>
  </si>
  <si>
    <t>Philadelphia-Camden-Wilmington, PA-NJ-DE-MD</t>
  </si>
  <si>
    <t>Pittsburgh, PA</t>
  </si>
  <si>
    <t>Bangor, ME</t>
  </si>
  <si>
    <t>Portland-Vancouver-Beaverton, OR-WA</t>
  </si>
  <si>
    <t>Baton Rouge, LA</t>
  </si>
  <si>
    <t>Providence-New Bedford-Fall River, RI-MA</t>
  </si>
  <si>
    <t>Battle Creek, MI</t>
  </si>
  <si>
    <t>Sacramento--Arden-Arcade--Roseville, CA</t>
  </si>
  <si>
    <t>Bay City, MI</t>
  </si>
  <si>
    <t>St. Louis, MO-IL</t>
  </si>
  <si>
    <t>Beaumont-Port Arthur, TX</t>
  </si>
  <si>
    <t>Salt Lake City, UT</t>
  </si>
  <si>
    <t>Bellingham, WA</t>
  </si>
  <si>
    <t>San Diego-Carlsbad-San Marcos, CA</t>
  </si>
  <si>
    <t>Bend, OR</t>
  </si>
  <si>
    <t>San Francisco-Oakland-Fremont, CA</t>
  </si>
  <si>
    <t>Billings, MT</t>
  </si>
  <si>
    <t>San Jose-Sunnyvale-Santa Clara, CA</t>
  </si>
  <si>
    <t>Binghamton, NY</t>
  </si>
  <si>
    <t>Seattle-Tacoma-Bellevue, WA</t>
  </si>
  <si>
    <t>Birmingham-Hoover, AL</t>
  </si>
  <si>
    <t>Tampa-St. Petersburg-Clearwater, FL</t>
  </si>
  <si>
    <t>Bismarck, ND</t>
  </si>
  <si>
    <t>Trenton-Ewing, NJ</t>
  </si>
  <si>
    <t>Blacksburg-Christiansburg-Radford, VA</t>
  </si>
  <si>
    <t>Washington-Arlington-Alexandria, DC-VA-MD-WV</t>
  </si>
  <si>
    <t>Bloomington, IN</t>
  </si>
  <si>
    <t>Bloomington-Normal, IL</t>
  </si>
  <si>
    <t>Boise City-Nampa, ID</t>
  </si>
  <si>
    <t>Bradenton-Sarasota-Venice, FL</t>
  </si>
  <si>
    <t>Bremerton-Silverdale, WA</t>
  </si>
  <si>
    <t>Brownsville-Harlingen, TX</t>
  </si>
  <si>
    <t>Brunswick, GA</t>
  </si>
  <si>
    <t>Canton-Massillon, OH</t>
  </si>
  <si>
    <t>Cape Coral-Fort Myers, FL</t>
  </si>
  <si>
    <t>Casper, WY</t>
  </si>
  <si>
    <t>Cedar Rapids, IA</t>
  </si>
  <si>
    <t>Champaign-Urbana, IL</t>
  </si>
  <si>
    <t>Charleston, WV</t>
  </si>
  <si>
    <t>Charleston-North Charleston, SC</t>
  </si>
  <si>
    <t>Chattanooga, TN-GA</t>
  </si>
  <si>
    <t>Cheyenne, WY</t>
  </si>
  <si>
    <t>Chico, CA</t>
  </si>
  <si>
    <t>Cincinnati-Middletown, OH-KY-IN</t>
  </si>
  <si>
    <t>Clarksville, TN-KY</t>
  </si>
  <si>
    <t>College Station-Bryan, TX</t>
  </si>
  <si>
    <t>Columbia, MO</t>
  </si>
  <si>
    <t>Columbia, SC</t>
  </si>
  <si>
    <t>Columbus, GA-AL</t>
  </si>
  <si>
    <t>Columbus, OH</t>
  </si>
  <si>
    <t>Corpus Christi, TX</t>
  </si>
  <si>
    <t>Cumberland, MD-WV</t>
  </si>
  <si>
    <t>Davenport-Moline-Rock Island, IA-IL</t>
  </si>
  <si>
    <t>Dayton, OH</t>
  </si>
  <si>
    <t>Decatur, IL</t>
  </si>
  <si>
    <t>Deltona-Daytona Beach-Ormond Beach, FL</t>
  </si>
  <si>
    <t>Des Moines, IA</t>
  </si>
  <si>
    <t>Detroit-Warren-Livonia, MI</t>
  </si>
  <si>
    <t>Dubuque, IA</t>
  </si>
  <si>
    <t>Duluth, MN-WI</t>
  </si>
  <si>
    <t>Eau Claire, WI</t>
  </si>
  <si>
    <t>El Centro, CA</t>
  </si>
  <si>
    <t>El Paso, TX</t>
  </si>
  <si>
    <t>Elkhart-Goshen, IN</t>
  </si>
  <si>
    <t>Elmira, NY</t>
  </si>
  <si>
    <t>Erie, PA</t>
  </si>
  <si>
    <t>Eugene-Springfield, OR</t>
  </si>
  <si>
    <t>Evansville, IN-KY</t>
  </si>
  <si>
    <t>Fairbanks, AK</t>
  </si>
  <si>
    <t>Fayetteville-Springdale-Rogers, AR-MO</t>
  </si>
  <si>
    <t>Flagstaff, AZ</t>
  </si>
  <si>
    <t>Flint, MI</t>
  </si>
  <si>
    <t>Florence, SC</t>
  </si>
  <si>
    <t>Fond du Lac, WI</t>
  </si>
  <si>
    <t>Fort Collins-Loveland, CO</t>
  </si>
  <si>
    <t>Fort Smith, AR-OK</t>
  </si>
  <si>
    <t>Fort Walton Beach-Crestview-Destin, FL</t>
  </si>
  <si>
    <t>Fort Wayne, IN</t>
  </si>
  <si>
    <t>Fresno, CA</t>
  </si>
  <si>
    <t>Gainesville, FL</t>
  </si>
  <si>
    <t>Glens Falls, NY</t>
  </si>
  <si>
    <t>Grand Forks, ND-MN</t>
  </si>
  <si>
    <t>Grand Junction, CO</t>
  </si>
  <si>
    <t>Grand Rapids-Wyoming, MI</t>
  </si>
  <si>
    <t>Great Falls, MT</t>
  </si>
  <si>
    <t>Greeley, CO</t>
  </si>
  <si>
    <t>Green Bay, WI</t>
  </si>
  <si>
    <t>Greenville, SC</t>
  </si>
  <si>
    <t>Hagerstown-Martinsburg, MD-WV</t>
  </si>
  <si>
    <t>Hanford-Corcoran, CA</t>
  </si>
  <si>
    <t>Harrisburg-Carlisle, PA</t>
  </si>
  <si>
    <t>Holland-Grand Haven, MI</t>
  </si>
  <si>
    <t>Honolulu, HI</t>
  </si>
  <si>
    <t>Huntington-Ashland, WV-KY-OH</t>
  </si>
  <si>
    <t>Huntsville, AL</t>
  </si>
  <si>
    <t>Indianapolis, IN</t>
  </si>
  <si>
    <t>Iowa City, IA</t>
  </si>
  <si>
    <t>Ithaca, NY</t>
  </si>
  <si>
    <t>Jackson, MI</t>
  </si>
  <si>
    <t>Jackson, MS</t>
  </si>
  <si>
    <t>Jackson, TN</t>
  </si>
  <si>
    <t>Jacksonville, FL</t>
  </si>
  <si>
    <t>Janesville, WI</t>
  </si>
  <si>
    <t>Jefferson City, MO</t>
  </si>
  <si>
    <t>Johnson City, TN</t>
  </si>
  <si>
    <t>Johnstown, PA</t>
  </si>
  <si>
    <t>Kalamazoo-Portage, MI</t>
  </si>
  <si>
    <t>Kankakee-Bradley, IL</t>
  </si>
  <si>
    <t>Kansas City, MO-KS</t>
  </si>
  <si>
    <t>Kennewick-Richland-Pasco, WA</t>
  </si>
  <si>
    <t>Killeen-Temple-Fort Hood, TX</t>
  </si>
  <si>
    <t>Knoxville, TN</t>
  </si>
  <si>
    <t>La Crosse, WI-MN</t>
  </si>
  <si>
    <t>Lafayette, IN</t>
  </si>
  <si>
    <t>Lafayette, LA</t>
  </si>
  <si>
    <t>Lakeland, FL</t>
  </si>
  <si>
    <t>Lancaster, PA</t>
  </si>
  <si>
    <t>Lansing-East Lansing, MI</t>
  </si>
  <si>
    <t>Laredo, TX</t>
  </si>
  <si>
    <t>Las Cruces, NM</t>
  </si>
  <si>
    <t>Las Vegas-Paradise, NV</t>
  </si>
  <si>
    <t>Lawrence, KS</t>
  </si>
  <si>
    <t>Lawton, OK</t>
  </si>
  <si>
    <t>Lebanon, PA</t>
  </si>
  <si>
    <t>Lewiston-Auburn, ME</t>
  </si>
  <si>
    <t>Lexington-Fayette, KY</t>
  </si>
  <si>
    <t>Lincoln, NE</t>
  </si>
  <si>
    <t>Logan, UT-ID</t>
  </si>
  <si>
    <t>Longview, WA</t>
  </si>
  <si>
    <t>Louisville, KY-IN</t>
  </si>
  <si>
    <t>Lubbock, TX</t>
  </si>
  <si>
    <t>Lynchburg, VA</t>
  </si>
  <si>
    <t>Macon, GA</t>
  </si>
  <si>
    <t>Madison, WI</t>
  </si>
  <si>
    <t>Mansfield, OH</t>
  </si>
  <si>
    <t>McAllen-Edinburg-Pharr, TX</t>
  </si>
  <si>
    <t>Medford, OR</t>
  </si>
  <si>
    <t>Merced, CA</t>
  </si>
  <si>
    <t>Milwaukee-Waukesha-West Allis, WI</t>
  </si>
  <si>
    <t>Missoula, MT</t>
  </si>
  <si>
    <t>Mobile, AL</t>
  </si>
  <si>
    <t>Modesto, CA</t>
  </si>
  <si>
    <t>Monroe, LA</t>
  </si>
  <si>
    <t>Morgantown, WV</t>
  </si>
  <si>
    <t>Muncie, IN</t>
  </si>
  <si>
    <t>Muskegon-Norton Shores, MI</t>
  </si>
  <si>
    <t>Myrtle Beach-Conway-North Myrtle Beach, SC</t>
  </si>
  <si>
    <t>Naples-Marco Island, FL</t>
  </si>
  <si>
    <t>Niles-Benton Harbor, MI</t>
  </si>
  <si>
    <t>Odessa, TX</t>
  </si>
  <si>
    <t>Oklahoma City, OK</t>
  </si>
  <si>
    <t>Olympia, WA</t>
  </si>
  <si>
    <t>Omaha-Council Bluffs, NE-IA</t>
  </si>
  <si>
    <t>Orlando, FL</t>
  </si>
  <si>
    <t>Oshkosh-Neenah, WI</t>
  </si>
  <si>
    <t>Oxnard-Thousand Oaks-Ventura, CA</t>
  </si>
  <si>
    <t>Palm Bay-Melbourne-Titusville, FL</t>
  </si>
  <si>
    <t>Panama City-Lynn Haven, FL</t>
  </si>
  <si>
    <t>Pensacola-Ferry Pass-Brent, FL</t>
  </si>
  <si>
    <t>Peoria, IL</t>
  </si>
  <si>
    <t>Phoenix-Mesa-Scottsdale, AZ</t>
  </si>
  <si>
    <t>Pocatello, ID</t>
  </si>
  <si>
    <t>Port St. Lucie-Fort Pierce, FL</t>
  </si>
  <si>
    <t>Poughkeepsie-Newburgh-Middletown, NY</t>
  </si>
  <si>
    <t>Pueblo, CO</t>
  </si>
  <si>
    <t>Racine, WI</t>
  </si>
  <si>
    <t>Rapid City, SD</t>
  </si>
  <si>
    <t>Reading, PA</t>
  </si>
  <si>
    <t>Redding, CA</t>
  </si>
  <si>
    <t>Reno-Sparks, NV</t>
  </si>
  <si>
    <t>Richmond, VA</t>
  </si>
  <si>
    <t>Riverside-San Bernardino-Ontario, CA</t>
  </si>
  <si>
    <t>Roanoke, VA</t>
  </si>
  <si>
    <t>Rochester, MN</t>
  </si>
  <si>
    <t>Rochester, NY</t>
  </si>
  <si>
    <t>Rockford, IL</t>
  </si>
  <si>
    <t>Rome, GA</t>
  </si>
  <si>
    <t>Saginaw-Saginaw Township North, MI</t>
  </si>
  <si>
    <t>Salem, OR</t>
  </si>
  <si>
    <t>San Angelo, TX</t>
  </si>
  <si>
    <t>San Antonio, TX</t>
  </si>
  <si>
    <t>San Luis Obispo-Paso Robles, CA</t>
  </si>
  <si>
    <t>Santa Barbara-Santa Maria-Goleta, CA</t>
  </si>
  <si>
    <t>Santa Cruz-Watsonville, CA</t>
  </si>
  <si>
    <t>Santa Fe, NM</t>
  </si>
  <si>
    <t>Santa Rosa-Petaluma, CA</t>
  </si>
  <si>
    <t>Savannah, GA</t>
  </si>
  <si>
    <t>Scranton--Wilkes-Barre, PA</t>
  </si>
  <si>
    <t>Sebastian-Vero Beach, FL</t>
  </si>
  <si>
    <t>Sheboygan, WI</t>
  </si>
  <si>
    <t>Sherman-Denison, TX</t>
  </si>
  <si>
    <t>Shreveport-Bossier City, LA</t>
  </si>
  <si>
    <t>Sioux City, IA-NE-SD</t>
  </si>
  <si>
    <t>Sioux Falls, SD</t>
  </si>
  <si>
    <t>South Bend-Mishawaka, IN-MI</t>
  </si>
  <si>
    <t>Spartanburg, SC</t>
  </si>
  <si>
    <t>Spokane, WA</t>
  </si>
  <si>
    <t>Springfield, IL</t>
  </si>
  <si>
    <t>Springfield, MO</t>
  </si>
  <si>
    <t>Springfield, OH</t>
  </si>
  <si>
    <t>St. Cloud, MN</t>
  </si>
  <si>
    <t>St. Joseph, MO-KS</t>
  </si>
  <si>
    <t>State College, PA</t>
  </si>
  <si>
    <t>Stockton, CA</t>
  </si>
  <si>
    <t>Sumter, SC</t>
  </si>
  <si>
    <t>Syracuse, NY</t>
  </si>
  <si>
    <t>Tallahassee, FL</t>
  </si>
  <si>
    <t>Terre Haute, IN</t>
  </si>
  <si>
    <t>Toledo, OH</t>
  </si>
  <si>
    <t>Topeka, KS</t>
  </si>
  <si>
    <t>Tucson, AZ</t>
  </si>
  <si>
    <t>Tulsa, OK</t>
  </si>
  <si>
    <t>Tuscaloosa, AL</t>
  </si>
  <si>
    <t>Utica-Rome, NY</t>
  </si>
  <si>
    <t>Victoria, TX</t>
  </si>
  <si>
    <t>Virginia Beach-Norfolk-Newport News, VA-NC</t>
  </si>
  <si>
    <t>Visalia-Porterville, CA</t>
  </si>
  <si>
    <t>Waco, TX</t>
  </si>
  <si>
    <t>Waterloo-Cedar Falls, IA</t>
  </si>
  <si>
    <t>Wausau, WI</t>
  </si>
  <si>
    <t>Wenatchee, WA</t>
  </si>
  <si>
    <t>Wheeling, WV-OH</t>
  </si>
  <si>
    <t>Wichita, KS</t>
  </si>
  <si>
    <t>Williamsport, PA</t>
  </si>
  <si>
    <t>Yakima, WA</t>
  </si>
  <si>
    <t>York-Hanover, PA</t>
  </si>
  <si>
    <t>Youngstown-Warren-Boardman, OH-PA</t>
  </si>
  <si>
    <t>Yuba City, CA</t>
  </si>
  <si>
    <t>Yuma, AZ</t>
  </si>
  <si>
    <t>2 year lags</t>
  </si>
  <si>
    <t>Sample means for all MSAs 2008</t>
  </si>
  <si>
    <t>4 year lags</t>
  </si>
  <si>
    <t>edenpcity</t>
  </si>
  <si>
    <t>OLS - omit NYC</t>
  </si>
  <si>
    <t>IV - omit NYC</t>
  </si>
  <si>
    <t>Total track mile coefficient</t>
  </si>
  <si>
    <t>Mean track mile elasticity</t>
  </si>
  <si>
    <t>Mean agglomeration elasticity wages</t>
  </si>
  <si>
    <t>Mean agglomeration elasticity gdp per capita</t>
  </si>
  <si>
    <t>Note: these are defined by matching OLS with OLS model, IV with IV model</t>
  </si>
  <si>
    <t>Note: there is a constant ratio between the GDP pc and wage elasticities</t>
  </si>
  <si>
    <t>MSA specific elasticity of density to transit per sqm</t>
  </si>
  <si>
    <t>MSA specific elasticity wages to transit per sqm</t>
  </si>
  <si>
    <t>MSA specific elasticity GDP per capita to transit per sqm</t>
  </si>
  <si>
    <t>Track mile per CBSA sq mile coefficient</t>
  </si>
  <si>
    <t>Mean track mile per sqm elasticity</t>
  </si>
  <si>
    <t>MSA specific elasticity of density to transit track miles</t>
  </si>
  <si>
    <t>MSA specific elasticity wages to transit track miles</t>
  </si>
  <si>
    <t>MSA specific elasticity GDP per capita to transit track miles</t>
  </si>
  <si>
    <t>Note: MSA specific elasticities were not calculated with 'omit NYC' elasticities</t>
  </si>
  <si>
    <t>Elasticity calculations using track miles  (total and per sq mile CBSA)</t>
  </si>
  <si>
    <t>Employed 2008</t>
  </si>
  <si>
    <t>average payroll</t>
  </si>
  <si>
    <t>total payroll for region</t>
  </si>
  <si>
    <t>track miles</t>
  </si>
  <si>
    <t>change</t>
  </si>
  <si>
    <t>change in total payroll per 1% track mile increase</t>
  </si>
  <si>
    <t>as percent of total payroll</t>
  </si>
  <si>
    <r>
      <t xml:space="preserve">change in total wages per 1% track mile </t>
    </r>
    <r>
      <rPr>
        <b/>
        <sz val="11"/>
        <color rgb="FF00B050"/>
        <rFont val="Calibri"/>
        <family val="2"/>
        <scheme val="minor"/>
      </rPr>
      <t xml:space="preserve">per sq mi </t>
    </r>
    <r>
      <rPr>
        <b/>
        <sz val="11"/>
        <color theme="1"/>
        <rFont val="Calibri"/>
        <family val="2"/>
        <scheme val="minor"/>
      </rPr>
      <t>increase</t>
    </r>
  </si>
  <si>
    <t>MSA name</t>
  </si>
  <si>
    <t>Percent change</t>
  </si>
  <si>
    <t>wages-OLS</t>
  </si>
  <si>
    <t>wages-IV</t>
  </si>
  <si>
    <t>GDP-OLS</t>
  </si>
  <si>
    <t>GDP-IV</t>
  </si>
  <si>
    <t>elasticities from (tab: Track mile elasticities)</t>
  </si>
  <si>
    <t xml:space="preserve">wages-OLS </t>
  </si>
  <si>
    <t>change in GDP per 1% track mile increase</t>
  </si>
  <si>
    <t>as percent of total GDP</t>
  </si>
  <si>
    <t>GDPpc - OLS</t>
  </si>
  <si>
    <t>GDPpc - IV</t>
  </si>
  <si>
    <t>total GDP for region (1,000,000)</t>
  </si>
  <si>
    <t>GDP (1,000,000) per capita</t>
  </si>
  <si>
    <t>change in total GDP per 1% track mile increase</t>
  </si>
  <si>
    <t>track per sqm elasticities from (tab: Track mile elasticities)</t>
  </si>
  <si>
    <t>change in total GDP per 1% track mile per sq mile increase</t>
  </si>
  <si>
    <t>Population track mile models, OLS and IV, all MSAs</t>
  </si>
  <si>
    <t>(9)</t>
  </si>
  <si>
    <t>(10)</t>
  </si>
  <si>
    <t>(11)</t>
  </si>
  <si>
    <t>(12)</t>
  </si>
  <si>
    <t>(17)</t>
  </si>
  <si>
    <t>(18)</t>
  </si>
  <si>
    <t>(19)</t>
  </si>
  <si>
    <t>(20)</t>
  </si>
  <si>
    <t>(21)</t>
  </si>
  <si>
    <t>(22)</t>
  </si>
  <si>
    <t>(23)</t>
  </si>
  <si>
    <t>(24)</t>
  </si>
  <si>
    <t>L2.aptapc</t>
  </si>
  <si>
    <t>8.00152e+10</t>
  </si>
  <si>
    <t>1.75785e+11</t>
  </si>
  <si>
    <t>6.11840e+10</t>
  </si>
  <si>
    <t>1.11385e+11</t>
  </si>
  <si>
    <t>(14.39)</t>
  </si>
  <si>
    <t>(14.22)</t>
  </si>
  <si>
    <t>(13.09)</t>
  </si>
  <si>
    <t>(12.96)</t>
  </si>
  <si>
    <t>L4.aptapc</t>
  </si>
  <si>
    <t>7.96294e+10</t>
  </si>
  <si>
    <t>1.74931e+11</t>
  </si>
  <si>
    <t>6.08272e+10</t>
  </si>
  <si>
    <t>1.11189e+11</t>
  </si>
  <si>
    <t>(14.37)</t>
  </si>
  <si>
    <t>(14.23)</t>
  </si>
  <si>
    <t>(13.02)</t>
  </si>
  <si>
    <t>(12.94)</t>
  </si>
  <si>
    <t>L2.frwyartpc</t>
  </si>
  <si>
    <t>-286369415.5</t>
  </si>
  <si>
    <t>-50537436.4</t>
  </si>
  <si>
    <t>-284838304.0</t>
  </si>
  <si>
    <t>-171979265.1</t>
  </si>
  <si>
    <t>(-4.18)</t>
  </si>
  <si>
    <t>(-0.52)</t>
  </si>
  <si>
    <t>(-5.16)</t>
  </si>
  <si>
    <t>(-2.61)</t>
  </si>
  <si>
    <t>L4.frwyartpc</t>
  </si>
  <si>
    <t>-288100299.6</t>
  </si>
  <si>
    <t>-58902284.1</t>
  </si>
  <si>
    <t>-285588585.4</t>
  </si>
  <si>
    <t>-175509895.7</t>
  </si>
  <si>
    <t>(-4.12)</t>
  </si>
  <si>
    <t>(-0.60)</t>
  </si>
  <si>
    <t>(-5.06)</t>
  </si>
  <si>
    <t>L2.aptauzasqm</t>
  </si>
  <si>
    <t>24455665.4</t>
  </si>
  <si>
    <t>46273568.8</t>
  </si>
  <si>
    <t>18336006.9</t>
  </si>
  <si>
    <t>40280231.0</t>
  </si>
  <si>
    <t>(18.30)</t>
  </si>
  <si>
    <t>(15.99)</t>
  </si>
  <si>
    <t>(14.42)</t>
  </si>
  <si>
    <t>(11.40)</t>
  </si>
  <si>
    <t>L4.aptauzasqm</t>
  </si>
  <si>
    <t>24677544.7</t>
  </si>
  <si>
    <t>46151583.8</t>
  </si>
  <si>
    <t>18469524.6</t>
  </si>
  <si>
    <t>40052193.7</t>
  </si>
  <si>
    <t>(18.12)</t>
  </si>
  <si>
    <t>(15.90)</t>
  </si>
  <si>
    <t>(14.26)</t>
  </si>
  <si>
    <t>(11.35)</t>
  </si>
  <si>
    <t>L2.freeartuzasqm</t>
  </si>
  <si>
    <t>-105725.3</t>
  </si>
  <si>
    <t>-41298.2</t>
  </si>
  <si>
    <t>-110279.7</t>
  </si>
  <si>
    <t>-54812.4</t>
  </si>
  <si>
    <t>(-4.13)</t>
  </si>
  <si>
    <t>(-1.16)</t>
  </si>
  <si>
    <t>(-5.01)</t>
  </si>
  <si>
    <t>(-1.73)</t>
  </si>
  <si>
    <t>L4.freeartuzasqm</t>
  </si>
  <si>
    <t>-108378.0</t>
  </si>
  <si>
    <t>-44348.8</t>
  </si>
  <si>
    <t>-112493.2</t>
  </si>
  <si>
    <t>-58031.6</t>
  </si>
  <si>
    <t>(-3.92)</t>
  </si>
  <si>
    <t>(-4.74)</t>
  </si>
  <si>
    <t>(-1.70)</t>
  </si>
  <si>
    <t>869136.4</t>
  </si>
  <si>
    <t>852416.4</t>
  </si>
  <si>
    <t>334703.7</t>
  </si>
  <si>
    <t>344760.5</t>
  </si>
  <si>
    <t>872623.2</t>
  </si>
  <si>
    <t>854560.0</t>
  </si>
  <si>
    <t>615071.4</t>
  </si>
  <si>
    <t>608517.6</t>
  </si>
  <si>
    <t>852516.6</t>
  </si>
  <si>
    <t>828421.5</t>
  </si>
  <si>
    <t>447437.9</t>
  </si>
  <si>
    <t>442150.4</t>
  </si>
  <si>
    <t>885135.2</t>
  </si>
  <si>
    <t>858815.0</t>
  </si>
  <si>
    <t>532364.3</t>
  </si>
  <si>
    <t>524823.2</t>
  </si>
  <si>
    <t>(7.71)</t>
  </si>
  <si>
    <t>(7.74)</t>
  </si>
  <si>
    <t>(2.07)</t>
  </si>
  <si>
    <t>(2.19)</t>
  </si>
  <si>
    <t>(9.62)</t>
  </si>
  <si>
    <t>(5.59)</t>
  </si>
  <si>
    <t>(5.66)</t>
  </si>
  <si>
    <t>(7.75)</t>
  </si>
  <si>
    <t>(7.51)</t>
  </si>
  <si>
    <t>(2.91)</t>
  </si>
  <si>
    <t>(2.89)</t>
  </si>
  <si>
    <t>(9.36)</t>
  </si>
  <si>
    <t>(9.08)</t>
  </si>
  <si>
    <t>(3.82)</t>
  </si>
  <si>
    <t>(3.80)</t>
  </si>
  <si>
    <t>364</t>
  </si>
  <si>
    <t>361</t>
  </si>
  <si>
    <t>363</t>
  </si>
  <si>
    <t>360</t>
  </si>
  <si>
    <t>339</t>
  </si>
  <si>
    <t>336</t>
  </si>
  <si>
    <t>338</t>
  </si>
  <si>
    <t>335</t>
  </si>
  <si>
    <t>69.27</t>
  </si>
  <si>
    <t>69.61</t>
  </si>
  <si>
    <t>75.81</t>
  </si>
  <si>
    <t>75.93</t>
  </si>
  <si>
    <t>69.34</t>
  </si>
  <si>
    <t>68.51</t>
  </si>
  <si>
    <t>36.24</t>
  </si>
  <si>
    <t>35.93</t>
  </si>
  <si>
    <t>1.427</t>
  </si>
  <si>
    <t>1.585</t>
  </si>
  <si>
    <t>4.982</t>
  </si>
  <si>
    <t>5.408</t>
  </si>
  <si>
    <t>1.079</t>
  </si>
  <si>
    <t>1.828</t>
  </si>
  <si>
    <t>0.429</t>
  </si>
  <si>
    <t>0.846</t>
  </si>
  <si>
    <t>0.490</t>
  </si>
  <si>
    <t>0.453</t>
  </si>
  <si>
    <t>0.0828</t>
  </si>
  <si>
    <t>0.401</t>
  </si>
  <si>
    <t>0.807</t>
  </si>
  <si>
    <t>0.655</t>
  </si>
  <si>
    <t>Elasticity calculations for population w.r.t.  track miles  (per capita and per sq mile UZA)</t>
  </si>
  <si>
    <t>note: total track miles and track miles per CBSA area are over identified</t>
  </si>
  <si>
    <t>Track miles per sq mile UZA 2008</t>
  </si>
  <si>
    <t>Productivity elasticity w.r.t. population</t>
  </si>
  <si>
    <t>no lag, from 2 year lag models</t>
  </si>
  <si>
    <t>Track mile per capita coefficient</t>
  </si>
  <si>
    <t>Track mile per UZA sq mile coefficient</t>
  </si>
  <si>
    <t>Mean track mile per capita elasticity</t>
  </si>
  <si>
    <t>Population 2008</t>
  </si>
  <si>
    <t>Track miles per capita 2008 (/1000)</t>
  </si>
  <si>
    <t>Mean track mile per sqm UZA elasticity</t>
  </si>
  <si>
    <t>note: per capita is divided by 1000, but does not matter for elasticity</t>
  </si>
  <si>
    <t>MSA specific elasticity of density to transit track miles per capita</t>
  </si>
  <si>
    <t>MSA track miles per UZA sq mile 2008</t>
  </si>
  <si>
    <t>Agglomeration changes due to population change from track miles</t>
  </si>
  <si>
    <t>track per capita w.r.t. population elasticities (from tab: Track mile pop elasticities)</t>
  </si>
  <si>
    <r>
      <t xml:space="preserve">change in total wages per 1% track mile </t>
    </r>
    <r>
      <rPr>
        <b/>
        <sz val="11"/>
        <color rgb="FF00B050"/>
        <rFont val="Calibri"/>
        <family val="2"/>
        <scheme val="minor"/>
      </rPr>
      <t xml:space="preserve">per sq mi UZA </t>
    </r>
    <r>
      <rPr>
        <b/>
        <sz val="11"/>
        <color theme="1"/>
        <rFont val="Calibri"/>
        <family val="2"/>
        <scheme val="minor"/>
      </rPr>
      <t>increase</t>
    </r>
  </si>
  <si>
    <t>change in total GDP per 1% track mile per sq mile UZA increase</t>
  </si>
  <si>
    <t>track per sqm UZA  w.r.t. population elasticities (from tab: Track mile pop elasticities)</t>
  </si>
  <si>
    <r>
      <t xml:space="preserve">change in total wages per 1% track mile </t>
    </r>
    <r>
      <rPr>
        <b/>
        <sz val="11"/>
        <color rgb="FF00B050"/>
        <rFont val="Calibri"/>
        <family val="2"/>
        <scheme val="minor"/>
      </rPr>
      <t xml:space="preserve">per capita </t>
    </r>
    <r>
      <rPr>
        <b/>
        <sz val="11"/>
        <color theme="1"/>
        <rFont val="Calibri"/>
        <family val="2"/>
        <scheme val="minor"/>
      </rPr>
      <t>increase</t>
    </r>
  </si>
  <si>
    <t>change in total GDP per 1% track mile per capita increase</t>
  </si>
  <si>
    <t>Rail and total revenue miles all MSA</t>
  </si>
  <si>
    <t>(1)</t>
  </si>
  <si>
    <t>(2)</t>
  </si>
  <si>
    <t>(3)</t>
  </si>
  <si>
    <t>(4)</t>
  </si>
  <si>
    <t>L2.railrevmiles</t>
  </si>
  <si>
    <t>(2.34)</t>
  </si>
  <si>
    <t>L4.railrevmiles</t>
  </si>
  <si>
    <t>(-0.01)</t>
  </si>
  <si>
    <t>L2.totrevmiles</t>
  </si>
  <si>
    <t>L4.totrevmiles</t>
  </si>
  <si>
    <t>Elasticity calculations using revenue miles</t>
  </si>
  <si>
    <t>rail revenue miles</t>
  </si>
  <si>
    <t>Mean revenue mile elasticity</t>
  </si>
  <si>
    <t>Rail Revenue mile coefficients</t>
  </si>
  <si>
    <t>Total revenue mile coefficients</t>
  </si>
  <si>
    <t>Mean tot revenue mile elasticity</t>
  </si>
  <si>
    <t>total rail revenue miles 2008 (Buffalo, Baltimore 2007)</t>
  </si>
  <si>
    <t>MSA specific elasticity of density to rail revenue miles</t>
  </si>
  <si>
    <t>Decatur, AL</t>
  </si>
  <si>
    <t>Dothan, AL</t>
  </si>
  <si>
    <t>Kokomo, IN</t>
  </si>
  <si>
    <t>Punta Gorda, FL</t>
  </si>
  <si>
    <t>Sandusky, OH</t>
  </si>
  <si>
    <t>elasticities from (tab: Revenue mile elasticities)</t>
  </si>
  <si>
    <t>change in total payroll per 1% rail rev  mile increase</t>
  </si>
  <si>
    <t>change in total GDP per 1% rail rev mile increase</t>
  </si>
  <si>
    <t>total revenue mile elasticities from (tab: Revenue mile elasticities)</t>
  </si>
  <si>
    <r>
      <t>change in total wages per 1% total revenue mile</t>
    </r>
    <r>
      <rPr>
        <b/>
        <sz val="11"/>
        <color rgb="FF00B050"/>
        <rFont val="Calibri"/>
        <family val="2"/>
        <scheme val="minor"/>
      </rPr>
      <t xml:space="preserve"> </t>
    </r>
    <r>
      <rPr>
        <b/>
        <sz val="11"/>
        <color theme="1"/>
        <rFont val="Calibri"/>
        <family val="2"/>
        <scheme val="minor"/>
      </rPr>
      <t>increase</t>
    </r>
  </si>
  <si>
    <t>change in total GDP per 1% total revenue mile increase</t>
  </si>
  <si>
    <t>Agglomeration changes due to population change from rail revenue miles</t>
  </si>
  <si>
    <t>Revenue mile with population as dependent variable, IV models use p1900 and waterpct as instruments</t>
  </si>
  <si>
    <t>0.294</t>
  </si>
  <si>
    <t>0.313</t>
  </si>
  <si>
    <t>(21.92)</t>
  </si>
  <si>
    <t>(20.69)</t>
  </si>
  <si>
    <t>0.302</t>
  </si>
  <si>
    <t>0.322</t>
  </si>
  <si>
    <t>(21.68)</t>
  </si>
  <si>
    <t>(20.58)</t>
  </si>
  <si>
    <t>2382606.5</t>
  </si>
  <si>
    <t>2131207.7</t>
  </si>
  <si>
    <t>818782.7</t>
  </si>
  <si>
    <t>807226.9</t>
  </si>
  <si>
    <t>(5.04)</t>
  </si>
  <si>
    <t>(4.43)</t>
  </si>
  <si>
    <t>(2.73)</t>
  </si>
  <si>
    <t>(2.56)</t>
  </si>
  <si>
    <t>2635527.6</t>
  </si>
  <si>
    <t>2356455.9</t>
  </si>
  <si>
    <t>664375.8</t>
  </si>
  <si>
    <t>686176.7</t>
  </si>
  <si>
    <t>(5.13)</t>
  </si>
  <si>
    <t>(4.51)</t>
  </si>
  <si>
    <t>(2.02)</t>
  </si>
  <si>
    <t>(1.98)</t>
  </si>
  <si>
    <t>0.0619</t>
  </si>
  <si>
    <t>0.0621</t>
  </si>
  <si>
    <t>(42.73)</t>
  </si>
  <si>
    <t>(33.39)</t>
  </si>
  <si>
    <t>0.0631</t>
  </si>
  <si>
    <t>(42.92)</t>
  </si>
  <si>
    <t>(33.59)</t>
  </si>
  <si>
    <t>6055.0</t>
  </si>
  <si>
    <t>-1455.4</t>
  </si>
  <si>
    <t>53067.9</t>
  </si>
  <si>
    <t>46421.3</t>
  </si>
  <si>
    <t>175180.4</t>
  </si>
  <si>
    <t>225129.9</t>
  </si>
  <si>
    <t>177012.0</t>
  </si>
  <si>
    <t>221932.7</t>
  </si>
  <si>
    <t>(0.05)</t>
  </si>
  <si>
    <t>(0.45)</t>
  </si>
  <si>
    <t>(0.39)</t>
  </si>
  <si>
    <t>(2.95)</t>
  </si>
  <si>
    <t>(2.32)</t>
  </si>
  <si>
    <t>(2.86)</t>
  </si>
  <si>
    <t>0.675</t>
  </si>
  <si>
    <t>0.671</t>
  </si>
  <si>
    <t>0.673</t>
  </si>
  <si>
    <t>0.669</t>
  </si>
  <si>
    <t>0.891</t>
  </si>
  <si>
    <t>0.892</t>
  </si>
  <si>
    <t>330</t>
  </si>
  <si>
    <t>291</t>
  </si>
  <si>
    <t>286</t>
  </si>
  <si>
    <t>592.4</t>
  </si>
  <si>
    <t>609.7</t>
  </si>
  <si>
    <t>216.7</t>
  </si>
  <si>
    <t>220.9</t>
  </si>
  <si>
    <t>1.571</t>
  </si>
  <si>
    <t>1.300</t>
  </si>
  <si>
    <t>3.323</t>
  </si>
  <si>
    <t>2.733</t>
  </si>
  <si>
    <t>0.210</t>
  </si>
  <si>
    <t>0.254</t>
  </si>
  <si>
    <t>0.0683</t>
  </si>
  <si>
    <t>0.0983</t>
  </si>
  <si>
    <t>total track miles per capita 2008</t>
  </si>
  <si>
    <t>MSA specific elasticity of population to rail revenue miles</t>
  </si>
  <si>
    <t>MSA specific elasticity wages to rail rev miles</t>
  </si>
  <si>
    <t>MSA specific elasticity GDP per capita to rail rev miles</t>
  </si>
  <si>
    <t>MSA specific elasticity wages to rail revenue miles</t>
  </si>
  <si>
    <t>MSA specific elasticity GDP per capita to rail revenue  miles</t>
  </si>
  <si>
    <t>MSA specific elasticity wages to total revenue miles</t>
  </si>
  <si>
    <t>MSA specific elasticity GDP per capita to total revenue  miles</t>
  </si>
  <si>
    <t>MSA specific elasticity of density to total revenue miles</t>
  </si>
  <si>
    <t>MSA specific elasticity GDP per capita to total revenue miles</t>
  </si>
  <si>
    <t>Mean tot revenue mile elasticity wrt pop</t>
  </si>
  <si>
    <t>Mean revenue mile elasticity wrt pop</t>
  </si>
  <si>
    <t>Elasticity calculations using revenue miles w.r.t. population</t>
  </si>
  <si>
    <t>total revenue mile elasticities from (tab: Revenue pop mile elasticities)</t>
  </si>
  <si>
    <t>rail revenue w.r.t. population elasticities (from tab: revenue mile pop elasticities)</t>
  </si>
  <si>
    <t>L2.railseatpc</t>
  </si>
  <si>
    <t>54803.6</t>
  </si>
  <si>
    <t>173057.2</t>
  </si>
  <si>
    <t>(2.82)</t>
  </si>
  <si>
    <t>(4.31)</t>
  </si>
  <si>
    <t>L4.railseatpc</t>
  </si>
  <si>
    <t>67962.2</t>
  </si>
  <si>
    <t>163877.0</t>
  </si>
  <si>
    <t>(3.30)</t>
  </si>
  <si>
    <t>(4.45)</t>
  </si>
  <si>
    <t>L2.MBseatpc</t>
  </si>
  <si>
    <t>67095.5</t>
  </si>
  <si>
    <t>58325.0</t>
  </si>
  <si>
    <t>(8.30)</t>
  </si>
  <si>
    <t>(6.59)</t>
  </si>
  <si>
    <t>L4.MBseatpc</t>
  </si>
  <si>
    <t>62478.1</t>
  </si>
  <si>
    <t>57544.7</t>
  </si>
  <si>
    <t>(7.31)</t>
  </si>
  <si>
    <t>-39203.1</t>
  </si>
  <si>
    <t>-57108.5</t>
  </si>
  <si>
    <t>(-0.94)</t>
  </si>
  <si>
    <t>(-1.29)</t>
  </si>
  <si>
    <t>-45328.8</t>
  </si>
  <si>
    <t>-62516.3</t>
  </si>
  <si>
    <t>(-1.06)</t>
  </si>
  <si>
    <t>(-1.42)</t>
  </si>
  <si>
    <t>0.000153</t>
  </si>
  <si>
    <t>0.000137</t>
  </si>
  <si>
    <t>0.00000595</t>
  </si>
  <si>
    <t>0.0000154</t>
  </si>
  <si>
    <t>(4.25)</t>
  </si>
  <si>
    <t>(0.10)</t>
  </si>
  <si>
    <t>(0.29)</t>
  </si>
  <si>
    <t>1257.4</t>
  </si>
  <si>
    <t>1288.6</t>
  </si>
  <si>
    <t>1373.2</t>
  </si>
  <si>
    <t>1378.1</t>
  </si>
  <si>
    <t>(14.77)</t>
  </si>
  <si>
    <t>(15.62)</t>
  </si>
  <si>
    <t>(14.38)</t>
  </si>
  <si>
    <t>(15.46)</t>
  </si>
  <si>
    <t>323</t>
  </si>
  <si>
    <t>0.460</t>
  </si>
  <si>
    <t>0.461</t>
  </si>
  <si>
    <t>0.397</t>
  </si>
  <si>
    <t>0.425</t>
  </si>
  <si>
    <t>56.10</t>
  </si>
  <si>
    <t>79.45</t>
  </si>
  <si>
    <t>0.0850</t>
  </si>
  <si>
    <t>0.771</t>
  </si>
  <si>
    <t>0.888</t>
  </si>
  <si>
    <t>Seat capacity per capita - both pcity and population regressions, 2 instruments for IV (waterpct and p1900)</t>
  </si>
  <si>
    <t>343049939.9</t>
  </si>
  <si>
    <t>499558172.7</t>
  </si>
  <si>
    <t>(16.17)</t>
  </si>
  <si>
    <t>(16.84)</t>
  </si>
  <si>
    <t>365090868.3</t>
  </si>
  <si>
    <t>483977568.9</t>
  </si>
  <si>
    <t>(17.53)</t>
  </si>
  <si>
    <t>(18.06)</t>
  </si>
  <si>
    <t>39588788.4</t>
  </si>
  <si>
    <t>3553953.8</t>
  </si>
  <si>
    <t>(0.26)</t>
  </si>
  <si>
    <t>38320955.8</t>
  </si>
  <si>
    <t>14881035.0</t>
  </si>
  <si>
    <t>(1.24)</t>
  </si>
  <si>
    <t>-266140627.9</t>
  </si>
  <si>
    <t>-209669483.0</t>
  </si>
  <si>
    <t>(-4.22)</t>
  </si>
  <si>
    <t>(-3.08)</t>
  </si>
  <si>
    <t>-264914107.1</t>
  </si>
  <si>
    <t>-223297891.6</t>
  </si>
  <si>
    <t>(-4.25)</t>
  </si>
  <si>
    <t>(-3.43)</t>
  </si>
  <si>
    <t>661440.0</t>
  </si>
  <si>
    <t>643344.2</t>
  </si>
  <si>
    <t>697845.4</t>
  </si>
  <si>
    <t>659878.6</t>
  </si>
  <si>
    <t>(5.28)</t>
  </si>
  <si>
    <t>(5.48)</t>
  </si>
  <si>
    <t>(5.19)</t>
  </si>
  <si>
    <t>(5.39)</t>
  </si>
  <si>
    <t>333</t>
  </si>
  <si>
    <t>0.566</t>
  </si>
  <si>
    <t>0.593</t>
  </si>
  <si>
    <t>0.494</t>
  </si>
  <si>
    <t>0.553</t>
  </si>
  <si>
    <t>235.4</t>
  </si>
  <si>
    <t>312.5</t>
  </si>
  <si>
    <t>0.875</t>
  </si>
  <si>
    <t>0.954</t>
  </si>
  <si>
    <t>0.350</t>
  </si>
  <si>
    <t>0.329</t>
  </si>
  <si>
    <t>Elasticity calculations using seat capacity per capita</t>
  </si>
  <si>
    <t>Rail seat capacity per capita</t>
  </si>
  <si>
    <t>Motor bus seat capacity per capita</t>
  </si>
  <si>
    <t>note: rail seat capacity per capita is the instrumented variable</t>
  </si>
  <si>
    <t>Rail seat capacity per capita 2007</t>
  </si>
  <si>
    <t>Motor bus seat capacity per capita 2007</t>
  </si>
  <si>
    <t>Mean rail seat capacity per cap elasticity</t>
  </si>
  <si>
    <t>Mean MB seat capacity per cap elasticity</t>
  </si>
  <si>
    <t>Akron, OH</t>
  </si>
  <si>
    <t>Anniston-Oxford, AL</t>
  </si>
  <si>
    <t>Austin-Round Rock, TX</t>
  </si>
  <si>
    <t>Burlington-South Burlington, VT</t>
  </si>
  <si>
    <t>Carson City, NV</t>
  </si>
  <si>
    <t>Charlottesville, VA</t>
  </si>
  <si>
    <t>Colorado Springs, CO</t>
  </si>
  <si>
    <t>Columbus, IN</t>
  </si>
  <si>
    <t>Corvallis, OR</t>
  </si>
  <si>
    <t>Danville, IL</t>
  </si>
  <si>
    <t>Fargo, ND-MN</t>
  </si>
  <si>
    <t>Farmington, NM</t>
  </si>
  <si>
    <t>Gadsden, AL</t>
  </si>
  <si>
    <t>Gainesville, GA</t>
  </si>
  <si>
    <t>Gulfport-Biloxi, MS</t>
  </si>
  <si>
    <t>Hattiesburg, MS</t>
  </si>
  <si>
    <t>Hot Springs, AR</t>
  </si>
  <si>
    <t>Idaho Falls, ID</t>
  </si>
  <si>
    <t>Jonesboro, AR</t>
  </si>
  <si>
    <t>Kingsport-Bristol-Bristol, TN-VA</t>
  </si>
  <si>
    <t>Kingston, NY</t>
  </si>
  <si>
    <t>Lake Charles, LA</t>
  </si>
  <si>
    <t>Lewiston, ID-WA</t>
  </si>
  <si>
    <t>Lima, OH</t>
  </si>
  <si>
    <t>Longview, TX</t>
  </si>
  <si>
    <t>Madera, CA</t>
  </si>
  <si>
    <t>Michigan City-La Porte, IN</t>
  </si>
  <si>
    <t>Montgomery, AL</t>
  </si>
  <si>
    <t>Mount Vernon-Anacortes, WA</t>
  </si>
  <si>
    <t>Napa, CA</t>
  </si>
  <si>
    <t>Ocala, FL</t>
  </si>
  <si>
    <t>Owensboro, KY</t>
  </si>
  <si>
    <t>Parkersburg-Marietta, WV-OH</t>
  </si>
  <si>
    <t>Pine Bluff, AR</t>
  </si>
  <si>
    <t>Portland-South Portland-Biddeford, ME</t>
  </si>
  <si>
    <t>St. George, UT</t>
  </si>
  <si>
    <t>Salinas, CA</t>
  </si>
  <si>
    <t>Salisbury, MD</t>
  </si>
  <si>
    <t>Texarkana, TX-Texarkana, AR</t>
  </si>
  <si>
    <t>Tyler, TX</t>
  </si>
  <si>
    <t>Vallejo-Fairfield, CA</t>
  </si>
  <si>
    <t>Weirton-Steubenville, WV-OH</t>
  </si>
  <si>
    <t>Wichita Falls, TX</t>
  </si>
  <si>
    <t>Winchester, VA-WV</t>
  </si>
  <si>
    <t>Rail seat capacity</t>
  </si>
  <si>
    <t>Motor bus seat capacity</t>
  </si>
  <si>
    <t>MSA specific elasticity of density to rail seat capacity per capita</t>
  </si>
  <si>
    <t>MSA specific elasticity wages to rail seat capacity per capita</t>
  </si>
  <si>
    <t>MSA specific elasticity GDP per capita to rail seat capacity per capita</t>
  </si>
  <si>
    <t>MSA specific elasticity wages to motor bus capacity per capita</t>
  </si>
  <si>
    <t>MSA specific elasticity of density to motor bus capacity per capita</t>
  </si>
  <si>
    <t>MSA specific elasticity GDP per capita to motor bus capacity per capita</t>
  </si>
  <si>
    <t>MSA specific elasticity of population to rail seat capacity per capita</t>
  </si>
  <si>
    <t>MSA specific elasticity of population to motor bus capacity per capita</t>
  </si>
  <si>
    <r>
      <t xml:space="preserve">change in total wages per 1% rail seat capacity per capita </t>
    </r>
    <r>
      <rPr>
        <b/>
        <sz val="11"/>
        <color rgb="FF00B050"/>
        <rFont val="Calibri"/>
        <family val="2"/>
        <scheme val="minor"/>
      </rPr>
      <t xml:space="preserve"> </t>
    </r>
    <r>
      <rPr>
        <b/>
        <sz val="11"/>
        <color theme="1"/>
        <rFont val="Calibri"/>
        <family val="2"/>
        <scheme val="minor"/>
      </rPr>
      <t>increase</t>
    </r>
  </si>
  <si>
    <t>rail seat capacity per cap elasticities from (tab: Seat capacity elasticities)</t>
  </si>
  <si>
    <t>change in total GDP per 1% rail seat capacity per capita increase</t>
  </si>
  <si>
    <t>bus seat capacity per cap elasticities from (tab: Seat capacity elasticities)</t>
  </si>
  <si>
    <r>
      <t xml:space="preserve">change in total wages per 1% bus seat capacity per capita </t>
    </r>
    <r>
      <rPr>
        <b/>
        <sz val="11"/>
        <color rgb="FF00B050"/>
        <rFont val="Calibri"/>
        <family val="2"/>
        <scheme val="minor"/>
      </rPr>
      <t xml:space="preserve"> </t>
    </r>
    <r>
      <rPr>
        <b/>
        <sz val="11"/>
        <color theme="1"/>
        <rFont val="Calibri"/>
        <family val="2"/>
        <scheme val="minor"/>
      </rPr>
      <t>increase</t>
    </r>
  </si>
  <si>
    <t>change in total GDP per 1% bus seat capacity per capita increase</t>
  </si>
  <si>
    <t>Agglomeration changes due to population change from seat capacity models</t>
  </si>
  <si>
    <t>percent associated with 1 mile change</t>
  </si>
  <si>
    <t>Track mile change</t>
  </si>
  <si>
    <r>
      <t xml:space="preserve">change in total wages per 1 mile track mile </t>
    </r>
    <r>
      <rPr>
        <b/>
        <sz val="11"/>
        <color rgb="FF00B050"/>
        <rFont val="Calibri"/>
        <family val="2"/>
        <scheme val="minor"/>
      </rPr>
      <t xml:space="preserve">per sq mi </t>
    </r>
    <r>
      <rPr>
        <b/>
        <sz val="11"/>
        <color theme="1"/>
        <rFont val="Calibri"/>
        <family val="2"/>
        <scheme val="minor"/>
      </rPr>
      <t>increase</t>
    </r>
  </si>
  <si>
    <t>change in total GDP per 1 mile track mile per sq mile increase</t>
  </si>
  <si>
    <r>
      <t xml:space="preserve">change in total wages per 1 mile track mile </t>
    </r>
    <r>
      <rPr>
        <b/>
        <sz val="11"/>
        <color rgb="FF00B050"/>
        <rFont val="Calibri"/>
        <family val="2"/>
        <scheme val="minor"/>
      </rPr>
      <t xml:space="preserve">per capita </t>
    </r>
    <r>
      <rPr>
        <b/>
        <sz val="11"/>
        <color theme="1"/>
        <rFont val="Calibri"/>
        <family val="2"/>
        <scheme val="minor"/>
      </rPr>
      <t>increase</t>
    </r>
  </si>
  <si>
    <t>change in total GDP per 1 mile track mile per capita increase</t>
  </si>
  <si>
    <r>
      <t xml:space="preserve">change in total wages per 1 mile track mile </t>
    </r>
    <r>
      <rPr>
        <b/>
        <sz val="11"/>
        <color rgb="FF00B050"/>
        <rFont val="Calibri"/>
        <family val="2"/>
        <scheme val="minor"/>
      </rPr>
      <t xml:space="preserve">per sq mi UZA </t>
    </r>
    <r>
      <rPr>
        <b/>
        <sz val="11"/>
        <color theme="1"/>
        <rFont val="Calibri"/>
        <family val="2"/>
        <scheme val="minor"/>
      </rPr>
      <t>increase</t>
    </r>
  </si>
  <si>
    <t>change in total GDP per 1 mile track mile per sq mile UZA increase</t>
  </si>
  <si>
    <t>Base year is 2008</t>
  </si>
  <si>
    <t>Highlighted models have good fit</t>
  </si>
  <si>
    <t>Transit models WITH INSTRUMENTS p1900 and clmindx on various apta track mile variables</t>
  </si>
  <si>
    <t>dependent var</t>
  </si>
  <si>
    <t>chgempPCITY</t>
  </si>
  <si>
    <t>PCITY apta change models</t>
  </si>
  <si>
    <t>="* p&lt;0.05</t>
  </si>
  <si>
    <t xml:space="preserve"> ** p&lt;0.01</t>
  </si>
  <si>
    <t xml:space="preserve"> *** p&lt;0.001"</t>
  </si>
  <si>
    <t>Change regressions, both transit and productivity models</t>
  </si>
  <si>
    <t>est5</t>
  </si>
  <si>
    <t>est6</t>
  </si>
  <si>
    <t>est7</t>
  </si>
  <si>
    <t>est8</t>
  </si>
  <si>
    <t>chgaptatot</t>
  </si>
  <si>
    <t>4.399</t>
  </si>
  <si>
    <t>(2.05)</t>
  </si>
  <si>
    <t>chgfryart</t>
  </si>
  <si>
    <t>-0.256</t>
  </si>
  <si>
    <t>(-0.83)</t>
  </si>
  <si>
    <t>chgpoptot</t>
  </si>
  <si>
    <t>-0.000565</t>
  </si>
  <si>
    <t>0.0000108</t>
  </si>
  <si>
    <t>0.00247</t>
  </si>
  <si>
    <t>(0.93)</t>
  </si>
  <si>
    <t>(-0.98)</t>
  </si>
  <si>
    <t>(0.11)</t>
  </si>
  <si>
    <t>(0.58)</t>
  </si>
  <si>
    <t>chgaptapc</t>
  </si>
  <si>
    <t>202973825.8</t>
  </si>
  <si>
    <t>(1.49)</t>
  </si>
  <si>
    <t>chgfwyartpc</t>
  </si>
  <si>
    <t>-44812.8</t>
  </si>
  <si>
    <t>(-0.36)</t>
  </si>
  <si>
    <t>chgaptasqm</t>
  </si>
  <si>
    <t>32021.9</t>
  </si>
  <si>
    <t>(2.46)</t>
  </si>
  <si>
    <t>chgfreeartsqm</t>
  </si>
  <si>
    <t>1408.8</t>
  </si>
  <si>
    <t>(3.09)</t>
  </si>
  <si>
    <t>chgaptauza</t>
  </si>
  <si>
    <t>-107798.6</t>
  </si>
  <si>
    <t>(-0.50)</t>
  </si>
  <si>
    <t>chgfrartuza</t>
  </si>
  <si>
    <t>34.28</t>
  </si>
  <si>
    <t>(0.16)</t>
  </si>
  <si>
    <t>-29.45</t>
  </si>
  <si>
    <t>-104.2</t>
  </si>
  <si>
    <t>-54.51</t>
  </si>
  <si>
    <t>318.6</t>
  </si>
  <si>
    <t>(-0.46)</t>
  </si>
  <si>
    <t>(-0.79)</t>
  </si>
  <si>
    <t>(-0.90)</t>
  </si>
  <si>
    <t>(0.48)</t>
  </si>
  <si>
    <t>210</t>
  </si>
  <si>
    <t>125</t>
  </si>
  <si>
    <t>46.12</t>
  </si>
  <si>
    <t>1.125</t>
  </si>
  <si>
    <t>35.36</t>
  </si>
  <si>
    <t>0.146</t>
  </si>
  <si>
    <t>0.354</t>
  </si>
  <si>
    <t>0.0843</t>
  </si>
  <si>
    <t>0.127</t>
  </si>
  <si>
    <t>0.00207</t>
  </si>
  <si>
    <t>0.552</t>
  </si>
  <si>
    <t>0.772</t>
  </si>
  <si>
    <t>0.722</t>
  </si>
  <si>
    <t>0.964</t>
  </si>
  <si>
    <t>change regression coefficient</t>
  </si>
  <si>
    <t>edenpcity-change</t>
  </si>
  <si>
    <t>elasticities from (tab: change reg elasticities)</t>
  </si>
  <si>
    <t>track per sqm elasticities from (tab: change reg elasticities)</t>
  </si>
  <si>
    <t>Change regressions, both change in edenpcity and population as dependent variables.</t>
  </si>
  <si>
    <t>13.15*</t>
  </si>
  <si>
    <t>(2.41)</t>
  </si>
  <si>
    <t>(9.55)</t>
  </si>
  <si>
    <t>1.062</t>
  </si>
  <si>
    <t>1901.1***</t>
  </si>
  <si>
    <t>(1.85)</t>
  </si>
  <si>
    <t>(18.82)</t>
  </si>
  <si>
    <t>-0.000844*</t>
  </si>
  <si>
    <t>-0.000123</t>
  </si>
  <si>
    <t>-0.000493</t>
  </si>
  <si>
    <t>-0.000450</t>
  </si>
  <si>
    <t>(-1.97)</t>
  </si>
  <si>
    <t>(-1.50)</t>
  </si>
  <si>
    <t>(-1.44)</t>
  </si>
  <si>
    <t>(-1.41)</t>
  </si>
  <si>
    <t>44024103.8*</t>
  </si>
  <si>
    <t>2.20798e+11***</t>
  </si>
  <si>
    <t>(2.33)</t>
  </si>
  <si>
    <t>(9.68)</t>
  </si>
  <si>
    <t>-348684.0***</t>
  </si>
  <si>
    <t>11770414.7</t>
  </si>
  <si>
    <t>(0.07)</t>
  </si>
  <si>
    <t>67306.5</t>
  </si>
  <si>
    <t>109547815.6***</t>
  </si>
  <si>
    <t>(1.55)</t>
  </si>
  <si>
    <t>(16.05)</t>
  </si>
  <si>
    <t>2139.6**</t>
  </si>
  <si>
    <t>-1114536.5</t>
  </si>
  <si>
    <t>(2.69)</t>
  </si>
  <si>
    <t>(-1.77)</t>
  </si>
  <si>
    <t>25301.2</t>
  </si>
  <si>
    <t>52083513.8***</t>
  </si>
  <si>
    <t>(1.47)</t>
  </si>
  <si>
    <t>(16.18)</t>
  </si>
  <si>
    <t>-113.7**</t>
  </si>
  <si>
    <t>-30651.8</t>
  </si>
  <si>
    <t>(-2.99)</t>
  </si>
  <si>
    <t>100.2</t>
  </si>
  <si>
    <t>38.94</t>
  </si>
  <si>
    <t>0.334</t>
  </si>
  <si>
    <t>-73.22</t>
  </si>
  <si>
    <t>-10758.6</t>
  </si>
  <si>
    <t>-21404.4</t>
  </si>
  <si>
    <t>20254.1</t>
  </si>
  <si>
    <t>-98844.2</t>
  </si>
  <si>
    <t>(1.34)</t>
  </si>
  <si>
    <t>(0.64)</t>
  </si>
  <si>
    <t>(0.00)</t>
  </si>
  <si>
    <t>(-0.54)</t>
  </si>
  <si>
    <t>(-0.40)</t>
  </si>
  <si>
    <t>(-0.20)</t>
  </si>
  <si>
    <t>(0.33)</t>
  </si>
  <si>
    <t>(-1.22)</t>
  </si>
  <si>
    <t>196</t>
  </si>
  <si>
    <t>112</t>
  </si>
  <si>
    <t>200</t>
  </si>
  <si>
    <t>-0.452</t>
  </si>
  <si>
    <t>0.115</t>
  </si>
  <si>
    <t>-0.150</t>
  </si>
  <si>
    <t>-0.138</t>
  </si>
  <si>
    <t>0.933</t>
  </si>
  <si>
    <t>-0.0567</t>
  </si>
  <si>
    <t>0.662</t>
  </si>
  <si>
    <t>0.735</t>
  </si>
  <si>
    <t>10.65</t>
  </si>
  <si>
    <t>13.68</t>
  </si>
  <si>
    <t>3.902</t>
  </si>
  <si>
    <t>2.933</t>
  </si>
  <si>
    <t>44.68</t>
  </si>
  <si>
    <t>35.35</t>
  </si>
  <si>
    <t>63.06</t>
  </si>
  <si>
    <t>41.49</t>
  </si>
  <si>
    <t>0.190</t>
  </si>
  <si>
    <t>0.000375</t>
  </si>
  <si>
    <t>1.459</t>
  </si>
  <si>
    <t>0.396</t>
  </si>
  <si>
    <t>3.879</t>
  </si>
  <si>
    <t>1.180</t>
  </si>
  <si>
    <t>3.318</t>
  </si>
  <si>
    <t>0.606</t>
  </si>
  <si>
    <t>0.663</t>
  </si>
  <si>
    <t>0.985</t>
  </si>
  <si>
    <t>0.227</t>
  </si>
  <si>
    <t>0.529</t>
  </si>
  <si>
    <t>0.0685</t>
  </si>
  <si>
    <t>0.436</t>
  </si>
  <si>
    <t>ppw00</t>
  </si>
  <si>
    <t>emp08</t>
  </si>
  <si>
    <t>Anderson, SC</t>
  </si>
  <si>
    <t>Asheville, NC</t>
  </si>
  <si>
    <t>Atlantic City, NJ</t>
  </si>
  <si>
    <t>Barnstable Town, MA</t>
  </si>
  <si>
    <t>Boston-Cambridge-Quincy, MA-NH</t>
  </si>
  <si>
    <t>Boulder, CO</t>
  </si>
  <si>
    <t>Bowling Green, KY</t>
  </si>
  <si>
    <t>Bridgeport-Stamford-Norwalk, CT</t>
  </si>
  <si>
    <t>Burlington, NC</t>
  </si>
  <si>
    <t>Cape Girardeau-Jackson, MO-IL</t>
  </si>
  <si>
    <t>Cleveland, TN</t>
  </si>
  <si>
    <t>Coeur d'Alene, ID</t>
  </si>
  <si>
    <t>Dalton, GA</t>
  </si>
  <si>
    <t>Dover, DE</t>
  </si>
  <si>
    <t>Durham, NC</t>
  </si>
  <si>
    <t>Elizabethtown, KY</t>
  </si>
  <si>
    <t>Fayetteville, NC</t>
  </si>
  <si>
    <t>Florence-Muscle Shoals, AL</t>
  </si>
  <si>
    <t>Goldsboro, NC</t>
  </si>
  <si>
    <t>Greensboro-High Point, NC</t>
  </si>
  <si>
    <t>Greenville, NC</t>
  </si>
  <si>
    <t>Hartford-West Hartford-East Hartford, CT</t>
  </si>
  <si>
    <t>Hickory-Lenoir-Morganton, NC</t>
  </si>
  <si>
    <t>Hinesville-Fort Stewart, GA</t>
  </si>
  <si>
    <t>Houma-Bayou Cane-Thibodaux, LA</t>
  </si>
  <si>
    <t>Jacksonville, NC</t>
  </si>
  <si>
    <t>Joplin, MO</t>
  </si>
  <si>
    <t>Lake Havasu City-Kingman, AZ</t>
  </si>
  <si>
    <t>Manchester-Nashua, NH</t>
  </si>
  <si>
    <t>Manhattan, KS</t>
  </si>
  <si>
    <t>Mankato-North Mankato, MN</t>
  </si>
  <si>
    <t>Midland, TX</t>
  </si>
  <si>
    <t>Monroe, MI</t>
  </si>
  <si>
    <t>Morristown, TN</t>
  </si>
  <si>
    <t>New Haven-Milford, CT</t>
  </si>
  <si>
    <t>Norwich-New London, CT</t>
  </si>
  <si>
    <t>Ocean City, NJ</t>
  </si>
  <si>
    <t>Ogden-Clearfield, UT</t>
  </si>
  <si>
    <t>Palm Coast, FL</t>
  </si>
  <si>
    <t>Pascagoula, MS</t>
  </si>
  <si>
    <t>Pittsfield, MA</t>
  </si>
  <si>
    <t>Prescott, AZ</t>
  </si>
  <si>
    <t>Provo-Orem, UT</t>
  </si>
  <si>
    <t>Raleigh-Cary, NC</t>
  </si>
  <si>
    <t>Rocky Mount, NC</t>
  </si>
  <si>
    <t>Springfield, MA</t>
  </si>
  <si>
    <t>Valdosta, GA</t>
  </si>
  <si>
    <t>Vineland-Millville-Bridgeton, NJ</t>
  </si>
  <si>
    <t>Warner Robins, GA</t>
  </si>
  <si>
    <t>Wilmington, NC</t>
  </si>
  <si>
    <t>Winston-Salem, NC</t>
  </si>
  <si>
    <t>Worcester, MA</t>
  </si>
  <si>
    <t>total payroll</t>
  </si>
  <si>
    <t>average wage</t>
  </si>
  <si>
    <t>total employed all MSAs</t>
  </si>
  <si>
    <t>total wages all MSAs</t>
  </si>
  <si>
    <t>Effect of 1% change</t>
  </si>
  <si>
    <t>gdppc</t>
  </si>
  <si>
    <t>total GDP</t>
  </si>
  <si>
    <t>average GDP per capita</t>
  </si>
  <si>
    <t>total population</t>
  </si>
  <si>
    <t>Average wages</t>
  </si>
  <si>
    <t>GDP per capita</t>
  </si>
  <si>
    <t>Totals: emp density + population effects</t>
  </si>
  <si>
    <t>Emp density</t>
  </si>
  <si>
    <t>Population</t>
  </si>
  <si>
    <t>Total</t>
  </si>
  <si>
    <t>OLS-emp</t>
  </si>
  <si>
    <t>OLS-pop</t>
  </si>
  <si>
    <t>OLS-total</t>
  </si>
  <si>
    <t>IV-emp</t>
  </si>
  <si>
    <t>IV-pop</t>
  </si>
  <si>
    <t>IV-total</t>
  </si>
  <si>
    <t>Average wage changes</t>
  </si>
  <si>
    <t>Average GDP per capita changes</t>
  </si>
  <si>
    <t>change in total wages per 1% revenue mile increase</t>
  </si>
  <si>
    <t>change in total GDP per 1% revenue mile  increase</t>
  </si>
  <si>
    <t>Rail revenue miles</t>
  </si>
  <si>
    <t>Bus seat capacity per capita</t>
  </si>
  <si>
    <t>user data entry</t>
  </si>
  <si>
    <t>base track miles</t>
  </si>
  <si>
    <t>change in total GDP from track mileage increase</t>
  </si>
  <si>
    <t>change in total payroll from track mileage increase</t>
  </si>
  <si>
    <t>Add population and central-city-employment-density based effects together</t>
  </si>
  <si>
    <t>Add revenue miles and seat capacity based estimates</t>
  </si>
  <si>
    <t>Figure out how to handle change-in-pop and change-in-cc-density estimates</t>
  </si>
  <si>
    <t>Add protection to all non-user-entry cells</t>
  </si>
  <si>
    <t>Hide all non-user-entry worksheets (?)</t>
  </si>
  <si>
    <t>Workers</t>
  </si>
  <si>
    <t>Base track miles</t>
  </si>
  <si>
    <t>Remind user that impacts are 2 + 4 years out because of lag structure</t>
  </si>
  <si>
    <t>For future work: Better transit capacity measures? Seat miles?</t>
  </si>
  <si>
    <t>Indep var</t>
  </si>
  <si>
    <t>Dep var</t>
  </si>
  <si>
    <t>OLS coeff</t>
  </si>
  <si>
    <t>IV coeff</t>
  </si>
  <si>
    <t>lnwage</t>
  </si>
  <si>
    <t>pcitylandarea</t>
  </si>
  <si>
    <t>cbsa_area_gross</t>
  </si>
  <si>
    <t>pcity_uza_landarea_sqmi</t>
  </si>
  <si>
    <t>pcity_uza_landarea</t>
  </si>
  <si>
    <t>cbsa_area</t>
  </si>
  <si>
    <t>totrevmiles</t>
  </si>
  <si>
    <t>railrevmiles</t>
  </si>
  <si>
    <t>lnppw99</t>
  </si>
  <si>
    <t>lnppw81</t>
  </si>
  <si>
    <t>lnppw72</t>
  </si>
  <si>
    <t>lnppw71</t>
  </si>
  <si>
    <t>lnppw62</t>
  </si>
  <si>
    <t>lnppw61</t>
  </si>
  <si>
    <t>lnppw56</t>
  </si>
  <si>
    <t>lnppw55</t>
  </si>
  <si>
    <t>lnppw54</t>
  </si>
  <si>
    <t>lnppw53</t>
  </si>
  <si>
    <t>lnppw52</t>
  </si>
  <si>
    <t>lnppw51</t>
  </si>
  <si>
    <t>lnppw48</t>
  </si>
  <si>
    <t>lnppw44</t>
  </si>
  <si>
    <t>lnppw42</t>
  </si>
  <si>
    <t>lnppw31</t>
  </si>
  <si>
    <t>lnppw23</t>
  </si>
  <si>
    <t>lnppw22</t>
  </si>
  <si>
    <t>lnppw21</t>
  </si>
  <si>
    <t>lnppw11</t>
  </si>
  <si>
    <t>freeartuza</t>
  </si>
  <si>
    <t>aptauza</t>
  </si>
  <si>
    <t>MBseatpc</t>
  </si>
  <si>
    <t>railseatpc</t>
  </si>
  <si>
    <t>MBseatcapy</t>
  </si>
  <si>
    <t>railseatcap</t>
  </si>
  <si>
    <t>freeartsqmiles</t>
  </si>
  <si>
    <t>aptasqmiles</t>
  </si>
  <si>
    <t>frwyartpc</t>
  </si>
  <si>
    <t>aptapc</t>
  </si>
  <si>
    <t>freeart</t>
  </si>
  <si>
    <t>apta_cleaned</t>
  </si>
  <si>
    <t>raildum</t>
  </si>
  <si>
    <t>eden_UZA</t>
  </si>
  <si>
    <t>lnaptapc2</t>
  </si>
  <si>
    <t>lnfwypc</t>
  </si>
  <si>
    <t>lnpop</t>
  </si>
  <si>
    <t>lnhc</t>
  </si>
  <si>
    <t>lneden_pcity</t>
  </si>
  <si>
    <t>lngdppc00</t>
  </si>
  <si>
    <t>cbsa_code</t>
  </si>
  <si>
    <t>GDP in $</t>
  </si>
  <si>
    <t>Sq mi of urbanized area</t>
  </si>
  <si>
    <t>AGGLOMERATION-TO-PRODUCTIVITY COEFFICIENTS</t>
  </si>
  <si>
    <t>Additional pcity density from track mileage addition</t>
  </si>
  <si>
    <t>log of pcity density before</t>
  </si>
  <si>
    <t>log of pcity density after</t>
  </si>
  <si>
    <t>effect of pcity density on log of per capita wages before</t>
  </si>
  <si>
    <t>effect of pcity density on log of per capita wages after</t>
  </si>
  <si>
    <t xml:space="preserve">difference </t>
  </si>
  <si>
    <t>exponentiated difference (difference in unlogged dollars per capita)</t>
  </si>
  <si>
    <t>%  increase in pcity density</t>
  </si>
  <si>
    <t>subseq % increase in per capita wage</t>
  </si>
  <si>
    <t>applied to total wages</t>
  </si>
  <si>
    <t>Example to check calculations: track_mileage-&gt;pcity_density-&gt;total_wages</t>
  </si>
  <si>
    <t>Example to check calculations: trackmiles/UZAarea-&gt;population-&gt;total_wages</t>
  </si>
  <si>
    <t>Additional population from TMA</t>
  </si>
  <si>
    <t>% increase in population</t>
  </si>
  <si>
    <t>That's too big</t>
  </si>
  <si>
    <t>subseq % increase in wage</t>
  </si>
  <si>
    <t>contribution of pcity density to wages after change</t>
  </si>
  <si>
    <t>Multiplied across all workers</t>
  </si>
  <si>
    <t>below needs to be redone</t>
  </si>
  <si>
    <t>Change in agg measure</t>
  </si>
  <si>
    <t>Base value agg measure</t>
  </si>
  <si>
    <t>Wage (average payroll)</t>
  </si>
  <si>
    <t>Agg → wage elasticity</t>
  </si>
  <si>
    <t>Net wage multiplier</t>
  </si>
  <si>
    <t>Net wage effect</t>
  </si>
  <si>
    <t>Agg → GDP elasticity</t>
  </si>
  <si>
    <t>Net GDP multiplier</t>
  </si>
  <si>
    <t>Net GDP effect</t>
  </si>
  <si>
    <t>GDP</t>
  </si>
  <si>
    <t>Max</t>
  </si>
  <si>
    <t>Min</t>
  </si>
  <si>
    <t>uzasqm</t>
  </si>
  <si>
    <t>Wages</t>
  </si>
  <si>
    <t>Combined GDP-Wage Range</t>
  </si>
  <si>
    <t>PRODUCTIVITY IMPACT ESTIMATES - INCLUDING INTERMEDIATE STEPS</t>
  </si>
  <si>
    <t>Questions</t>
  </si>
  <si>
    <t>Check units of GDP per capita. I am multiplying by a million and that SEEMS to be right…</t>
  </si>
  <si>
    <t>railrevmiles per rail mile</t>
  </si>
  <si>
    <t>Was the rail dummy variable used in any of the estimates, in the end? (If so, need to include the effect in the spreadsheet tool)</t>
  </si>
  <si>
    <t>To do</t>
  </si>
  <si>
    <t>SCRAPS</t>
  </si>
  <si>
    <t>main output values</t>
  </si>
  <si>
    <t>Key to shading</t>
  </si>
  <si>
    <t>Why only 6.9 rail miles in Trenton-Ewing--shouldn't the River Line be attributed to that MSA?</t>
  </si>
  <si>
    <t>Four of 33 MSAs with rail have missing or zero values for rail seat capacity --how was this handled in seat capacity regressions?</t>
  </si>
  <si>
    <t>Six of 34 MSAs with rail have missing values for rail revenue miles -- how was this handled in rail revenue mile regressions?</t>
  </si>
  <si>
    <t>reference</t>
  </si>
  <si>
    <t>Add additional measures -- not all are included yet (e.g., total revenue miles)</t>
  </si>
  <si>
    <t>Incorporate standard deviations of coefficients into estimate-ranges</t>
  </si>
  <si>
    <t>Define train revenue miles for users (the number of miles traveled by train cars per year)</t>
  </si>
  <si>
    <t>miles</t>
  </si>
  <si>
    <t>seats</t>
  </si>
  <si>
    <t xml:space="preserve">Incorporate variance of the different output measures as some check on reliability for that proposal in that MSA </t>
  </si>
  <si>
    <t>e.g., does the seat capacity measure vary wildly from the train revenue miles measure?</t>
  </si>
  <si>
    <t>Gross GDP (millions)</t>
  </si>
  <si>
    <t>Gross payroll (millions)</t>
  </si>
  <si>
    <t>Sq mi of metropolitan area</t>
  </si>
  <si>
    <t>Central city employment density</t>
  </si>
  <si>
    <t>Alter models to include the base number of track miles as an independent variable, see how results change</t>
  </si>
  <si>
    <r>
      <t xml:space="preserve">MSA name </t>
    </r>
    <r>
      <rPr>
        <b/>
        <sz val="11"/>
        <color theme="1"/>
        <rFont val="Calibri"/>
        <family val="2"/>
        <scheme val="minor"/>
      </rPr>
      <t>[drop-down list in Excel 2010]</t>
    </r>
  </si>
  <si>
    <t>Wages per worker</t>
  </si>
  <si>
    <t>INPUT AND REFERENCE PANEL</t>
  </si>
  <si>
    <t>Track mile/UZA area → Population  [OLS]</t>
  </si>
  <si>
    <t>Track mile/UZA area → Population [IV]</t>
  </si>
  <si>
    <t>Track mile/capita → Population [OLS]</t>
  </si>
  <si>
    <t>Track mile/capita → Population [IV]</t>
  </si>
  <si>
    <t>Rail revenue miles → Population [OLS]</t>
  </si>
  <si>
    <t>Rail revenue miles → Population [IV]</t>
  </si>
  <si>
    <t>Average wage (logged)</t>
  </si>
  <si>
    <t>Population (logged)</t>
  </si>
  <si>
    <t>GDP per capita (logged)</t>
  </si>
  <si>
    <t>Track miles → Central city employment density [OLS]</t>
  </si>
  <si>
    <t>Track miles → Central city employment density [IV]</t>
  </si>
  <si>
    <t>Rail revenue miles → Central city employment density [OLS]</t>
  </si>
  <si>
    <t>Rail revenue miles → Central city employment density [IV]</t>
  </si>
  <si>
    <t>Rail seat cap / capita → Central city employment density [OLS]</t>
  </si>
  <si>
    <t>Rail seat cap / capita → Central city employment density [IV]</t>
  </si>
  <si>
    <t>Track miles / MSA area → Central city employment density [OLS]</t>
  </si>
  <si>
    <t>Track miles / MSA area → Central city employment density [IV]</t>
  </si>
  <si>
    <t>Capped % change</t>
  </si>
  <si>
    <t>OUTPUT - ESTIMATED RANGE OF PRODUCTIVITY IMPACTS (yearly)</t>
  </si>
  <si>
    <t>Central city employment density (logged)</t>
  </si>
  <si>
    <t>Original values</t>
  </si>
  <si>
    <t>Pct change, column C vs E</t>
  </si>
  <si>
    <t>0.0000505</t>
  </si>
  <si>
    <t>0.0000837</t>
  </si>
  <si>
    <t>Notes</t>
  </si>
  <si>
    <t>2-year lags</t>
  </si>
  <si>
    <t>No lag</t>
  </si>
  <si>
    <t>Median Impact</t>
  </si>
  <si>
    <t>TCRP H-39 - SPREADSHEET TOOL - ESTIMATED AGGLOMERATION-RELATED PRODUCTIVITY IMPACTS OF TRANSIT INVESTMENTS</t>
  </si>
  <si>
    <r>
      <t xml:space="preserve">Transit </t>
    </r>
    <r>
      <rPr>
        <sz val="11"/>
        <color theme="6" tint="-0.499984740745262"/>
        <rFont val="Calibri"/>
        <family val="2"/>
      </rPr>
      <t xml:space="preserve">→ </t>
    </r>
    <r>
      <rPr>
        <sz val="11"/>
        <color theme="6" tint="-0.499984740745262"/>
        <rFont val="Calibri"/>
        <family val="2"/>
        <scheme val="minor"/>
      </rPr>
      <t>agg coeff, w/NYC</t>
    </r>
  </si>
  <si>
    <r>
      <t xml:space="preserve">Transit </t>
    </r>
    <r>
      <rPr>
        <sz val="11"/>
        <color theme="6" tint="-0.499984740745262"/>
        <rFont val="Calibri"/>
        <family val="2"/>
      </rPr>
      <t xml:space="preserve">→ </t>
    </r>
    <r>
      <rPr>
        <sz val="11"/>
        <color theme="6" tint="-0.499984740745262"/>
        <rFont val="Calibri"/>
        <family val="2"/>
        <scheme val="minor"/>
      </rPr>
      <t>agg coeff, w/oNYC</t>
    </r>
  </si>
  <si>
    <t>revenue miles per year</t>
  </si>
  <si>
    <t>2. The number of additional miles traveled by new or existing trains while in revenue service</t>
  </si>
  <si>
    <r>
      <t>New proposed track mileage</t>
    </r>
    <r>
      <rPr>
        <vertAlign val="superscript"/>
        <sz val="11"/>
        <color theme="1"/>
        <rFont val="Calibri"/>
        <family val="2"/>
        <scheme val="minor"/>
      </rPr>
      <t>1</t>
    </r>
  </si>
  <si>
    <r>
      <t>New proposed annual train revenue miles</t>
    </r>
    <r>
      <rPr>
        <vertAlign val="superscript"/>
        <sz val="11"/>
        <color theme="1"/>
        <rFont val="Calibri"/>
        <family val="2"/>
        <scheme val="minor"/>
      </rPr>
      <t>2</t>
    </r>
  </si>
  <si>
    <r>
      <t>New proposed rail seat capacity</t>
    </r>
    <r>
      <rPr>
        <vertAlign val="superscript"/>
        <sz val="11"/>
        <color theme="1"/>
        <rFont val="Calibri"/>
        <family val="2"/>
        <scheme val="minor"/>
      </rPr>
      <t>3</t>
    </r>
  </si>
  <si>
    <t>1. A measure of the route path over a rail facility without regard to the number of rail tracks existing in the right-of-way (in miles)</t>
  </si>
  <si>
    <r>
      <rPr>
        <i/>
        <sz val="11"/>
        <color theme="1"/>
        <rFont val="Calibri"/>
        <family val="2"/>
        <scheme val="minor"/>
      </rPr>
      <t xml:space="preserve">NOTES ON INTERPRETATION
</t>
    </r>
    <r>
      <rPr>
        <sz val="11"/>
        <color theme="1"/>
        <rFont val="Calibri"/>
        <family val="2"/>
        <scheme val="minor"/>
      </rPr>
      <t xml:space="preserve">     The best use of this tool is to compare projects proposed by different agencies in different metropolitan areas in the US. We do not recommend adding the estimates to existing quantified estimates (e.g., of travel time reductions). The estimates are better used to compare projects to each other. 
     The spreadsheet cannot be used to discriminate among different proposed rail investments with the same projected track mileage, seat capacity and revenue miles in the same city. This is because the small subsample of 34 cities with rail in the US limited the complexity of data analysis. 
     Regardless of project characteristics, metropolitan areas with relatively high wages, large populations, high employment density, and existing rail networks will have higher estimated agglomeration-productivity benefits than those in other metropolitan areas. This reflects findings from our analysis. 
</t>
    </r>
    <r>
      <rPr>
        <i/>
        <sz val="11"/>
        <color theme="1"/>
        <rFont val="Calibri"/>
        <family val="2"/>
        <scheme val="minor"/>
      </rPr>
      <t xml:space="preserve">OTHER IMPORTANT USER NOTES
</t>
    </r>
    <r>
      <rPr>
        <sz val="11"/>
        <color theme="1"/>
        <rFont val="Calibri"/>
        <family val="2"/>
        <scheme val="minor"/>
      </rPr>
      <t xml:space="preserve">     This spreadsheet tool does not currently enable calculation of agglomeration impacts for MSAs that are partially or wholly in four states: Connecticut, Massachusetts, New Hampshire, and North Carolina. The Census Bureau does not provide block-level employment data through the Longitudinal Employer-Household Dynamics data set for those states, so they cannot be included in the estimates.  
     The spreadsheet works best in Excel 2010. In previous versions of Excel, there is no drop-down list for the user to select an MSA in cell C10, and instead the user must correctly type the exact name of the MSA according to the Census bureau. If you are not using Excel 2010, you can go to the "MSAdata" sheet, find and copy the correct name of the MSA, and paste that into cell C9.
</t>
    </r>
  </si>
  <si>
    <r>
      <rPr>
        <i/>
        <sz val="11"/>
        <color theme="1"/>
        <rFont val="Calibri"/>
        <family val="2"/>
        <scheme val="minor"/>
      </rPr>
      <t xml:space="preserve">HOW TO USE 
</t>
    </r>
    <r>
      <rPr>
        <sz val="11"/>
        <color theme="1"/>
        <rFont val="Calibri"/>
        <family val="2"/>
        <scheme val="minor"/>
      </rPr>
      <t xml:space="preserve">     On the next worksheet, enter four pieces of information in the four cells shaded light orange. The terms below are defined as footnotes on the next sheet, for users unfamiliar with them. 
• Metropolitan area (MSA) name (cell C10) - with drop-down menu of official U.S. Census MSA names, if using Excel 2010 (see below if using a previous version of Excel).
• New proposed track mileage (cell C11)
• New proposed annual train revenue miles (cell C12)
• New proposed rail seat capacity (cell C13)
     The green-highlighted cells to the right display a range of estimates of agglomeration-related productivity impacts based on the user inputs. The estimates are from the regression models presented in the TCRP H-39 Final Report. 
     There is a large range of possible economic benefits for any given project in any given metropolitan area. This reflects the inherent uncertainty in predicting future impacts.
Rows 33 to 55 show the technical details of the model outputs and are not needed for most users. 
</t>
    </r>
  </si>
  <si>
    <t>May 29, 2012 - FINAL VERSION</t>
  </si>
  <si>
    <r>
      <rPr>
        <b/>
        <sz val="11"/>
        <color theme="1"/>
        <rFont val="Calibri"/>
        <family val="2"/>
        <scheme val="minor"/>
      </rPr>
      <t>Methodology for Determining the Economic Development Impacts of Transit Projects 
Project TCRP H-39 
Spreadsheet Tool Documentation (May 29, 2012)</t>
    </r>
    <r>
      <rPr>
        <sz val="11"/>
        <color theme="1"/>
        <rFont val="Calibri"/>
        <family val="2"/>
        <scheme val="minor"/>
      </rPr>
      <t xml:space="preserve">
</t>
    </r>
    <r>
      <rPr>
        <i/>
        <sz val="11"/>
        <color theme="1"/>
        <rFont val="Calibri"/>
        <family val="2"/>
        <scheme val="minor"/>
      </rPr>
      <t>INTRODUCTION</t>
    </r>
    <r>
      <rPr>
        <sz val="11"/>
        <color theme="1"/>
        <rFont val="Calibri"/>
        <family val="2"/>
        <scheme val="minor"/>
      </rPr>
      <t xml:space="preserve">
     This spreadsheet is used to estimate the agglomeration-related productivity impacts of proposed rail projects. It is based on analysis that is presented in detail in the TCRP H-39 Final Report.
     The spreadsheet contains information about existing conditions in US metropolitan areas, along with information about the existing rail and bus systems, as of 2008 and 2009. User inputs are combined with this information to estimate the productivity benefits associated with proposed new rail investments in that metropolitan area. </t>
    </r>
  </si>
</sst>
</file>

<file path=xl/styles.xml><?xml version="1.0" encoding="utf-8"?>
<styleSheet xmlns="http://schemas.openxmlformats.org/spreadsheetml/2006/main">
  <numFmts count="18">
    <numFmt numFmtId="5" formatCode="&quot;$&quot;#,##0_);\(&quot;$&quot;#,##0\)"/>
    <numFmt numFmtId="41" formatCode="_(* #,##0_);_(* \(#,##0\);_(* &quot;-&quot;_);_(@_)"/>
    <numFmt numFmtId="44" formatCode="_(&quot;$&quot;* #,##0.00_);_(&quot;$&quot;* \(#,##0.00\);_(&quot;$&quot;* &quot;-&quot;??_);_(@_)"/>
    <numFmt numFmtId="43" formatCode="_(* #,##0.00_);_(* \(#,##0.00\);_(* &quot;-&quot;??_);_(@_)"/>
    <numFmt numFmtId="164" formatCode="0.0000"/>
    <numFmt numFmtId="165" formatCode="0.000"/>
    <numFmt numFmtId="166" formatCode="0.00000"/>
    <numFmt numFmtId="167" formatCode="&quot;$&quot;#,##0"/>
    <numFmt numFmtId="168" formatCode="0.0000%"/>
    <numFmt numFmtId="169" formatCode="&quot;$&quot;#,##0.00"/>
    <numFmt numFmtId="170" formatCode="0.00000%"/>
    <numFmt numFmtId="171" formatCode="&quot;$&quot;#,##0.0000"/>
    <numFmt numFmtId="172" formatCode="0.0000000"/>
    <numFmt numFmtId="173" formatCode="0.000000"/>
    <numFmt numFmtId="174" formatCode="_(&quot;$&quot;* #,##0_);_(&quot;$&quot;* \(#,##0\);_(&quot;$&quot;* &quot;-&quot;??_);_(@_)"/>
    <numFmt numFmtId="175" formatCode="_(* #,##0_);_(* \(#,##0\);_(* &quot;-&quot;??_);_(@_)"/>
    <numFmt numFmtId="176" formatCode="_(* #,##0.00000000_);_(* \(#,##0.00000000\);_(* &quot;-&quot;??_);_(@_)"/>
    <numFmt numFmtId="177" formatCode="_(* #,##0.000000_);_(* \(#,##0.000000\);_(* &quot;-&quot;??_);_(@_)"/>
  </numFmts>
  <fonts count="20">
    <font>
      <sz val="11"/>
      <color theme="1"/>
      <name val="Calibri"/>
      <family val="2"/>
      <scheme val="minor"/>
    </font>
    <font>
      <sz val="11"/>
      <color theme="1"/>
      <name val="Calibri"/>
      <family val="2"/>
      <scheme val="minor"/>
    </font>
    <font>
      <b/>
      <sz val="11"/>
      <color theme="1"/>
      <name val="Calibri"/>
      <family val="2"/>
      <scheme val="minor"/>
    </font>
    <font>
      <sz val="10"/>
      <color rgb="FF000000"/>
      <name val="Calibri"/>
      <family val="2"/>
      <scheme val="minor"/>
    </font>
    <font>
      <sz val="10"/>
      <color theme="1"/>
      <name val="Calibri"/>
      <family val="2"/>
      <scheme val="minor"/>
    </font>
    <font>
      <i/>
      <sz val="11"/>
      <color theme="1"/>
      <name val="Calibri"/>
      <family val="2"/>
      <scheme val="minor"/>
    </font>
    <font>
      <b/>
      <sz val="11"/>
      <color rgb="FF00B050"/>
      <name val="Calibri"/>
      <family val="2"/>
      <scheme val="minor"/>
    </font>
    <font>
      <sz val="11"/>
      <color rgb="FF006100"/>
      <name val="Calibri"/>
      <family val="2"/>
      <scheme val="minor"/>
    </font>
    <font>
      <b/>
      <sz val="11"/>
      <color rgb="FF006100"/>
      <name val="Calibri"/>
      <family val="2"/>
      <scheme val="minor"/>
    </font>
    <font>
      <sz val="8"/>
      <color indexed="81"/>
      <name val="Tahoma"/>
      <family val="2"/>
    </font>
    <font>
      <b/>
      <sz val="8"/>
      <color indexed="81"/>
      <name val="Tahoma"/>
      <family val="2"/>
    </font>
    <font>
      <sz val="9"/>
      <color indexed="81"/>
      <name val="Tahoma"/>
      <family val="2"/>
    </font>
    <font>
      <b/>
      <sz val="9"/>
      <color indexed="81"/>
      <name val="Tahoma"/>
      <family val="2"/>
    </font>
    <font>
      <b/>
      <sz val="11"/>
      <color rgb="FF0070C0"/>
      <name val="Calibri"/>
      <family val="2"/>
      <scheme val="minor"/>
    </font>
    <font>
      <b/>
      <sz val="11"/>
      <name val="Calibri"/>
      <family val="2"/>
      <scheme val="minor"/>
    </font>
    <font>
      <b/>
      <sz val="11"/>
      <color theme="6" tint="-0.499984740745262"/>
      <name val="Calibri"/>
      <family val="2"/>
      <scheme val="minor"/>
    </font>
    <font>
      <sz val="11"/>
      <color theme="6" tint="-0.499984740745262"/>
      <name val="Calibri"/>
      <family val="2"/>
      <scheme val="minor"/>
    </font>
    <font>
      <sz val="11"/>
      <color theme="6" tint="-0.499984740745262"/>
      <name val="Calibri"/>
      <family val="2"/>
    </font>
    <font>
      <i/>
      <sz val="11"/>
      <color theme="6" tint="-0.499984740745262"/>
      <name val="Calibri"/>
      <family val="2"/>
      <scheme val="minor"/>
    </font>
    <font>
      <vertAlign val="superscript"/>
      <sz val="11"/>
      <color theme="1"/>
      <name val="Calibri"/>
      <family val="2"/>
      <scheme val="minor"/>
    </font>
  </fonts>
  <fills count="2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theme="3" tint="0.59999389629810485"/>
        <bgColor indexed="64"/>
      </patternFill>
    </fill>
    <fill>
      <patternFill patternType="solid">
        <fgColor rgb="FFC6EFCE"/>
      </patternFill>
    </fill>
    <fill>
      <patternFill patternType="solid">
        <fgColor theme="3" tint="0.79998168889431442"/>
        <bgColor indexed="64"/>
      </patternFill>
    </fill>
    <fill>
      <patternFill patternType="solid">
        <fgColor rgb="FFCCFF99"/>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tint="-0.34998626667073579"/>
        <bgColor indexed="64"/>
      </patternFill>
    </fill>
    <fill>
      <patternFill patternType="solid">
        <fgColor indexed="65"/>
        <bgColor theme="8" tint="0.79998168889431442"/>
      </patternFill>
    </fill>
    <fill>
      <patternFill patternType="solid">
        <fgColor theme="0" tint="-0.34998626667073579"/>
        <bgColor theme="8" tint="0.79998168889431442"/>
      </patternFill>
    </fill>
    <fill>
      <patternFill patternType="solid">
        <fgColor theme="0"/>
        <bgColor indexed="64"/>
      </patternFill>
    </fill>
    <fill>
      <patternFill patternType="solid">
        <fgColor theme="0" tint="-0.14999847407452621"/>
        <bgColor indexed="64"/>
      </patternFill>
    </fill>
    <fill>
      <patternFill patternType="solid">
        <fgColor theme="0"/>
        <bgColor theme="8" tint="0.79998168889431442"/>
      </patternFill>
    </fill>
    <fill>
      <patternFill patternType="solid">
        <fgColor theme="9" tint="0.39997558519241921"/>
        <bgColor theme="8" tint="0.79998168889431442"/>
      </patternFill>
    </fill>
    <fill>
      <patternFill patternType="solid">
        <fgColor theme="9" tint="0.39997558519241921"/>
        <bgColor indexed="64"/>
      </patternFill>
    </fill>
    <fill>
      <patternFill patternType="solid">
        <fgColor rgb="FFC4FBA5"/>
        <bgColor indexed="64"/>
      </patternFill>
    </fill>
  </fills>
  <borders count="15">
    <border>
      <left/>
      <right/>
      <top/>
      <bottom/>
      <diagonal/>
    </border>
    <border>
      <left/>
      <right style="thin">
        <color indexed="64"/>
      </right>
      <top/>
      <bottom/>
      <diagonal/>
    </border>
    <border>
      <left style="mediumDashDot">
        <color auto="1"/>
      </left>
      <right/>
      <top/>
      <bottom/>
      <diagonal/>
    </border>
    <border>
      <left/>
      <right style="mediumDashDot">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DashDot">
        <color auto="1"/>
      </left>
      <right/>
      <top/>
      <bottom style="thin">
        <color indexed="64"/>
      </bottom>
      <diagonal/>
    </border>
    <border>
      <left/>
      <right style="mediumDashDot">
        <color auto="1"/>
      </right>
      <top/>
      <bottom style="thin">
        <color indexed="64"/>
      </bottom>
      <diagonal/>
    </border>
    <border>
      <left/>
      <right style="mediumDashDot">
        <color auto="1"/>
      </right>
      <top style="thin">
        <color auto="1"/>
      </top>
      <bottom/>
      <diagonal/>
    </border>
    <border>
      <left style="mediumDashDot">
        <color auto="1"/>
      </left>
      <right/>
      <top style="thin">
        <color indexed="64"/>
      </top>
      <bottom/>
      <diagonal/>
    </border>
  </borders>
  <cellStyleXfs count="5">
    <xf numFmtId="0" fontId="0" fillId="0" borderId="0"/>
    <xf numFmtId="9" fontId="1" fillId="0" borderId="0" applyFont="0" applyFill="0" applyBorder="0" applyAlignment="0" applyProtection="0"/>
    <xf numFmtId="0" fontId="7" fillId="6" borderId="0" applyNumberFormat="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270">
    <xf numFmtId="0" fontId="0" fillId="0" borderId="0" xfId="0"/>
    <xf numFmtId="0" fontId="0" fillId="2" borderId="0" xfId="0" applyFill="1"/>
    <xf numFmtId="0" fontId="0" fillId="3" borderId="0" xfId="0" applyFill="1"/>
    <xf numFmtId="0" fontId="0" fillId="0" borderId="0" xfId="0" applyNumberFormat="1"/>
    <xf numFmtId="0" fontId="0" fillId="0" borderId="0" xfId="0" applyNumberFormat="1" applyFill="1"/>
    <xf numFmtId="0" fontId="2" fillId="0" borderId="0" xfId="0" applyNumberFormat="1" applyFont="1"/>
    <xf numFmtId="0" fontId="0" fillId="0" borderId="0" xfId="0" applyNumberFormat="1" applyFill="1" applyBorder="1"/>
    <xf numFmtId="0" fontId="0" fillId="0" borderId="0" xfId="0" applyNumberFormat="1" applyBorder="1"/>
    <xf numFmtId="0" fontId="3" fillId="0" borderId="0" xfId="0" applyNumberFormat="1" applyFont="1" applyBorder="1" applyAlignment="1">
      <alignment vertical="top"/>
    </xf>
    <xf numFmtId="0" fontId="4" fillId="0" borderId="0" xfId="0" applyNumberFormat="1" applyFont="1" applyBorder="1" applyAlignment="1">
      <alignment vertical="top"/>
    </xf>
    <xf numFmtId="0" fontId="0" fillId="0" borderId="0" xfId="0" applyNumberFormat="1" applyAlignment="1">
      <alignment wrapText="1"/>
    </xf>
    <xf numFmtId="164" fontId="0" fillId="0" borderId="0" xfId="0" applyNumberFormat="1"/>
    <xf numFmtId="165" fontId="0" fillId="0" borderId="0" xfId="0" applyNumberFormat="1" applyFill="1" applyBorder="1"/>
    <xf numFmtId="165" fontId="0" fillId="0" borderId="0" xfId="0" applyNumberFormat="1"/>
    <xf numFmtId="11" fontId="0" fillId="0" borderId="0" xfId="0" applyNumberFormat="1"/>
    <xf numFmtId="0" fontId="2" fillId="0" borderId="0" xfId="0" applyNumberFormat="1" applyFont="1" applyFill="1"/>
    <xf numFmtId="166" fontId="0" fillId="0" borderId="0" xfId="0" applyNumberFormat="1"/>
    <xf numFmtId="0" fontId="0" fillId="0" borderId="0" xfId="0" applyNumberFormat="1" applyFill="1" applyBorder="1" applyAlignment="1">
      <alignment horizontal="right" wrapText="1"/>
    </xf>
    <xf numFmtId="0" fontId="0" fillId="0" borderId="0" xfId="0" applyAlignment="1">
      <alignment horizontal="right"/>
    </xf>
    <xf numFmtId="0" fontId="0" fillId="0" borderId="0" xfId="0" applyAlignment="1">
      <alignment wrapText="1"/>
    </xf>
    <xf numFmtId="0" fontId="0" fillId="0" borderId="0" xfId="0" applyNumberFormat="1" applyAlignment="1">
      <alignment horizontal="right"/>
    </xf>
    <xf numFmtId="166" fontId="0" fillId="0" borderId="0" xfId="0" applyNumberFormat="1" applyAlignment="1">
      <alignment horizontal="right"/>
    </xf>
    <xf numFmtId="166" fontId="2" fillId="0" borderId="0" xfId="0" applyNumberFormat="1" applyFont="1" applyAlignment="1">
      <alignment horizontal="right"/>
    </xf>
    <xf numFmtId="164" fontId="2" fillId="0" borderId="0" xfId="0" applyNumberFormat="1" applyFont="1" applyAlignment="1">
      <alignment horizontal="right"/>
    </xf>
    <xf numFmtId="0" fontId="0" fillId="4" borderId="0" xfId="0" applyFill="1" applyAlignment="1"/>
    <xf numFmtId="164" fontId="0" fillId="0" borderId="0" xfId="0" applyNumberFormat="1" applyFill="1"/>
    <xf numFmtId="0" fontId="5" fillId="0" borderId="0" xfId="0" applyNumberFormat="1" applyFont="1"/>
    <xf numFmtId="0" fontId="2" fillId="3" borderId="0" xfId="0" applyNumberFormat="1" applyFont="1" applyFill="1"/>
    <xf numFmtId="0" fontId="0" fillId="3" borderId="0" xfId="0" applyNumberFormat="1" applyFill="1"/>
    <xf numFmtId="10" fontId="0" fillId="0" borderId="0" xfId="0" applyNumberFormat="1"/>
    <xf numFmtId="0" fontId="2" fillId="0" borderId="0" xfId="0" applyFont="1"/>
    <xf numFmtId="0" fontId="2" fillId="0" borderId="0" xfId="0" applyFont="1" applyAlignment="1">
      <alignment wrapText="1"/>
    </xf>
    <xf numFmtId="167" fontId="0" fillId="2" borderId="0" xfId="0" applyNumberFormat="1" applyFont="1" applyFill="1"/>
    <xf numFmtId="168" fontId="0" fillId="2" borderId="0" xfId="1" applyNumberFormat="1" applyFont="1" applyFill="1"/>
    <xf numFmtId="169" fontId="0" fillId="0" borderId="0" xfId="0" applyNumberFormat="1"/>
    <xf numFmtId="170" fontId="0" fillId="2" borderId="0" xfId="1" applyNumberFormat="1" applyFont="1" applyFill="1"/>
    <xf numFmtId="167" fontId="0" fillId="2" borderId="0" xfId="1" applyNumberFormat="1" applyFont="1" applyFill="1"/>
    <xf numFmtId="171" fontId="0" fillId="2" borderId="0" xfId="0" applyNumberFormat="1" applyFont="1" applyFill="1"/>
    <xf numFmtId="0" fontId="2" fillId="0" borderId="0" xfId="0" applyFont="1" applyAlignment="1">
      <alignment wrapText="1"/>
    </xf>
    <xf numFmtId="0" fontId="2" fillId="3" borderId="0" xfId="0" applyFont="1" applyFill="1" applyAlignment="1">
      <alignment wrapText="1"/>
    </xf>
    <xf numFmtId="167" fontId="0" fillId="2" borderId="0" xfId="0" applyNumberFormat="1" applyFill="1"/>
    <xf numFmtId="168" fontId="0" fillId="2" borderId="0" xfId="0" applyNumberFormat="1" applyFill="1"/>
    <xf numFmtId="0" fontId="0" fillId="0" borderId="0" xfId="0" applyNumberFormat="1" applyFill="1" applyBorder="1" applyAlignment="1">
      <alignment wrapText="1"/>
    </xf>
    <xf numFmtId="0" fontId="2" fillId="0" borderId="0" xfId="0" applyFont="1" applyAlignment="1">
      <alignment wrapText="1"/>
    </xf>
    <xf numFmtId="164" fontId="0" fillId="0" borderId="0" xfId="0" applyNumberFormat="1" applyAlignment="1">
      <alignment horizontal="right"/>
    </xf>
    <xf numFmtId="172" fontId="0" fillId="0" borderId="0" xfId="0" applyNumberFormat="1"/>
    <xf numFmtId="0" fontId="2" fillId="0" borderId="0" xfId="0" applyFont="1" applyFill="1" applyAlignment="1">
      <alignment wrapText="1"/>
    </xf>
    <xf numFmtId="0" fontId="0" fillId="0" borderId="0" xfId="0" applyNumberFormat="1" applyFill="1" applyBorder="1" applyAlignment="1">
      <alignment wrapText="1"/>
    </xf>
    <xf numFmtId="0" fontId="0" fillId="0" borderId="0" xfId="0" applyAlignment="1"/>
    <xf numFmtId="0" fontId="0" fillId="0" borderId="0" xfId="0" applyAlignment="1">
      <alignment wrapText="1"/>
    </xf>
    <xf numFmtId="1" fontId="0" fillId="0" borderId="0" xfId="0" applyNumberFormat="1"/>
    <xf numFmtId="167" fontId="0" fillId="0" borderId="0" xfId="0" applyNumberFormat="1"/>
    <xf numFmtId="0" fontId="0" fillId="0" borderId="0" xfId="0" applyFill="1"/>
    <xf numFmtId="168" fontId="0" fillId="0" borderId="0" xfId="0" applyNumberFormat="1" applyFill="1"/>
    <xf numFmtId="0" fontId="0" fillId="0" borderId="0" xfId="0" applyAlignment="1">
      <alignment wrapText="1"/>
    </xf>
    <xf numFmtId="0" fontId="0" fillId="4" borderId="0" xfId="0" applyFill="1" applyAlignment="1"/>
    <xf numFmtId="0" fontId="2" fillId="0" borderId="0" xfId="0" applyFont="1" applyAlignment="1">
      <alignment wrapText="1"/>
    </xf>
    <xf numFmtId="0" fontId="2" fillId="0" borderId="0" xfId="0" applyFont="1" applyFill="1" applyAlignment="1">
      <alignment wrapText="1"/>
    </xf>
    <xf numFmtId="0" fontId="2" fillId="5" borderId="0" xfId="0" applyNumberFormat="1" applyFont="1" applyFill="1" applyBorder="1" applyAlignment="1">
      <alignment wrapText="1"/>
    </xf>
    <xf numFmtId="0" fontId="2" fillId="5" borderId="0" xfId="0" applyFont="1" applyFill="1" applyAlignment="1"/>
    <xf numFmtId="0" fontId="2" fillId="5" borderId="0" xfId="0" applyFont="1" applyFill="1" applyAlignment="1">
      <alignment wrapText="1"/>
    </xf>
    <xf numFmtId="173" fontId="0" fillId="0" borderId="0" xfId="0" applyNumberFormat="1"/>
    <xf numFmtId="167" fontId="0" fillId="0" borderId="0" xfId="0" applyNumberFormat="1" applyAlignment="1">
      <alignment wrapText="1"/>
    </xf>
    <xf numFmtId="0" fontId="0" fillId="7" borderId="0" xfId="0" applyFill="1"/>
    <xf numFmtId="0" fontId="2" fillId="7" borderId="0" xfId="0" applyFont="1" applyFill="1"/>
    <xf numFmtId="0" fontId="8" fillId="7" borderId="0" xfId="2" applyFont="1" applyFill="1"/>
    <xf numFmtId="0" fontId="8" fillId="6" borderId="0" xfId="2" applyFont="1"/>
    <xf numFmtId="0" fontId="0" fillId="0" borderId="0" xfId="0" applyAlignment="1"/>
    <xf numFmtId="3" fontId="0" fillId="0" borderId="0" xfId="0" applyNumberFormat="1"/>
    <xf numFmtId="169" fontId="0" fillId="8" borderId="0" xfId="0" applyNumberFormat="1" applyFill="1"/>
    <xf numFmtId="169" fontId="0" fillId="8" borderId="0" xfId="0" applyNumberFormat="1" applyFill="1" applyBorder="1"/>
    <xf numFmtId="169" fontId="0" fillId="8" borderId="1" xfId="0" applyNumberFormat="1" applyFill="1" applyBorder="1"/>
    <xf numFmtId="0" fontId="0" fillId="0" borderId="0" xfId="0" applyBorder="1"/>
    <xf numFmtId="0" fontId="0" fillId="0" borderId="1" xfId="0" applyBorder="1"/>
    <xf numFmtId="169" fontId="0" fillId="0" borderId="0" xfId="0" applyNumberFormat="1" applyFill="1" applyBorder="1"/>
    <xf numFmtId="169" fontId="0" fillId="0" borderId="0" xfId="0" applyNumberFormat="1" applyFill="1"/>
    <xf numFmtId="0" fontId="0" fillId="0" borderId="0" xfId="0" applyAlignment="1"/>
    <xf numFmtId="0" fontId="2" fillId="0" borderId="0" xfId="0" applyFont="1" applyAlignment="1">
      <alignment wrapText="1"/>
    </xf>
    <xf numFmtId="0" fontId="2" fillId="0" borderId="0" xfId="0" applyFont="1" applyFill="1" applyAlignment="1">
      <alignment wrapText="1"/>
    </xf>
    <xf numFmtId="0" fontId="2" fillId="3" borderId="0" xfId="0" applyFont="1" applyFill="1" applyBorder="1" applyAlignment="1">
      <alignment wrapText="1"/>
    </xf>
    <xf numFmtId="0" fontId="0" fillId="0" borderId="0" xfId="0" applyBorder="1" applyAlignment="1"/>
    <xf numFmtId="0" fontId="0" fillId="0" borderId="1" xfId="0" applyBorder="1" applyAlignment="1"/>
    <xf numFmtId="0" fontId="2" fillId="3" borderId="0" xfId="0" applyFont="1" applyFill="1" applyAlignment="1">
      <alignment wrapText="1"/>
    </xf>
    <xf numFmtId="2" fontId="0" fillId="10" borderId="0" xfId="0" applyNumberFormat="1" applyFill="1"/>
    <xf numFmtId="0" fontId="0" fillId="0" borderId="0" xfId="0" applyNumberFormat="1" applyFill="1" applyAlignment="1">
      <alignment wrapText="1"/>
    </xf>
    <xf numFmtId="167" fontId="0" fillId="0" borderId="0" xfId="0" applyNumberFormat="1" applyFont="1" applyFill="1"/>
    <xf numFmtId="171" fontId="0" fillId="0" borderId="0" xfId="0" applyNumberFormat="1" applyFont="1" applyFill="1"/>
    <xf numFmtId="167" fontId="0" fillId="9" borderId="0" xfId="0" applyNumberFormat="1" applyFont="1" applyFill="1"/>
    <xf numFmtId="170" fontId="0" fillId="9" borderId="0" xfId="1" applyNumberFormat="1" applyFont="1" applyFill="1"/>
    <xf numFmtId="174" fontId="0" fillId="0" borderId="0" xfId="0" applyNumberFormat="1"/>
    <xf numFmtId="0" fontId="0" fillId="0" borderId="0" xfId="0" applyFont="1"/>
    <xf numFmtId="43" fontId="0" fillId="0" borderId="0" xfId="0" applyNumberFormat="1"/>
    <xf numFmtId="176" fontId="0" fillId="0" borderId="0" xfId="0" applyNumberFormat="1"/>
    <xf numFmtId="44" fontId="0" fillId="0" borderId="0" xfId="4" applyFont="1"/>
    <xf numFmtId="0" fontId="0" fillId="0" borderId="0" xfId="0" applyAlignment="1">
      <alignment horizontal="left" indent="1"/>
    </xf>
    <xf numFmtId="0" fontId="0" fillId="12" borderId="0" xfId="0" applyFill="1" applyBorder="1"/>
    <xf numFmtId="0" fontId="0" fillId="12" borderId="1" xfId="0" applyFill="1" applyBorder="1"/>
    <xf numFmtId="0" fontId="5" fillId="12" borderId="0" xfId="0" applyFont="1" applyFill="1" applyBorder="1" applyAlignment="1">
      <alignment horizontal="right"/>
    </xf>
    <xf numFmtId="0" fontId="2" fillId="12" borderId="0" xfId="0" applyFont="1" applyFill="1" applyBorder="1" applyAlignment="1">
      <alignment horizontal="right"/>
    </xf>
    <xf numFmtId="2" fontId="0" fillId="13" borderId="1" xfId="0" applyNumberFormat="1" applyFill="1" applyBorder="1"/>
    <xf numFmtId="0" fontId="0" fillId="14" borderId="7" xfId="0" applyFill="1" applyBorder="1"/>
    <xf numFmtId="0" fontId="5" fillId="16" borderId="7" xfId="0" applyFont="1" applyFill="1" applyBorder="1" applyAlignment="1">
      <alignment horizontal="right"/>
    </xf>
    <xf numFmtId="0" fontId="0" fillId="16" borderId="7" xfId="0" applyFill="1" applyBorder="1"/>
    <xf numFmtId="0" fontId="0" fillId="14" borderId="7" xfId="0" applyFill="1" applyBorder="1" applyAlignment="1">
      <alignment horizontal="left" indent="1"/>
    </xf>
    <xf numFmtId="0" fontId="0" fillId="14" borderId="8" xfId="0" applyFill="1" applyBorder="1"/>
    <xf numFmtId="0" fontId="0" fillId="14" borderId="0" xfId="0" applyFill="1" applyBorder="1"/>
    <xf numFmtId="0" fontId="5" fillId="16" borderId="0" xfId="0" applyFont="1" applyFill="1" applyBorder="1" applyAlignment="1">
      <alignment horizontal="right"/>
    </xf>
    <xf numFmtId="0" fontId="0" fillId="14" borderId="0" xfId="0" applyFill="1" applyBorder="1" applyAlignment="1"/>
    <xf numFmtId="0" fontId="0" fillId="14" borderId="1" xfId="0" applyFill="1" applyBorder="1"/>
    <xf numFmtId="0" fontId="0" fillId="14" borderId="10" xfId="0" applyFill="1" applyBorder="1"/>
    <xf numFmtId="175" fontId="0" fillId="11" borderId="0" xfId="3" applyNumberFormat="1" applyFont="1" applyFill="1" applyBorder="1"/>
    <xf numFmtId="5" fontId="0" fillId="11" borderId="0" xfId="3" applyNumberFormat="1" applyFont="1" applyFill="1" applyBorder="1"/>
    <xf numFmtId="37" fontId="0" fillId="11" borderId="0" xfId="3" applyNumberFormat="1" applyFont="1" applyFill="1" applyBorder="1"/>
    <xf numFmtId="175" fontId="0" fillId="11" borderId="9" xfId="3" applyNumberFormat="1" applyFont="1" applyFill="1" applyBorder="1"/>
    <xf numFmtId="175" fontId="0" fillId="14" borderId="0" xfId="3" applyNumberFormat="1" applyFont="1" applyFill="1" applyBorder="1"/>
    <xf numFmtId="5" fontId="0" fillId="14" borderId="0" xfId="3" applyNumberFormat="1" applyFont="1" applyFill="1" applyBorder="1"/>
    <xf numFmtId="37" fontId="0" fillId="14" borderId="0" xfId="3" applyNumberFormat="1" applyFont="1" applyFill="1" applyBorder="1"/>
    <xf numFmtId="175" fontId="0" fillId="14" borderId="9" xfId="3" applyNumberFormat="1" applyFont="1" applyFill="1" applyBorder="1"/>
    <xf numFmtId="0" fontId="0" fillId="16" borderId="0" xfId="0" applyFill="1" applyBorder="1"/>
    <xf numFmtId="0" fontId="0" fillId="16" borderId="0" xfId="0" applyFill="1" applyBorder="1" applyAlignment="1"/>
    <xf numFmtId="0" fontId="0" fillId="17" borderId="0" xfId="0" applyFill="1" applyBorder="1" applyProtection="1">
      <protection locked="0"/>
    </xf>
    <xf numFmtId="0" fontId="0" fillId="18" borderId="0" xfId="0" applyFill="1" applyProtection="1">
      <protection locked="0"/>
    </xf>
    <xf numFmtId="0" fontId="0" fillId="17" borderId="1" xfId="0" applyFill="1" applyBorder="1"/>
    <xf numFmtId="0" fontId="0" fillId="19" borderId="1" xfId="0" applyFill="1" applyBorder="1"/>
    <xf numFmtId="0" fontId="6" fillId="19" borderId="7" xfId="0" applyFont="1" applyFill="1" applyBorder="1" applyAlignment="1">
      <alignment horizontal="center"/>
    </xf>
    <xf numFmtId="0" fontId="0" fillId="19" borderId="7" xfId="0" applyFill="1" applyBorder="1"/>
    <xf numFmtId="0" fontId="0" fillId="19" borderId="0" xfId="0" applyFill="1" applyBorder="1"/>
    <xf numFmtId="0" fontId="2" fillId="19" borderId="1" xfId="0" applyFont="1" applyFill="1" applyBorder="1" applyAlignment="1">
      <alignment horizontal="center"/>
    </xf>
    <xf numFmtId="169" fontId="6" fillId="19" borderId="0" xfId="0" applyNumberFormat="1" applyFont="1" applyFill="1" applyBorder="1" applyAlignment="1">
      <alignment horizontal="center"/>
    </xf>
    <xf numFmtId="169" fontId="6" fillId="19" borderId="7" xfId="0" applyNumberFormat="1" applyFont="1" applyFill="1" applyBorder="1" applyAlignment="1">
      <alignment horizontal="center"/>
    </xf>
    <xf numFmtId="0" fontId="6" fillId="19" borderId="0" xfId="0" applyFont="1" applyFill="1" applyBorder="1" applyAlignment="1">
      <alignment horizontal="center"/>
    </xf>
    <xf numFmtId="0" fontId="13" fillId="19" borderId="7" xfId="0" applyFont="1" applyFill="1" applyBorder="1" applyAlignment="1">
      <alignment horizontal="center"/>
    </xf>
    <xf numFmtId="169" fontId="13" fillId="19" borderId="7" xfId="0" applyNumberFormat="1" applyFont="1" applyFill="1" applyBorder="1" applyAlignment="1">
      <alignment horizontal="center"/>
    </xf>
    <xf numFmtId="0" fontId="2" fillId="19" borderId="0" xfId="0" applyFont="1" applyFill="1" applyBorder="1" applyAlignment="1">
      <alignment horizontal="center"/>
    </xf>
    <xf numFmtId="0" fontId="13" fillId="19" borderId="1" xfId="0" applyFont="1" applyFill="1" applyBorder="1" applyAlignment="1">
      <alignment horizontal="center"/>
    </xf>
    <xf numFmtId="169" fontId="13" fillId="19" borderId="1" xfId="0" applyNumberFormat="1" applyFont="1" applyFill="1" applyBorder="1" applyAlignment="1">
      <alignment horizontal="center"/>
    </xf>
    <xf numFmtId="0" fontId="0" fillId="19" borderId="0" xfId="0" applyFill="1"/>
    <xf numFmtId="167" fontId="6" fillId="19" borderId="7" xfId="0" applyNumberFormat="1" applyFont="1" applyFill="1" applyBorder="1" applyAlignment="1">
      <alignment horizontal="center"/>
    </xf>
    <xf numFmtId="167" fontId="6" fillId="19" borderId="0" xfId="0" applyNumberFormat="1" applyFont="1" applyFill="1" applyBorder="1" applyAlignment="1">
      <alignment horizontal="center"/>
    </xf>
    <xf numFmtId="167" fontId="13" fillId="19" borderId="7" xfId="0" applyNumberFormat="1" applyFont="1" applyFill="1" applyBorder="1" applyAlignment="1">
      <alignment horizontal="center"/>
    </xf>
    <xf numFmtId="167" fontId="13" fillId="19" borderId="1" xfId="0" applyNumberFormat="1" applyFont="1" applyFill="1" applyBorder="1" applyAlignment="1">
      <alignment horizontal="center"/>
    </xf>
    <xf numFmtId="167" fontId="2" fillId="19" borderId="0" xfId="0" applyNumberFormat="1" applyFont="1" applyFill="1" applyBorder="1" applyAlignment="1">
      <alignment horizontal="center"/>
    </xf>
    <xf numFmtId="167" fontId="2" fillId="19" borderId="1" xfId="0" applyNumberFormat="1" applyFont="1" applyFill="1" applyBorder="1" applyAlignment="1">
      <alignment horizontal="center"/>
    </xf>
    <xf numFmtId="0" fontId="0" fillId="0" borderId="5" xfId="0" applyFill="1" applyBorder="1"/>
    <xf numFmtId="0" fontId="0" fillId="0" borderId="0" xfId="0" applyFill="1" applyBorder="1"/>
    <xf numFmtId="15" fontId="2" fillId="0" borderId="0" xfId="0" quotePrefix="1" applyNumberFormat="1" applyFont="1"/>
    <xf numFmtId="0" fontId="15" fillId="14" borderId="4" xfId="0" applyFont="1" applyFill="1" applyBorder="1"/>
    <xf numFmtId="0" fontId="16" fillId="14" borderId="5" xfId="0" applyFont="1" applyFill="1" applyBorder="1"/>
    <xf numFmtId="0" fontId="16" fillId="14" borderId="6" xfId="0" applyFont="1" applyFill="1" applyBorder="1"/>
    <xf numFmtId="0" fontId="16" fillId="0" borderId="0" xfId="0" applyFont="1"/>
    <xf numFmtId="0" fontId="16" fillId="14" borderId="7" xfId="0" applyFont="1" applyFill="1" applyBorder="1"/>
    <xf numFmtId="0" fontId="16" fillId="14" borderId="9" xfId="0" applyFont="1" applyFill="1" applyBorder="1" applyAlignment="1">
      <alignment horizontal="center" wrapText="1"/>
    </xf>
    <xf numFmtId="0" fontId="16" fillId="14" borderId="11" xfId="0" applyFont="1" applyFill="1" applyBorder="1" applyAlignment="1">
      <alignment horizontal="center" wrapText="1"/>
    </xf>
    <xf numFmtId="0" fontId="16" fillId="14" borderId="12" xfId="0" applyFont="1" applyFill="1" applyBorder="1" applyAlignment="1">
      <alignment horizontal="center" wrapText="1"/>
    </xf>
    <xf numFmtId="0" fontId="16" fillId="14" borderId="10" xfId="0" applyFont="1" applyFill="1" applyBorder="1" applyAlignment="1">
      <alignment horizontal="center" wrapText="1"/>
    </xf>
    <xf numFmtId="0" fontId="16" fillId="15" borderId="7" xfId="0" applyFont="1" applyFill="1" applyBorder="1" applyAlignment="1">
      <alignment wrapText="1"/>
    </xf>
    <xf numFmtId="39" fontId="16" fillId="15" borderId="0" xfId="3" applyNumberFormat="1" applyFont="1" applyFill="1" applyBorder="1" applyAlignment="1">
      <alignment horizontal="center"/>
    </xf>
    <xf numFmtId="39" fontId="16" fillId="3" borderId="0" xfId="3" applyNumberFormat="1" applyFont="1" applyFill="1" applyBorder="1" applyAlignment="1">
      <alignment horizontal="center"/>
    </xf>
    <xf numFmtId="0" fontId="16" fillId="14" borderId="7" xfId="0" applyFont="1" applyFill="1" applyBorder="1" applyAlignment="1">
      <alignment wrapText="1"/>
    </xf>
    <xf numFmtId="43" fontId="16" fillId="0" borderId="0" xfId="3" applyFont="1" applyFill="1" applyBorder="1" applyAlignment="1">
      <alignment horizontal="center"/>
    </xf>
    <xf numFmtId="43" fontId="16" fillId="3" borderId="0" xfId="3" applyFont="1" applyFill="1" applyBorder="1" applyAlignment="1">
      <alignment horizontal="center"/>
    </xf>
    <xf numFmtId="0" fontId="16" fillId="15" borderId="0" xfId="0" applyFont="1" applyFill="1" applyBorder="1" applyAlignment="1">
      <alignment horizontal="center"/>
    </xf>
    <xf numFmtId="0" fontId="16" fillId="3" borderId="0" xfId="0" applyFont="1" applyFill="1" applyBorder="1" applyAlignment="1">
      <alignment horizontal="center"/>
    </xf>
    <xf numFmtId="0" fontId="16" fillId="0" borderId="0" xfId="0" applyFont="1" applyFill="1" applyBorder="1" applyAlignment="1">
      <alignment horizontal="center"/>
    </xf>
    <xf numFmtId="175" fontId="16" fillId="15" borderId="7" xfId="0" applyNumberFormat="1" applyFont="1" applyFill="1" applyBorder="1" applyAlignment="1">
      <alignment horizontal="left" wrapText="1"/>
    </xf>
    <xf numFmtId="175" fontId="16" fillId="15" borderId="0" xfId="0" applyNumberFormat="1" applyFont="1" applyFill="1" applyBorder="1" applyAlignment="1">
      <alignment horizontal="center"/>
    </xf>
    <xf numFmtId="175" fontId="16" fillId="3" borderId="0" xfId="0" applyNumberFormat="1" applyFont="1" applyFill="1" applyBorder="1" applyAlignment="1">
      <alignment horizontal="center"/>
    </xf>
    <xf numFmtId="175" fontId="16" fillId="14" borderId="7" xfId="0" applyNumberFormat="1" applyFont="1" applyFill="1" applyBorder="1" applyAlignment="1">
      <alignment horizontal="left" wrapText="1"/>
    </xf>
    <xf numFmtId="175" fontId="16" fillId="0" borderId="0" xfId="0" applyNumberFormat="1" applyFont="1" applyFill="1" applyBorder="1" applyAlignment="1">
      <alignment horizontal="center"/>
    </xf>
    <xf numFmtId="0" fontId="16" fillId="14" borderId="8" xfId="0" applyFont="1" applyFill="1" applyBorder="1" applyAlignment="1">
      <alignment wrapText="1"/>
    </xf>
    <xf numFmtId="0" fontId="16" fillId="0" borderId="9" xfId="0" applyFont="1" applyFill="1" applyBorder="1" applyAlignment="1">
      <alignment horizontal="center"/>
    </xf>
    <xf numFmtId="0" fontId="16" fillId="14" borderId="0" xfId="0" applyFont="1" applyFill="1" applyBorder="1"/>
    <xf numFmtId="0" fontId="16" fillId="14" borderId="1" xfId="0" applyFont="1" applyFill="1" applyBorder="1"/>
    <xf numFmtId="0" fontId="15" fillId="14" borderId="0" xfId="0" applyFont="1" applyFill="1" applyBorder="1"/>
    <xf numFmtId="43" fontId="16" fillId="14" borderId="0" xfId="3" applyFont="1" applyFill="1" applyBorder="1"/>
    <xf numFmtId="0" fontId="18" fillId="14" borderId="9" xfId="0" applyFont="1" applyFill="1" applyBorder="1"/>
    <xf numFmtId="43" fontId="18" fillId="14" borderId="9" xfId="3" applyFont="1" applyFill="1" applyBorder="1" applyAlignment="1">
      <alignment horizontal="center"/>
    </xf>
    <xf numFmtId="0" fontId="18" fillId="14" borderId="0" xfId="0" applyFont="1" applyFill="1" applyBorder="1"/>
    <xf numFmtId="0" fontId="16" fillId="14" borderId="0" xfId="0" applyFont="1" applyFill="1" applyBorder="1" applyAlignment="1">
      <alignment wrapText="1"/>
    </xf>
    <xf numFmtId="0" fontId="16" fillId="0" borderId="6" xfId="0" applyFont="1" applyFill="1" applyBorder="1" applyAlignment="1">
      <alignment horizontal="center"/>
    </xf>
    <xf numFmtId="0" fontId="16" fillId="14" borderId="0" xfId="0" applyFont="1" applyFill="1" applyBorder="1" applyAlignment="1">
      <alignment horizontal="center"/>
    </xf>
    <xf numFmtId="0" fontId="16" fillId="15" borderId="7" xfId="0" applyFont="1" applyFill="1" applyBorder="1"/>
    <xf numFmtId="0" fontId="16" fillId="15" borderId="0" xfId="0" applyFont="1" applyFill="1" applyBorder="1" applyAlignment="1">
      <alignment wrapText="1"/>
    </xf>
    <xf numFmtId="43" fontId="16" fillId="15" borderId="0" xfId="3" applyFont="1" applyFill="1" applyBorder="1" applyAlignment="1">
      <alignment horizontal="center"/>
    </xf>
    <xf numFmtId="0" fontId="16" fillId="15" borderId="1" xfId="0" applyFont="1" applyFill="1" applyBorder="1" applyAlignment="1">
      <alignment horizontal="center"/>
    </xf>
    <xf numFmtId="0" fontId="16" fillId="0" borderId="1" xfId="0" applyFont="1" applyFill="1" applyBorder="1" applyAlignment="1">
      <alignment horizontal="center"/>
    </xf>
    <xf numFmtId="0" fontId="16" fillId="15" borderId="8" xfId="0" applyFont="1" applyFill="1" applyBorder="1"/>
    <xf numFmtId="0" fontId="16" fillId="15" borderId="9" xfId="0" applyFont="1" applyFill="1" applyBorder="1" applyAlignment="1">
      <alignment wrapText="1"/>
    </xf>
    <xf numFmtId="43" fontId="16" fillId="15" borderId="9" xfId="3" applyFont="1" applyFill="1" applyBorder="1" applyAlignment="1">
      <alignment horizontal="center"/>
    </xf>
    <xf numFmtId="0" fontId="16" fillId="15" borderId="10" xfId="0" applyFont="1" applyFill="1" applyBorder="1" applyAlignment="1">
      <alignment horizontal="center"/>
    </xf>
    <xf numFmtId="0" fontId="16" fillId="14" borderId="9" xfId="0" applyFont="1" applyFill="1" applyBorder="1" applyAlignment="1">
      <alignment horizontal="center"/>
    </xf>
    <xf numFmtId="0" fontId="16" fillId="14" borderId="9" xfId="0" applyFont="1" applyFill="1" applyBorder="1"/>
    <xf numFmtId="0" fontId="16" fillId="14" borderId="10" xfId="0" applyFont="1" applyFill="1" applyBorder="1"/>
    <xf numFmtId="175" fontId="0" fillId="0" borderId="0" xfId="3" applyNumberFormat="1" applyFont="1" applyFill="1" applyBorder="1"/>
    <xf numFmtId="174" fontId="0" fillId="0" borderId="0" xfId="0" applyNumberFormat="1" applyFill="1"/>
    <xf numFmtId="0" fontId="0" fillId="0" borderId="0" xfId="0" applyAlignment="1">
      <alignment horizontal="left" vertical="top" wrapText="1"/>
    </xf>
    <xf numFmtId="0" fontId="0" fillId="0" borderId="0" xfId="0" applyAlignment="1">
      <alignment horizontal="left" vertical="top" wrapText="1"/>
    </xf>
    <xf numFmtId="0" fontId="0" fillId="0" borderId="0" xfId="0" applyAlignment="1">
      <alignment horizontal="left" vertical="top" wrapText="1"/>
    </xf>
    <xf numFmtId="0" fontId="0" fillId="17" borderId="0" xfId="0" applyNumberFormat="1" applyFill="1" applyBorder="1" applyAlignment="1" applyProtection="1">
      <protection locked="0"/>
    </xf>
    <xf numFmtId="0" fontId="0" fillId="17" borderId="0" xfId="0" applyFill="1" applyBorder="1" applyAlignment="1" applyProtection="1">
      <protection locked="0"/>
    </xf>
    <xf numFmtId="0" fontId="6" fillId="19" borderId="7" xfId="0" applyFont="1" applyFill="1" applyBorder="1" applyAlignment="1">
      <alignment horizontal="center"/>
    </xf>
    <xf numFmtId="0" fontId="6" fillId="19" borderId="0" xfId="0" applyFont="1" applyFill="1" applyBorder="1" applyAlignment="1">
      <alignment horizontal="center"/>
    </xf>
    <xf numFmtId="0" fontId="13" fillId="19" borderId="7" xfId="0" applyFont="1" applyFill="1" applyBorder="1" applyAlignment="1">
      <alignment horizontal="center"/>
    </xf>
    <xf numFmtId="0" fontId="13" fillId="19" borderId="1" xfId="0" applyFont="1" applyFill="1" applyBorder="1" applyAlignment="1">
      <alignment horizontal="center"/>
    </xf>
    <xf numFmtId="0" fontId="2" fillId="19" borderId="0" xfId="0" applyFont="1" applyFill="1" applyBorder="1" applyAlignment="1">
      <alignment horizontal="center"/>
    </xf>
    <xf numFmtId="0" fontId="2" fillId="19" borderId="1" xfId="0" applyFont="1" applyFill="1" applyBorder="1" applyAlignment="1">
      <alignment horizontal="center"/>
    </xf>
    <xf numFmtId="167" fontId="14" fillId="19" borderId="7" xfId="0" applyNumberFormat="1" applyFont="1" applyFill="1" applyBorder="1" applyAlignment="1">
      <alignment horizontal="center"/>
    </xf>
    <xf numFmtId="167" fontId="14" fillId="19" borderId="1" xfId="0" applyNumberFormat="1" applyFont="1" applyFill="1" applyBorder="1" applyAlignment="1">
      <alignment horizontal="center"/>
    </xf>
    <xf numFmtId="0" fontId="2" fillId="19" borderId="4" xfId="0" applyFont="1" applyFill="1" applyBorder="1" applyAlignment="1">
      <alignment horizontal="center"/>
    </xf>
    <xf numFmtId="0" fontId="2" fillId="19" borderId="5" xfId="0" applyFont="1" applyFill="1" applyBorder="1" applyAlignment="1">
      <alignment horizontal="center"/>
    </xf>
    <xf numFmtId="0" fontId="0" fillId="19" borderId="6" xfId="0" applyFill="1" applyBorder="1" applyAlignment="1"/>
    <xf numFmtId="0" fontId="2" fillId="0" borderId="4" xfId="0" applyFont="1" applyBorder="1" applyAlignment="1">
      <alignment horizontal="center"/>
    </xf>
    <xf numFmtId="0" fontId="2" fillId="0" borderId="5" xfId="0" applyFont="1" applyBorder="1" applyAlignment="1">
      <alignment horizontal="center"/>
    </xf>
    <xf numFmtId="0" fontId="2" fillId="0" borderId="6" xfId="0" applyFont="1" applyBorder="1" applyAlignment="1">
      <alignment horizontal="center"/>
    </xf>
    <xf numFmtId="0" fontId="6" fillId="19" borderId="1" xfId="0" applyFont="1" applyFill="1" applyBorder="1" applyAlignment="1">
      <alignment horizontal="center"/>
    </xf>
    <xf numFmtId="0" fontId="14" fillId="19" borderId="7" xfId="0" applyFont="1" applyFill="1" applyBorder="1" applyAlignment="1">
      <alignment horizontal="center"/>
    </xf>
    <xf numFmtId="0" fontId="14" fillId="19" borderId="1" xfId="0" applyFont="1" applyFill="1" applyBorder="1" applyAlignment="1">
      <alignment horizontal="center"/>
    </xf>
    <xf numFmtId="167" fontId="6" fillId="19" borderId="7" xfId="0" applyNumberFormat="1" applyFont="1" applyFill="1" applyBorder="1" applyAlignment="1">
      <alignment horizontal="center"/>
    </xf>
    <xf numFmtId="167" fontId="6" fillId="19" borderId="0" xfId="0" applyNumberFormat="1" applyFont="1" applyFill="1" applyBorder="1" applyAlignment="1">
      <alignment horizontal="center"/>
    </xf>
    <xf numFmtId="175" fontId="16" fillId="15" borderId="5" xfId="0" applyNumberFormat="1" applyFont="1" applyFill="1" applyBorder="1" applyAlignment="1">
      <alignment horizontal="center" vertical="center"/>
    </xf>
    <xf numFmtId="175" fontId="16" fillId="15" borderId="0" xfId="0" applyNumberFormat="1" applyFont="1" applyFill="1" applyBorder="1" applyAlignment="1">
      <alignment horizontal="center" vertical="center"/>
    </xf>
    <xf numFmtId="43" fontId="16" fillId="15" borderId="5" xfId="0" applyNumberFormat="1" applyFont="1" applyFill="1" applyBorder="1" applyAlignment="1">
      <alignment horizontal="center" vertical="center"/>
    </xf>
    <xf numFmtId="43" fontId="16" fillId="15" borderId="0" xfId="0" applyNumberFormat="1" applyFont="1" applyFill="1" applyBorder="1" applyAlignment="1">
      <alignment horizontal="center" vertical="center"/>
    </xf>
    <xf numFmtId="10" fontId="16" fillId="15" borderId="5" xfId="1" applyNumberFormat="1" applyFont="1" applyFill="1" applyBorder="1" applyAlignment="1">
      <alignment horizontal="center" vertical="center"/>
    </xf>
    <xf numFmtId="10" fontId="16" fillId="15" borderId="0" xfId="1" applyNumberFormat="1" applyFont="1" applyFill="1" applyBorder="1" applyAlignment="1">
      <alignment horizontal="center" vertical="center"/>
    </xf>
    <xf numFmtId="10" fontId="16" fillId="15" borderId="13" xfId="1" applyNumberFormat="1" applyFont="1" applyFill="1" applyBorder="1" applyAlignment="1">
      <alignment horizontal="center" vertical="center"/>
    </xf>
    <xf numFmtId="10" fontId="16" fillId="15" borderId="3" xfId="1" applyNumberFormat="1" applyFont="1" applyFill="1" applyBorder="1" applyAlignment="1">
      <alignment horizontal="center" vertical="center"/>
    </xf>
    <xf numFmtId="43" fontId="16" fillId="15" borderId="14" xfId="3" applyFont="1" applyFill="1" applyBorder="1" applyAlignment="1">
      <alignment horizontal="center" vertical="center" wrapText="1"/>
    </xf>
    <xf numFmtId="43" fontId="16" fillId="15" borderId="2" xfId="3" applyFont="1" applyFill="1" applyBorder="1" applyAlignment="1">
      <alignment horizontal="center" vertical="center" wrapText="1"/>
    </xf>
    <xf numFmtId="167" fontId="13" fillId="19" borderId="7" xfId="0" applyNumberFormat="1" applyFont="1" applyFill="1" applyBorder="1" applyAlignment="1">
      <alignment horizontal="center"/>
    </xf>
    <xf numFmtId="167" fontId="13" fillId="19" borderId="1" xfId="0" applyNumberFormat="1" applyFont="1" applyFill="1" applyBorder="1" applyAlignment="1">
      <alignment horizontal="center"/>
    </xf>
    <xf numFmtId="174" fontId="16" fillId="15" borderId="6" xfId="4" applyNumberFormat="1" applyFont="1" applyFill="1" applyBorder="1" applyAlignment="1">
      <alignment horizontal="center" vertical="center"/>
    </xf>
    <xf numFmtId="174" fontId="16" fillId="15" borderId="1" xfId="4" applyNumberFormat="1" applyFont="1" applyFill="1" applyBorder="1" applyAlignment="1">
      <alignment horizontal="center" vertical="center"/>
    </xf>
    <xf numFmtId="175" fontId="16" fillId="14" borderId="0" xfId="0" applyNumberFormat="1" applyFont="1" applyFill="1" applyBorder="1" applyAlignment="1">
      <alignment horizontal="center" vertical="center"/>
    </xf>
    <xf numFmtId="43" fontId="16" fillId="14" borderId="0" xfId="0" applyNumberFormat="1" applyFont="1" applyFill="1" applyBorder="1" applyAlignment="1">
      <alignment horizontal="center" vertical="center"/>
    </xf>
    <xf numFmtId="10" fontId="16" fillId="14" borderId="0" xfId="1" applyNumberFormat="1" applyFont="1" applyFill="1" applyBorder="1" applyAlignment="1">
      <alignment horizontal="center" vertical="center"/>
    </xf>
    <xf numFmtId="10" fontId="16" fillId="14" borderId="3" xfId="1" applyNumberFormat="1" applyFont="1" applyFill="1" applyBorder="1" applyAlignment="1">
      <alignment horizontal="center" vertical="center"/>
    </xf>
    <xf numFmtId="43" fontId="16" fillId="14" borderId="2" xfId="3" applyFont="1" applyFill="1" applyBorder="1" applyAlignment="1">
      <alignment horizontal="center" vertical="center" wrapText="1"/>
    </xf>
    <xf numFmtId="177" fontId="16" fillId="14" borderId="0" xfId="3" applyNumberFormat="1" applyFont="1" applyFill="1" applyBorder="1" applyAlignment="1">
      <alignment horizontal="center" vertical="center" wrapText="1"/>
    </xf>
    <xf numFmtId="174" fontId="16" fillId="14" borderId="3" xfId="4" applyNumberFormat="1" applyFont="1" applyFill="1" applyBorder="1" applyAlignment="1">
      <alignment horizontal="center" vertical="center"/>
    </xf>
    <xf numFmtId="43" fontId="16" fillId="14" borderId="2" xfId="0" applyNumberFormat="1" applyFont="1" applyFill="1" applyBorder="1" applyAlignment="1">
      <alignment horizontal="center" vertical="center" wrapText="1"/>
    </xf>
    <xf numFmtId="174" fontId="16" fillId="14" borderId="1" xfId="4" applyNumberFormat="1" applyFont="1" applyFill="1" applyBorder="1" applyAlignment="1">
      <alignment horizontal="center" vertical="center"/>
    </xf>
    <xf numFmtId="177" fontId="16" fillId="15" borderId="5" xfId="3" applyNumberFormat="1" applyFont="1" applyFill="1" applyBorder="1" applyAlignment="1">
      <alignment horizontal="center" vertical="center" wrapText="1"/>
    </xf>
    <xf numFmtId="177" fontId="16" fillId="15" borderId="0" xfId="3" applyNumberFormat="1" applyFont="1" applyFill="1" applyBorder="1" applyAlignment="1">
      <alignment horizontal="center" vertical="center" wrapText="1"/>
    </xf>
    <xf numFmtId="174" fontId="16" fillId="15" borderId="13" xfId="4" applyNumberFormat="1" applyFont="1" applyFill="1" applyBorder="1" applyAlignment="1">
      <alignment horizontal="center" vertical="center"/>
    </xf>
    <xf numFmtId="174" fontId="16" fillId="15" borderId="3" xfId="4" applyNumberFormat="1" applyFont="1" applyFill="1" applyBorder="1" applyAlignment="1">
      <alignment horizontal="center" vertical="center"/>
    </xf>
    <xf numFmtId="43" fontId="16" fillId="15" borderId="14" xfId="0" applyNumberFormat="1" applyFont="1" applyFill="1" applyBorder="1" applyAlignment="1">
      <alignment horizontal="center" vertical="center" wrapText="1"/>
    </xf>
    <xf numFmtId="43" fontId="16" fillId="15" borderId="2" xfId="0" applyNumberFormat="1" applyFont="1" applyFill="1" applyBorder="1" applyAlignment="1">
      <alignment horizontal="center" vertical="center" wrapText="1"/>
    </xf>
    <xf numFmtId="41" fontId="16" fillId="15" borderId="0" xfId="0" applyNumberFormat="1" applyFont="1" applyFill="1" applyBorder="1" applyAlignment="1">
      <alignment horizontal="center" vertical="center"/>
    </xf>
    <xf numFmtId="41" fontId="16" fillId="14" borderId="0" xfId="0" applyNumberFormat="1" applyFont="1" applyFill="1" applyBorder="1" applyAlignment="1">
      <alignment horizontal="center" vertical="center"/>
    </xf>
    <xf numFmtId="175" fontId="16" fillId="15" borderId="9" xfId="0" applyNumberFormat="1" applyFont="1" applyFill="1" applyBorder="1" applyAlignment="1">
      <alignment horizontal="center" vertical="center"/>
    </xf>
    <xf numFmtId="10" fontId="16" fillId="15" borderId="9" xfId="1" applyNumberFormat="1" applyFont="1" applyFill="1" applyBorder="1" applyAlignment="1">
      <alignment horizontal="center" vertical="center"/>
    </xf>
    <xf numFmtId="10" fontId="16" fillId="15" borderId="12" xfId="1" applyNumberFormat="1" applyFont="1" applyFill="1" applyBorder="1" applyAlignment="1">
      <alignment horizontal="center" vertical="center"/>
    </xf>
    <xf numFmtId="43" fontId="16" fillId="15" borderId="11" xfId="3" applyFont="1" applyFill="1" applyBorder="1" applyAlignment="1">
      <alignment horizontal="center" vertical="center" wrapText="1"/>
    </xf>
    <xf numFmtId="177" fontId="16" fillId="15" borderId="9" xfId="3" applyNumberFormat="1" applyFont="1" applyFill="1" applyBorder="1" applyAlignment="1">
      <alignment horizontal="center" vertical="center" wrapText="1"/>
    </xf>
    <xf numFmtId="174" fontId="16" fillId="15" borderId="12" xfId="4" applyNumberFormat="1" applyFont="1" applyFill="1" applyBorder="1" applyAlignment="1">
      <alignment horizontal="center" vertical="center"/>
    </xf>
    <xf numFmtId="43" fontId="16" fillId="15" borderId="11" xfId="0" applyNumberFormat="1" applyFont="1" applyFill="1" applyBorder="1" applyAlignment="1">
      <alignment horizontal="center" vertical="center" wrapText="1"/>
    </xf>
    <xf numFmtId="174" fontId="16" fillId="15" borderId="10" xfId="4" applyNumberFormat="1" applyFont="1" applyFill="1" applyBorder="1" applyAlignment="1">
      <alignment horizontal="center" vertical="center"/>
    </xf>
    <xf numFmtId="0" fontId="0" fillId="4" borderId="0" xfId="0" applyNumberFormat="1" applyFill="1" applyAlignment="1">
      <alignment wrapText="1"/>
    </xf>
    <xf numFmtId="0" fontId="0" fillId="4" borderId="0" xfId="0" applyFill="1" applyAlignment="1"/>
    <xf numFmtId="0" fontId="0" fillId="0" borderId="0" xfId="0" applyNumberFormat="1" applyFill="1" applyBorder="1" applyAlignment="1">
      <alignment wrapText="1"/>
    </xf>
    <xf numFmtId="0" fontId="0" fillId="0" borderId="0" xfId="0" applyAlignment="1"/>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3" borderId="0" xfId="0" applyFont="1" applyFill="1" applyBorder="1" applyAlignment="1">
      <alignment wrapText="1"/>
    </xf>
    <xf numFmtId="0" fontId="0" fillId="0" borderId="0" xfId="0" applyBorder="1" applyAlignment="1"/>
    <xf numFmtId="0" fontId="0" fillId="0" borderId="1" xfId="0" applyBorder="1" applyAlignment="1"/>
    <xf numFmtId="0" fontId="2" fillId="3" borderId="0" xfId="0" applyFont="1" applyFill="1" applyAlignment="1">
      <alignment wrapText="1"/>
    </xf>
    <xf numFmtId="0" fontId="0" fillId="4" borderId="0" xfId="0" applyNumberFormat="1" applyFill="1" applyAlignment="1">
      <alignment horizontal="left" wrapText="1"/>
    </xf>
  </cellXfs>
  <cellStyles count="5">
    <cellStyle name="Comma" xfId="3" builtinId="3"/>
    <cellStyle name="Currency" xfId="4" builtinId="4"/>
    <cellStyle name="Good" xfId="2" builtinId="26"/>
    <cellStyle name="Normal" xfId="0" builtinId="0"/>
    <cellStyle name="Percent" xfId="1" builtinId="5"/>
  </cellStyles>
  <dxfs count="0"/>
  <tableStyles count="0" defaultTableStyle="TableStyleMedium9" defaultPivotStyle="PivotStyleLight16"/>
  <colors>
    <mruColors>
      <color rgb="FFC4FBA5"/>
      <color rgb="FFCCFF99"/>
      <color rgb="FFFFFFCC"/>
      <color rgb="FFCCC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I4"/>
  <sheetViews>
    <sheetView tabSelected="1" workbookViewId="0">
      <selection activeCell="A3" sqref="A3"/>
    </sheetView>
  </sheetViews>
  <sheetFormatPr defaultRowHeight="15"/>
  <cols>
    <col min="1" max="1" width="80" customWidth="1"/>
  </cols>
  <sheetData>
    <row r="1" spans="1:9" ht="178.35" customHeight="1">
      <c r="A1" s="196" t="s">
        <v>1448</v>
      </c>
      <c r="B1" s="195"/>
      <c r="C1" s="195"/>
      <c r="D1" s="195"/>
      <c r="E1" s="195"/>
      <c r="F1" s="195"/>
      <c r="G1" s="195"/>
      <c r="H1" s="195"/>
      <c r="I1" s="195"/>
    </row>
    <row r="2" spans="1:9" ht="270">
      <c r="A2" s="196" t="s">
        <v>1446</v>
      </c>
      <c r="B2" s="195"/>
      <c r="C2" s="195"/>
      <c r="D2" s="195"/>
      <c r="E2" s="195"/>
      <c r="F2" s="195"/>
      <c r="G2" s="195"/>
      <c r="H2" s="195"/>
      <c r="I2" s="195"/>
    </row>
    <row r="3" spans="1:9" ht="383.25" customHeight="1">
      <c r="A3" s="195" t="s">
        <v>1445</v>
      </c>
      <c r="B3" s="195"/>
      <c r="C3" s="195"/>
      <c r="D3" s="195"/>
      <c r="E3" s="195"/>
      <c r="F3" s="195"/>
      <c r="G3" s="195"/>
      <c r="H3" s="195"/>
      <c r="I3" s="195"/>
    </row>
    <row r="4" spans="1:9">
      <c r="A4" s="197"/>
      <c r="B4" s="197"/>
      <c r="C4" s="197"/>
      <c r="D4" s="197"/>
      <c r="E4" s="197"/>
      <c r="F4" s="197"/>
      <c r="G4" s="197"/>
      <c r="H4" s="197"/>
      <c r="I4" s="197"/>
    </row>
  </sheetData>
  <sheetProtection password="EECE" sheet="1" objects="1" scenarios="1"/>
  <mergeCells count="1">
    <mergeCell ref="A4:I4"/>
  </mergeCell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5:I42"/>
  <sheetViews>
    <sheetView workbookViewId="0">
      <selection activeCell="D20" sqref="D20"/>
    </sheetView>
  </sheetViews>
  <sheetFormatPr defaultRowHeight="15"/>
  <cols>
    <col min="1" max="1" width="17.140625" customWidth="1"/>
    <col min="2" max="9" width="12.7109375" customWidth="1"/>
  </cols>
  <sheetData>
    <row r="5" spans="1:9">
      <c r="A5" t="s">
        <v>0</v>
      </c>
    </row>
    <row r="6" spans="1:9">
      <c r="A6" t="str">
        <f>""</f>
        <v/>
      </c>
      <c r="B6" s="2" t="str">
        <f>"(1)"</f>
        <v>(1)</v>
      </c>
      <c r="C6" s="2" t="str">
        <f>"(2)"</f>
        <v>(2)</v>
      </c>
      <c r="D6" s="2" t="str">
        <f>"(3)"</f>
        <v>(3)</v>
      </c>
      <c r="E6" s="2" t="str">
        <f>"(4)"</f>
        <v>(4)</v>
      </c>
      <c r="F6" s="2" t="str">
        <f>"(5)"</f>
        <v>(5)</v>
      </c>
      <c r="G6" s="2" t="str">
        <f>"(6)"</f>
        <v>(6)</v>
      </c>
      <c r="H6" s="2" t="str">
        <f>"(7)"</f>
        <v>(7)</v>
      </c>
      <c r="I6" s="2" t="str">
        <f>"(8)"</f>
        <v>(8)</v>
      </c>
    </row>
    <row r="7" spans="1:9">
      <c r="A7" t="str">
        <f>""</f>
        <v/>
      </c>
      <c r="B7" t="str">
        <f>"lnwage"</f>
        <v>lnwage</v>
      </c>
      <c r="C7" t="str">
        <f>"lnwage"</f>
        <v>lnwage</v>
      </c>
      <c r="D7" t="str">
        <f>"lngdppc00"</f>
        <v>lngdppc00</v>
      </c>
      <c r="E7" t="str">
        <f>"lngdppc00"</f>
        <v>lngdppc00</v>
      </c>
      <c r="F7" t="str">
        <f>"lnwage"</f>
        <v>lnwage</v>
      </c>
      <c r="G7" t="str">
        <f>"lnwage"</f>
        <v>lnwage</v>
      </c>
      <c r="H7" t="str">
        <f>"lngdppc00"</f>
        <v>lngdppc00</v>
      </c>
      <c r="I7" t="str">
        <f>"lngdppc00"</f>
        <v>lngdppc00</v>
      </c>
    </row>
    <row r="8" spans="1:9">
      <c r="B8" t="s">
        <v>1</v>
      </c>
      <c r="C8" t="s">
        <v>1</v>
      </c>
      <c r="D8" t="s">
        <v>1</v>
      </c>
      <c r="E8" t="s">
        <v>1</v>
      </c>
      <c r="F8" t="s">
        <v>2</v>
      </c>
      <c r="G8" t="s">
        <v>2</v>
      </c>
      <c r="H8" t="s">
        <v>2</v>
      </c>
      <c r="I8" t="s">
        <v>2</v>
      </c>
    </row>
    <row r="9" spans="1:9">
      <c r="A9" t="str">
        <f>"L2.lneden_pcity"</f>
        <v>L2.lneden_pcity</v>
      </c>
      <c r="B9" t="s">
        <v>3</v>
      </c>
      <c r="C9" t="s">
        <v>4</v>
      </c>
      <c r="D9" t="s">
        <v>5</v>
      </c>
      <c r="E9" t="s">
        <v>4</v>
      </c>
      <c r="F9" t="s">
        <v>6</v>
      </c>
      <c r="G9" t="s">
        <v>4</v>
      </c>
      <c r="H9" t="s">
        <v>7</v>
      </c>
      <c r="I9" t="s">
        <v>4</v>
      </c>
    </row>
    <row r="10" spans="1:9">
      <c r="A10" t="str">
        <f>""</f>
        <v/>
      </c>
      <c r="B10" t="s">
        <v>8</v>
      </c>
      <c r="C10" t="s">
        <v>4</v>
      </c>
      <c r="D10" t="s">
        <v>9</v>
      </c>
      <c r="E10" t="s">
        <v>4</v>
      </c>
      <c r="F10" t="s">
        <v>10</v>
      </c>
      <c r="G10" t="s">
        <v>4</v>
      </c>
      <c r="H10" t="s">
        <v>11</v>
      </c>
      <c r="I10" t="s">
        <v>4</v>
      </c>
    </row>
    <row r="12" spans="1:9">
      <c r="A12" t="str">
        <f>"L4.lneden_pcity"</f>
        <v>L4.lneden_pcity</v>
      </c>
      <c r="B12" t="s">
        <v>4</v>
      </c>
      <c r="C12" t="s">
        <v>12</v>
      </c>
      <c r="D12" t="s">
        <v>4</v>
      </c>
      <c r="E12" t="s">
        <v>13</v>
      </c>
      <c r="F12" t="s">
        <v>4</v>
      </c>
      <c r="G12" t="s">
        <v>14</v>
      </c>
      <c r="H12" t="s">
        <v>4</v>
      </c>
      <c r="I12" t="s">
        <v>15</v>
      </c>
    </row>
    <row r="13" spans="1:9">
      <c r="A13" t="str">
        <f>""</f>
        <v/>
      </c>
      <c r="B13" t="s">
        <v>4</v>
      </c>
      <c r="C13" t="s">
        <v>16</v>
      </c>
      <c r="D13" t="s">
        <v>4</v>
      </c>
      <c r="E13" t="s">
        <v>17</v>
      </c>
      <c r="F13" t="s">
        <v>4</v>
      </c>
      <c r="G13" t="s">
        <v>18</v>
      </c>
      <c r="H13" t="s">
        <v>4</v>
      </c>
      <c r="I13" t="s">
        <v>19</v>
      </c>
    </row>
    <row r="15" spans="1:9">
      <c r="A15" t="str">
        <f>"lnhc"</f>
        <v>lnhc</v>
      </c>
      <c r="B15" t="s">
        <v>20</v>
      </c>
      <c r="C15" t="s">
        <v>20</v>
      </c>
      <c r="D15" t="s">
        <v>21</v>
      </c>
      <c r="E15" t="s">
        <v>22</v>
      </c>
      <c r="F15" t="s">
        <v>23</v>
      </c>
      <c r="G15" t="s">
        <v>24</v>
      </c>
      <c r="H15" t="s">
        <v>25</v>
      </c>
      <c r="I15" t="s">
        <v>26</v>
      </c>
    </row>
    <row r="16" spans="1:9">
      <c r="A16" t="str">
        <f>""</f>
        <v/>
      </c>
      <c r="B16" t="s">
        <v>27</v>
      </c>
      <c r="C16" t="s">
        <v>28</v>
      </c>
      <c r="D16" t="s">
        <v>29</v>
      </c>
      <c r="E16" t="s">
        <v>30</v>
      </c>
      <c r="F16" t="s">
        <v>31</v>
      </c>
      <c r="G16" t="s">
        <v>32</v>
      </c>
      <c r="H16" t="s">
        <v>33</v>
      </c>
      <c r="I16" t="s">
        <v>34</v>
      </c>
    </row>
    <row r="18" spans="1:9">
      <c r="A18" t="str">
        <f>"lnpop"</f>
        <v>lnpop</v>
      </c>
      <c r="B18" t="s">
        <v>35</v>
      </c>
      <c r="C18" t="s">
        <v>36</v>
      </c>
      <c r="D18" t="s">
        <v>37</v>
      </c>
      <c r="E18" t="s">
        <v>38</v>
      </c>
      <c r="F18" t="s">
        <v>39</v>
      </c>
      <c r="G18" t="s">
        <v>40</v>
      </c>
      <c r="H18" t="s">
        <v>41</v>
      </c>
      <c r="I18" t="s">
        <v>42</v>
      </c>
    </row>
    <row r="19" spans="1:9">
      <c r="A19" t="str">
        <f>""</f>
        <v/>
      </c>
      <c r="B19" t="s">
        <v>43</v>
      </c>
      <c r="C19" t="s">
        <v>44</v>
      </c>
      <c r="D19" t="s">
        <v>45</v>
      </c>
      <c r="E19" t="s">
        <v>46</v>
      </c>
      <c r="F19" t="s">
        <v>46</v>
      </c>
      <c r="G19" t="s">
        <v>47</v>
      </c>
      <c r="H19" t="s">
        <v>48</v>
      </c>
      <c r="I19" t="s">
        <v>49</v>
      </c>
    </row>
    <row r="21" spans="1:9">
      <c r="A21" t="str">
        <f>"L2.lnfwypc"</f>
        <v>L2.lnfwypc</v>
      </c>
      <c r="B21" t="s">
        <v>50</v>
      </c>
      <c r="C21" t="s">
        <v>4</v>
      </c>
      <c r="D21" t="s">
        <v>51</v>
      </c>
      <c r="E21" t="s">
        <v>4</v>
      </c>
      <c r="F21" t="s">
        <v>52</v>
      </c>
      <c r="G21" t="s">
        <v>4</v>
      </c>
      <c r="H21" t="s">
        <v>53</v>
      </c>
      <c r="I21" t="s">
        <v>4</v>
      </c>
    </row>
    <row r="22" spans="1:9">
      <c r="A22" t="str">
        <f>""</f>
        <v/>
      </c>
      <c r="B22" t="s">
        <v>54</v>
      </c>
      <c r="C22" t="s">
        <v>4</v>
      </c>
      <c r="D22" t="s">
        <v>55</v>
      </c>
      <c r="E22" t="s">
        <v>4</v>
      </c>
      <c r="F22" t="s">
        <v>56</v>
      </c>
      <c r="G22" t="s">
        <v>4</v>
      </c>
      <c r="H22" t="s">
        <v>57</v>
      </c>
      <c r="I22" t="s">
        <v>4</v>
      </c>
    </row>
    <row r="24" spans="1:9">
      <c r="A24" t="str">
        <f>"L4.lnfwypc"</f>
        <v>L4.lnfwypc</v>
      </c>
      <c r="B24" t="s">
        <v>4</v>
      </c>
      <c r="C24" t="s">
        <v>58</v>
      </c>
      <c r="D24" t="s">
        <v>4</v>
      </c>
      <c r="E24" t="s">
        <v>59</v>
      </c>
      <c r="F24" t="s">
        <v>4</v>
      </c>
      <c r="G24" t="s">
        <v>60</v>
      </c>
      <c r="H24" t="s">
        <v>4</v>
      </c>
      <c r="I24" t="s">
        <v>61</v>
      </c>
    </row>
    <row r="25" spans="1:9">
      <c r="A25" t="str">
        <f>""</f>
        <v/>
      </c>
      <c r="B25" t="s">
        <v>4</v>
      </c>
      <c r="C25" t="s">
        <v>62</v>
      </c>
      <c r="D25" t="s">
        <v>4</v>
      </c>
      <c r="E25" t="s">
        <v>63</v>
      </c>
      <c r="F25" t="s">
        <v>4</v>
      </c>
      <c r="G25" t="s">
        <v>64</v>
      </c>
      <c r="H25" t="s">
        <v>4</v>
      </c>
      <c r="I25" t="s">
        <v>65</v>
      </c>
    </row>
    <row r="27" spans="1:9">
      <c r="A27" t="str">
        <f>"L2.lnapta2"</f>
        <v>L2.lnapta2</v>
      </c>
      <c r="B27" t="s">
        <v>66</v>
      </c>
      <c r="C27" t="s">
        <v>4</v>
      </c>
      <c r="D27" t="s">
        <v>67</v>
      </c>
      <c r="E27" t="s">
        <v>4</v>
      </c>
      <c r="F27" t="s">
        <v>68</v>
      </c>
      <c r="G27" t="s">
        <v>4</v>
      </c>
      <c r="H27" t="s">
        <v>69</v>
      </c>
      <c r="I27" t="s">
        <v>4</v>
      </c>
    </row>
    <row r="28" spans="1:9">
      <c r="A28" t="str">
        <f>""</f>
        <v/>
      </c>
      <c r="B28" t="s">
        <v>70</v>
      </c>
      <c r="C28" t="s">
        <v>4</v>
      </c>
      <c r="D28" t="s">
        <v>71</v>
      </c>
      <c r="E28" t="s">
        <v>4</v>
      </c>
      <c r="F28" t="s">
        <v>72</v>
      </c>
      <c r="G28" t="s">
        <v>4</v>
      </c>
      <c r="H28" t="s">
        <v>73</v>
      </c>
      <c r="I28" t="s">
        <v>4</v>
      </c>
    </row>
    <row r="30" spans="1:9">
      <c r="A30" t="str">
        <f>"L4.lnapta2"</f>
        <v>L4.lnapta2</v>
      </c>
      <c r="B30" t="s">
        <v>4</v>
      </c>
      <c r="C30" t="s">
        <v>74</v>
      </c>
      <c r="D30" t="s">
        <v>4</v>
      </c>
      <c r="E30" t="s">
        <v>75</v>
      </c>
      <c r="F30" t="s">
        <v>4</v>
      </c>
      <c r="G30" t="s">
        <v>76</v>
      </c>
      <c r="H30" t="s">
        <v>4</v>
      </c>
      <c r="I30" t="s">
        <v>77</v>
      </c>
    </row>
    <row r="31" spans="1:9">
      <c r="A31" t="str">
        <f>""</f>
        <v/>
      </c>
      <c r="B31" t="s">
        <v>4</v>
      </c>
      <c r="C31" t="s">
        <v>78</v>
      </c>
      <c r="D31" t="s">
        <v>4</v>
      </c>
      <c r="E31" t="s">
        <v>79</v>
      </c>
      <c r="F31" t="s">
        <v>4</v>
      </c>
      <c r="G31" t="s">
        <v>80</v>
      </c>
      <c r="H31" t="s">
        <v>4</v>
      </c>
      <c r="I31" t="s">
        <v>81</v>
      </c>
    </row>
    <row r="33" spans="1:9">
      <c r="A33" t="str">
        <f>"_cons"</f>
        <v>_cons</v>
      </c>
      <c r="B33" t="s">
        <v>82</v>
      </c>
      <c r="C33" t="s">
        <v>83</v>
      </c>
      <c r="D33" t="s">
        <v>84</v>
      </c>
      <c r="E33" t="s">
        <v>85</v>
      </c>
      <c r="F33" t="s">
        <v>86</v>
      </c>
      <c r="G33" t="s">
        <v>87</v>
      </c>
      <c r="H33" t="s">
        <v>88</v>
      </c>
      <c r="I33" t="s">
        <v>89</v>
      </c>
    </row>
    <row r="34" spans="1:9">
      <c r="A34" t="str">
        <f>""</f>
        <v/>
      </c>
      <c r="B34" t="s">
        <v>90</v>
      </c>
      <c r="C34" t="s">
        <v>91</v>
      </c>
      <c r="D34" t="s">
        <v>92</v>
      </c>
      <c r="E34" t="s">
        <v>93</v>
      </c>
      <c r="F34" t="s">
        <v>94</v>
      </c>
      <c r="G34" t="s">
        <v>95</v>
      </c>
      <c r="H34" t="s">
        <v>96</v>
      </c>
      <c r="I34" t="s">
        <v>97</v>
      </c>
    </row>
    <row r="36" spans="1:9">
      <c r="A36" t="str">
        <f>"N"</f>
        <v>N</v>
      </c>
      <c r="B36" t="s">
        <v>98</v>
      </c>
      <c r="C36" t="s">
        <v>98</v>
      </c>
      <c r="D36" t="s">
        <v>98</v>
      </c>
      <c r="E36" t="s">
        <v>98</v>
      </c>
      <c r="F36" t="s">
        <v>98</v>
      </c>
      <c r="G36" t="s">
        <v>98</v>
      </c>
      <c r="H36" t="s">
        <v>98</v>
      </c>
      <c r="I36" t="s">
        <v>98</v>
      </c>
    </row>
    <row r="37" spans="1:9">
      <c r="A37" t="str">
        <f>"r2_a"</f>
        <v>r2_a</v>
      </c>
      <c r="B37" t="s">
        <v>99</v>
      </c>
      <c r="C37" t="s">
        <v>100</v>
      </c>
      <c r="D37" t="s">
        <v>101</v>
      </c>
      <c r="E37" t="s">
        <v>102</v>
      </c>
      <c r="F37" t="s">
        <v>103</v>
      </c>
      <c r="G37" t="s">
        <v>104</v>
      </c>
      <c r="H37" t="s">
        <v>105</v>
      </c>
      <c r="I37" t="s">
        <v>102</v>
      </c>
    </row>
    <row r="38" spans="1:9">
      <c r="A38" t="str">
        <f>"widstat"</f>
        <v>widstat</v>
      </c>
      <c r="B38" t="s">
        <v>4</v>
      </c>
      <c r="C38" t="s">
        <v>4</v>
      </c>
      <c r="D38" t="s">
        <v>4</v>
      </c>
      <c r="E38" t="s">
        <v>4</v>
      </c>
      <c r="F38" t="s">
        <v>106</v>
      </c>
      <c r="G38" t="s">
        <v>107</v>
      </c>
      <c r="H38" t="s">
        <v>106</v>
      </c>
      <c r="I38" t="s">
        <v>107</v>
      </c>
    </row>
    <row r="39" spans="1:9">
      <c r="A39" t="str">
        <f>"j"</f>
        <v>j</v>
      </c>
      <c r="B39" t="s">
        <v>4</v>
      </c>
      <c r="C39" t="s">
        <v>4</v>
      </c>
      <c r="D39" t="s">
        <v>4</v>
      </c>
      <c r="E39" t="s">
        <v>4</v>
      </c>
      <c r="F39" t="s">
        <v>108</v>
      </c>
      <c r="G39" t="s">
        <v>109</v>
      </c>
      <c r="H39" t="s">
        <v>110</v>
      </c>
      <c r="I39" t="s">
        <v>111</v>
      </c>
    </row>
    <row r="40" spans="1:9">
      <c r="A40" t="str">
        <f>"jp"</f>
        <v>jp</v>
      </c>
      <c r="B40" t="s">
        <v>4</v>
      </c>
      <c r="C40" t="s">
        <v>4</v>
      </c>
      <c r="D40" t="s">
        <v>4</v>
      </c>
      <c r="E40" t="s">
        <v>4</v>
      </c>
      <c r="F40" t="s">
        <v>112</v>
      </c>
      <c r="G40" t="s">
        <v>113</v>
      </c>
      <c r="H40" t="s">
        <v>114</v>
      </c>
      <c r="I40" t="s">
        <v>115</v>
      </c>
    </row>
    <row r="42" spans="1:9">
      <c r="A42" t="str">
        <f>"t statistics in parentheses"</f>
        <v>t statistics in parentheses</v>
      </c>
    </row>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dimension ref="A1:BU36"/>
  <sheetViews>
    <sheetView topLeftCell="BM4" workbookViewId="0"/>
  </sheetViews>
  <sheetFormatPr defaultRowHeight="15"/>
  <cols>
    <col min="1" max="1" width="46" customWidth="1"/>
    <col min="2" max="2" width="16.28515625" customWidth="1"/>
    <col min="3" max="3" width="13.5703125" customWidth="1"/>
    <col min="4" max="4" width="13.85546875" customWidth="1"/>
    <col min="5" max="7" width="18" style="52" customWidth="1"/>
    <col min="8" max="8" width="11.85546875" customWidth="1"/>
    <col min="9" max="9" width="13.5703125" customWidth="1"/>
    <col min="10" max="10" width="11" customWidth="1"/>
    <col min="11" max="11" width="10.85546875" customWidth="1"/>
    <col min="12" max="12" width="10.140625" customWidth="1"/>
    <col min="13" max="13" width="10.42578125" customWidth="1"/>
    <col min="14" max="14" width="20.28515625" customWidth="1"/>
    <col min="15" max="15" width="17.140625" customWidth="1"/>
    <col min="16" max="16" width="19" customWidth="1"/>
    <col min="17" max="17" width="17.140625" customWidth="1"/>
    <col min="18" max="18" width="19" customWidth="1"/>
    <col min="19" max="21" width="18.140625" customWidth="1"/>
    <col min="27" max="27" width="18.42578125" customWidth="1"/>
    <col min="28" max="28" width="13.5703125" customWidth="1"/>
    <col min="29" max="29" width="19" customWidth="1"/>
    <col min="30" max="30" width="16" customWidth="1"/>
    <col min="31" max="34" width="16.85546875" customWidth="1"/>
    <col min="36" max="36" width="9.85546875" customWidth="1"/>
    <col min="40" max="47" width="17.85546875" customWidth="1"/>
    <col min="53" max="60" width="18.7109375" customWidth="1"/>
  </cols>
  <sheetData>
    <row r="1" spans="1:73">
      <c r="B1" t="s">
        <v>1030</v>
      </c>
      <c r="C1" s="83">
        <f>'Data entry and outputs'!C11</f>
        <v>0</v>
      </c>
      <c r="AJ1" s="30" t="s">
        <v>746</v>
      </c>
    </row>
    <row r="2" spans="1:73" ht="60">
      <c r="J2" s="30" t="s">
        <v>577</v>
      </c>
      <c r="N2" s="78" t="s">
        <v>1280</v>
      </c>
      <c r="O2" s="78" t="s">
        <v>569</v>
      </c>
      <c r="P2" s="78" t="s">
        <v>1280</v>
      </c>
      <c r="Q2" s="78" t="s">
        <v>569</v>
      </c>
      <c r="R2" s="78" t="s">
        <v>1279</v>
      </c>
      <c r="S2" s="78" t="s">
        <v>580</v>
      </c>
      <c r="T2" s="78" t="s">
        <v>1279</v>
      </c>
      <c r="U2" s="78" t="s">
        <v>580</v>
      </c>
      <c r="W2" s="263" t="s">
        <v>586</v>
      </c>
      <c r="X2" s="261"/>
      <c r="Y2" s="261"/>
      <c r="Z2" s="261"/>
      <c r="AA2" s="39" t="s">
        <v>1031</v>
      </c>
      <c r="AB2" s="39" t="s">
        <v>569</v>
      </c>
      <c r="AC2" s="39" t="s">
        <v>1031</v>
      </c>
      <c r="AD2" s="39" t="s">
        <v>569</v>
      </c>
      <c r="AE2" s="39" t="s">
        <v>1032</v>
      </c>
      <c r="AF2" s="39" t="s">
        <v>580</v>
      </c>
      <c r="AG2" s="39" t="s">
        <v>1032</v>
      </c>
      <c r="AH2" s="39" t="s">
        <v>580</v>
      </c>
      <c r="AJ2" s="264" t="s">
        <v>747</v>
      </c>
      <c r="AK2" s="261"/>
      <c r="AL2" s="261"/>
      <c r="AM2" s="261"/>
      <c r="AN2" s="39" t="s">
        <v>1033</v>
      </c>
      <c r="AO2" s="39" t="s">
        <v>569</v>
      </c>
      <c r="AP2" s="39" t="s">
        <v>1033</v>
      </c>
      <c r="AQ2" s="39" t="s">
        <v>569</v>
      </c>
      <c r="AR2" s="39" t="s">
        <v>1034</v>
      </c>
      <c r="AS2" s="39" t="s">
        <v>580</v>
      </c>
      <c r="AT2" s="39" t="s">
        <v>1034</v>
      </c>
      <c r="AU2" s="39" t="s">
        <v>580</v>
      </c>
      <c r="AW2" s="264" t="s">
        <v>750</v>
      </c>
      <c r="AX2" s="261"/>
      <c r="AY2" s="261"/>
      <c r="AZ2" s="261"/>
      <c r="BA2" s="39" t="s">
        <v>1035</v>
      </c>
      <c r="BB2" s="39" t="s">
        <v>569</v>
      </c>
      <c r="BC2" s="39" t="s">
        <v>1035</v>
      </c>
      <c r="BD2" s="39" t="s">
        <v>569</v>
      </c>
      <c r="BE2" s="39" t="s">
        <v>1036</v>
      </c>
      <c r="BF2" s="39" t="s">
        <v>580</v>
      </c>
      <c r="BG2" s="39" t="s">
        <v>1036</v>
      </c>
      <c r="BH2" s="39" t="s">
        <v>580</v>
      </c>
      <c r="BJ2" s="265" t="s">
        <v>1271</v>
      </c>
      <c r="BK2" s="266"/>
      <c r="BL2" s="266"/>
      <c r="BM2" s="266"/>
      <c r="BN2" s="266"/>
      <c r="BO2" s="267"/>
      <c r="BP2" s="268" t="s">
        <v>1272</v>
      </c>
      <c r="BQ2" s="261"/>
      <c r="BR2" s="261"/>
      <c r="BS2" s="261"/>
      <c r="BT2" s="261"/>
      <c r="BU2" s="261"/>
    </row>
    <row r="3" spans="1:73">
      <c r="A3" s="30" t="str">
        <f>CONCATENATE("Match to selected MSA: ", 'Data entry and outputs'!C10)</f>
        <v>Match to selected MSA: San Francisco-Oakland-Fremont, CA</v>
      </c>
      <c r="J3" s="30"/>
      <c r="N3" s="87">
        <f>SUMIF($A5:$A36,'Data entry and outputs'!$C10,tool_trackmileage!N5:N36)</f>
        <v>0</v>
      </c>
      <c r="O3" s="88">
        <f>SUMIF($A5:$A36,'Data entry and outputs'!$C10,tool_trackmileage!O5:O36)</f>
        <v>0</v>
      </c>
      <c r="P3" s="87">
        <f>SUMIF($A5:$A36,'Data entry and outputs'!$C10,tool_trackmileage!P5:P36)</f>
        <v>0</v>
      </c>
      <c r="Q3" s="88">
        <f>SUMIF($A5:$A36,'Data entry and outputs'!$C10,tool_trackmileage!Q5:Q36)</f>
        <v>0</v>
      </c>
      <c r="R3" s="87">
        <f>SUMIF($A5:$A36,'Data entry and outputs'!$C10,tool_trackmileage!R5:R36)</f>
        <v>0</v>
      </c>
      <c r="S3" s="88">
        <f>SUMIF($A5:$A36,'Data entry and outputs'!$C10,tool_trackmileage!S5:S36)</f>
        <v>0</v>
      </c>
      <c r="T3" s="87">
        <f>SUMIF($A5:$A36,'Data entry and outputs'!$C10,tool_trackmileage!T5:T36)</f>
        <v>0</v>
      </c>
      <c r="U3" s="88">
        <f>SUMIF($A5:$A36,'Data entry and outputs'!$C10,tool_trackmileage!U5:U36)</f>
        <v>0</v>
      </c>
      <c r="W3" s="77"/>
      <c r="X3" s="76"/>
      <c r="Y3" s="76"/>
      <c r="Z3" s="76"/>
      <c r="AA3" s="82"/>
      <c r="AB3" s="82"/>
      <c r="AC3" s="82"/>
      <c r="AD3" s="82"/>
      <c r="AE3" s="82"/>
      <c r="AF3" s="82"/>
      <c r="AG3" s="82"/>
      <c r="AH3" s="82"/>
      <c r="AJ3" s="78"/>
      <c r="AK3" s="76"/>
      <c r="AL3" s="76"/>
      <c r="AM3" s="76"/>
      <c r="AN3" s="82"/>
      <c r="AO3" s="82"/>
      <c r="AP3" s="82"/>
      <c r="AQ3" s="82"/>
      <c r="AR3" s="82"/>
      <c r="AS3" s="82"/>
      <c r="AT3" s="82"/>
      <c r="AU3" s="82"/>
      <c r="AW3" s="78"/>
      <c r="AX3" s="76"/>
      <c r="AY3" s="76"/>
      <c r="AZ3" s="76"/>
      <c r="BA3" s="82"/>
      <c r="BB3" s="82"/>
      <c r="BC3" s="82"/>
      <c r="BD3" s="82"/>
      <c r="BE3" s="82"/>
      <c r="BF3" s="82"/>
      <c r="BG3" s="82"/>
      <c r="BH3" s="82"/>
      <c r="BJ3" s="79"/>
      <c r="BK3" s="80"/>
      <c r="BL3" s="80"/>
      <c r="BM3" s="80"/>
      <c r="BN3" s="80"/>
      <c r="BO3" s="81"/>
      <c r="BP3" s="82"/>
      <c r="BQ3" s="76"/>
      <c r="BR3" s="76"/>
      <c r="BS3" s="76"/>
      <c r="BT3" s="76"/>
      <c r="BU3" s="76"/>
    </row>
    <row r="4" spans="1:73" ht="59.25" customHeight="1">
      <c r="A4" t="s">
        <v>571</v>
      </c>
      <c r="B4" s="3" t="s">
        <v>130</v>
      </c>
      <c r="C4" s="10" t="s">
        <v>563</v>
      </c>
      <c r="D4" s="10" t="s">
        <v>564</v>
      </c>
      <c r="E4" s="84" t="s">
        <v>565</v>
      </c>
      <c r="F4" s="84" t="s">
        <v>583</v>
      </c>
      <c r="G4" s="84" t="s">
        <v>584</v>
      </c>
      <c r="H4" s="84" t="s">
        <v>1278</v>
      </c>
      <c r="I4" s="10" t="s">
        <v>1029</v>
      </c>
      <c r="J4" s="56" t="s">
        <v>573</v>
      </c>
      <c r="K4" s="56" t="s">
        <v>574</v>
      </c>
      <c r="L4" s="56" t="s">
        <v>575</v>
      </c>
      <c r="M4" s="56" t="s">
        <v>576</v>
      </c>
      <c r="N4" s="56" t="s">
        <v>578</v>
      </c>
      <c r="P4" s="56" t="s">
        <v>574</v>
      </c>
      <c r="R4" s="56" t="s">
        <v>581</v>
      </c>
      <c r="T4" s="56" t="s">
        <v>582</v>
      </c>
      <c r="U4" s="56"/>
      <c r="V4" s="30"/>
      <c r="W4" s="56" t="s">
        <v>573</v>
      </c>
      <c r="X4" s="56" t="s">
        <v>574</v>
      </c>
      <c r="Y4" s="56" t="s">
        <v>575</v>
      </c>
      <c r="Z4" s="56" t="s">
        <v>576</v>
      </c>
      <c r="AA4" s="56" t="s">
        <v>573</v>
      </c>
      <c r="AC4" s="56" t="s">
        <v>574</v>
      </c>
      <c r="AE4" s="56" t="s">
        <v>575</v>
      </c>
      <c r="AG4" s="56" t="s">
        <v>576</v>
      </c>
      <c r="AJ4" s="56" t="s">
        <v>573</v>
      </c>
      <c r="AK4" s="56" t="s">
        <v>574</v>
      </c>
      <c r="AL4" s="56" t="s">
        <v>575</v>
      </c>
      <c r="AM4" s="56" t="s">
        <v>576</v>
      </c>
      <c r="AN4" s="56" t="s">
        <v>573</v>
      </c>
      <c r="AP4" s="56" t="s">
        <v>574</v>
      </c>
      <c r="AR4" s="56" t="s">
        <v>575</v>
      </c>
      <c r="AT4" s="56" t="s">
        <v>576</v>
      </c>
      <c r="AW4" s="56" t="s">
        <v>573</v>
      </c>
      <c r="AX4" s="56" t="s">
        <v>574</v>
      </c>
      <c r="AY4" s="56" t="s">
        <v>575</v>
      </c>
      <c r="AZ4" s="56" t="s">
        <v>576</v>
      </c>
      <c r="BA4" s="56" t="s">
        <v>573</v>
      </c>
      <c r="BC4" s="56" t="s">
        <v>574</v>
      </c>
      <c r="BE4" s="56" t="s">
        <v>575</v>
      </c>
      <c r="BG4" s="56" t="s">
        <v>576</v>
      </c>
      <c r="BJ4" s="72" t="s">
        <v>1265</v>
      </c>
      <c r="BK4" s="72" t="s">
        <v>1266</v>
      </c>
      <c r="BL4" s="72" t="s">
        <v>1267</v>
      </c>
      <c r="BM4" s="72" t="s">
        <v>1268</v>
      </c>
      <c r="BN4" s="72" t="s">
        <v>1269</v>
      </c>
      <c r="BO4" s="73" t="s">
        <v>1270</v>
      </c>
      <c r="BP4" t="s">
        <v>1265</v>
      </c>
      <c r="BQ4" t="s">
        <v>1266</v>
      </c>
      <c r="BR4" t="s">
        <v>1267</v>
      </c>
      <c r="BS4" t="s">
        <v>1268</v>
      </c>
      <c r="BT4" t="s">
        <v>1269</v>
      </c>
      <c r="BU4" t="s">
        <v>1270</v>
      </c>
    </row>
    <row r="5" spans="1:73">
      <c r="A5" s="3" t="s">
        <v>278</v>
      </c>
      <c r="B5" s="3">
        <v>846582</v>
      </c>
      <c r="C5" s="3">
        <v>512994</v>
      </c>
      <c r="D5" s="34">
        <v>35760.019999999997</v>
      </c>
      <c r="E5" s="85">
        <f>C5*D5</f>
        <v>18344675699.879997</v>
      </c>
      <c r="F5" s="85">
        <v>28740</v>
      </c>
      <c r="G5" s="86">
        <f>+F5/B5</f>
        <v>3.394827671743552E-2</v>
      </c>
      <c r="H5" s="3">
        <v>42</v>
      </c>
      <c r="I5" s="29">
        <f>+$C$1/H5</f>
        <v>0</v>
      </c>
      <c r="J5" s="16">
        <f>+'Track mile elasticities'!F32</f>
        <v>1.9830307491930464E-3</v>
      </c>
      <c r="K5" s="16">
        <f>+'Track mile elasticities'!G32</f>
        <v>1.3518415538818733E-2</v>
      </c>
      <c r="L5" s="16">
        <f>+'Track mile elasticities'!H32</f>
        <v>5.4408063876776724E-3</v>
      </c>
      <c r="M5" s="16">
        <f>+'Track mile elasticities'!I32</f>
        <v>1.6008649980180079E-2</v>
      </c>
      <c r="N5" s="32">
        <f>J5*I5*E5</f>
        <v>0</v>
      </c>
      <c r="O5" s="35">
        <f>N5/E5</f>
        <v>0</v>
      </c>
      <c r="P5" s="36">
        <f>+K5*I5*E5</f>
        <v>0</v>
      </c>
      <c r="Q5" s="35">
        <f>P5/E5</f>
        <v>0</v>
      </c>
      <c r="R5" s="36">
        <f>+L5*I5*G5*1000000*B5</f>
        <v>0</v>
      </c>
      <c r="S5" s="33">
        <f>+R5/F5/1000000</f>
        <v>0</v>
      </c>
      <c r="T5" s="36">
        <f>+M5*I5*G5*1000000*B5</f>
        <v>0</v>
      </c>
      <c r="U5" s="33">
        <f t="shared" ref="U5:U36" si="0">+T5/F5/1000000</f>
        <v>0</v>
      </c>
      <c r="V5" s="13"/>
      <c r="W5" s="11">
        <f>+'Track mile elasticities'!N32</f>
        <v>1.17410969753006E-3</v>
      </c>
      <c r="X5" s="11">
        <f>+'Track mile elasticities'!O32</f>
        <v>1.1219847635766465E-2</v>
      </c>
      <c r="Y5" s="11">
        <f>+'Track mile elasticities'!P32</f>
        <v>3.2213840076637025E-3</v>
      </c>
      <c r="Z5" s="11">
        <f>+'Track mile elasticities'!Q32</f>
        <v>1.3286661673933973E-2</v>
      </c>
      <c r="AA5" s="32">
        <f>E5*I5*W5</f>
        <v>0</v>
      </c>
      <c r="AB5" s="33">
        <f>AA5/E5</f>
        <v>0</v>
      </c>
      <c r="AC5" s="40">
        <f>+E5*I5*X5</f>
        <v>0</v>
      </c>
      <c r="AD5" s="33">
        <f>AC5/E5</f>
        <v>0</v>
      </c>
      <c r="AE5" s="40">
        <f>+Y5*I5*G5*B5*1000000</f>
        <v>0</v>
      </c>
      <c r="AF5" s="41">
        <f>+AE5/F5/1000000</f>
        <v>0</v>
      </c>
      <c r="AG5" s="40">
        <f>+Z5*G5*B5*I5*1000000</f>
        <v>0</v>
      </c>
      <c r="AH5" s="41">
        <f>+AG5/F5/1000000</f>
        <v>0</v>
      </c>
      <c r="AJ5" s="11">
        <f>+'Track mile pop elasticities'!H33</f>
        <v>0.19599002287832915</v>
      </c>
      <c r="AK5" s="11">
        <f>+'Track mile pop elasticities'!I33</f>
        <v>0.35264396118866997</v>
      </c>
      <c r="AL5" s="11">
        <f>+'Track mile pop elasticities'!J33</f>
        <v>0.28465217608519228</v>
      </c>
      <c r="AM5" s="11">
        <f>+'Track mile pop elasticities'!K33</f>
        <v>0.64890589369891882</v>
      </c>
      <c r="AN5" s="32">
        <f>E5*I5*AJ5</f>
        <v>0</v>
      </c>
      <c r="AO5" s="33">
        <f>AN5/E5</f>
        <v>0</v>
      </c>
      <c r="AP5" s="40">
        <f>+E5*I5*AK5</f>
        <v>0</v>
      </c>
      <c r="AQ5" s="33">
        <f>AP5/E5</f>
        <v>0</v>
      </c>
      <c r="AR5" s="40">
        <f>+AL5*I5*G5*B5*1000000</f>
        <v>0</v>
      </c>
      <c r="AS5" s="41">
        <f>+AR5/F5/1000000</f>
        <v>0</v>
      </c>
      <c r="AT5" s="40">
        <f>+AM5*G5*B5*I5*1000000</f>
        <v>0</v>
      </c>
      <c r="AU5" s="41">
        <f>+AT5/F5/1000000</f>
        <v>0</v>
      </c>
      <c r="AW5" s="11">
        <f>+'Track mile pop elasticities'!P33</f>
        <v>0.18330581364005763</v>
      </c>
      <c r="AX5" s="11">
        <f>+'Track mile pop elasticities'!Q33</f>
        <v>0.28078251092487638</v>
      </c>
      <c r="AY5" s="11">
        <f>+'Track mile pop elasticities'!R33</f>
        <v>0.26622987219151223</v>
      </c>
      <c r="AZ5" s="11">
        <f>+'Track mile pop elasticities'!S33</f>
        <v>0.51667246923094989</v>
      </c>
      <c r="BA5" s="32">
        <f>E5*I5*AW5</f>
        <v>0</v>
      </c>
      <c r="BB5" s="33">
        <f>BA5/E5</f>
        <v>0</v>
      </c>
      <c r="BC5" s="40">
        <f>+E5*I5*AX5</f>
        <v>0</v>
      </c>
      <c r="BD5" s="33">
        <f>BC5/E5</f>
        <v>0</v>
      </c>
      <c r="BE5" s="40">
        <f>+AY5*I5*G5*B5*1000000</f>
        <v>0</v>
      </c>
      <c r="BF5" s="41">
        <f>+BE5/F5/1000000</f>
        <v>0</v>
      </c>
      <c r="BG5" s="40">
        <f>+AZ5*G5*B5*I5*1000000</f>
        <v>0</v>
      </c>
      <c r="BH5" s="41">
        <f>+BG5/F5/1000000</f>
        <v>0</v>
      </c>
      <c r="BJ5" s="70">
        <f>+N5/C5</f>
        <v>0</v>
      </c>
      <c r="BK5" s="70">
        <f>+AN5/C5</f>
        <v>0</v>
      </c>
      <c r="BL5" s="70">
        <f>+(N5+AN5)/C5</f>
        <v>0</v>
      </c>
      <c r="BM5" s="70">
        <f>+P5/C5</f>
        <v>0</v>
      </c>
      <c r="BN5" s="70">
        <f>+AP5/C5</f>
        <v>0</v>
      </c>
      <c r="BO5" s="71">
        <f>+(P5+AP5)/C5</f>
        <v>0</v>
      </c>
      <c r="BP5" s="69">
        <f>+R5/C5</f>
        <v>0</v>
      </c>
      <c r="BQ5" s="69">
        <f>+AR5/C5</f>
        <v>0</v>
      </c>
      <c r="BR5" s="69">
        <f>+(R5+AR5)/C5</f>
        <v>0</v>
      </c>
      <c r="BS5" s="69">
        <f>+T5/C5</f>
        <v>0</v>
      </c>
      <c r="BT5" s="69">
        <f>+AT5/C5</f>
        <v>0</v>
      </c>
      <c r="BU5" s="69">
        <f>+(T5+AT5)/C5</f>
        <v>0</v>
      </c>
    </row>
    <row r="6" spans="1:73">
      <c r="A6" s="3" t="s">
        <v>280</v>
      </c>
      <c r="B6" s="3">
        <v>5385586</v>
      </c>
      <c r="C6" s="3">
        <v>3235326</v>
      </c>
      <c r="D6" s="34">
        <v>44729.85</v>
      </c>
      <c r="E6" s="85">
        <f t="shared" ref="E6:E36" si="1">C6*D6</f>
        <v>144715646681.10001</v>
      </c>
      <c r="F6" s="85">
        <v>244325</v>
      </c>
      <c r="G6" s="86">
        <f t="shared" ref="G6:G36" si="2">+F6/B6</f>
        <v>4.5366465227739378E-2</v>
      </c>
      <c r="H6" s="3">
        <v>49.5</v>
      </c>
      <c r="I6" s="29">
        <f t="shared" ref="I6:I36" si="3">+$C$1/H6</f>
        <v>0</v>
      </c>
      <c r="J6" s="16">
        <f>+'Track mile elasticities'!F33</f>
        <v>1.9171288785560083E-3</v>
      </c>
      <c r="K6" s="16">
        <f>+'Track mile elasticities'!G33</f>
        <v>1.3069159332166626E-2</v>
      </c>
      <c r="L6" s="16">
        <f>+'Track mile elasticities'!H33</f>
        <v>5.2599925909839942E-3</v>
      </c>
      <c r="M6" s="16">
        <f>+'Track mile elasticities'!I33</f>
        <v>1.5476636051249952E-2</v>
      </c>
      <c r="N6" s="32">
        <f t="shared" ref="N6:N36" si="4">J6*I6*E6</f>
        <v>0</v>
      </c>
      <c r="O6" s="35">
        <f t="shared" ref="O6:O36" si="5">N6/E6</f>
        <v>0</v>
      </c>
      <c r="P6" s="36">
        <f t="shared" ref="P6:P36" si="6">+K6*I6*E6</f>
        <v>0</v>
      </c>
      <c r="Q6" s="35">
        <f t="shared" ref="Q6:Q36" si="7">P6/E6</f>
        <v>0</v>
      </c>
      <c r="R6" s="36">
        <f t="shared" ref="R6:R36" si="8">+L6*I6*G6*1000000*B6</f>
        <v>0</v>
      </c>
      <c r="S6" s="33">
        <f t="shared" ref="S6:S36" si="9">+R6/F6/1000000</f>
        <v>0</v>
      </c>
      <c r="T6" s="36">
        <f t="shared" ref="T6:T36" si="10">+M6*I6*G6*1000000*B6</f>
        <v>0</v>
      </c>
      <c r="U6" s="33">
        <f t="shared" si="0"/>
        <v>0</v>
      </c>
      <c r="V6" s="13"/>
      <c r="W6" s="11">
        <f>+'Track mile elasticities'!N33</f>
        <v>1.2585713844710275E-3</v>
      </c>
      <c r="X6" s="11">
        <f>+'Track mile elasticities'!O33</f>
        <v>1.2026967499039035E-2</v>
      </c>
      <c r="Y6" s="11">
        <f>+'Track mile elasticities'!P33</f>
        <v>3.4531200440360323E-3</v>
      </c>
      <c r="Z6" s="11">
        <f>+'Track mile elasticities'!Q33</f>
        <v>1.4242461512019911E-2</v>
      </c>
      <c r="AA6" s="32">
        <f t="shared" ref="AA6:AA36" si="11">E6*I6*W6</f>
        <v>0</v>
      </c>
      <c r="AB6" s="33">
        <f t="shared" ref="AB6:AB36" si="12">AA6/E6</f>
        <v>0</v>
      </c>
      <c r="AC6" s="40">
        <f t="shared" ref="AC6:AC36" si="13">+E6*I6*X6</f>
        <v>0</v>
      </c>
      <c r="AD6" s="33">
        <f t="shared" ref="AD6:AD36" si="14">AC6/E6</f>
        <v>0</v>
      </c>
      <c r="AE6" s="40">
        <f t="shared" ref="AE6:AE36" si="15">+Y6*I6*G6*B6*1000000</f>
        <v>0</v>
      </c>
      <c r="AF6" s="41">
        <f t="shared" ref="AF6:AF36" si="16">+AE6/F6/1000000</f>
        <v>0</v>
      </c>
      <c r="AG6" s="40">
        <f t="shared" ref="AG6:AG36" si="17">+Z6*G6*B6*I6*1000000</f>
        <v>0</v>
      </c>
      <c r="AH6" s="41">
        <f t="shared" ref="AH6:AH36" si="18">+AG6/F6/1000000</f>
        <v>0</v>
      </c>
      <c r="AJ6" s="11">
        <f>+'Track mile pop elasticities'!H34</f>
        <v>5.7077113519174473E-3</v>
      </c>
      <c r="AK6" s="11">
        <f>+'Track mile pop elasticities'!I34</f>
        <v>1.0269859204574155E-2</v>
      </c>
      <c r="AL6" s="11">
        <f>+'Track mile pop elasticities'!J34</f>
        <v>8.2897712492134342E-3</v>
      </c>
      <c r="AM6" s="11">
        <f>+'Track mile pop elasticities'!K34</f>
        <v>1.8897735106091395E-2</v>
      </c>
      <c r="AN6" s="32">
        <f t="shared" ref="AN6:AN36" si="19">E6*I6*AJ6</f>
        <v>0</v>
      </c>
      <c r="AO6" s="33">
        <f t="shared" ref="AO6:AO36" si="20">AN6/E6</f>
        <v>0</v>
      </c>
      <c r="AP6" s="40">
        <f t="shared" ref="AP6:AP36" si="21">+E6*I6*AK6</f>
        <v>0</v>
      </c>
      <c r="AQ6" s="33">
        <f t="shared" ref="AQ6:AQ36" si="22">AP6/E6</f>
        <v>0</v>
      </c>
      <c r="AR6" s="40">
        <f t="shared" ref="AR6:AR36" si="23">+AL6*I6*G6*B6*1000000</f>
        <v>0</v>
      </c>
      <c r="AS6" s="41">
        <f t="shared" ref="AS6:AS36" si="24">+AR6/F6/1000000</f>
        <v>0</v>
      </c>
      <c r="AT6" s="40">
        <f t="shared" ref="AT6:AT36" si="25">+AM6*G6*B6*I6*1000000</f>
        <v>0</v>
      </c>
      <c r="AU6" s="41">
        <f t="shared" ref="AU6:AU36" si="26">+AT6/F6/1000000</f>
        <v>0</v>
      </c>
      <c r="AW6" s="11">
        <f>+'Track mile pop elasticities'!P34</f>
        <v>4.4952507939357384E-3</v>
      </c>
      <c r="AX6" s="11">
        <f>+'Track mile pop elasticities'!Q34</f>
        <v>6.8856943492080075E-3</v>
      </c>
      <c r="AY6" s="11">
        <f>+'Track mile pop elasticities'!R34</f>
        <v>6.5288166292876201E-3</v>
      </c>
      <c r="AZ6" s="11">
        <f>+'Track mile pop elasticities'!S34</f>
        <v>1.2670478264676361E-2</v>
      </c>
      <c r="BA6" s="32">
        <f t="shared" ref="BA6:BA36" si="27">E6*I6*AW6</f>
        <v>0</v>
      </c>
      <c r="BB6" s="33">
        <f t="shared" ref="BB6:BB36" si="28">BA6/E6</f>
        <v>0</v>
      </c>
      <c r="BC6" s="40">
        <f t="shared" ref="BC6:BC36" si="29">+E6*I6*AX6</f>
        <v>0</v>
      </c>
      <c r="BD6" s="33">
        <f t="shared" ref="BD6:BD36" si="30">BC6/E6</f>
        <v>0</v>
      </c>
      <c r="BE6" s="40">
        <f t="shared" ref="BE6:BE36" si="31">+AY6*I6*G6*B6*1000000</f>
        <v>0</v>
      </c>
      <c r="BF6" s="41">
        <f t="shared" ref="BF6:BF36" si="32">+BE6/F6/1000000</f>
        <v>0</v>
      </c>
      <c r="BG6" s="40">
        <f t="shared" ref="BG6:BG36" si="33">+AZ6*G6*B6*I6*1000000</f>
        <v>0</v>
      </c>
      <c r="BH6" s="41">
        <f t="shared" ref="BH6:BH36" si="34">+BG6/F6/1000000</f>
        <v>0</v>
      </c>
      <c r="BJ6" s="70">
        <f t="shared" ref="BJ6:BJ36" si="35">+N6/C6</f>
        <v>0</v>
      </c>
      <c r="BK6" s="70">
        <f t="shared" ref="BK6:BK36" si="36">+AN6/C6</f>
        <v>0</v>
      </c>
      <c r="BL6" s="70">
        <f t="shared" ref="BL6:BL36" si="37">+(N6+AN6)/C6</f>
        <v>0</v>
      </c>
      <c r="BM6" s="70">
        <f t="shared" ref="BM6:BM36" si="38">+P6/C6</f>
        <v>0</v>
      </c>
      <c r="BN6" s="70">
        <f t="shared" ref="BN6:BN36" si="39">+AP6/C6</f>
        <v>0</v>
      </c>
      <c r="BO6" s="71">
        <f t="shared" ref="BO6:BO36" si="40">+(P6+AP6)/C6</f>
        <v>0</v>
      </c>
      <c r="BP6" s="69">
        <f t="shared" ref="BP6:BP36" si="41">+R6/C6</f>
        <v>0</v>
      </c>
      <c r="BQ6" s="69">
        <f t="shared" ref="BQ6:BQ36" si="42">+AR6/C6</f>
        <v>0</v>
      </c>
      <c r="BR6" s="69">
        <f t="shared" ref="BR6:BR36" si="43">+(R6+AR6)/C6</f>
        <v>0</v>
      </c>
      <c r="BS6" s="69">
        <f t="shared" ref="BS6:BS36" si="44">+T6/C6</f>
        <v>0</v>
      </c>
      <c r="BT6" s="69">
        <f t="shared" ref="BT6:BT36" si="45">+AT6/C6</f>
        <v>0</v>
      </c>
      <c r="BU6" s="69">
        <f t="shared" ref="BU6:BU36" si="46">+(T6+AT6)/C6</f>
        <v>0</v>
      </c>
    </row>
    <row r="7" spans="1:73">
      <c r="A7" s="3" t="s">
        <v>282</v>
      </c>
      <c r="B7" s="3">
        <v>2677712</v>
      </c>
      <c r="C7" s="3">
        <v>1711130</v>
      </c>
      <c r="D7" s="34">
        <v>44573.68</v>
      </c>
      <c r="E7" s="85">
        <f t="shared" si="1"/>
        <v>76271361058.399994</v>
      </c>
      <c r="F7" s="85">
        <v>108896</v>
      </c>
      <c r="G7" s="86">
        <f t="shared" si="2"/>
        <v>4.0667554987242838E-2</v>
      </c>
      <c r="H7" s="3">
        <v>107</v>
      </c>
      <c r="I7" s="29">
        <f t="shared" si="3"/>
        <v>0</v>
      </c>
      <c r="J7" s="16">
        <f>+'Track mile elasticities'!F34</f>
        <v>2.8883744459316432E-3</v>
      </c>
      <c r="K7" s="16">
        <f>+'Track mile elasticities'!G34</f>
        <v>1.9690186855498001E-2</v>
      </c>
      <c r="L7" s="16">
        <f>+'Track mile elasticities'!H34</f>
        <v>7.9247818733142548E-3</v>
      </c>
      <c r="M7" s="16">
        <f>+'Track mile elasticities'!I34</f>
        <v>2.3317326539405527E-2</v>
      </c>
      <c r="N7" s="32">
        <f t="shared" si="4"/>
        <v>0</v>
      </c>
      <c r="O7" s="35">
        <f t="shared" si="5"/>
        <v>0</v>
      </c>
      <c r="P7" s="36">
        <f t="shared" si="6"/>
        <v>0</v>
      </c>
      <c r="Q7" s="35">
        <f t="shared" si="7"/>
        <v>0</v>
      </c>
      <c r="R7" s="36">
        <f t="shared" si="8"/>
        <v>0</v>
      </c>
      <c r="S7" s="33">
        <f t="shared" si="9"/>
        <v>0</v>
      </c>
      <c r="T7" s="36">
        <f t="shared" si="10"/>
        <v>0</v>
      </c>
      <c r="U7" s="33">
        <f t="shared" si="0"/>
        <v>0</v>
      </c>
      <c r="V7" s="13"/>
      <c r="W7" s="11">
        <f>+'Track mile elasticities'!N34</f>
        <v>6.0877875695030835E-3</v>
      </c>
      <c r="X7" s="11">
        <f>+'Track mile elasticities'!O34</f>
        <v>5.8175185089116337E-2</v>
      </c>
      <c r="Y7" s="11">
        <f>+'Track mile elasticities'!P34</f>
        <v>1.670295506434059E-2</v>
      </c>
      <c r="Z7" s="11">
        <f>+'Track mile elasticities'!Q34</f>
        <v>6.8891666552900924E-2</v>
      </c>
      <c r="AA7" s="32">
        <f t="shared" si="11"/>
        <v>0</v>
      </c>
      <c r="AB7" s="33">
        <f t="shared" si="12"/>
        <v>0</v>
      </c>
      <c r="AC7" s="40">
        <f t="shared" si="13"/>
        <v>0</v>
      </c>
      <c r="AD7" s="33">
        <f t="shared" si="14"/>
        <v>0</v>
      </c>
      <c r="AE7" s="40">
        <f t="shared" si="15"/>
        <v>0</v>
      </c>
      <c r="AF7" s="41">
        <f t="shared" si="16"/>
        <v>0</v>
      </c>
      <c r="AG7" s="40">
        <f t="shared" si="17"/>
        <v>0</v>
      </c>
      <c r="AH7" s="41">
        <f t="shared" si="18"/>
        <v>0</v>
      </c>
      <c r="AJ7" s="11">
        <f>+'Track mile pop elasticities'!H35</f>
        <v>4.9908990060768051E-2</v>
      </c>
      <c r="AK7" s="11">
        <f>+'Track mile pop elasticities'!I35</f>
        <v>8.9801019947231567E-2</v>
      </c>
      <c r="AL7" s="11">
        <f>+'Track mile pop elasticities'!J35</f>
        <v>7.2486866516829784E-2</v>
      </c>
      <c r="AM7" s="11">
        <f>+'Track mile pop elasticities'!K35</f>
        <v>0.1652443186819697</v>
      </c>
      <c r="AN7" s="32">
        <f t="shared" si="19"/>
        <v>0</v>
      </c>
      <c r="AO7" s="33">
        <f t="shared" si="20"/>
        <v>0</v>
      </c>
      <c r="AP7" s="40">
        <f t="shared" si="21"/>
        <v>0</v>
      </c>
      <c r="AQ7" s="33">
        <f t="shared" si="22"/>
        <v>0</v>
      </c>
      <c r="AR7" s="40">
        <f t="shared" si="23"/>
        <v>0</v>
      </c>
      <c r="AS7" s="41">
        <f t="shared" si="24"/>
        <v>0</v>
      </c>
      <c r="AT7" s="40">
        <f t="shared" si="25"/>
        <v>0</v>
      </c>
      <c r="AU7" s="41">
        <f t="shared" si="26"/>
        <v>0</v>
      </c>
      <c r="AW7" s="11">
        <f>+'Track mile pop elasticities'!P35</f>
        <v>4.8368493380974834E-2</v>
      </c>
      <c r="AX7" s="11">
        <f>+'Track mile pop elasticities'!Q35</f>
        <v>7.4089450582463842E-2</v>
      </c>
      <c r="AY7" s="11">
        <f>+'Track mile pop elasticities'!R35</f>
        <v>7.0249478481892016E-2</v>
      </c>
      <c r="AZ7" s="11">
        <f>+'Track mile pop elasticities'!S35</f>
        <v>0.13633320412412678</v>
      </c>
      <c r="BA7" s="32">
        <f t="shared" si="27"/>
        <v>0</v>
      </c>
      <c r="BB7" s="33">
        <f t="shared" si="28"/>
        <v>0</v>
      </c>
      <c r="BC7" s="40">
        <f t="shared" si="29"/>
        <v>0</v>
      </c>
      <c r="BD7" s="33">
        <f t="shared" si="30"/>
        <v>0</v>
      </c>
      <c r="BE7" s="40">
        <f t="shared" si="31"/>
        <v>0</v>
      </c>
      <c r="BF7" s="41">
        <f t="shared" si="32"/>
        <v>0</v>
      </c>
      <c r="BG7" s="40">
        <f t="shared" si="33"/>
        <v>0</v>
      </c>
      <c r="BH7" s="41">
        <f t="shared" si="34"/>
        <v>0</v>
      </c>
      <c r="BJ7" s="70">
        <f t="shared" si="35"/>
        <v>0</v>
      </c>
      <c r="BK7" s="70">
        <f t="shared" si="36"/>
        <v>0</v>
      </c>
      <c r="BL7" s="70">
        <f t="shared" si="37"/>
        <v>0</v>
      </c>
      <c r="BM7" s="70">
        <f t="shared" si="38"/>
        <v>0</v>
      </c>
      <c r="BN7" s="70">
        <f t="shared" si="39"/>
        <v>0</v>
      </c>
      <c r="BO7" s="71">
        <f t="shared" si="40"/>
        <v>0</v>
      </c>
      <c r="BP7" s="69">
        <f t="shared" si="41"/>
        <v>0</v>
      </c>
      <c r="BQ7" s="69">
        <f t="shared" si="42"/>
        <v>0</v>
      </c>
      <c r="BR7" s="69">
        <f t="shared" si="43"/>
        <v>0</v>
      </c>
      <c r="BS7" s="69">
        <f t="shared" si="44"/>
        <v>0</v>
      </c>
      <c r="BT7" s="69">
        <f t="shared" si="45"/>
        <v>0</v>
      </c>
      <c r="BU7" s="69">
        <f t="shared" si="46"/>
        <v>0</v>
      </c>
    </row>
    <row r="8" spans="1:73">
      <c r="A8" s="3" t="s">
        <v>284</v>
      </c>
      <c r="B8" s="3">
        <v>1124055</v>
      </c>
      <c r="C8" s="3">
        <v>658725</v>
      </c>
      <c r="D8" s="34">
        <v>35849.879999999997</v>
      </c>
      <c r="E8" s="85">
        <f t="shared" si="1"/>
        <v>23615212203</v>
      </c>
      <c r="F8" s="85">
        <v>37554</v>
      </c>
      <c r="G8" s="86">
        <f t="shared" si="2"/>
        <v>3.340939722700402E-2</v>
      </c>
      <c r="H8" s="3">
        <v>6.4</v>
      </c>
      <c r="I8" s="29">
        <f t="shared" si="3"/>
        <v>0</v>
      </c>
      <c r="J8" s="16">
        <f>+'Track mile elasticities'!F35</f>
        <v>2.9627118675436016E-4</v>
      </c>
      <c r="K8" s="16">
        <f>+'Track mile elasticities'!G35</f>
        <v>2.0196948616929967E-3</v>
      </c>
      <c r="L8" s="16">
        <f>+'Track mile elasticities'!H35</f>
        <v>8.1287401419968851E-4</v>
      </c>
      <c r="M8" s="16">
        <f>+'Track mile elasticities'!I35</f>
        <v>2.3917439151627594E-3</v>
      </c>
      <c r="N8" s="32">
        <f t="shared" si="4"/>
        <v>0</v>
      </c>
      <c r="O8" s="35">
        <f t="shared" si="5"/>
        <v>0</v>
      </c>
      <c r="P8" s="36">
        <f t="shared" si="6"/>
        <v>0</v>
      </c>
      <c r="Q8" s="35">
        <f t="shared" si="7"/>
        <v>0</v>
      </c>
      <c r="R8" s="36">
        <f t="shared" si="8"/>
        <v>0</v>
      </c>
      <c r="S8" s="33">
        <f t="shared" si="9"/>
        <v>0</v>
      </c>
      <c r="T8" s="36">
        <f t="shared" si="10"/>
        <v>0</v>
      </c>
      <c r="U8" s="33">
        <f t="shared" si="0"/>
        <v>0</v>
      </c>
      <c r="V8" s="13"/>
      <c r="W8" s="11">
        <f>+'Track mile elasticities'!N35</f>
        <v>1.0395904062461974E-3</v>
      </c>
      <c r="X8" s="11">
        <f>+'Track mile elasticities'!O35</f>
        <v>9.9343749448830929E-3</v>
      </c>
      <c r="Y8" s="11">
        <f>+'Track mile elasticities'!P35</f>
        <v>2.8523058077512997E-3</v>
      </c>
      <c r="Z8" s="11">
        <f>+'Track mile elasticities'!Q35</f>
        <v>1.1764391382098401E-2</v>
      </c>
      <c r="AA8" s="32">
        <f t="shared" si="11"/>
        <v>0</v>
      </c>
      <c r="AB8" s="33">
        <f t="shared" si="12"/>
        <v>0</v>
      </c>
      <c r="AC8" s="40">
        <f t="shared" si="13"/>
        <v>0</v>
      </c>
      <c r="AD8" s="33">
        <f t="shared" si="14"/>
        <v>0</v>
      </c>
      <c r="AE8" s="40">
        <f t="shared" si="15"/>
        <v>0</v>
      </c>
      <c r="AF8" s="41">
        <f t="shared" si="16"/>
        <v>0</v>
      </c>
      <c r="AG8" s="40">
        <f t="shared" si="17"/>
        <v>0</v>
      </c>
      <c r="AH8" s="41">
        <f t="shared" si="18"/>
        <v>0</v>
      </c>
      <c r="AJ8" s="11">
        <f>+'Track mile pop elasticities'!H36</f>
        <v>1.6940553041039908E-2</v>
      </c>
      <c r="AK8" s="11">
        <f>+'Track mile pop elasticities'!I36</f>
        <v>3.0481060420242616E-2</v>
      </c>
      <c r="AL8" s="11">
        <f>+'Track mile pop elasticities'!J36</f>
        <v>2.4604136559605579E-2</v>
      </c>
      <c r="AM8" s="11">
        <f>+'Track mile pop elasticities'!K36</f>
        <v>5.6088695482597602E-2</v>
      </c>
      <c r="AN8" s="32">
        <f t="shared" si="19"/>
        <v>0</v>
      </c>
      <c r="AO8" s="33">
        <f t="shared" si="20"/>
        <v>0</v>
      </c>
      <c r="AP8" s="40">
        <f t="shared" si="21"/>
        <v>0</v>
      </c>
      <c r="AQ8" s="33">
        <f t="shared" si="22"/>
        <v>0</v>
      </c>
      <c r="AR8" s="40">
        <f t="shared" si="23"/>
        <v>0</v>
      </c>
      <c r="AS8" s="41">
        <f t="shared" si="24"/>
        <v>0</v>
      </c>
      <c r="AT8" s="40">
        <f t="shared" si="25"/>
        <v>0</v>
      </c>
      <c r="AU8" s="41">
        <f t="shared" si="26"/>
        <v>0</v>
      </c>
      <c r="AW8" s="11">
        <f>+'Track mile pop elasticities'!P36</f>
        <v>1.4940292765489411E-2</v>
      </c>
      <c r="AX8" s="11">
        <f>+'Track mile pop elasticities'!Q36</f>
        <v>2.288510567855857E-2</v>
      </c>
      <c r="AY8" s="11">
        <f>+'Track mile pop elasticities'!R36</f>
        <v>2.1698996635591761E-2</v>
      </c>
      <c r="AZ8" s="11">
        <f>+'Track mile pop elasticities'!S36</f>
        <v>4.2111255507347602E-2</v>
      </c>
      <c r="BA8" s="32">
        <f t="shared" si="27"/>
        <v>0</v>
      </c>
      <c r="BB8" s="33">
        <f t="shared" si="28"/>
        <v>0</v>
      </c>
      <c r="BC8" s="40">
        <f t="shared" si="29"/>
        <v>0</v>
      </c>
      <c r="BD8" s="33">
        <f t="shared" si="30"/>
        <v>0</v>
      </c>
      <c r="BE8" s="40">
        <f t="shared" si="31"/>
        <v>0</v>
      </c>
      <c r="BF8" s="41">
        <f t="shared" si="32"/>
        <v>0</v>
      </c>
      <c r="BG8" s="40">
        <f t="shared" si="33"/>
        <v>0</v>
      </c>
      <c r="BH8" s="41">
        <f t="shared" si="34"/>
        <v>0</v>
      </c>
      <c r="BJ8" s="70">
        <f t="shared" si="35"/>
        <v>0</v>
      </c>
      <c r="BK8" s="70">
        <f t="shared" si="36"/>
        <v>0</v>
      </c>
      <c r="BL8" s="70">
        <f t="shared" si="37"/>
        <v>0</v>
      </c>
      <c r="BM8" s="70">
        <f t="shared" si="38"/>
        <v>0</v>
      </c>
      <c r="BN8" s="70">
        <f t="shared" si="39"/>
        <v>0</v>
      </c>
      <c r="BO8" s="71">
        <f t="shared" si="40"/>
        <v>0</v>
      </c>
      <c r="BP8" s="69">
        <f t="shared" si="41"/>
        <v>0</v>
      </c>
      <c r="BQ8" s="69">
        <f t="shared" si="42"/>
        <v>0</v>
      </c>
      <c r="BR8" s="69">
        <f t="shared" si="43"/>
        <v>0</v>
      </c>
      <c r="BS8" s="69">
        <f t="shared" si="44"/>
        <v>0</v>
      </c>
      <c r="BT8" s="69">
        <f t="shared" si="45"/>
        <v>0</v>
      </c>
      <c r="BU8" s="69">
        <f t="shared" si="46"/>
        <v>0</v>
      </c>
    </row>
    <row r="9" spans="1:73">
      <c r="A9" s="3" t="s">
        <v>285</v>
      </c>
      <c r="B9" s="3">
        <v>1706469</v>
      </c>
      <c r="C9" s="3">
        <v>1111511</v>
      </c>
      <c r="D9" s="34">
        <v>44341.88</v>
      </c>
      <c r="E9" s="85">
        <f t="shared" si="1"/>
        <v>49286487380.68</v>
      </c>
      <c r="F9" s="85">
        <v>110738</v>
      </c>
      <c r="G9" s="86">
        <f t="shared" si="2"/>
        <v>6.4893062809813717E-2</v>
      </c>
      <c r="H9" s="3">
        <v>9.6</v>
      </c>
      <c r="I9" s="29">
        <f t="shared" si="3"/>
        <v>0</v>
      </c>
      <c r="J9" s="16">
        <f>+'Track mile elasticities'!F36</f>
        <v>1.3842040124351709E-3</v>
      </c>
      <c r="K9" s="16">
        <f>+'Track mile elasticities'!G36</f>
        <v>9.4361850103501527E-3</v>
      </c>
      <c r="L9" s="16">
        <f>+'Track mile elasticities'!H36</f>
        <v>3.7978160629990251E-3</v>
      </c>
      <c r="M9" s="16">
        <f>+'Track mile elasticities'!I36</f>
        <v>1.1174429617519918E-2</v>
      </c>
      <c r="N9" s="32">
        <f t="shared" si="4"/>
        <v>0</v>
      </c>
      <c r="O9" s="35">
        <f t="shared" si="5"/>
        <v>0</v>
      </c>
      <c r="P9" s="36">
        <f t="shared" si="6"/>
        <v>0</v>
      </c>
      <c r="Q9" s="35">
        <f t="shared" si="7"/>
        <v>0</v>
      </c>
      <c r="R9" s="36">
        <f t="shared" si="8"/>
        <v>0</v>
      </c>
      <c r="S9" s="33">
        <f t="shared" si="9"/>
        <v>0</v>
      </c>
      <c r="T9" s="36">
        <f t="shared" si="10"/>
        <v>0</v>
      </c>
      <c r="U9" s="33">
        <f t="shared" si="0"/>
        <v>0</v>
      </c>
      <c r="V9" s="13"/>
      <c r="W9" s="11">
        <f>+'Track mile elasticities'!N36</f>
        <v>2.4567939068267197E-3</v>
      </c>
      <c r="X9" s="11">
        <f>+'Track mile elasticities'!O36</f>
        <v>2.3477238425900573E-2</v>
      </c>
      <c r="Y9" s="11">
        <f>+'Track mile elasticities'!P36</f>
        <v>6.7406619826292672E-3</v>
      </c>
      <c r="Z9" s="11">
        <f>+'Track mile elasticities'!Q36</f>
        <v>2.7801992872776998E-2</v>
      </c>
      <c r="AA9" s="32">
        <f t="shared" si="11"/>
        <v>0</v>
      </c>
      <c r="AB9" s="33">
        <f t="shared" si="12"/>
        <v>0</v>
      </c>
      <c r="AC9" s="40">
        <f t="shared" si="13"/>
        <v>0</v>
      </c>
      <c r="AD9" s="33">
        <f t="shared" si="14"/>
        <v>0</v>
      </c>
      <c r="AE9" s="40">
        <f t="shared" si="15"/>
        <v>0</v>
      </c>
      <c r="AF9" s="41">
        <f t="shared" si="16"/>
        <v>0</v>
      </c>
      <c r="AG9" s="40">
        <f t="shared" si="17"/>
        <v>0</v>
      </c>
      <c r="AH9" s="41">
        <f t="shared" si="18"/>
        <v>0</v>
      </c>
      <c r="AJ9" s="11">
        <f>+'Track mile pop elasticities'!H37</f>
        <v>1.1025471230787972E-2</v>
      </c>
      <c r="AK9" s="11">
        <f>+'Track mile pop elasticities'!I37</f>
        <v>1.9838080488467049E-2</v>
      </c>
      <c r="AL9" s="11">
        <f>+'Track mile pop elasticities'!J37</f>
        <v>1.6013184406620626E-2</v>
      </c>
      <c r="AM9" s="11">
        <f>+'Track mile pop elasticities'!K37</f>
        <v>3.6504374852324536E-2</v>
      </c>
      <c r="AN9" s="32">
        <f t="shared" si="19"/>
        <v>0</v>
      </c>
      <c r="AO9" s="33">
        <f t="shared" si="20"/>
        <v>0</v>
      </c>
      <c r="AP9" s="40">
        <f t="shared" si="21"/>
        <v>0</v>
      </c>
      <c r="AQ9" s="33">
        <f t="shared" si="22"/>
        <v>0</v>
      </c>
      <c r="AR9" s="40">
        <f t="shared" si="23"/>
        <v>0</v>
      </c>
      <c r="AS9" s="41">
        <f t="shared" si="24"/>
        <v>0</v>
      </c>
      <c r="AT9" s="40">
        <f t="shared" si="25"/>
        <v>0</v>
      </c>
      <c r="AU9" s="41">
        <f t="shared" si="26"/>
        <v>0</v>
      </c>
      <c r="AW9" s="11">
        <f>+'Track mile pop elasticities'!P37</f>
        <v>8.3240569564725399E-3</v>
      </c>
      <c r="AX9" s="11">
        <f>+'Track mile pop elasticities'!Q37</f>
        <v>1.2750548206340619E-2</v>
      </c>
      <c r="AY9" s="11">
        <f>+'Track mile pop elasticities'!R37</f>
        <v>1.2089701770114879E-2</v>
      </c>
      <c r="AZ9" s="11">
        <f>+'Track mile pop elasticities'!S37</f>
        <v>2.3462491321551194E-2</v>
      </c>
      <c r="BA9" s="32">
        <f t="shared" si="27"/>
        <v>0</v>
      </c>
      <c r="BB9" s="33">
        <f t="shared" si="28"/>
        <v>0</v>
      </c>
      <c r="BC9" s="40">
        <f t="shared" si="29"/>
        <v>0</v>
      </c>
      <c r="BD9" s="33">
        <f t="shared" si="30"/>
        <v>0</v>
      </c>
      <c r="BE9" s="40">
        <f t="shared" si="31"/>
        <v>0</v>
      </c>
      <c r="BF9" s="41">
        <f t="shared" si="32"/>
        <v>0</v>
      </c>
      <c r="BG9" s="40">
        <f t="shared" si="33"/>
        <v>0</v>
      </c>
      <c r="BH9" s="41">
        <f t="shared" si="34"/>
        <v>0</v>
      </c>
      <c r="BJ9" s="70">
        <f t="shared" si="35"/>
        <v>0</v>
      </c>
      <c r="BK9" s="70">
        <f t="shared" si="36"/>
        <v>0</v>
      </c>
      <c r="BL9" s="70">
        <f t="shared" si="37"/>
        <v>0</v>
      </c>
      <c r="BM9" s="70">
        <f t="shared" si="38"/>
        <v>0</v>
      </c>
      <c r="BN9" s="70">
        <f t="shared" si="39"/>
        <v>0</v>
      </c>
      <c r="BO9" s="71">
        <f t="shared" si="40"/>
        <v>0</v>
      </c>
      <c r="BP9" s="69">
        <f t="shared" si="41"/>
        <v>0</v>
      </c>
      <c r="BQ9" s="69">
        <f t="shared" si="42"/>
        <v>0</v>
      </c>
      <c r="BR9" s="69">
        <f t="shared" si="43"/>
        <v>0</v>
      </c>
      <c r="BS9" s="69">
        <f t="shared" si="44"/>
        <v>0</v>
      </c>
      <c r="BT9" s="69">
        <f t="shared" si="45"/>
        <v>0</v>
      </c>
      <c r="BU9" s="69">
        <f t="shared" si="46"/>
        <v>0</v>
      </c>
    </row>
    <row r="10" spans="1:73">
      <c r="A10" s="3" t="s">
        <v>287</v>
      </c>
      <c r="B10" s="3">
        <v>9515636</v>
      </c>
      <c r="C10" s="3">
        <v>5777274</v>
      </c>
      <c r="D10" s="34">
        <v>49692.34</v>
      </c>
      <c r="E10" s="85">
        <f t="shared" si="1"/>
        <v>287086263881.15997</v>
      </c>
      <c r="F10" s="85">
        <v>476895</v>
      </c>
      <c r="G10" s="86">
        <f t="shared" si="2"/>
        <v>5.0116986400068265E-2</v>
      </c>
      <c r="H10" s="3">
        <v>691.3</v>
      </c>
      <c r="I10" s="29">
        <f t="shared" si="3"/>
        <v>0</v>
      </c>
      <c r="J10" s="16">
        <f>+'Track mile elasticities'!F37</f>
        <v>2.0393992074303403E-2</v>
      </c>
      <c r="K10" s="16">
        <f>+'Track mile elasticities'!G37</f>
        <v>0.13902682016806722</v>
      </c>
      <c r="L10" s="16">
        <f>+'Track mile elasticities'!H37</f>
        <v>5.5954635294117649E-2</v>
      </c>
      <c r="M10" s="16">
        <f>+'Track mile elasticities'!I37</f>
        <v>0.1646370238832375</v>
      </c>
      <c r="N10" s="32">
        <f t="shared" si="4"/>
        <v>0</v>
      </c>
      <c r="O10" s="35">
        <f t="shared" si="5"/>
        <v>0</v>
      </c>
      <c r="P10" s="36">
        <f t="shared" si="6"/>
        <v>0</v>
      </c>
      <c r="Q10" s="35">
        <f t="shared" si="7"/>
        <v>0</v>
      </c>
      <c r="R10" s="36">
        <f t="shared" si="8"/>
        <v>0</v>
      </c>
      <c r="S10" s="33">
        <f t="shared" si="9"/>
        <v>0</v>
      </c>
      <c r="T10" s="36">
        <f t="shared" si="10"/>
        <v>0</v>
      </c>
      <c r="U10" s="33">
        <f t="shared" si="0"/>
        <v>0</v>
      </c>
      <c r="V10" s="13"/>
      <c r="W10" s="11">
        <f>+'Track mile elasticities'!N37</f>
        <v>1.5550139346330531E-2</v>
      </c>
      <c r="X10" s="11">
        <f>+'Track mile elasticities'!O37</f>
        <v>0.1485978648739496</v>
      </c>
      <c r="Y10" s="11">
        <f>+'Track mile elasticities'!P37</f>
        <v>4.2664642249859941E-2</v>
      </c>
      <c r="Z10" s="11">
        <f>+'Track mile elasticities'!Q37</f>
        <v>0.17597115577178241</v>
      </c>
      <c r="AA10" s="32">
        <f t="shared" si="11"/>
        <v>0</v>
      </c>
      <c r="AB10" s="33">
        <f t="shared" si="12"/>
        <v>0</v>
      </c>
      <c r="AC10" s="40">
        <f t="shared" si="13"/>
        <v>0</v>
      </c>
      <c r="AD10" s="33">
        <f t="shared" si="14"/>
        <v>0</v>
      </c>
      <c r="AE10" s="40">
        <f t="shared" si="15"/>
        <v>0</v>
      </c>
      <c r="AF10" s="41">
        <f t="shared" si="16"/>
        <v>0</v>
      </c>
      <c r="AG10" s="40">
        <f t="shared" si="17"/>
        <v>0</v>
      </c>
      <c r="AH10" s="41">
        <f t="shared" si="18"/>
        <v>0</v>
      </c>
      <c r="AJ10" s="11">
        <f>+'Track mile pop elasticities'!H38</f>
        <v>2.5533693991158166E-2</v>
      </c>
      <c r="AK10" s="11">
        <f>+'Track mile pop elasticities'!I38</f>
        <v>4.5942660042502463E-2</v>
      </c>
      <c r="AL10" s="11">
        <f>+'Track mile pop elasticities'!J38</f>
        <v>3.7084650796682092E-2</v>
      </c>
      <c r="AM10" s="11">
        <f>+'Track mile pop elasticities'!K38</f>
        <v>8.4539836647976915E-2</v>
      </c>
      <c r="AN10" s="32">
        <f t="shared" si="19"/>
        <v>0</v>
      </c>
      <c r="AO10" s="33">
        <f t="shared" si="20"/>
        <v>0</v>
      </c>
      <c r="AP10" s="40">
        <f t="shared" si="21"/>
        <v>0</v>
      </c>
      <c r="AQ10" s="33">
        <f t="shared" si="22"/>
        <v>0</v>
      </c>
      <c r="AR10" s="40">
        <f t="shared" si="23"/>
        <v>0</v>
      </c>
      <c r="AS10" s="41">
        <f t="shared" si="24"/>
        <v>0</v>
      </c>
      <c r="AT10" s="40">
        <f t="shared" si="25"/>
        <v>0</v>
      </c>
      <c r="AU10" s="41">
        <f t="shared" si="26"/>
        <v>0</v>
      </c>
      <c r="AW10" s="11">
        <f>+'Track mile pop elasticities'!P38</f>
        <v>3.1431201615405663E-2</v>
      </c>
      <c r="AX10" s="11">
        <f>+'Track mile pop elasticities'!Q38</f>
        <v>4.8145399950539493E-2</v>
      </c>
      <c r="AY10" s="11">
        <f>+'Track mile pop elasticities'!R38</f>
        <v>4.5650078536660595E-2</v>
      </c>
      <c r="AZ10" s="11">
        <f>+'Track mile pop elasticities'!S38</f>
        <v>8.8593134211312485E-2</v>
      </c>
      <c r="BA10" s="32">
        <f t="shared" si="27"/>
        <v>0</v>
      </c>
      <c r="BB10" s="33">
        <f t="shared" si="28"/>
        <v>0</v>
      </c>
      <c r="BC10" s="40">
        <f t="shared" si="29"/>
        <v>0</v>
      </c>
      <c r="BD10" s="33">
        <f t="shared" si="30"/>
        <v>0</v>
      </c>
      <c r="BE10" s="40">
        <f t="shared" si="31"/>
        <v>0</v>
      </c>
      <c r="BF10" s="41">
        <f t="shared" si="32"/>
        <v>0</v>
      </c>
      <c r="BG10" s="40">
        <f t="shared" si="33"/>
        <v>0</v>
      </c>
      <c r="BH10" s="41">
        <f t="shared" si="34"/>
        <v>0</v>
      </c>
      <c r="BJ10" s="70">
        <f t="shared" si="35"/>
        <v>0</v>
      </c>
      <c r="BK10" s="70">
        <f t="shared" si="36"/>
        <v>0</v>
      </c>
      <c r="BL10" s="70">
        <f t="shared" si="37"/>
        <v>0</v>
      </c>
      <c r="BM10" s="70">
        <f t="shared" si="38"/>
        <v>0</v>
      </c>
      <c r="BN10" s="70">
        <f t="shared" si="39"/>
        <v>0</v>
      </c>
      <c r="BO10" s="71">
        <f t="shared" si="40"/>
        <v>0</v>
      </c>
      <c r="BP10" s="69">
        <f t="shared" si="41"/>
        <v>0</v>
      </c>
      <c r="BQ10" s="69">
        <f t="shared" si="42"/>
        <v>0</v>
      </c>
      <c r="BR10" s="69">
        <f t="shared" si="43"/>
        <v>0</v>
      </c>
      <c r="BS10" s="69">
        <f t="shared" si="44"/>
        <v>0</v>
      </c>
      <c r="BT10" s="69">
        <f t="shared" si="45"/>
        <v>0</v>
      </c>
      <c r="BU10" s="69">
        <f t="shared" si="46"/>
        <v>0</v>
      </c>
    </row>
    <row r="11" spans="1:73">
      <c r="A11" s="3" t="s">
        <v>289</v>
      </c>
      <c r="B11" s="3">
        <v>2094051</v>
      </c>
      <c r="C11" s="3">
        <v>1316713</v>
      </c>
      <c r="D11" s="34">
        <v>41348.39</v>
      </c>
      <c r="E11" s="85">
        <f t="shared" si="1"/>
        <v>54443962642.07</v>
      </c>
      <c r="F11" s="85">
        <v>93805</v>
      </c>
      <c r="G11" s="86">
        <f t="shared" si="2"/>
        <v>4.4795948140709085E-2</v>
      </c>
      <c r="H11" s="3">
        <v>34.5</v>
      </c>
      <c r="I11" s="29">
        <f t="shared" si="3"/>
        <v>0</v>
      </c>
      <c r="J11" s="16">
        <f>+'Track mile elasticities'!F38</f>
        <v>1.4469512356150912E-3</v>
      </c>
      <c r="K11" s="16">
        <f>+'Track mile elasticities'!G38</f>
        <v>9.863935834283839E-3</v>
      </c>
      <c r="L11" s="16">
        <f>+'Track mile elasticities'!H38</f>
        <v>3.9699745092688426E-3</v>
      </c>
      <c r="M11" s="16">
        <f>+'Track mile elasticities'!I38</f>
        <v>1.1680976645862441E-2</v>
      </c>
      <c r="N11" s="32">
        <f t="shared" si="4"/>
        <v>0</v>
      </c>
      <c r="O11" s="35">
        <f t="shared" si="5"/>
        <v>0</v>
      </c>
      <c r="P11" s="36">
        <f t="shared" si="6"/>
        <v>0</v>
      </c>
      <c r="Q11" s="35">
        <f t="shared" si="7"/>
        <v>0</v>
      </c>
      <c r="R11" s="36">
        <f t="shared" si="8"/>
        <v>0</v>
      </c>
      <c r="S11" s="33">
        <f t="shared" si="9"/>
        <v>0</v>
      </c>
      <c r="T11" s="36">
        <f t="shared" si="10"/>
        <v>0</v>
      </c>
      <c r="U11" s="33">
        <f t="shared" si="0"/>
        <v>0</v>
      </c>
      <c r="V11" s="13"/>
      <c r="W11" s="11">
        <f>+'Track mile elasticities'!N38</f>
        <v>3.9696938604025112E-3</v>
      </c>
      <c r="X11" s="11">
        <f>+'Track mile elasticities'!O38</f>
        <v>3.7934581724390751E-2</v>
      </c>
      <c r="Y11" s="11">
        <f>+'Track mile elasticities'!P38</f>
        <v>1.0891578822765011E-2</v>
      </c>
      <c r="Z11" s="11">
        <f>+'Track mile elasticities'!Q38</f>
        <v>4.4922530989410098E-2</v>
      </c>
      <c r="AA11" s="32">
        <f t="shared" si="11"/>
        <v>0</v>
      </c>
      <c r="AB11" s="33">
        <f t="shared" si="12"/>
        <v>0</v>
      </c>
      <c r="AC11" s="40">
        <f t="shared" si="13"/>
        <v>0</v>
      </c>
      <c r="AD11" s="33">
        <f t="shared" si="14"/>
        <v>0</v>
      </c>
      <c r="AE11" s="40">
        <f t="shared" si="15"/>
        <v>0</v>
      </c>
      <c r="AF11" s="41">
        <f t="shared" si="16"/>
        <v>0</v>
      </c>
      <c r="AG11" s="40">
        <f t="shared" si="17"/>
        <v>0</v>
      </c>
      <c r="AH11" s="41">
        <f t="shared" si="18"/>
        <v>0</v>
      </c>
      <c r="AJ11" s="11">
        <f>+'Track mile pop elasticities'!H39</f>
        <v>2.6312815446218482E-2</v>
      </c>
      <c r="AK11" s="11">
        <f>+'Track mile pop elasticities'!I39</f>
        <v>4.734452975058509E-2</v>
      </c>
      <c r="AL11" s="11">
        <f>+'Track mile pop elasticities'!J39</f>
        <v>3.8216231957603028E-2</v>
      </c>
      <c r="AM11" s="11">
        <f>+'Track mile pop elasticities'!K39</f>
        <v>8.711943991895453E-2</v>
      </c>
      <c r="AN11" s="32">
        <f t="shared" si="19"/>
        <v>0</v>
      </c>
      <c r="AO11" s="33">
        <f t="shared" si="20"/>
        <v>0</v>
      </c>
      <c r="AP11" s="40">
        <f t="shared" si="21"/>
        <v>0</v>
      </c>
      <c r="AQ11" s="33">
        <f t="shared" si="22"/>
        <v>0</v>
      </c>
      <c r="AR11" s="40">
        <f t="shared" si="23"/>
        <v>0</v>
      </c>
      <c r="AS11" s="41">
        <f t="shared" si="24"/>
        <v>0</v>
      </c>
      <c r="AT11" s="40">
        <f t="shared" si="25"/>
        <v>0</v>
      </c>
      <c r="AU11" s="41">
        <f t="shared" si="26"/>
        <v>0</v>
      </c>
      <c r="AW11" s="11">
        <f>+'Track mile pop elasticities'!P39</f>
        <v>2.3825751755881187E-2</v>
      </c>
      <c r="AX11" s="11">
        <f>+'Track mile pop elasticities'!Q39</f>
        <v>3.6495593183014992E-2</v>
      </c>
      <c r="AY11" s="11">
        <f>+'Track mile pop elasticities'!R39</f>
        <v>3.4604068026398864E-2</v>
      </c>
      <c r="AZ11" s="11">
        <f>+'Track mile pop elasticities'!S39</f>
        <v>6.7156135130373509E-2</v>
      </c>
      <c r="BA11" s="32">
        <f t="shared" si="27"/>
        <v>0</v>
      </c>
      <c r="BB11" s="33">
        <f t="shared" si="28"/>
        <v>0</v>
      </c>
      <c r="BC11" s="40">
        <f t="shared" si="29"/>
        <v>0</v>
      </c>
      <c r="BD11" s="33">
        <f t="shared" si="30"/>
        <v>0</v>
      </c>
      <c r="BE11" s="40">
        <f t="shared" si="31"/>
        <v>0</v>
      </c>
      <c r="BF11" s="41">
        <f t="shared" si="32"/>
        <v>0</v>
      </c>
      <c r="BG11" s="40">
        <f t="shared" si="33"/>
        <v>0</v>
      </c>
      <c r="BH11" s="41">
        <f t="shared" si="34"/>
        <v>0</v>
      </c>
      <c r="BJ11" s="70">
        <f t="shared" si="35"/>
        <v>0</v>
      </c>
      <c r="BK11" s="70">
        <f t="shared" si="36"/>
        <v>0</v>
      </c>
      <c r="BL11" s="70">
        <f t="shared" si="37"/>
        <v>0</v>
      </c>
      <c r="BM11" s="70">
        <f t="shared" si="38"/>
        <v>0</v>
      </c>
      <c r="BN11" s="70">
        <f t="shared" si="39"/>
        <v>0</v>
      </c>
      <c r="BO11" s="71">
        <f t="shared" si="40"/>
        <v>0</v>
      </c>
      <c r="BP11" s="69">
        <f t="shared" si="41"/>
        <v>0</v>
      </c>
      <c r="BQ11" s="69">
        <f t="shared" si="42"/>
        <v>0</v>
      </c>
      <c r="BR11" s="69">
        <f t="shared" si="43"/>
        <v>0</v>
      </c>
      <c r="BS11" s="69">
        <f t="shared" si="44"/>
        <v>0</v>
      </c>
      <c r="BT11" s="69">
        <f t="shared" si="45"/>
        <v>0</v>
      </c>
      <c r="BU11" s="69">
        <f t="shared" si="46"/>
        <v>0</v>
      </c>
    </row>
    <row r="12" spans="1:73">
      <c r="A12" s="3" t="s">
        <v>291</v>
      </c>
      <c r="B12" s="3">
        <v>6301085</v>
      </c>
      <c r="C12" s="3">
        <v>4013361</v>
      </c>
      <c r="D12" s="34">
        <v>47180.46</v>
      </c>
      <c r="E12" s="85">
        <f t="shared" si="1"/>
        <v>189352218126.06</v>
      </c>
      <c r="F12" s="85">
        <v>352414</v>
      </c>
      <c r="G12" s="86">
        <f t="shared" si="2"/>
        <v>5.5929097925198595E-2</v>
      </c>
      <c r="H12" s="3">
        <v>84.600009999999997</v>
      </c>
      <c r="I12" s="29">
        <f t="shared" si="3"/>
        <v>0</v>
      </c>
      <c r="J12" s="16">
        <f>+'Track mile elasticities'!F39</f>
        <v>4.5279728894699533E-3</v>
      </c>
      <c r="K12" s="16">
        <f>+'Track mile elasticities'!G39</f>
        <v>3.0867407927622478E-2</v>
      </c>
      <c r="L12" s="16">
        <f>+'Track mile elasticities'!H39</f>
        <v>1.2423319119123338E-2</v>
      </c>
      <c r="M12" s="16">
        <f>+'Track mile elasticities'!I39</f>
        <v>3.6553509387973984E-2</v>
      </c>
      <c r="N12" s="32">
        <f t="shared" si="4"/>
        <v>0</v>
      </c>
      <c r="O12" s="35">
        <f t="shared" si="5"/>
        <v>0</v>
      </c>
      <c r="P12" s="36">
        <f t="shared" si="6"/>
        <v>0</v>
      </c>
      <c r="Q12" s="35">
        <f t="shared" si="7"/>
        <v>0</v>
      </c>
      <c r="R12" s="36">
        <f t="shared" si="8"/>
        <v>0</v>
      </c>
      <c r="S12" s="33">
        <f t="shared" si="9"/>
        <v>0</v>
      </c>
      <c r="T12" s="36">
        <f t="shared" si="10"/>
        <v>0</v>
      </c>
      <c r="U12" s="33">
        <f t="shared" si="0"/>
        <v>0</v>
      </c>
      <c r="V12" s="13"/>
      <c r="W12" s="11">
        <f>+'Track mile elasticities'!N39</f>
        <v>2.7698287401433101E-3</v>
      </c>
      <c r="X12" s="11">
        <f>+'Track mile elasticities'!O39</f>
        <v>2.6468614054505138E-2</v>
      </c>
      <c r="Y12" s="11">
        <f>+'Track mile elasticities'!P39</f>
        <v>7.5995301173607073E-3</v>
      </c>
      <c r="Z12" s="11">
        <f>+'Track mile elasticities'!Q39</f>
        <v>3.1344411380335037E-2</v>
      </c>
      <c r="AA12" s="32">
        <f t="shared" si="11"/>
        <v>0</v>
      </c>
      <c r="AB12" s="33">
        <f t="shared" si="12"/>
        <v>0</v>
      </c>
      <c r="AC12" s="40">
        <f t="shared" si="13"/>
        <v>0</v>
      </c>
      <c r="AD12" s="33">
        <f t="shared" si="14"/>
        <v>0</v>
      </c>
      <c r="AE12" s="40">
        <f t="shared" si="15"/>
        <v>0</v>
      </c>
      <c r="AF12" s="41">
        <f t="shared" si="16"/>
        <v>0</v>
      </c>
      <c r="AG12" s="40">
        <f t="shared" si="17"/>
        <v>0</v>
      </c>
      <c r="AH12" s="41">
        <f t="shared" si="18"/>
        <v>0</v>
      </c>
      <c r="AJ12" s="11">
        <f>+'Track mile pop elasticities'!H40</f>
        <v>7.1262732641301854E-3</v>
      </c>
      <c r="AK12" s="11">
        <f>+'Track mile pop elasticities'!I40</f>
        <v>1.2822271233346805E-2</v>
      </c>
      <c r="AL12" s="11">
        <f>+'Track mile pop elasticities'!J40</f>
        <v>1.0350063550284316E-2</v>
      </c>
      <c r="AM12" s="11">
        <f>+'Track mile pop elasticities'!K40</f>
        <v>2.3594470031129439E-2</v>
      </c>
      <c r="AN12" s="32">
        <f t="shared" si="19"/>
        <v>0</v>
      </c>
      <c r="AO12" s="33">
        <f t="shared" si="20"/>
        <v>0</v>
      </c>
      <c r="AP12" s="40">
        <f t="shared" si="21"/>
        <v>0</v>
      </c>
      <c r="AQ12" s="33">
        <f t="shared" si="22"/>
        <v>0</v>
      </c>
      <c r="AR12" s="40">
        <f t="shared" si="23"/>
        <v>0</v>
      </c>
      <c r="AS12" s="41">
        <f t="shared" si="24"/>
        <v>0</v>
      </c>
      <c r="AT12" s="40">
        <f t="shared" si="25"/>
        <v>0</v>
      </c>
      <c r="AU12" s="41">
        <f t="shared" si="26"/>
        <v>0</v>
      </c>
      <c r="AW12" s="11">
        <f>+'Track mile pop elasticities'!P40</f>
        <v>8.2029660364047307E-3</v>
      </c>
      <c r="AX12" s="11">
        <f>+'Track mile pop elasticities'!Q40</f>
        <v>1.2565064658865106E-2</v>
      </c>
      <c r="AY12" s="11">
        <f>+'Track mile pop elasticities'!R40</f>
        <v>1.1913831624302108E-2</v>
      </c>
      <c r="AZ12" s="11">
        <f>+'Track mile pop elasticities'!S40</f>
        <v>2.3121180026341892E-2</v>
      </c>
      <c r="BA12" s="32">
        <f t="shared" si="27"/>
        <v>0</v>
      </c>
      <c r="BB12" s="33">
        <f t="shared" si="28"/>
        <v>0</v>
      </c>
      <c r="BC12" s="40">
        <f t="shared" si="29"/>
        <v>0</v>
      </c>
      <c r="BD12" s="33">
        <f t="shared" si="30"/>
        <v>0</v>
      </c>
      <c r="BE12" s="40">
        <f t="shared" si="31"/>
        <v>0</v>
      </c>
      <c r="BF12" s="41">
        <f t="shared" si="32"/>
        <v>0</v>
      </c>
      <c r="BG12" s="40">
        <f t="shared" si="33"/>
        <v>0</v>
      </c>
      <c r="BH12" s="41">
        <f t="shared" si="34"/>
        <v>0</v>
      </c>
      <c r="BJ12" s="70">
        <f t="shared" si="35"/>
        <v>0</v>
      </c>
      <c r="BK12" s="70">
        <f t="shared" si="36"/>
        <v>0</v>
      </c>
      <c r="BL12" s="70">
        <f t="shared" si="37"/>
        <v>0</v>
      </c>
      <c r="BM12" s="70">
        <f t="shared" si="38"/>
        <v>0</v>
      </c>
      <c r="BN12" s="70">
        <f t="shared" si="39"/>
        <v>0</v>
      </c>
      <c r="BO12" s="71">
        <f t="shared" si="40"/>
        <v>0</v>
      </c>
      <c r="BP12" s="69">
        <f t="shared" si="41"/>
        <v>0</v>
      </c>
      <c r="BQ12" s="69">
        <f t="shared" si="42"/>
        <v>0</v>
      </c>
      <c r="BR12" s="69">
        <f t="shared" si="43"/>
        <v>0</v>
      </c>
      <c r="BS12" s="69">
        <f t="shared" si="44"/>
        <v>0</v>
      </c>
      <c r="BT12" s="69">
        <f t="shared" si="45"/>
        <v>0</v>
      </c>
      <c r="BU12" s="69">
        <f t="shared" si="46"/>
        <v>0</v>
      </c>
    </row>
    <row r="13" spans="1:73">
      <c r="A13" s="3" t="s">
        <v>293</v>
      </c>
      <c r="B13" s="3">
        <v>2500384</v>
      </c>
      <c r="C13" s="3">
        <v>1701841</v>
      </c>
      <c r="D13" s="34">
        <v>47081.16</v>
      </c>
      <c r="E13" s="85">
        <f t="shared" si="1"/>
        <v>80124648415.560013</v>
      </c>
      <c r="F13" s="85">
        <v>136608</v>
      </c>
      <c r="G13" s="86">
        <f t="shared" si="2"/>
        <v>5.4634808093476844E-2</v>
      </c>
      <c r="H13" s="3">
        <v>34.6</v>
      </c>
      <c r="I13" s="29">
        <f t="shared" si="3"/>
        <v>0</v>
      </c>
      <c r="J13" s="16">
        <f>+'Track mile elasticities'!F40</f>
        <v>1.325189234380527E-3</v>
      </c>
      <c r="K13" s="16">
        <f>+'Track mile elasticities'!G40</f>
        <v>9.033878443496117E-3</v>
      </c>
      <c r="L13" s="16">
        <f>+'Track mile elasticities'!H40</f>
        <v>3.6358982603942255E-3</v>
      </c>
      <c r="M13" s="16">
        <f>+'Track mile elasticities'!I40</f>
        <v>1.0698013946245402E-2</v>
      </c>
      <c r="N13" s="32">
        <f t="shared" si="4"/>
        <v>0</v>
      </c>
      <c r="O13" s="35">
        <f t="shared" si="5"/>
        <v>0</v>
      </c>
      <c r="P13" s="36">
        <f t="shared" si="6"/>
        <v>0</v>
      </c>
      <c r="Q13" s="35">
        <f t="shared" si="7"/>
        <v>0</v>
      </c>
      <c r="R13" s="36">
        <f t="shared" si="8"/>
        <v>0</v>
      </c>
      <c r="S13" s="33">
        <f t="shared" si="9"/>
        <v>0</v>
      </c>
      <c r="T13" s="36">
        <f t="shared" si="10"/>
        <v>0</v>
      </c>
      <c r="U13" s="33">
        <f t="shared" si="0"/>
        <v>0</v>
      </c>
      <c r="V13" s="13"/>
      <c r="W13" s="11">
        <f>+'Track mile elasticities'!N40</f>
        <v>8.719478205546342E-4</v>
      </c>
      <c r="X13" s="11">
        <f>+'Track mile elasticities'!O40</f>
        <v>8.332374490681832E-3</v>
      </c>
      <c r="Y13" s="11">
        <f>+'Track mile elasticities'!P40</f>
        <v>2.3923478109080217E-3</v>
      </c>
      <c r="Z13" s="11">
        <f>+'Track mile elasticities'!Q40</f>
        <v>9.8672855810705909E-3</v>
      </c>
      <c r="AA13" s="32">
        <f t="shared" si="11"/>
        <v>0</v>
      </c>
      <c r="AB13" s="33">
        <f t="shared" si="12"/>
        <v>0</v>
      </c>
      <c r="AC13" s="40">
        <f t="shared" si="13"/>
        <v>0</v>
      </c>
      <c r="AD13" s="33">
        <f t="shared" si="14"/>
        <v>0</v>
      </c>
      <c r="AE13" s="40">
        <f t="shared" si="15"/>
        <v>0</v>
      </c>
      <c r="AF13" s="41">
        <f t="shared" si="16"/>
        <v>0</v>
      </c>
      <c r="AG13" s="40">
        <f t="shared" si="17"/>
        <v>0</v>
      </c>
      <c r="AH13" s="41">
        <f t="shared" si="18"/>
        <v>0</v>
      </c>
      <c r="AJ13" s="11">
        <f>+'Track mile pop elasticities'!H41</f>
        <v>1.8509104619176427E-2</v>
      </c>
      <c r="AK13" s="11">
        <f>+'Track mile pop elasticities'!I41</f>
        <v>3.3303348176115737E-2</v>
      </c>
      <c r="AL13" s="11">
        <f>+'Track mile pop elasticities'!J41</f>
        <v>2.6882270994518141E-2</v>
      </c>
      <c r="AM13" s="11">
        <f>+'Track mile pop elasticities'!K41</f>
        <v>6.1282033126399009E-2</v>
      </c>
      <c r="AN13" s="32">
        <f t="shared" si="19"/>
        <v>0</v>
      </c>
      <c r="AO13" s="33">
        <f t="shared" si="20"/>
        <v>0</v>
      </c>
      <c r="AP13" s="40">
        <f t="shared" si="21"/>
        <v>0</v>
      </c>
      <c r="AQ13" s="33">
        <f t="shared" si="22"/>
        <v>0</v>
      </c>
      <c r="AR13" s="40">
        <f t="shared" si="23"/>
        <v>0</v>
      </c>
      <c r="AS13" s="41">
        <f t="shared" si="24"/>
        <v>0</v>
      </c>
      <c r="AT13" s="40">
        <f t="shared" si="25"/>
        <v>0</v>
      </c>
      <c r="AU13" s="41">
        <f t="shared" si="26"/>
        <v>0</v>
      </c>
      <c r="AW13" s="11">
        <f>+'Track mile pop elasticities'!P41</f>
        <v>2.6460825524731002E-2</v>
      </c>
      <c r="AX13" s="11">
        <f>+'Track mile pop elasticities'!Q41</f>
        <v>4.0531922498476709E-2</v>
      </c>
      <c r="AY13" s="11">
        <f>+'Track mile pop elasticities'!R41</f>
        <v>3.8431198976395027E-2</v>
      </c>
      <c r="AZ13" s="11">
        <f>+'Track mile pop elasticities'!S41</f>
        <v>7.4583450411441155E-2</v>
      </c>
      <c r="BA13" s="32">
        <f t="shared" si="27"/>
        <v>0</v>
      </c>
      <c r="BB13" s="33">
        <f t="shared" si="28"/>
        <v>0</v>
      </c>
      <c r="BC13" s="40">
        <f t="shared" si="29"/>
        <v>0</v>
      </c>
      <c r="BD13" s="33">
        <f t="shared" si="30"/>
        <v>0</v>
      </c>
      <c r="BE13" s="40">
        <f t="shared" si="31"/>
        <v>0</v>
      </c>
      <c r="BF13" s="41">
        <f t="shared" si="32"/>
        <v>0</v>
      </c>
      <c r="BG13" s="40">
        <f t="shared" si="33"/>
        <v>0</v>
      </c>
      <c r="BH13" s="41">
        <f t="shared" si="34"/>
        <v>0</v>
      </c>
      <c r="BJ13" s="70">
        <f t="shared" si="35"/>
        <v>0</v>
      </c>
      <c r="BK13" s="70">
        <f t="shared" si="36"/>
        <v>0</v>
      </c>
      <c r="BL13" s="70">
        <f t="shared" si="37"/>
        <v>0</v>
      </c>
      <c r="BM13" s="70">
        <f t="shared" si="38"/>
        <v>0</v>
      </c>
      <c r="BN13" s="70">
        <f t="shared" si="39"/>
        <v>0</v>
      </c>
      <c r="BO13" s="71">
        <f t="shared" si="40"/>
        <v>0</v>
      </c>
      <c r="BP13" s="69">
        <f t="shared" si="41"/>
        <v>0</v>
      </c>
      <c r="BQ13" s="69">
        <f t="shared" si="42"/>
        <v>0</v>
      </c>
      <c r="BR13" s="69">
        <f t="shared" si="43"/>
        <v>0</v>
      </c>
      <c r="BS13" s="69">
        <f t="shared" si="44"/>
        <v>0</v>
      </c>
      <c r="BT13" s="69">
        <f t="shared" si="45"/>
        <v>0</v>
      </c>
      <c r="BU13" s="69">
        <f t="shared" si="46"/>
        <v>0</v>
      </c>
    </row>
    <row r="14" spans="1:73">
      <c r="A14" s="3" t="s">
        <v>295</v>
      </c>
      <c r="B14" s="3">
        <v>5726705</v>
      </c>
      <c r="C14" s="3">
        <v>3487033</v>
      </c>
      <c r="D14" s="34">
        <v>52427.95</v>
      </c>
      <c r="E14" s="85">
        <f t="shared" si="1"/>
        <v>182817991772.34998</v>
      </c>
      <c r="F14" s="85">
        <v>377223</v>
      </c>
      <c r="G14" s="86">
        <f t="shared" si="2"/>
        <v>6.5870862913315772E-2</v>
      </c>
      <c r="H14" s="3">
        <v>14.3</v>
      </c>
      <c r="I14" s="29">
        <f t="shared" si="3"/>
        <v>0</v>
      </c>
      <c r="J14" s="16">
        <f>+'Track mile elasticities'!F41</f>
        <v>5.8801163406692184E-4</v>
      </c>
      <c r="K14" s="16">
        <f>+'Track mile elasticities'!G41</f>
        <v>4.0085034557387211E-3</v>
      </c>
      <c r="L14" s="16">
        <f>+'Track mile elasticities'!H41</f>
        <v>1.6133171187395689E-3</v>
      </c>
      <c r="M14" s="16">
        <f>+'Track mile elasticities'!I41</f>
        <v>4.7469119870590121E-3</v>
      </c>
      <c r="N14" s="32">
        <f t="shared" si="4"/>
        <v>0</v>
      </c>
      <c r="O14" s="35">
        <f t="shared" si="5"/>
        <v>0</v>
      </c>
      <c r="P14" s="36">
        <f t="shared" si="6"/>
        <v>0</v>
      </c>
      <c r="Q14" s="35">
        <f t="shared" si="7"/>
        <v>0</v>
      </c>
      <c r="R14" s="36">
        <f t="shared" si="8"/>
        <v>0</v>
      </c>
      <c r="S14" s="33">
        <f t="shared" si="9"/>
        <v>0</v>
      </c>
      <c r="T14" s="36">
        <f t="shared" si="10"/>
        <v>0</v>
      </c>
      <c r="U14" s="33">
        <f t="shared" si="0"/>
        <v>0</v>
      </c>
      <c r="V14" s="13"/>
      <c r="W14" s="11">
        <f>+'Track mile elasticities'!N41</f>
        <v>3.6217578662246688E-4</v>
      </c>
      <c r="X14" s="11">
        <f>+'Track mile elasticities'!O41</f>
        <v>3.4609688956801312E-3</v>
      </c>
      <c r="Y14" s="11">
        <f>+'Track mile elasticities'!P41</f>
        <v>9.9369529903637135E-4</v>
      </c>
      <c r="Z14" s="11">
        <f>+'Track mile elasticities'!Q41</f>
        <v>4.0985157975159453E-3</v>
      </c>
      <c r="AA14" s="32">
        <f t="shared" si="11"/>
        <v>0</v>
      </c>
      <c r="AB14" s="33">
        <f t="shared" si="12"/>
        <v>0</v>
      </c>
      <c r="AC14" s="40">
        <f t="shared" si="13"/>
        <v>0</v>
      </c>
      <c r="AD14" s="33">
        <f t="shared" si="14"/>
        <v>0</v>
      </c>
      <c r="AE14" s="40">
        <f t="shared" si="15"/>
        <v>0</v>
      </c>
      <c r="AF14" s="41">
        <f t="shared" si="16"/>
        <v>0</v>
      </c>
      <c r="AG14" s="40">
        <f t="shared" si="17"/>
        <v>0</v>
      </c>
      <c r="AH14" s="41">
        <f t="shared" si="18"/>
        <v>0</v>
      </c>
      <c r="AJ14" s="11">
        <f>+'Track mile pop elasticities'!H42</f>
        <v>1.4583076281404186E-3</v>
      </c>
      <c r="AK14" s="11">
        <f>+'Track mile pop elasticities'!I42</f>
        <v>2.6239263155673318E-3</v>
      </c>
      <c r="AL14" s="11">
        <f>+'Track mile pop elasticities'!J42</f>
        <v>2.1180182218229885E-3</v>
      </c>
      <c r="AM14" s="11">
        <f>+'Track mile pop elasticities'!K42</f>
        <v>4.8283295283550022E-3</v>
      </c>
      <c r="AN14" s="32">
        <f t="shared" si="19"/>
        <v>0</v>
      </c>
      <c r="AO14" s="33">
        <f t="shared" si="20"/>
        <v>0</v>
      </c>
      <c r="AP14" s="40">
        <f t="shared" si="21"/>
        <v>0</v>
      </c>
      <c r="AQ14" s="33">
        <f t="shared" si="22"/>
        <v>0</v>
      </c>
      <c r="AR14" s="40">
        <f t="shared" si="23"/>
        <v>0</v>
      </c>
      <c r="AS14" s="41">
        <f t="shared" si="24"/>
        <v>0</v>
      </c>
      <c r="AT14" s="40">
        <f t="shared" si="25"/>
        <v>0</v>
      </c>
      <c r="AU14" s="41">
        <f t="shared" si="26"/>
        <v>0</v>
      </c>
      <c r="AW14" s="11">
        <f>+'Track mile pop elasticities'!P42</f>
        <v>1.6595566451073176E-3</v>
      </c>
      <c r="AX14" s="11">
        <f>+'Track mile pop elasticities'!Q42</f>
        <v>2.5420605739777135E-3</v>
      </c>
      <c r="AY14" s="11">
        <f>+'Track mile pop elasticities'!R42</f>
        <v>2.4103084607511038E-3</v>
      </c>
      <c r="AZ14" s="11">
        <f>+'Track mile pop elasticities'!S42</f>
        <v>4.6776870445578269E-3</v>
      </c>
      <c r="BA14" s="32">
        <f t="shared" si="27"/>
        <v>0</v>
      </c>
      <c r="BB14" s="33">
        <f t="shared" si="28"/>
        <v>0</v>
      </c>
      <c r="BC14" s="40">
        <f t="shared" si="29"/>
        <v>0</v>
      </c>
      <c r="BD14" s="33">
        <f t="shared" si="30"/>
        <v>0</v>
      </c>
      <c r="BE14" s="40">
        <f t="shared" si="31"/>
        <v>0</v>
      </c>
      <c r="BF14" s="41">
        <f t="shared" si="32"/>
        <v>0</v>
      </c>
      <c r="BG14" s="40">
        <f t="shared" si="33"/>
        <v>0</v>
      </c>
      <c r="BH14" s="41">
        <f t="shared" si="34"/>
        <v>0</v>
      </c>
      <c r="BJ14" s="70">
        <f t="shared" si="35"/>
        <v>0</v>
      </c>
      <c r="BK14" s="70">
        <f t="shared" si="36"/>
        <v>0</v>
      </c>
      <c r="BL14" s="70">
        <f t="shared" si="37"/>
        <v>0</v>
      </c>
      <c r="BM14" s="70">
        <f t="shared" si="38"/>
        <v>0</v>
      </c>
      <c r="BN14" s="70">
        <f t="shared" si="39"/>
        <v>0</v>
      </c>
      <c r="BO14" s="71">
        <f t="shared" si="40"/>
        <v>0</v>
      </c>
      <c r="BP14" s="69">
        <f t="shared" si="41"/>
        <v>0</v>
      </c>
      <c r="BQ14" s="69">
        <f t="shared" si="42"/>
        <v>0</v>
      </c>
      <c r="BR14" s="69">
        <f t="shared" si="43"/>
        <v>0</v>
      </c>
      <c r="BS14" s="69">
        <f t="shared" si="44"/>
        <v>0</v>
      </c>
      <c r="BT14" s="69">
        <f t="shared" si="45"/>
        <v>0</v>
      </c>
      <c r="BU14" s="69">
        <f t="shared" si="46"/>
        <v>0</v>
      </c>
    </row>
    <row r="15" spans="1:73">
      <c r="A15" s="3" t="s">
        <v>297</v>
      </c>
      <c r="B15" s="3">
        <v>675921</v>
      </c>
      <c r="C15" s="3">
        <v>436103</v>
      </c>
      <c r="D15" s="34">
        <v>36943.61</v>
      </c>
      <c r="E15" s="85">
        <f t="shared" si="1"/>
        <v>16111219151.83</v>
      </c>
      <c r="F15" s="85">
        <v>25560</v>
      </c>
      <c r="G15" s="86">
        <f t="shared" si="2"/>
        <v>3.7815070104346517E-2</v>
      </c>
      <c r="H15" s="3">
        <v>3.4</v>
      </c>
      <c r="I15" s="29">
        <f t="shared" si="3"/>
        <v>0</v>
      </c>
      <c r="J15" s="16">
        <f>+'Track mile elasticities'!F42</f>
        <v>2.1784842616500672E-4</v>
      </c>
      <c r="K15" s="16">
        <f>+'Track mile elasticities'!G42</f>
        <v>1.4850831488995447E-3</v>
      </c>
      <c r="L15" s="16">
        <f>+'Track mile elasticities'!H42</f>
        <v>5.9770687323250945E-4</v>
      </c>
      <c r="M15" s="16">
        <f>+'Track mile elasticities'!I42</f>
        <v>1.7586510973810398E-3</v>
      </c>
      <c r="N15" s="32">
        <f t="shared" si="4"/>
        <v>0</v>
      </c>
      <c r="O15" s="35">
        <f t="shared" si="5"/>
        <v>0</v>
      </c>
      <c r="P15" s="36">
        <f t="shared" si="6"/>
        <v>0</v>
      </c>
      <c r="Q15" s="35">
        <f t="shared" si="7"/>
        <v>0</v>
      </c>
      <c r="R15" s="36">
        <f t="shared" si="8"/>
        <v>0</v>
      </c>
      <c r="S15" s="33">
        <f t="shared" si="9"/>
        <v>0</v>
      </c>
      <c r="T15" s="36">
        <f t="shared" si="10"/>
        <v>0</v>
      </c>
      <c r="U15" s="33">
        <f t="shared" si="0"/>
        <v>0</v>
      </c>
      <c r="V15" s="13"/>
      <c r="W15" s="11">
        <f>+'Track mile elasticities'!N42</f>
        <v>2.9286629922332876E-4</v>
      </c>
      <c r="X15" s="11">
        <f>+'Track mile elasticities'!O42</f>
        <v>2.7986441657444974E-3</v>
      </c>
      <c r="Y15" s="11">
        <f>+'Track mile elasticities'!P42</f>
        <v>8.0353208451166018E-4</v>
      </c>
      <c r="Z15" s="11">
        <f>+'Track mile elasticities'!Q42</f>
        <v>3.3141838804869052E-3</v>
      </c>
      <c r="AA15" s="32">
        <f t="shared" si="11"/>
        <v>0</v>
      </c>
      <c r="AB15" s="33">
        <f t="shared" si="12"/>
        <v>0</v>
      </c>
      <c r="AC15" s="40">
        <f t="shared" si="13"/>
        <v>0</v>
      </c>
      <c r="AD15" s="33">
        <f t="shared" si="14"/>
        <v>0</v>
      </c>
      <c r="AE15" s="40">
        <f t="shared" si="15"/>
        <v>0</v>
      </c>
      <c r="AF15" s="41">
        <f t="shared" si="16"/>
        <v>0</v>
      </c>
      <c r="AG15" s="40">
        <f t="shared" si="17"/>
        <v>0</v>
      </c>
      <c r="AH15" s="41">
        <f t="shared" si="18"/>
        <v>0</v>
      </c>
      <c r="AJ15" s="11">
        <f>+'Track mile pop elasticities'!H43</f>
        <v>2.4889133178117473E-2</v>
      </c>
      <c r="AK15" s="11">
        <f>+'Track mile pop elasticities'!I43</f>
        <v>4.4782904688635453E-2</v>
      </c>
      <c r="AL15" s="11">
        <f>+'Track mile pop elasticities'!J43</f>
        <v>3.6148502949170609E-2</v>
      </c>
      <c r="AM15" s="11">
        <f>+'Track mile pop elasticities'!K43</f>
        <v>8.2405751941587904E-2</v>
      </c>
      <c r="AN15" s="32">
        <f t="shared" si="19"/>
        <v>0</v>
      </c>
      <c r="AO15" s="33">
        <f t="shared" si="20"/>
        <v>0</v>
      </c>
      <c r="AP15" s="40">
        <f t="shared" si="21"/>
        <v>0</v>
      </c>
      <c r="AQ15" s="33">
        <f t="shared" si="22"/>
        <v>0</v>
      </c>
      <c r="AR15" s="40">
        <f t="shared" si="23"/>
        <v>0</v>
      </c>
      <c r="AS15" s="41">
        <f t="shared" si="24"/>
        <v>0</v>
      </c>
      <c r="AT15" s="40">
        <f t="shared" si="25"/>
        <v>0</v>
      </c>
      <c r="AU15" s="41">
        <f t="shared" si="26"/>
        <v>0</v>
      </c>
      <c r="AW15" s="11">
        <f>+'Track mile pop elasticities'!P43</f>
        <v>2.1147264905086754E-2</v>
      </c>
      <c r="AX15" s="11">
        <f>+'Track mile pop elasticities'!Q43</f>
        <v>3.2392764972000859E-2</v>
      </c>
      <c r="AY15" s="11">
        <f>+'Track mile pop elasticities'!R43</f>
        <v>3.0713884743102188E-2</v>
      </c>
      <c r="AZ15" s="11">
        <f>+'Track mile pop elasticities'!S43</f>
        <v>5.9606454149059719E-2</v>
      </c>
      <c r="BA15" s="32">
        <f t="shared" si="27"/>
        <v>0</v>
      </c>
      <c r="BB15" s="33">
        <f t="shared" si="28"/>
        <v>0</v>
      </c>
      <c r="BC15" s="40">
        <f t="shared" si="29"/>
        <v>0</v>
      </c>
      <c r="BD15" s="33">
        <f t="shared" si="30"/>
        <v>0</v>
      </c>
      <c r="BE15" s="40">
        <f t="shared" si="31"/>
        <v>0</v>
      </c>
      <c r="BF15" s="41">
        <f t="shared" si="32"/>
        <v>0</v>
      </c>
      <c r="BG15" s="40">
        <f t="shared" si="33"/>
        <v>0</v>
      </c>
      <c r="BH15" s="41">
        <f t="shared" si="34"/>
        <v>0</v>
      </c>
      <c r="BJ15" s="70">
        <f t="shared" si="35"/>
        <v>0</v>
      </c>
      <c r="BK15" s="70">
        <f t="shared" si="36"/>
        <v>0</v>
      </c>
      <c r="BL15" s="70">
        <f t="shared" si="37"/>
        <v>0</v>
      </c>
      <c r="BM15" s="70">
        <f t="shared" si="38"/>
        <v>0</v>
      </c>
      <c r="BN15" s="70">
        <f t="shared" si="39"/>
        <v>0</v>
      </c>
      <c r="BO15" s="71">
        <f t="shared" si="40"/>
        <v>0</v>
      </c>
      <c r="BP15" s="69">
        <f t="shared" si="41"/>
        <v>0</v>
      </c>
      <c r="BQ15" s="69">
        <f t="shared" si="42"/>
        <v>0</v>
      </c>
      <c r="BR15" s="69">
        <f t="shared" si="43"/>
        <v>0</v>
      </c>
      <c r="BS15" s="69">
        <f t="shared" si="44"/>
        <v>0</v>
      </c>
      <c r="BT15" s="69">
        <f t="shared" si="45"/>
        <v>0</v>
      </c>
      <c r="BU15" s="69">
        <f t="shared" si="46"/>
        <v>0</v>
      </c>
    </row>
    <row r="16" spans="1:73">
      <c r="A16" s="3" t="s">
        <v>299</v>
      </c>
      <c r="B16" s="3">
        <v>12768395</v>
      </c>
      <c r="C16" s="3">
        <v>7823094</v>
      </c>
      <c r="D16" s="34">
        <v>47279</v>
      </c>
      <c r="E16" s="85">
        <f t="shared" si="1"/>
        <v>369868061226</v>
      </c>
      <c r="F16" s="85">
        <v>655355</v>
      </c>
      <c r="G16" s="86">
        <f t="shared" si="2"/>
        <v>5.1326341329509306E-2</v>
      </c>
      <c r="H16" s="3">
        <v>481.3</v>
      </c>
      <c r="I16" s="29">
        <f t="shared" si="3"/>
        <v>0</v>
      </c>
      <c r="J16" s="16">
        <f>+'Track mile elasticities'!F43</f>
        <v>1.3481146111943811E-2</v>
      </c>
      <c r="K16" s="16">
        <f>+'Track mile elasticities'!G43</f>
        <v>9.1901618346032887E-2</v>
      </c>
      <c r="L16" s="16">
        <f>+'Track mile elasticities'!H43</f>
        <v>3.6987982112192411E-2</v>
      </c>
      <c r="M16" s="16">
        <f>+'Track mile elasticities'!I43</f>
        <v>0.10883086383082842</v>
      </c>
      <c r="N16" s="32">
        <f t="shared" si="4"/>
        <v>0</v>
      </c>
      <c r="O16" s="35">
        <f t="shared" si="5"/>
        <v>0</v>
      </c>
      <c r="P16" s="36">
        <f t="shared" si="6"/>
        <v>0</v>
      </c>
      <c r="Q16" s="35">
        <f t="shared" si="7"/>
        <v>0</v>
      </c>
      <c r="R16" s="36">
        <f t="shared" si="8"/>
        <v>0</v>
      </c>
      <c r="S16" s="33">
        <f t="shared" si="9"/>
        <v>0</v>
      </c>
      <c r="T16" s="36">
        <f t="shared" si="10"/>
        <v>0</v>
      </c>
      <c r="U16" s="33">
        <f t="shared" si="0"/>
        <v>0</v>
      </c>
      <c r="V16" s="13"/>
      <c r="W16" s="11">
        <f>+'Track mile elasticities'!N43</f>
        <v>1.5284416559388159E-2</v>
      </c>
      <c r="X16" s="11">
        <f>+'Track mile elasticities'!O43</f>
        <v>0.14605860539153795</v>
      </c>
      <c r="Y16" s="11">
        <f>+'Track mile elasticities'!P43</f>
        <v>4.1935583339837545E-2</v>
      </c>
      <c r="Z16" s="11">
        <f>+'Track mile elasticities'!Q43</f>
        <v>0.17296413796366336</v>
      </c>
      <c r="AA16" s="32">
        <f t="shared" si="11"/>
        <v>0</v>
      </c>
      <c r="AB16" s="33">
        <f t="shared" si="12"/>
        <v>0</v>
      </c>
      <c r="AC16" s="40">
        <f t="shared" si="13"/>
        <v>0</v>
      </c>
      <c r="AD16" s="33">
        <f t="shared" si="14"/>
        <v>0</v>
      </c>
      <c r="AE16" s="40">
        <f t="shared" si="15"/>
        <v>0</v>
      </c>
      <c r="AF16" s="41">
        <f t="shared" si="16"/>
        <v>0</v>
      </c>
      <c r="AG16" s="40">
        <f t="shared" si="17"/>
        <v>0</v>
      </c>
      <c r="AH16" s="41">
        <f t="shared" si="18"/>
        <v>0</v>
      </c>
      <c r="AJ16" s="11">
        <f>+'Track mile pop elasticities'!H44</f>
        <v>9.8733828278811785E-3</v>
      </c>
      <c r="AK16" s="11">
        <f>+'Track mile pop elasticities'!I44</f>
        <v>1.7765133039030819E-2</v>
      </c>
      <c r="AL16" s="11">
        <f>+'Track mile pop elasticities'!J44</f>
        <v>1.4339913154779806E-2</v>
      </c>
      <c r="AM16" s="11">
        <f>+'Track mile pop elasticities'!K44</f>
        <v>3.2689910504960777E-2</v>
      </c>
      <c r="AN16" s="32">
        <f t="shared" si="19"/>
        <v>0</v>
      </c>
      <c r="AO16" s="33">
        <f t="shared" si="20"/>
        <v>0</v>
      </c>
      <c r="AP16" s="40">
        <f t="shared" si="21"/>
        <v>0</v>
      </c>
      <c r="AQ16" s="33">
        <f t="shared" si="22"/>
        <v>0</v>
      </c>
      <c r="AR16" s="40">
        <f t="shared" si="23"/>
        <v>0</v>
      </c>
      <c r="AS16" s="41">
        <f t="shared" si="24"/>
        <v>0</v>
      </c>
      <c r="AT16" s="40">
        <f t="shared" si="25"/>
        <v>0</v>
      </c>
      <c r="AU16" s="41">
        <f t="shared" si="26"/>
        <v>0</v>
      </c>
      <c r="AW16" s="11">
        <f>+'Track mile pop elasticities'!P44</f>
        <v>2.1102698559371812E-2</v>
      </c>
      <c r="AX16" s="11">
        <f>+'Track mile pop elasticities'!Q44</f>
        <v>3.2324499540566383E-2</v>
      </c>
      <c r="AY16" s="11">
        <f>+'Track mile pop elasticities'!R44</f>
        <v>3.0649157431468583E-2</v>
      </c>
      <c r="AZ16" s="11">
        <f>+'Track mile pop elasticities'!S44</f>
        <v>5.9480837817379416E-2</v>
      </c>
      <c r="BA16" s="32">
        <f t="shared" si="27"/>
        <v>0</v>
      </c>
      <c r="BB16" s="33">
        <f t="shared" si="28"/>
        <v>0</v>
      </c>
      <c r="BC16" s="40">
        <f t="shared" si="29"/>
        <v>0</v>
      </c>
      <c r="BD16" s="33">
        <f t="shared" si="30"/>
        <v>0</v>
      </c>
      <c r="BE16" s="40">
        <f t="shared" si="31"/>
        <v>0</v>
      </c>
      <c r="BF16" s="41">
        <f t="shared" si="32"/>
        <v>0</v>
      </c>
      <c r="BG16" s="40">
        <f t="shared" si="33"/>
        <v>0</v>
      </c>
      <c r="BH16" s="41">
        <f t="shared" si="34"/>
        <v>0</v>
      </c>
      <c r="BJ16" s="70">
        <f t="shared" si="35"/>
        <v>0</v>
      </c>
      <c r="BK16" s="70">
        <f t="shared" si="36"/>
        <v>0</v>
      </c>
      <c r="BL16" s="70">
        <f t="shared" si="37"/>
        <v>0</v>
      </c>
      <c r="BM16" s="70">
        <f t="shared" si="38"/>
        <v>0</v>
      </c>
      <c r="BN16" s="70">
        <f t="shared" si="39"/>
        <v>0</v>
      </c>
      <c r="BO16" s="71">
        <f t="shared" si="40"/>
        <v>0</v>
      </c>
      <c r="BP16" s="69">
        <f t="shared" si="41"/>
        <v>0</v>
      </c>
      <c r="BQ16" s="69">
        <f t="shared" si="42"/>
        <v>0</v>
      </c>
      <c r="BR16" s="69">
        <f t="shared" si="43"/>
        <v>0</v>
      </c>
      <c r="BS16" s="69">
        <f t="shared" si="44"/>
        <v>0</v>
      </c>
      <c r="BT16" s="69">
        <f t="shared" si="45"/>
        <v>0</v>
      </c>
      <c r="BU16" s="69">
        <f t="shared" si="46"/>
        <v>0</v>
      </c>
    </row>
    <row r="17" spans="1:73">
      <c r="A17" s="3" t="s">
        <v>301</v>
      </c>
      <c r="B17" s="3">
        <v>1298529</v>
      </c>
      <c r="C17" s="3">
        <v>819373</v>
      </c>
      <c r="D17" s="34">
        <v>39486.449999999997</v>
      </c>
      <c r="E17" s="85">
        <f t="shared" si="1"/>
        <v>32354130995.849998</v>
      </c>
      <c r="F17" s="85">
        <v>56599</v>
      </c>
      <c r="G17" s="86">
        <f t="shared" si="2"/>
        <v>4.3587012688973449E-2</v>
      </c>
      <c r="H17" s="3">
        <v>7</v>
      </c>
      <c r="I17" s="29">
        <f t="shared" si="3"/>
        <v>0</v>
      </c>
      <c r="J17" s="16">
        <f>+'Track mile elasticities'!F44</f>
        <v>4.5466908337379934E-4</v>
      </c>
      <c r="K17" s="16">
        <f>+'Track mile elasticities'!G44</f>
        <v>3.0995009049668005E-3</v>
      </c>
      <c r="L17" s="16">
        <f>+'Track mile elasticities'!H44</f>
        <v>1.247467521169991E-3</v>
      </c>
      <c r="M17" s="16">
        <f>+'Track mile elasticities'!I44</f>
        <v>3.6704615979870009E-3</v>
      </c>
      <c r="N17" s="32">
        <f t="shared" si="4"/>
        <v>0</v>
      </c>
      <c r="O17" s="35">
        <f t="shared" si="5"/>
        <v>0</v>
      </c>
      <c r="P17" s="36">
        <f t="shared" si="6"/>
        <v>0</v>
      </c>
      <c r="Q17" s="35">
        <f t="shared" si="7"/>
        <v>0</v>
      </c>
      <c r="R17" s="36">
        <f t="shared" si="8"/>
        <v>0</v>
      </c>
      <c r="S17" s="33">
        <f t="shared" si="9"/>
        <v>0</v>
      </c>
      <c r="T17" s="36">
        <f t="shared" si="10"/>
        <v>0</v>
      </c>
      <c r="U17" s="33">
        <f t="shared" si="0"/>
        <v>0</v>
      </c>
      <c r="V17" s="13"/>
      <c r="W17" s="11">
        <f>+'Track mile elasticities'!N44</f>
        <v>5.4684082492203264E-4</v>
      </c>
      <c r="X17" s="11">
        <f>+'Track mile elasticities'!O44</f>
        <v>5.2256367097120995E-3</v>
      </c>
      <c r="Y17" s="11">
        <f>+'Track mile elasticities'!P44</f>
        <v>1.5003574979810283E-3</v>
      </c>
      <c r="Z17" s="11">
        <f>+'Track mile elasticities'!Q44</f>
        <v>6.1882539983432756E-3</v>
      </c>
      <c r="AA17" s="32">
        <f t="shared" si="11"/>
        <v>0</v>
      </c>
      <c r="AB17" s="33">
        <f t="shared" si="12"/>
        <v>0</v>
      </c>
      <c r="AC17" s="40">
        <f t="shared" si="13"/>
        <v>0</v>
      </c>
      <c r="AD17" s="33">
        <f t="shared" si="14"/>
        <v>0</v>
      </c>
      <c r="AE17" s="40">
        <f t="shared" si="15"/>
        <v>0</v>
      </c>
      <c r="AF17" s="41">
        <f t="shared" si="16"/>
        <v>0</v>
      </c>
      <c r="AG17" s="40">
        <f t="shared" si="17"/>
        <v>0</v>
      </c>
      <c r="AH17" s="41">
        <f t="shared" si="18"/>
        <v>0</v>
      </c>
      <c r="AJ17" s="11">
        <f>+'Track mile pop elasticities'!H45</f>
        <v>1.3884091510903042E-2</v>
      </c>
      <c r="AK17" s="11">
        <f>+'Track mile pop elasticities'!I45</f>
        <v>2.498158302144985E-2</v>
      </c>
      <c r="AL17" s="11">
        <f>+'Track mile pop elasticities'!J45</f>
        <v>2.0164990051549654E-2</v>
      </c>
      <c r="AM17" s="11">
        <f>+'Track mile pop elasticities'!K45</f>
        <v>4.5969017594702774E-2</v>
      </c>
      <c r="AN17" s="32">
        <f t="shared" si="19"/>
        <v>0</v>
      </c>
      <c r="AO17" s="33">
        <f t="shared" si="20"/>
        <v>0</v>
      </c>
      <c r="AP17" s="40">
        <f t="shared" si="21"/>
        <v>0</v>
      </c>
      <c r="AQ17" s="33">
        <f t="shared" si="22"/>
        <v>0</v>
      </c>
      <c r="AR17" s="40">
        <f t="shared" si="23"/>
        <v>0</v>
      </c>
      <c r="AS17" s="41">
        <f t="shared" si="24"/>
        <v>0</v>
      </c>
      <c r="AT17" s="40">
        <f t="shared" si="25"/>
        <v>0</v>
      </c>
      <c r="AU17" s="41">
        <f t="shared" si="26"/>
        <v>0</v>
      </c>
      <c r="AW17" s="11">
        <f>+'Track mile pop elasticities'!P45</f>
        <v>1.284467447362323E-2</v>
      </c>
      <c r="AX17" s="11">
        <f>+'Track mile pop elasticities'!Q45</f>
        <v>1.967509856396861E-2</v>
      </c>
      <c r="AY17" s="11">
        <f>+'Track mile pop elasticities'!R45</f>
        <v>1.8655360545024213E-2</v>
      </c>
      <c r="AZ17" s="11">
        <f>+'Track mile pop elasticities'!S45</f>
        <v>3.6204469159860843E-2</v>
      </c>
      <c r="BA17" s="32">
        <f t="shared" si="27"/>
        <v>0</v>
      </c>
      <c r="BB17" s="33">
        <f t="shared" si="28"/>
        <v>0</v>
      </c>
      <c r="BC17" s="40">
        <f t="shared" si="29"/>
        <v>0</v>
      </c>
      <c r="BD17" s="33">
        <f t="shared" si="30"/>
        <v>0</v>
      </c>
      <c r="BE17" s="40">
        <f t="shared" si="31"/>
        <v>0</v>
      </c>
      <c r="BF17" s="41">
        <f t="shared" si="32"/>
        <v>0</v>
      </c>
      <c r="BG17" s="40">
        <f t="shared" si="33"/>
        <v>0</v>
      </c>
      <c r="BH17" s="41">
        <f t="shared" si="34"/>
        <v>0</v>
      </c>
      <c r="BJ17" s="70">
        <f t="shared" si="35"/>
        <v>0</v>
      </c>
      <c r="BK17" s="70">
        <f t="shared" si="36"/>
        <v>0</v>
      </c>
      <c r="BL17" s="70">
        <f t="shared" si="37"/>
        <v>0</v>
      </c>
      <c r="BM17" s="70">
        <f t="shared" si="38"/>
        <v>0</v>
      </c>
      <c r="BN17" s="70">
        <f t="shared" si="39"/>
        <v>0</v>
      </c>
      <c r="BO17" s="71">
        <f t="shared" si="40"/>
        <v>0</v>
      </c>
      <c r="BP17" s="69">
        <f t="shared" si="41"/>
        <v>0</v>
      </c>
      <c r="BQ17" s="69">
        <f t="shared" si="42"/>
        <v>0</v>
      </c>
      <c r="BR17" s="69">
        <f t="shared" si="43"/>
        <v>0</v>
      </c>
      <c r="BS17" s="69">
        <f t="shared" si="44"/>
        <v>0</v>
      </c>
      <c r="BT17" s="69">
        <f t="shared" si="45"/>
        <v>0</v>
      </c>
      <c r="BU17" s="69">
        <f t="shared" si="46"/>
        <v>0</v>
      </c>
    </row>
    <row r="18" spans="1:73">
      <c r="A18" s="3" t="s">
        <v>303</v>
      </c>
      <c r="B18" s="3">
        <v>5501752</v>
      </c>
      <c r="C18" s="3">
        <v>3273236</v>
      </c>
      <c r="D18" s="34">
        <v>40292.35</v>
      </c>
      <c r="E18" s="85">
        <f t="shared" si="1"/>
        <v>131886370544.59999</v>
      </c>
      <c r="F18" s="85">
        <v>233919</v>
      </c>
      <c r="G18" s="86">
        <f t="shared" si="2"/>
        <v>4.2517183617145959E-2</v>
      </c>
      <c r="H18" s="3">
        <v>95.8</v>
      </c>
      <c r="I18" s="29">
        <f t="shared" si="3"/>
        <v>0</v>
      </c>
      <c r="J18" s="16">
        <f>+'Track mile elasticities'!F45</f>
        <v>3.0196324278550352E-3</v>
      </c>
      <c r="K18" s="16">
        <f>+'Track mile elasticities'!G45</f>
        <v>2.0584978801184785E-2</v>
      </c>
      <c r="L18" s="16">
        <f>+'Track mile elasticities'!H45</f>
        <v>8.2849120764253662E-3</v>
      </c>
      <c r="M18" s="16">
        <f>+'Track mile elasticities'!I45</f>
        <v>2.4376948580350406E-2</v>
      </c>
      <c r="N18" s="32">
        <f t="shared" si="4"/>
        <v>0</v>
      </c>
      <c r="O18" s="35">
        <f t="shared" si="5"/>
        <v>0</v>
      </c>
      <c r="P18" s="36">
        <f t="shared" si="6"/>
        <v>0</v>
      </c>
      <c r="Q18" s="35">
        <f t="shared" si="7"/>
        <v>0</v>
      </c>
      <c r="R18" s="36">
        <f t="shared" si="8"/>
        <v>0</v>
      </c>
      <c r="S18" s="33">
        <f t="shared" si="9"/>
        <v>0</v>
      </c>
      <c r="T18" s="36">
        <f t="shared" si="10"/>
        <v>0</v>
      </c>
      <c r="U18" s="33">
        <f t="shared" si="0"/>
        <v>0</v>
      </c>
      <c r="V18" s="13"/>
      <c r="W18" s="11">
        <f>+'Track mile elasticities'!N45</f>
        <v>3.23966549101673E-3</v>
      </c>
      <c r="X18" s="11">
        <f>+'Track mile elasticities'!O45</f>
        <v>3.0958396201414266E-2</v>
      </c>
      <c r="Y18" s="11">
        <f>+'Track mile elasticities'!P45</f>
        <v>8.8886128995404861E-3</v>
      </c>
      <c r="Z18" s="11">
        <f>+'Track mile elasticities'!Q45</f>
        <v>3.6661258659569526E-2</v>
      </c>
      <c r="AA18" s="32">
        <f t="shared" si="11"/>
        <v>0</v>
      </c>
      <c r="AB18" s="33">
        <f t="shared" si="12"/>
        <v>0</v>
      </c>
      <c r="AC18" s="40">
        <f t="shared" si="13"/>
        <v>0</v>
      </c>
      <c r="AD18" s="33">
        <f t="shared" si="14"/>
        <v>0</v>
      </c>
      <c r="AE18" s="40">
        <f t="shared" si="15"/>
        <v>0</v>
      </c>
      <c r="AF18" s="41">
        <f t="shared" si="16"/>
        <v>0</v>
      </c>
      <c r="AG18" s="40">
        <f t="shared" si="17"/>
        <v>0</v>
      </c>
      <c r="AH18" s="41">
        <f t="shared" si="18"/>
        <v>0</v>
      </c>
      <c r="AJ18" s="11">
        <f>+'Track mile pop elasticities'!H46</f>
        <v>1.058488692260743E-2</v>
      </c>
      <c r="AK18" s="11">
        <f>+'Track mile pop elasticities'!I46</f>
        <v>1.9045339136674822E-2</v>
      </c>
      <c r="AL18" s="11">
        <f>+'Track mile pop elasticities'!J46</f>
        <v>1.5373288149501266E-2</v>
      </c>
      <c r="AM18" s="11">
        <f>+'Track mile pop elasticities'!K46</f>
        <v>3.5045638585799885E-2</v>
      </c>
      <c r="AN18" s="32">
        <f t="shared" si="19"/>
        <v>0</v>
      </c>
      <c r="AO18" s="33">
        <f t="shared" si="20"/>
        <v>0</v>
      </c>
      <c r="AP18" s="40">
        <f t="shared" si="21"/>
        <v>0</v>
      </c>
      <c r="AQ18" s="33">
        <f t="shared" si="22"/>
        <v>0</v>
      </c>
      <c r="AR18" s="40">
        <f t="shared" si="23"/>
        <v>0</v>
      </c>
      <c r="AS18" s="41">
        <f t="shared" si="24"/>
        <v>0</v>
      </c>
      <c r="AT18" s="40">
        <f t="shared" si="25"/>
        <v>0</v>
      </c>
      <c r="AU18" s="41">
        <f t="shared" si="26"/>
        <v>0</v>
      </c>
      <c r="AW18" s="11">
        <f>+'Track mile pop elasticities'!P46</f>
        <v>1.5873387587621735E-2</v>
      </c>
      <c r="AX18" s="11">
        <f>+'Track mile pop elasticities'!Q46</f>
        <v>2.4314393172973649E-2</v>
      </c>
      <c r="AY18" s="11">
        <f>+'Track mile pop elasticities'!R46</f>
        <v>2.3054205782022039E-2</v>
      </c>
      <c r="AZ18" s="11">
        <f>+'Track mile pop elasticities'!S46</f>
        <v>4.4741310693291625E-2</v>
      </c>
      <c r="BA18" s="32">
        <f t="shared" si="27"/>
        <v>0</v>
      </c>
      <c r="BB18" s="33">
        <f t="shared" si="28"/>
        <v>0</v>
      </c>
      <c r="BC18" s="40">
        <f t="shared" si="29"/>
        <v>0</v>
      </c>
      <c r="BD18" s="33">
        <f t="shared" si="30"/>
        <v>0</v>
      </c>
      <c r="BE18" s="40">
        <f t="shared" si="31"/>
        <v>0</v>
      </c>
      <c r="BF18" s="41">
        <f t="shared" si="32"/>
        <v>0</v>
      </c>
      <c r="BG18" s="40">
        <f t="shared" si="33"/>
        <v>0</v>
      </c>
      <c r="BH18" s="41">
        <f t="shared" si="34"/>
        <v>0</v>
      </c>
      <c r="BJ18" s="70">
        <f t="shared" si="35"/>
        <v>0</v>
      </c>
      <c r="BK18" s="70">
        <f t="shared" si="36"/>
        <v>0</v>
      </c>
      <c r="BL18" s="70">
        <f t="shared" si="37"/>
        <v>0</v>
      </c>
      <c r="BM18" s="70">
        <f t="shared" si="38"/>
        <v>0</v>
      </c>
      <c r="BN18" s="70">
        <f t="shared" si="39"/>
        <v>0</v>
      </c>
      <c r="BO18" s="71">
        <f t="shared" si="40"/>
        <v>0</v>
      </c>
      <c r="BP18" s="69">
        <f t="shared" si="41"/>
        <v>0</v>
      </c>
      <c r="BQ18" s="69">
        <f t="shared" si="42"/>
        <v>0</v>
      </c>
      <c r="BR18" s="69">
        <f t="shared" si="43"/>
        <v>0</v>
      </c>
      <c r="BS18" s="69">
        <f t="shared" si="44"/>
        <v>0</v>
      </c>
      <c r="BT18" s="69">
        <f t="shared" si="45"/>
        <v>0</v>
      </c>
      <c r="BU18" s="69">
        <f t="shared" si="46"/>
        <v>0</v>
      </c>
    </row>
    <row r="19" spans="1:73">
      <c r="A19" s="3" t="s">
        <v>305</v>
      </c>
      <c r="B19" s="3">
        <v>3237612</v>
      </c>
      <c r="C19" s="3">
        <v>2285862</v>
      </c>
      <c r="D19" s="34">
        <v>48866.68</v>
      </c>
      <c r="E19" s="85">
        <f t="shared" si="1"/>
        <v>111702486878.16</v>
      </c>
      <c r="F19" s="85">
        <v>175976</v>
      </c>
      <c r="G19" s="86">
        <f t="shared" si="2"/>
        <v>5.4353640893349792E-2</v>
      </c>
      <c r="H19" s="3">
        <v>12.1</v>
      </c>
      <c r="I19" s="29">
        <f t="shared" si="3"/>
        <v>0</v>
      </c>
      <c r="J19" s="16">
        <f>+'Track mile elasticities'!F46</f>
        <v>4.3634030847880594E-4</v>
      </c>
      <c r="K19" s="16">
        <f>+'Track mile elasticities'!G46</f>
        <v>2.9745527691656709E-3</v>
      </c>
      <c r="L19" s="16">
        <f>+'Track mile elasticities'!H46</f>
        <v>1.1971791857180237E-3</v>
      </c>
      <c r="M19" s="16">
        <f>+'Track mile elasticities'!I46</f>
        <v>3.522496700327768E-3</v>
      </c>
      <c r="N19" s="32">
        <f t="shared" si="4"/>
        <v>0</v>
      </c>
      <c r="O19" s="35">
        <f t="shared" si="5"/>
        <v>0</v>
      </c>
      <c r="P19" s="36">
        <f t="shared" si="6"/>
        <v>0</v>
      </c>
      <c r="Q19" s="35">
        <f t="shared" si="7"/>
        <v>0</v>
      </c>
      <c r="R19" s="36">
        <f t="shared" si="8"/>
        <v>0</v>
      </c>
      <c r="S19" s="33">
        <f t="shared" si="9"/>
        <v>0</v>
      </c>
      <c r="T19" s="36">
        <f t="shared" si="10"/>
        <v>0</v>
      </c>
      <c r="U19" s="33">
        <f t="shared" si="0"/>
        <v>0</v>
      </c>
      <c r="V19" s="13"/>
      <c r="W19" s="11">
        <f>+'Track mile elasticities'!N46</f>
        <v>3.9575241743394703E-4</v>
      </c>
      <c r="X19" s="11">
        <f>+'Track mile elasticities'!O46</f>
        <v>3.7818287630500143E-3</v>
      </c>
      <c r="Y19" s="11">
        <f>+'Track mile elasticities'!P46</f>
        <v>1.0858189070389883E-3</v>
      </c>
      <c r="Z19" s="11">
        <f>+'Track mile elasticities'!Q46</f>
        <v>4.4784814299276485E-3</v>
      </c>
      <c r="AA19" s="32">
        <f t="shared" si="11"/>
        <v>0</v>
      </c>
      <c r="AB19" s="33">
        <f t="shared" si="12"/>
        <v>0</v>
      </c>
      <c r="AC19" s="40">
        <f t="shared" si="13"/>
        <v>0</v>
      </c>
      <c r="AD19" s="33">
        <f t="shared" si="14"/>
        <v>0</v>
      </c>
      <c r="AE19" s="40">
        <f t="shared" si="15"/>
        <v>0</v>
      </c>
      <c r="AF19" s="41">
        <f t="shared" si="16"/>
        <v>0</v>
      </c>
      <c r="AG19" s="40">
        <f t="shared" si="17"/>
        <v>0</v>
      </c>
      <c r="AH19" s="41">
        <f t="shared" si="18"/>
        <v>0</v>
      </c>
      <c r="AJ19" s="11">
        <f>+'Track mile pop elasticities'!H47</f>
        <v>3.8606328516870704E-3</v>
      </c>
      <c r="AK19" s="11">
        <f>+'Track mile pop elasticities'!I47</f>
        <v>6.9464192182844761E-3</v>
      </c>
      <c r="AL19" s="11">
        <f>+'Track mile pop elasticities'!J47</f>
        <v>5.607109617926459E-3</v>
      </c>
      <c r="AM19" s="11">
        <f>+'Track mile pop elasticities'!K47</f>
        <v>1.2782219084808352E-2</v>
      </c>
      <c r="AN19" s="32">
        <f t="shared" si="19"/>
        <v>0</v>
      </c>
      <c r="AO19" s="33">
        <f t="shared" si="20"/>
        <v>0</v>
      </c>
      <c r="AP19" s="40">
        <f t="shared" si="21"/>
        <v>0</v>
      </c>
      <c r="AQ19" s="33">
        <f t="shared" si="22"/>
        <v>0</v>
      </c>
      <c r="AR19" s="40">
        <f t="shared" si="23"/>
        <v>0</v>
      </c>
      <c r="AS19" s="41">
        <f t="shared" si="24"/>
        <v>0</v>
      </c>
      <c r="AT19" s="40">
        <f t="shared" si="25"/>
        <v>0</v>
      </c>
      <c r="AU19" s="41">
        <f t="shared" si="26"/>
        <v>0</v>
      </c>
      <c r="AW19" s="11">
        <f>+'Track mile pop elasticities'!P47</f>
        <v>3.7992073429181697E-3</v>
      </c>
      <c r="AX19" s="11">
        <f>+'Track mile pop elasticities'!Q47</f>
        <v>5.8195152466003165E-3</v>
      </c>
      <c r="AY19" s="11">
        <f>+'Track mile pop elasticities'!R47</f>
        <v>5.517896379000198E-3</v>
      </c>
      <c r="AZ19" s="11">
        <f>+'Track mile pop elasticities'!S47</f>
        <v>1.0708584741563954E-2</v>
      </c>
      <c r="BA19" s="32">
        <f t="shared" si="27"/>
        <v>0</v>
      </c>
      <c r="BB19" s="33">
        <f t="shared" si="28"/>
        <v>0</v>
      </c>
      <c r="BC19" s="40">
        <f t="shared" si="29"/>
        <v>0</v>
      </c>
      <c r="BD19" s="33">
        <f t="shared" si="30"/>
        <v>0</v>
      </c>
      <c r="BE19" s="40">
        <f t="shared" si="31"/>
        <v>0</v>
      </c>
      <c r="BF19" s="41">
        <f t="shared" si="32"/>
        <v>0</v>
      </c>
      <c r="BG19" s="40">
        <f t="shared" si="33"/>
        <v>0</v>
      </c>
      <c r="BH19" s="41">
        <f t="shared" si="34"/>
        <v>0</v>
      </c>
      <c r="BJ19" s="70">
        <f t="shared" si="35"/>
        <v>0</v>
      </c>
      <c r="BK19" s="70">
        <f t="shared" si="36"/>
        <v>0</v>
      </c>
      <c r="BL19" s="70">
        <f t="shared" si="37"/>
        <v>0</v>
      </c>
      <c r="BM19" s="70">
        <f t="shared" si="38"/>
        <v>0</v>
      </c>
      <c r="BN19" s="70">
        <f t="shared" si="39"/>
        <v>0</v>
      </c>
      <c r="BO19" s="71">
        <f t="shared" si="40"/>
        <v>0</v>
      </c>
      <c r="BP19" s="69">
        <f t="shared" si="41"/>
        <v>0</v>
      </c>
      <c r="BQ19" s="69">
        <f t="shared" si="42"/>
        <v>0</v>
      </c>
      <c r="BR19" s="69">
        <f t="shared" si="43"/>
        <v>0</v>
      </c>
      <c r="BS19" s="69">
        <f t="shared" si="44"/>
        <v>0</v>
      </c>
      <c r="BT19" s="69">
        <f t="shared" si="45"/>
        <v>0</v>
      </c>
      <c r="BU19" s="69">
        <f t="shared" si="46"/>
        <v>0</v>
      </c>
    </row>
    <row r="20" spans="1:73">
      <c r="A20" s="3" t="s">
        <v>306</v>
      </c>
      <c r="B20" s="3">
        <v>1556368</v>
      </c>
      <c r="C20" s="3">
        <v>1038536</v>
      </c>
      <c r="D20" s="34">
        <v>40648.57</v>
      </c>
      <c r="E20" s="85">
        <f t="shared" si="1"/>
        <v>42215003293.519997</v>
      </c>
      <c r="F20" s="85">
        <v>71966</v>
      </c>
      <c r="G20" s="86">
        <f t="shared" si="2"/>
        <v>4.6239706804560361E-2</v>
      </c>
      <c r="H20" s="3">
        <v>32</v>
      </c>
      <c r="I20" s="29">
        <f t="shared" si="3"/>
        <v>0</v>
      </c>
      <c r="J20" s="16">
        <f>+'Track mile elasticities'!F47</f>
        <v>2.2138195838401131E-3</v>
      </c>
      <c r="K20" s="16">
        <f>+'Track mile elasticities'!G47</f>
        <v>1.5091714071757951E-2</v>
      </c>
      <c r="L20" s="16">
        <f>+'Track mile elasticities'!H47</f>
        <v>6.0740176307526568E-3</v>
      </c>
      <c r="M20" s="16">
        <f>+'Track mile elasticities'!I47</f>
        <v>1.7871766663923892E-2</v>
      </c>
      <c r="N20" s="32">
        <f t="shared" si="4"/>
        <v>0</v>
      </c>
      <c r="O20" s="35">
        <f t="shared" si="5"/>
        <v>0</v>
      </c>
      <c r="P20" s="36">
        <f t="shared" si="6"/>
        <v>0</v>
      </c>
      <c r="Q20" s="35">
        <f t="shared" si="7"/>
        <v>0</v>
      </c>
      <c r="R20" s="36">
        <f t="shared" si="8"/>
        <v>0</v>
      </c>
      <c r="S20" s="33">
        <f t="shared" si="9"/>
        <v>0</v>
      </c>
      <c r="T20" s="36">
        <f t="shared" si="10"/>
        <v>0</v>
      </c>
      <c r="U20" s="33">
        <f t="shared" si="0"/>
        <v>0</v>
      </c>
      <c r="V20" s="13"/>
      <c r="W20" s="11">
        <f>+'Track mile elasticities'!N47</f>
        <v>2.1407845051171224E-3</v>
      </c>
      <c r="X20" s="11">
        <f>+'Track mile elasticities'!O47</f>
        <v>2.0457437681464064E-2</v>
      </c>
      <c r="Y20" s="11">
        <f>+'Track mile elasticities'!P47</f>
        <v>5.873632577216654E-3</v>
      </c>
      <c r="Z20" s="11">
        <f>+'Track mile elasticities'!Q47</f>
        <v>2.4225913043839024E-2</v>
      </c>
      <c r="AA20" s="32">
        <f t="shared" si="11"/>
        <v>0</v>
      </c>
      <c r="AB20" s="33">
        <f t="shared" si="12"/>
        <v>0</v>
      </c>
      <c r="AC20" s="40">
        <f t="shared" si="13"/>
        <v>0</v>
      </c>
      <c r="AD20" s="33">
        <f t="shared" si="14"/>
        <v>0</v>
      </c>
      <c r="AE20" s="40">
        <f t="shared" si="15"/>
        <v>0</v>
      </c>
      <c r="AF20" s="41">
        <f t="shared" si="16"/>
        <v>0</v>
      </c>
      <c r="AG20" s="40">
        <f t="shared" si="17"/>
        <v>0</v>
      </c>
      <c r="AH20" s="41">
        <f t="shared" si="18"/>
        <v>0</v>
      </c>
      <c r="AJ20" s="11">
        <f>+'Track mile pop elasticities'!H48</f>
        <v>4.418228028593145E-2</v>
      </c>
      <c r="AK20" s="11">
        <f>+'Track mile pop elasticities'!I48</f>
        <v>7.9496976966278624E-2</v>
      </c>
      <c r="AL20" s="11">
        <f>+'Track mile pop elasticities'!J48</f>
        <v>6.4169502320043301E-2</v>
      </c>
      <c r="AM20" s="11">
        <f>+'Track mile pop elasticities'!K48</f>
        <v>0.1462836814524836</v>
      </c>
      <c r="AN20" s="32">
        <f t="shared" si="19"/>
        <v>0</v>
      </c>
      <c r="AO20" s="33">
        <f t="shared" si="20"/>
        <v>0</v>
      </c>
      <c r="AP20" s="40">
        <f t="shared" si="21"/>
        <v>0</v>
      </c>
      <c r="AQ20" s="33">
        <f t="shared" si="22"/>
        <v>0</v>
      </c>
      <c r="AR20" s="40">
        <f t="shared" si="23"/>
        <v>0</v>
      </c>
      <c r="AS20" s="41">
        <f t="shared" si="24"/>
        <v>0</v>
      </c>
      <c r="AT20" s="40">
        <f t="shared" si="25"/>
        <v>0</v>
      </c>
      <c r="AU20" s="41">
        <f t="shared" si="26"/>
        <v>0</v>
      </c>
      <c r="AW20" s="11">
        <f>+'Track mile pop elasticities'!P48</f>
        <v>3.624077549018484E-2</v>
      </c>
      <c r="AX20" s="11">
        <f>+'Track mile pop elasticities'!Q48</f>
        <v>5.5512565247822103E-2</v>
      </c>
      <c r="AY20" s="11">
        <f>+'Track mile pop elasticities'!R48</f>
        <v>5.2635412021458931E-2</v>
      </c>
      <c r="AZ20" s="11">
        <f>+'Track mile pop elasticities'!S48</f>
        <v>0.10214957500544009</v>
      </c>
      <c r="BA20" s="32">
        <f t="shared" si="27"/>
        <v>0</v>
      </c>
      <c r="BB20" s="33">
        <f t="shared" si="28"/>
        <v>0</v>
      </c>
      <c r="BC20" s="40">
        <f t="shared" si="29"/>
        <v>0</v>
      </c>
      <c r="BD20" s="33">
        <f t="shared" si="30"/>
        <v>0</v>
      </c>
      <c r="BE20" s="40">
        <f t="shared" si="31"/>
        <v>0</v>
      </c>
      <c r="BF20" s="41">
        <f t="shared" si="32"/>
        <v>0</v>
      </c>
      <c r="BG20" s="40">
        <f t="shared" si="33"/>
        <v>0</v>
      </c>
      <c r="BH20" s="41">
        <f t="shared" si="34"/>
        <v>0</v>
      </c>
      <c r="BJ20" s="70">
        <f t="shared" si="35"/>
        <v>0</v>
      </c>
      <c r="BK20" s="70">
        <f t="shared" si="36"/>
        <v>0</v>
      </c>
      <c r="BL20" s="70">
        <f t="shared" si="37"/>
        <v>0</v>
      </c>
      <c r="BM20" s="70">
        <f t="shared" si="38"/>
        <v>0</v>
      </c>
      <c r="BN20" s="70">
        <f t="shared" si="39"/>
        <v>0</v>
      </c>
      <c r="BO20" s="71">
        <f t="shared" si="40"/>
        <v>0</v>
      </c>
      <c r="BP20" s="69">
        <f t="shared" si="41"/>
        <v>0</v>
      </c>
      <c r="BQ20" s="69">
        <f t="shared" si="42"/>
        <v>0</v>
      </c>
      <c r="BR20" s="69">
        <f t="shared" si="43"/>
        <v>0</v>
      </c>
      <c r="BS20" s="69">
        <f t="shared" si="44"/>
        <v>0</v>
      </c>
      <c r="BT20" s="69">
        <f t="shared" si="45"/>
        <v>0</v>
      </c>
      <c r="BU20" s="69">
        <f t="shared" si="46"/>
        <v>0</v>
      </c>
    </row>
    <row r="21" spans="1:73">
      <c r="A21" s="3" t="s">
        <v>308</v>
      </c>
      <c r="B21" s="3">
        <v>1168547</v>
      </c>
      <c r="C21" s="3">
        <v>710250</v>
      </c>
      <c r="D21" s="34">
        <v>41724.58</v>
      </c>
      <c r="E21" s="85">
        <f t="shared" si="1"/>
        <v>29634882945</v>
      </c>
      <c r="F21" s="85">
        <v>65881</v>
      </c>
      <c r="G21" s="86">
        <f t="shared" si="2"/>
        <v>5.6378562436940921E-2</v>
      </c>
      <c r="H21" s="3">
        <v>12.9</v>
      </c>
      <c r="I21" s="29">
        <f t="shared" si="3"/>
        <v>0</v>
      </c>
      <c r="J21" s="16">
        <f>+'Track mile elasticities'!F48</f>
        <v>6.1534396160739025E-4</v>
      </c>
      <c r="K21" s="16">
        <f>+'Track mile elasticities'!G48</f>
        <v>4.1948292408963677E-3</v>
      </c>
      <c r="L21" s="16">
        <f>+'Track mile elasticities'!H48</f>
        <v>1.6883083423163052E-3</v>
      </c>
      <c r="M21" s="16">
        <f>+'Track mile elasticities'!I48</f>
        <v>4.9675609431667515E-3</v>
      </c>
      <c r="N21" s="32">
        <f t="shared" si="4"/>
        <v>0</v>
      </c>
      <c r="O21" s="35">
        <f t="shared" si="5"/>
        <v>0</v>
      </c>
      <c r="P21" s="36">
        <f t="shared" si="6"/>
        <v>0</v>
      </c>
      <c r="Q21" s="35">
        <f t="shared" si="7"/>
        <v>0</v>
      </c>
      <c r="R21" s="36">
        <f t="shared" si="8"/>
        <v>0</v>
      </c>
      <c r="S21" s="33">
        <f t="shared" si="9"/>
        <v>0</v>
      </c>
      <c r="T21" s="36">
        <f t="shared" si="10"/>
        <v>0</v>
      </c>
      <c r="U21" s="33">
        <f t="shared" si="0"/>
        <v>0</v>
      </c>
      <c r="V21" s="13"/>
      <c r="W21" s="11">
        <f>+'Track mile elasticities'!N48</f>
        <v>1.0730882796498858E-3</v>
      </c>
      <c r="X21" s="11">
        <f>+'Track mile elasticities'!O48</f>
        <v>1.0254482202750244E-2</v>
      </c>
      <c r="Y21" s="11">
        <f>+'Track mile elasticities'!P48</f>
        <v>2.9442133304473398E-3</v>
      </c>
      <c r="Z21" s="11">
        <f>+'Track mile elasticities'!Q48</f>
        <v>1.2143465766414762E-2</v>
      </c>
      <c r="AA21" s="32">
        <f t="shared" si="11"/>
        <v>0</v>
      </c>
      <c r="AB21" s="33">
        <f t="shared" si="12"/>
        <v>0</v>
      </c>
      <c r="AC21" s="40">
        <f t="shared" si="13"/>
        <v>0</v>
      </c>
      <c r="AD21" s="33">
        <f t="shared" si="14"/>
        <v>0</v>
      </c>
      <c r="AE21" s="40">
        <f t="shared" si="15"/>
        <v>0</v>
      </c>
      <c r="AF21" s="41">
        <f t="shared" si="16"/>
        <v>0</v>
      </c>
      <c r="AG21" s="40">
        <f t="shared" si="17"/>
        <v>0</v>
      </c>
      <c r="AH21" s="41">
        <f t="shared" si="18"/>
        <v>0</v>
      </c>
      <c r="AJ21" s="11">
        <f>+'Track mile pop elasticities'!H49</f>
        <v>3.1595124751366367E-2</v>
      </c>
      <c r="AK21" s="11">
        <f>+'Track mile pop elasticities'!I49</f>
        <v>5.6848964977614651E-2</v>
      </c>
      <c r="AL21" s="11">
        <f>+'Track mile pop elasticities'!J49</f>
        <v>4.5888157376984477E-2</v>
      </c>
      <c r="AM21" s="11">
        <f>+'Track mile pop elasticities'!K49</f>
        <v>0.10460870590357578</v>
      </c>
      <c r="AN21" s="32">
        <f t="shared" si="19"/>
        <v>0</v>
      </c>
      <c r="AO21" s="33">
        <f t="shared" si="20"/>
        <v>0</v>
      </c>
      <c r="AP21" s="40">
        <f t="shared" si="21"/>
        <v>0</v>
      </c>
      <c r="AQ21" s="33">
        <f t="shared" si="22"/>
        <v>0</v>
      </c>
      <c r="AR21" s="40">
        <f t="shared" si="23"/>
        <v>0</v>
      </c>
      <c r="AS21" s="41">
        <f t="shared" si="24"/>
        <v>0</v>
      </c>
      <c r="AT21" s="40">
        <f t="shared" si="25"/>
        <v>0</v>
      </c>
      <c r="AU21" s="41">
        <f t="shared" si="26"/>
        <v>0</v>
      </c>
      <c r="AW21" s="11">
        <f>+'Track mile pop elasticities'!P49</f>
        <v>3.2393717772661722E-2</v>
      </c>
      <c r="AX21" s="11">
        <f>+'Track mile pop elasticities'!Q49</f>
        <v>4.9619754189902596E-2</v>
      </c>
      <c r="AY21" s="11">
        <f>+'Track mile pop elasticities'!R49</f>
        <v>4.7048018669818212E-2</v>
      </c>
      <c r="AZ21" s="11">
        <f>+'Track mile pop elasticities'!S49</f>
        <v>9.1306117448280058E-2</v>
      </c>
      <c r="BA21" s="32">
        <f t="shared" si="27"/>
        <v>0</v>
      </c>
      <c r="BB21" s="33">
        <f t="shared" si="28"/>
        <v>0</v>
      </c>
      <c r="BC21" s="40">
        <f t="shared" si="29"/>
        <v>0</v>
      </c>
      <c r="BD21" s="33">
        <f t="shared" si="30"/>
        <v>0</v>
      </c>
      <c r="BE21" s="40">
        <f t="shared" si="31"/>
        <v>0</v>
      </c>
      <c r="BF21" s="41">
        <f t="shared" si="32"/>
        <v>0</v>
      </c>
      <c r="BG21" s="40">
        <f t="shared" si="33"/>
        <v>0</v>
      </c>
      <c r="BH21" s="41">
        <f t="shared" si="34"/>
        <v>0</v>
      </c>
      <c r="BJ21" s="70">
        <f t="shared" si="35"/>
        <v>0</v>
      </c>
      <c r="BK21" s="70">
        <f t="shared" si="36"/>
        <v>0</v>
      </c>
      <c r="BL21" s="70">
        <f t="shared" si="37"/>
        <v>0</v>
      </c>
      <c r="BM21" s="70">
        <f t="shared" si="38"/>
        <v>0</v>
      </c>
      <c r="BN21" s="70">
        <f t="shared" si="39"/>
        <v>0</v>
      </c>
      <c r="BO21" s="71">
        <f t="shared" si="40"/>
        <v>0</v>
      </c>
      <c r="BP21" s="69">
        <f t="shared" si="41"/>
        <v>0</v>
      </c>
      <c r="BQ21" s="69">
        <f t="shared" si="42"/>
        <v>0</v>
      </c>
      <c r="BR21" s="69">
        <f t="shared" si="43"/>
        <v>0</v>
      </c>
      <c r="BS21" s="69">
        <f t="shared" si="44"/>
        <v>0</v>
      </c>
      <c r="BT21" s="69">
        <f t="shared" si="45"/>
        <v>0</v>
      </c>
      <c r="BU21" s="69">
        <f t="shared" si="46"/>
        <v>0</v>
      </c>
    </row>
    <row r="22" spans="1:73">
      <c r="A22" s="3" t="s">
        <v>310</v>
      </c>
      <c r="B22" s="3">
        <v>18968501</v>
      </c>
      <c r="C22" s="3">
        <v>11166752</v>
      </c>
      <c r="D22" s="34">
        <v>63346.31</v>
      </c>
      <c r="E22" s="85">
        <f t="shared" si="1"/>
        <v>707372533885.12</v>
      </c>
      <c r="F22" s="85">
        <v>1157843</v>
      </c>
      <c r="G22" s="86">
        <f t="shared" si="2"/>
        <v>6.1040300443350792E-2</v>
      </c>
      <c r="H22" s="3">
        <v>1243.2</v>
      </c>
      <c r="I22" s="29">
        <f t="shared" si="3"/>
        <v>0</v>
      </c>
      <c r="J22" s="16">
        <f>+'Track mile elasticities'!F49</f>
        <v>1.4112632448522167E-2</v>
      </c>
      <c r="K22" s="16">
        <f>+'Track mile elasticities'!G49</f>
        <v>9.6206490929792041E-2</v>
      </c>
      <c r="L22" s="16">
        <f>+'Track mile elasticities'!H49</f>
        <v>3.8720580003165514E-2</v>
      </c>
      <c r="M22" s="16">
        <f>+'Track mile elasticities'!I49</f>
        <v>0.11392873925896427</v>
      </c>
      <c r="N22" s="32">
        <f t="shared" si="4"/>
        <v>0</v>
      </c>
      <c r="O22" s="35">
        <f t="shared" si="5"/>
        <v>0</v>
      </c>
      <c r="P22" s="36">
        <f t="shared" si="6"/>
        <v>0</v>
      </c>
      <c r="Q22" s="35">
        <f t="shared" si="7"/>
        <v>0</v>
      </c>
      <c r="R22" s="36">
        <f t="shared" si="8"/>
        <v>0</v>
      </c>
      <c r="S22" s="33">
        <f t="shared" si="9"/>
        <v>0</v>
      </c>
      <c r="T22" s="36">
        <f t="shared" si="10"/>
        <v>0</v>
      </c>
      <c r="U22" s="33">
        <f t="shared" si="0"/>
        <v>0</v>
      </c>
      <c r="V22" s="13"/>
      <c r="W22" s="11">
        <f>+'Track mile elasticities'!N49</f>
        <v>1.1538490444502307E-2</v>
      </c>
      <c r="X22" s="11">
        <f>+'Track mile elasticities'!O49</f>
        <v>0.11026235879526806</v>
      </c>
      <c r="Y22" s="11">
        <f>+'Track mile elasticities'!P49</f>
        <v>3.1657952122100187E-2</v>
      </c>
      <c r="Z22" s="11">
        <f>+'Track mile elasticities'!Q49</f>
        <v>0.13057384594176483</v>
      </c>
      <c r="AA22" s="32">
        <f t="shared" si="11"/>
        <v>0</v>
      </c>
      <c r="AB22" s="33">
        <f t="shared" si="12"/>
        <v>0</v>
      </c>
      <c r="AC22" s="40">
        <f t="shared" si="13"/>
        <v>0</v>
      </c>
      <c r="AD22" s="33">
        <f t="shared" si="14"/>
        <v>0</v>
      </c>
      <c r="AE22" s="40">
        <f t="shared" si="15"/>
        <v>0</v>
      </c>
      <c r="AF22" s="41">
        <f t="shared" si="16"/>
        <v>0</v>
      </c>
      <c r="AG22" s="40">
        <f t="shared" si="17"/>
        <v>0</v>
      </c>
      <c r="AH22" s="41">
        <f t="shared" si="18"/>
        <v>0</v>
      </c>
      <c r="AJ22" s="11">
        <f>+'Track mile pop elasticities'!H50</f>
        <v>1.1555738664736651E-2</v>
      </c>
      <c r="AK22" s="11">
        <f>+'Track mile pop elasticities'!I50</f>
        <v>2.0792188282582166E-2</v>
      </c>
      <c r="AL22" s="11">
        <f>+'Track mile pop elasticities'!J50</f>
        <v>1.678333472735561E-2</v>
      </c>
      <c r="AM22" s="11">
        <f>+'Track mile pop elasticities'!K50</f>
        <v>3.8260044136263112E-2</v>
      </c>
      <c r="AN22" s="32">
        <f t="shared" si="19"/>
        <v>0</v>
      </c>
      <c r="AO22" s="33">
        <f t="shared" si="20"/>
        <v>0</v>
      </c>
      <c r="AP22" s="40">
        <f t="shared" si="21"/>
        <v>0</v>
      </c>
      <c r="AQ22" s="33">
        <f t="shared" si="22"/>
        <v>0</v>
      </c>
      <c r="AR22" s="40">
        <f t="shared" si="23"/>
        <v>0</v>
      </c>
      <c r="AS22" s="41">
        <f t="shared" si="24"/>
        <v>0</v>
      </c>
      <c r="AT22" s="40">
        <f t="shared" si="25"/>
        <v>0</v>
      </c>
      <c r="AU22" s="41">
        <f t="shared" si="26"/>
        <v>0</v>
      </c>
      <c r="AW22" s="11">
        <f>+'Track mile pop elasticities'!P50</f>
        <v>1.9765718187657353E-2</v>
      </c>
      <c r="AX22" s="11">
        <f>+'Track mile pop elasticities'!Q50</f>
        <v>3.0276551914833118E-2</v>
      </c>
      <c r="AY22" s="11">
        <f>+'Track mile pop elasticities'!R50</f>
        <v>2.8707352605883297E-2</v>
      </c>
      <c r="AZ22" s="11">
        <f>+'Track mile pop elasticities'!S50</f>
        <v>5.5712376052585354E-2</v>
      </c>
      <c r="BA22" s="32">
        <f t="shared" si="27"/>
        <v>0</v>
      </c>
      <c r="BB22" s="33">
        <f t="shared" si="28"/>
        <v>0</v>
      </c>
      <c r="BC22" s="40">
        <f t="shared" si="29"/>
        <v>0</v>
      </c>
      <c r="BD22" s="33">
        <f t="shared" si="30"/>
        <v>0</v>
      </c>
      <c r="BE22" s="40">
        <f t="shared" si="31"/>
        <v>0</v>
      </c>
      <c r="BF22" s="41">
        <f t="shared" si="32"/>
        <v>0</v>
      </c>
      <c r="BG22" s="40">
        <f t="shared" si="33"/>
        <v>0</v>
      </c>
      <c r="BH22" s="41">
        <f t="shared" si="34"/>
        <v>0</v>
      </c>
      <c r="BJ22" s="70">
        <f t="shared" si="35"/>
        <v>0</v>
      </c>
      <c r="BK22" s="70">
        <f t="shared" si="36"/>
        <v>0</v>
      </c>
      <c r="BL22" s="70">
        <f t="shared" si="37"/>
        <v>0</v>
      </c>
      <c r="BM22" s="70">
        <f t="shared" si="38"/>
        <v>0</v>
      </c>
      <c r="BN22" s="70">
        <f t="shared" si="39"/>
        <v>0</v>
      </c>
      <c r="BO22" s="71">
        <f t="shared" si="40"/>
        <v>0</v>
      </c>
      <c r="BP22" s="69">
        <f t="shared" si="41"/>
        <v>0</v>
      </c>
      <c r="BQ22" s="69">
        <f t="shared" si="42"/>
        <v>0</v>
      </c>
      <c r="BR22" s="69">
        <f t="shared" si="43"/>
        <v>0</v>
      </c>
      <c r="BS22" s="69">
        <f t="shared" si="44"/>
        <v>0</v>
      </c>
      <c r="BT22" s="69">
        <f t="shared" si="45"/>
        <v>0</v>
      </c>
      <c r="BU22" s="69">
        <f t="shared" si="46"/>
        <v>0</v>
      </c>
    </row>
    <row r="23" spans="1:73">
      <c r="A23" s="3" t="s">
        <v>312</v>
      </c>
      <c r="B23" s="3">
        <v>5940496</v>
      </c>
      <c r="C23" s="3">
        <v>3532815</v>
      </c>
      <c r="D23" s="34">
        <v>48715.18</v>
      </c>
      <c r="E23" s="85">
        <f t="shared" si="1"/>
        <v>172101718631.70001</v>
      </c>
      <c r="F23" s="85">
        <v>303279</v>
      </c>
      <c r="G23" s="86">
        <f t="shared" si="2"/>
        <v>5.1052807711679297E-2</v>
      </c>
      <c r="H23" s="3">
        <v>336.2</v>
      </c>
      <c r="I23" s="29">
        <f t="shared" si="3"/>
        <v>0</v>
      </c>
      <c r="J23" s="16">
        <f>+'Track mile elasticities'!F50</f>
        <v>7.9243339471750593E-3</v>
      </c>
      <c r="K23" s="16">
        <f>+'Track mile elasticities'!G50</f>
        <v>5.402056383133353E-2</v>
      </c>
      <c r="L23" s="16">
        <f>+'Track mile elasticities'!H50</f>
        <v>2.1741854873115685E-2</v>
      </c>
      <c r="M23" s="16">
        <f>+'Track mile elasticities'!I50</f>
        <v>6.397172032657919E-2</v>
      </c>
      <c r="N23" s="32">
        <f t="shared" si="4"/>
        <v>0</v>
      </c>
      <c r="O23" s="35">
        <f t="shared" si="5"/>
        <v>0</v>
      </c>
      <c r="P23" s="36">
        <f t="shared" si="6"/>
        <v>0</v>
      </c>
      <c r="Q23" s="35">
        <f t="shared" si="7"/>
        <v>0</v>
      </c>
      <c r="R23" s="36">
        <f t="shared" si="8"/>
        <v>0</v>
      </c>
      <c r="S23" s="33">
        <f t="shared" si="9"/>
        <v>0</v>
      </c>
      <c r="T23" s="36">
        <f t="shared" si="10"/>
        <v>0</v>
      </c>
      <c r="U23" s="33">
        <f t="shared" si="0"/>
        <v>0</v>
      </c>
      <c r="V23" s="13"/>
      <c r="W23" s="11">
        <f>+'Track mile elasticities'!N50</f>
        <v>9.412484574318862E-3</v>
      </c>
      <c r="X23" s="11">
        <f>+'Track mile elasticities'!O50</f>
        <v>8.9946146446129693E-2</v>
      </c>
      <c r="Y23" s="11">
        <f>+'Track mile elasticities'!P50</f>
        <v>2.5824867424123953E-2</v>
      </c>
      <c r="Z23" s="11">
        <f>+'Track mile elasticities'!Q50</f>
        <v>0.10651517342304832</v>
      </c>
      <c r="AA23" s="32">
        <f t="shared" si="11"/>
        <v>0</v>
      </c>
      <c r="AB23" s="33">
        <f t="shared" si="12"/>
        <v>0</v>
      </c>
      <c r="AC23" s="40">
        <f t="shared" si="13"/>
        <v>0</v>
      </c>
      <c r="AD23" s="33">
        <f t="shared" si="14"/>
        <v>0</v>
      </c>
      <c r="AE23" s="40">
        <f t="shared" si="15"/>
        <v>0</v>
      </c>
      <c r="AF23" s="41">
        <f t="shared" si="16"/>
        <v>0</v>
      </c>
      <c r="AG23" s="40">
        <f t="shared" si="17"/>
        <v>0</v>
      </c>
      <c r="AH23" s="41">
        <f t="shared" si="18"/>
        <v>0</v>
      </c>
      <c r="AJ23" s="11">
        <f>+'Track mile pop elasticities'!H51</f>
        <v>3.1862146290674062E-2</v>
      </c>
      <c r="AK23" s="11">
        <f>+'Track mile pop elasticities'!I51</f>
        <v>5.732941562485306E-2</v>
      </c>
      <c r="AL23" s="11">
        <f>+'Track mile pop elasticities'!J51</f>
        <v>4.6275974374550423E-2</v>
      </c>
      <c r="AM23" s="11">
        <f>+'Track mile pop elasticities'!K51</f>
        <v>0.10549279096084879</v>
      </c>
      <c r="AN23" s="32">
        <f t="shared" si="19"/>
        <v>0</v>
      </c>
      <c r="AO23" s="33">
        <f t="shared" si="20"/>
        <v>0</v>
      </c>
      <c r="AP23" s="40">
        <f t="shared" si="21"/>
        <v>0</v>
      </c>
      <c r="AQ23" s="33">
        <f t="shared" si="22"/>
        <v>0</v>
      </c>
      <c r="AR23" s="40">
        <f t="shared" si="23"/>
        <v>0</v>
      </c>
      <c r="AS23" s="41">
        <f t="shared" si="24"/>
        <v>0</v>
      </c>
      <c r="AT23" s="40">
        <f t="shared" si="25"/>
        <v>0</v>
      </c>
      <c r="AU23" s="41">
        <f t="shared" si="26"/>
        <v>0</v>
      </c>
      <c r="AW23" s="11">
        <f>+'Track mile pop elasticities'!P51</f>
        <v>3.0203966683617699E-2</v>
      </c>
      <c r="AX23" s="11">
        <f>+'Track mile pop elasticities'!Q51</f>
        <v>4.6265557195967741E-2</v>
      </c>
      <c r="AY23" s="11">
        <f>+'Track mile pop elasticities'!R51</f>
        <v>4.386766589763523E-2</v>
      </c>
      <c r="AZ23" s="11">
        <f>+'Track mile pop elasticities'!S51</f>
        <v>8.5134004956533657E-2</v>
      </c>
      <c r="BA23" s="32">
        <f t="shared" si="27"/>
        <v>0</v>
      </c>
      <c r="BB23" s="33">
        <f t="shared" si="28"/>
        <v>0</v>
      </c>
      <c r="BC23" s="40">
        <f t="shared" si="29"/>
        <v>0</v>
      </c>
      <c r="BD23" s="33">
        <f t="shared" si="30"/>
        <v>0</v>
      </c>
      <c r="BE23" s="40">
        <f t="shared" si="31"/>
        <v>0</v>
      </c>
      <c r="BF23" s="41">
        <f t="shared" si="32"/>
        <v>0</v>
      </c>
      <c r="BG23" s="40">
        <f t="shared" si="33"/>
        <v>0</v>
      </c>
      <c r="BH23" s="41">
        <f t="shared" si="34"/>
        <v>0</v>
      </c>
      <c r="BJ23" s="70">
        <f t="shared" si="35"/>
        <v>0</v>
      </c>
      <c r="BK23" s="70">
        <f t="shared" si="36"/>
        <v>0</v>
      </c>
      <c r="BL23" s="70">
        <f t="shared" si="37"/>
        <v>0</v>
      </c>
      <c r="BM23" s="70">
        <f t="shared" si="38"/>
        <v>0</v>
      </c>
      <c r="BN23" s="70">
        <f t="shared" si="39"/>
        <v>0</v>
      </c>
      <c r="BO23" s="71">
        <f t="shared" si="40"/>
        <v>0</v>
      </c>
      <c r="BP23" s="69">
        <f t="shared" si="41"/>
        <v>0</v>
      </c>
      <c r="BQ23" s="69">
        <f t="shared" si="42"/>
        <v>0</v>
      </c>
      <c r="BR23" s="69">
        <f t="shared" si="43"/>
        <v>0</v>
      </c>
      <c r="BS23" s="69">
        <f t="shared" si="44"/>
        <v>0</v>
      </c>
      <c r="BT23" s="69">
        <f t="shared" si="45"/>
        <v>0</v>
      </c>
      <c r="BU23" s="69">
        <f t="shared" si="46"/>
        <v>0</v>
      </c>
    </row>
    <row r="24" spans="1:73">
      <c r="A24" s="3" t="s">
        <v>313</v>
      </c>
      <c r="B24" s="3">
        <v>2355391</v>
      </c>
      <c r="C24" s="3">
        <v>1452482</v>
      </c>
      <c r="D24" s="34">
        <v>40947</v>
      </c>
      <c r="E24" s="85">
        <f t="shared" si="1"/>
        <v>59474780454</v>
      </c>
      <c r="F24" s="85">
        <v>105749</v>
      </c>
      <c r="G24" s="86">
        <f t="shared" si="2"/>
        <v>4.4896579803523066E-2</v>
      </c>
      <c r="H24" s="3">
        <v>22</v>
      </c>
      <c r="I24" s="29">
        <f t="shared" si="3"/>
        <v>0</v>
      </c>
      <c r="J24" s="16">
        <f>+'Track mile elasticities'!F51</f>
        <v>5.4856734424111567E-4</v>
      </c>
      <c r="K24" s="16">
        <f>+'Track mile elasticities'!G51</f>
        <v>3.7396098439196244E-3</v>
      </c>
      <c r="L24" s="16">
        <f>+'Track mile elasticities'!H51</f>
        <v>1.5050945184954796E-3</v>
      </c>
      <c r="M24" s="16">
        <f>+'Track mile elasticities'!I51</f>
        <v>4.428485341483766E-3</v>
      </c>
      <c r="N24" s="32">
        <f t="shared" si="4"/>
        <v>0</v>
      </c>
      <c r="O24" s="35">
        <f t="shared" si="5"/>
        <v>0</v>
      </c>
      <c r="P24" s="36">
        <f t="shared" si="6"/>
        <v>0</v>
      </c>
      <c r="Q24" s="35">
        <f t="shared" si="7"/>
        <v>0</v>
      </c>
      <c r="R24" s="36">
        <f t="shared" si="8"/>
        <v>0</v>
      </c>
      <c r="S24" s="33">
        <f t="shared" si="9"/>
        <v>0</v>
      </c>
      <c r="T24" s="36">
        <f t="shared" si="10"/>
        <v>0</v>
      </c>
      <c r="U24" s="33">
        <f t="shared" si="0"/>
        <v>0</v>
      </c>
      <c r="V24" s="13"/>
      <c r="W24" s="11">
        <f>+'Track mile elasticities'!N51</f>
        <v>5.7137222566309477E-4</v>
      </c>
      <c r="X24" s="11">
        <f>+'Track mile elasticities'!O51</f>
        <v>5.4600599319933373E-3</v>
      </c>
      <c r="Y24" s="11">
        <f>+'Track mile elasticities'!P51</f>
        <v>1.5676638682453144E-3</v>
      </c>
      <c r="Z24" s="11">
        <f>+'Track mile elasticities'!Q51</f>
        <v>6.4658604457815839E-3</v>
      </c>
      <c r="AA24" s="32">
        <f t="shared" si="11"/>
        <v>0</v>
      </c>
      <c r="AB24" s="33">
        <f t="shared" si="12"/>
        <v>0</v>
      </c>
      <c r="AC24" s="40">
        <f t="shared" si="13"/>
        <v>0</v>
      </c>
      <c r="AD24" s="33">
        <f t="shared" si="14"/>
        <v>0</v>
      </c>
      <c r="AE24" s="40">
        <f t="shared" si="15"/>
        <v>0</v>
      </c>
      <c r="AF24" s="41">
        <f t="shared" si="16"/>
        <v>0</v>
      </c>
      <c r="AG24" s="40">
        <f t="shared" si="17"/>
        <v>0</v>
      </c>
      <c r="AH24" s="41">
        <f t="shared" si="18"/>
        <v>0</v>
      </c>
      <c r="AJ24" s="11">
        <f>+'Track mile pop elasticities'!H52</f>
        <v>1.3262316624523849E-2</v>
      </c>
      <c r="AK24" s="11">
        <f>+'Track mile pop elasticities'!I52</f>
        <v>2.3862826282304444E-2</v>
      </c>
      <c r="AL24" s="11">
        <f>+'Track mile pop elasticities'!J52</f>
        <v>1.9261936049903686E-2</v>
      </c>
      <c r="AM24" s="11">
        <f>+'Track mile pop elasticities'!K52</f>
        <v>4.3910375106682303E-2</v>
      </c>
      <c r="AN24" s="32">
        <f t="shared" si="19"/>
        <v>0</v>
      </c>
      <c r="AO24" s="33">
        <f t="shared" si="20"/>
        <v>0</v>
      </c>
      <c r="AP24" s="40">
        <f t="shared" si="21"/>
        <v>0</v>
      </c>
      <c r="AQ24" s="33">
        <f t="shared" si="22"/>
        <v>0</v>
      </c>
      <c r="AR24" s="40">
        <f t="shared" si="23"/>
        <v>0</v>
      </c>
      <c r="AS24" s="41">
        <f t="shared" si="24"/>
        <v>0</v>
      </c>
      <c r="AT24" s="40">
        <f t="shared" si="25"/>
        <v>0</v>
      </c>
      <c r="AU24" s="41">
        <f t="shared" si="26"/>
        <v>0</v>
      </c>
      <c r="AW24" s="11">
        <f>+'Track mile pop elasticities'!P52</f>
        <v>9.5080342638367722E-3</v>
      </c>
      <c r="AX24" s="11">
        <f>+'Track mile pop elasticities'!Q52</f>
        <v>1.4564130190666484E-2</v>
      </c>
      <c r="AY24" s="11">
        <f>+'Track mile pop elasticities'!R52</f>
        <v>1.3809287859381977E-2</v>
      </c>
      <c r="AZ24" s="11">
        <f>+'Track mile pop elasticities'!S52</f>
        <v>2.6799693054336871E-2</v>
      </c>
      <c r="BA24" s="32">
        <f t="shared" si="27"/>
        <v>0</v>
      </c>
      <c r="BB24" s="33">
        <f t="shared" si="28"/>
        <v>0</v>
      </c>
      <c r="BC24" s="40">
        <f t="shared" si="29"/>
        <v>0</v>
      </c>
      <c r="BD24" s="33">
        <f t="shared" si="30"/>
        <v>0</v>
      </c>
      <c r="BE24" s="40">
        <f t="shared" si="31"/>
        <v>0</v>
      </c>
      <c r="BF24" s="41">
        <f t="shared" si="32"/>
        <v>0</v>
      </c>
      <c r="BG24" s="40">
        <f t="shared" si="33"/>
        <v>0</v>
      </c>
      <c r="BH24" s="41">
        <f t="shared" si="34"/>
        <v>0</v>
      </c>
      <c r="BJ24" s="70">
        <f t="shared" si="35"/>
        <v>0</v>
      </c>
      <c r="BK24" s="70">
        <f t="shared" si="36"/>
        <v>0</v>
      </c>
      <c r="BL24" s="70">
        <f t="shared" si="37"/>
        <v>0</v>
      </c>
      <c r="BM24" s="70">
        <f t="shared" si="38"/>
        <v>0</v>
      </c>
      <c r="BN24" s="70">
        <f t="shared" si="39"/>
        <v>0</v>
      </c>
      <c r="BO24" s="71">
        <f t="shared" si="40"/>
        <v>0</v>
      </c>
      <c r="BP24" s="69">
        <f t="shared" si="41"/>
        <v>0</v>
      </c>
      <c r="BQ24" s="69">
        <f t="shared" si="42"/>
        <v>0</v>
      </c>
      <c r="BR24" s="69">
        <f t="shared" si="43"/>
        <v>0</v>
      </c>
      <c r="BS24" s="69">
        <f t="shared" si="44"/>
        <v>0</v>
      </c>
      <c r="BT24" s="69">
        <f t="shared" si="45"/>
        <v>0</v>
      </c>
      <c r="BU24" s="69">
        <f t="shared" si="46"/>
        <v>0</v>
      </c>
    </row>
    <row r="25" spans="1:73">
      <c r="A25" s="3" t="s">
        <v>315</v>
      </c>
      <c r="B25" s="3">
        <v>2203745</v>
      </c>
      <c r="C25" s="3">
        <v>1388060</v>
      </c>
      <c r="D25" s="34">
        <v>43022.45</v>
      </c>
      <c r="E25" s="85">
        <f t="shared" si="1"/>
        <v>59717741946.999992</v>
      </c>
      <c r="F25" s="85">
        <v>101230</v>
      </c>
      <c r="G25" s="86">
        <f t="shared" si="2"/>
        <v>4.5935441713991408E-2</v>
      </c>
      <c r="H25" s="3">
        <v>48.4</v>
      </c>
      <c r="I25" s="29">
        <f t="shared" si="3"/>
        <v>0</v>
      </c>
      <c r="J25" s="16">
        <f>+'Track mile elasticities'!F52</f>
        <v>1.8652816987668624E-3</v>
      </c>
      <c r="K25" s="16">
        <f>+'Track mile elasticities'!G52</f>
        <v>1.2715714625779329E-2</v>
      </c>
      <c r="L25" s="16">
        <f>+'Track mile elasticities'!H52</f>
        <v>5.1177404009487924E-3</v>
      </c>
      <c r="M25" s="16">
        <f>+'Track mile elasticities'!I52</f>
        <v>1.5058083109475521E-2</v>
      </c>
      <c r="N25" s="32">
        <f t="shared" si="4"/>
        <v>0</v>
      </c>
      <c r="O25" s="35">
        <f t="shared" si="5"/>
        <v>0</v>
      </c>
      <c r="P25" s="36">
        <f t="shared" si="6"/>
        <v>0</v>
      </c>
      <c r="Q25" s="35">
        <f t="shared" si="7"/>
        <v>0</v>
      </c>
      <c r="R25" s="36">
        <f t="shared" si="8"/>
        <v>0</v>
      </c>
      <c r="S25" s="33">
        <f t="shared" si="9"/>
        <v>0</v>
      </c>
      <c r="T25" s="36">
        <f t="shared" si="10"/>
        <v>0</v>
      </c>
      <c r="U25" s="33">
        <f t="shared" si="0"/>
        <v>0</v>
      </c>
      <c r="V25" s="13"/>
      <c r="W25" s="11">
        <f>+'Track mile elasticities'!N52</f>
        <v>1.5345886004009027E-3</v>
      </c>
      <c r="X25" s="11">
        <f>+'Track mile elasticities'!O52</f>
        <v>1.4664601030298036E-2</v>
      </c>
      <c r="Y25" s="11">
        <f>+'Track mile elasticities'!P52</f>
        <v>4.2104235967678197E-3</v>
      </c>
      <c r="Z25" s="11">
        <f>+'Track mile elasticities'!Q52</f>
        <v>1.7365974904300304E-2</v>
      </c>
      <c r="AA25" s="32">
        <f t="shared" si="11"/>
        <v>0</v>
      </c>
      <c r="AB25" s="33">
        <f t="shared" si="12"/>
        <v>0</v>
      </c>
      <c r="AC25" s="40">
        <f t="shared" si="13"/>
        <v>0</v>
      </c>
      <c r="AD25" s="33">
        <f t="shared" si="14"/>
        <v>0</v>
      </c>
      <c r="AE25" s="40">
        <f t="shared" si="15"/>
        <v>0</v>
      </c>
      <c r="AF25" s="41">
        <f t="shared" si="16"/>
        <v>0</v>
      </c>
      <c r="AG25" s="40">
        <f t="shared" si="17"/>
        <v>0</v>
      </c>
      <c r="AH25" s="41">
        <f t="shared" si="18"/>
        <v>0</v>
      </c>
      <c r="AJ25" s="11">
        <f>+'Track mile pop elasticities'!H53</f>
        <v>3.3330775276865968E-2</v>
      </c>
      <c r="AK25" s="11">
        <f>+'Track mile pop elasticities'!I53</f>
        <v>5.9971913113251889E-2</v>
      </c>
      <c r="AL25" s="11">
        <f>+'Track mile pop elasticities'!J53</f>
        <v>4.8408983140210089E-2</v>
      </c>
      <c r="AM25" s="11">
        <f>+'Track mile pop elasticities'!K53</f>
        <v>0.11035529360665244</v>
      </c>
      <c r="AN25" s="32">
        <f t="shared" si="19"/>
        <v>0</v>
      </c>
      <c r="AO25" s="33">
        <f t="shared" si="20"/>
        <v>0</v>
      </c>
      <c r="AP25" s="40">
        <f t="shared" si="21"/>
        <v>0</v>
      </c>
      <c r="AQ25" s="33">
        <f t="shared" si="22"/>
        <v>0</v>
      </c>
      <c r="AR25" s="40">
        <f t="shared" si="23"/>
        <v>0</v>
      </c>
      <c r="AS25" s="41">
        <f t="shared" si="24"/>
        <v>0</v>
      </c>
      <c r="AT25" s="40">
        <f t="shared" si="25"/>
        <v>0</v>
      </c>
      <c r="AU25" s="41">
        <f t="shared" si="26"/>
        <v>0</v>
      </c>
      <c r="AW25" s="11">
        <f>+'Track mile pop elasticities'!P53</f>
        <v>4.3292649199593296E-2</v>
      </c>
      <c r="AX25" s="11">
        <f>+'Track mile pop elasticities'!Q53</f>
        <v>6.6314420178298417E-2</v>
      </c>
      <c r="AY25" s="11">
        <f>+'Track mile pop elasticities'!R53</f>
        <v>6.287741907559978E-2</v>
      </c>
      <c r="AZ25" s="11">
        <f>+'Track mile pop elasticities'!S53</f>
        <v>0.12202624410715959</v>
      </c>
      <c r="BA25" s="32">
        <f t="shared" si="27"/>
        <v>0</v>
      </c>
      <c r="BB25" s="33">
        <f t="shared" si="28"/>
        <v>0</v>
      </c>
      <c r="BC25" s="40">
        <f t="shared" si="29"/>
        <v>0</v>
      </c>
      <c r="BD25" s="33">
        <f t="shared" si="30"/>
        <v>0</v>
      </c>
      <c r="BE25" s="40">
        <f t="shared" si="31"/>
        <v>0</v>
      </c>
      <c r="BF25" s="41">
        <f t="shared" si="32"/>
        <v>0</v>
      </c>
      <c r="BG25" s="40">
        <f t="shared" si="33"/>
        <v>0</v>
      </c>
      <c r="BH25" s="41">
        <f t="shared" si="34"/>
        <v>0</v>
      </c>
      <c r="BJ25" s="70">
        <f t="shared" si="35"/>
        <v>0</v>
      </c>
      <c r="BK25" s="70">
        <f t="shared" si="36"/>
        <v>0</v>
      </c>
      <c r="BL25" s="70">
        <f t="shared" si="37"/>
        <v>0</v>
      </c>
      <c r="BM25" s="70">
        <f t="shared" si="38"/>
        <v>0</v>
      </c>
      <c r="BN25" s="70">
        <f t="shared" si="39"/>
        <v>0</v>
      </c>
      <c r="BO25" s="71">
        <f t="shared" si="40"/>
        <v>0</v>
      </c>
      <c r="BP25" s="69">
        <f t="shared" si="41"/>
        <v>0</v>
      </c>
      <c r="BQ25" s="69">
        <f t="shared" si="42"/>
        <v>0</v>
      </c>
      <c r="BR25" s="69">
        <f t="shared" si="43"/>
        <v>0</v>
      </c>
      <c r="BS25" s="69">
        <f t="shared" si="44"/>
        <v>0</v>
      </c>
      <c r="BT25" s="69">
        <f t="shared" si="45"/>
        <v>0</v>
      </c>
      <c r="BU25" s="69">
        <f t="shared" si="46"/>
        <v>0</v>
      </c>
    </row>
    <row r="26" spans="1:73">
      <c r="A26" s="3" t="s">
        <v>317</v>
      </c>
      <c r="B26" s="3">
        <v>1599312</v>
      </c>
      <c r="C26" s="3">
        <v>890702</v>
      </c>
      <c r="D26" s="34">
        <v>39287.08</v>
      </c>
      <c r="E26" s="85">
        <f t="shared" si="1"/>
        <v>34993080730.160004</v>
      </c>
      <c r="F26" s="85">
        <v>57032</v>
      </c>
      <c r="G26" s="86">
        <f t="shared" si="2"/>
        <v>3.5660333943595746E-2</v>
      </c>
      <c r="H26" s="3">
        <v>6.8</v>
      </c>
      <c r="I26" s="29">
        <f t="shared" si="3"/>
        <v>0</v>
      </c>
      <c r="J26" s="16">
        <f>+'Track mile elasticities'!F53</f>
        <v>2.7554819345178662E-4</v>
      </c>
      <c r="K26" s="16">
        <f>+'Track mile elasticities'!G53</f>
        <v>1.8784252244035378E-3</v>
      </c>
      <c r="L26" s="16">
        <f>+'Track mile elasticities'!H53</f>
        <v>7.5601670405544348E-4</v>
      </c>
      <c r="M26" s="16">
        <f>+'Track mile elasticities'!I53</f>
        <v>2.2244509236357683E-3</v>
      </c>
      <c r="N26" s="32">
        <f t="shared" si="4"/>
        <v>0</v>
      </c>
      <c r="O26" s="35">
        <f t="shared" si="5"/>
        <v>0</v>
      </c>
      <c r="P26" s="36">
        <f t="shared" si="6"/>
        <v>0</v>
      </c>
      <c r="Q26" s="35">
        <f t="shared" si="7"/>
        <v>0</v>
      </c>
      <c r="R26" s="36">
        <f t="shared" si="8"/>
        <v>0</v>
      </c>
      <c r="S26" s="33">
        <f t="shared" si="9"/>
        <v>0</v>
      </c>
      <c r="T26" s="36">
        <f t="shared" si="10"/>
        <v>0</v>
      </c>
      <c r="U26" s="33">
        <f t="shared" si="0"/>
        <v>0</v>
      </c>
      <c r="V26" s="13"/>
      <c r="W26" s="11">
        <f>+'Track mile elasticities'!N53</f>
        <v>9.464777260832991E-4</v>
      </c>
      <c r="X26" s="11">
        <f>+'Track mile elasticities'!O53</f>
        <v>9.0445857824366042E-3</v>
      </c>
      <c r="Y26" s="11">
        <f>+'Track mile elasticities'!P53</f>
        <v>2.5968341943079687E-3</v>
      </c>
      <c r="Z26" s="11">
        <f>+'Track mile elasticities'!Q53</f>
        <v>1.0710693689727558E-2</v>
      </c>
      <c r="AA26" s="32">
        <f t="shared" si="11"/>
        <v>0</v>
      </c>
      <c r="AB26" s="33">
        <f t="shared" si="12"/>
        <v>0</v>
      </c>
      <c r="AC26" s="40">
        <f t="shared" si="13"/>
        <v>0</v>
      </c>
      <c r="AD26" s="33">
        <f t="shared" si="14"/>
        <v>0</v>
      </c>
      <c r="AE26" s="40">
        <f t="shared" si="15"/>
        <v>0</v>
      </c>
      <c r="AF26" s="41">
        <f t="shared" si="16"/>
        <v>0</v>
      </c>
      <c r="AG26" s="40">
        <f t="shared" si="17"/>
        <v>0</v>
      </c>
      <c r="AH26" s="41">
        <f t="shared" si="18"/>
        <v>0</v>
      </c>
      <c r="AJ26" s="11">
        <f>+'Track mile pop elasticities'!H54</f>
        <v>8.8912998113364148E-3</v>
      </c>
      <c r="AK26" s="11">
        <f>+'Track mile pop elasticities'!I54</f>
        <v>1.5998075511896068E-2</v>
      </c>
      <c r="AL26" s="11">
        <f>+'Track mile pop elasticities'!J54</f>
        <v>1.2913554487893364E-2</v>
      </c>
      <c r="AM26" s="11">
        <f>+'Track mile pop elasticities'!K54</f>
        <v>2.9438319183227354E-2</v>
      </c>
      <c r="AN26" s="32">
        <f t="shared" si="19"/>
        <v>0</v>
      </c>
      <c r="AO26" s="33">
        <f t="shared" si="20"/>
        <v>0</v>
      </c>
      <c r="AP26" s="40">
        <f t="shared" si="21"/>
        <v>0</v>
      </c>
      <c r="AQ26" s="33">
        <f t="shared" si="22"/>
        <v>0</v>
      </c>
      <c r="AR26" s="40">
        <f t="shared" si="23"/>
        <v>0</v>
      </c>
      <c r="AS26" s="41">
        <f t="shared" si="24"/>
        <v>0</v>
      </c>
      <c r="AT26" s="40">
        <f t="shared" si="25"/>
        <v>0</v>
      </c>
      <c r="AU26" s="41">
        <f t="shared" si="26"/>
        <v>0</v>
      </c>
      <c r="AW26" s="11">
        <f>+'Track mile pop elasticities'!P54</f>
        <v>6.7583376764295518E-3</v>
      </c>
      <c r="AX26" s="11">
        <f>+'Track mile pop elasticities'!Q54</f>
        <v>1.0352224977393729E-2</v>
      </c>
      <c r="AY26" s="11">
        <f>+'Track mile pop elasticities'!R54</f>
        <v>9.8156809110048256E-3</v>
      </c>
      <c r="AZ26" s="11">
        <f>+'Track mile pop elasticities'!S54</f>
        <v>1.9049297705494857E-2</v>
      </c>
      <c r="BA26" s="32">
        <f t="shared" si="27"/>
        <v>0</v>
      </c>
      <c r="BB26" s="33">
        <f t="shared" si="28"/>
        <v>0</v>
      </c>
      <c r="BC26" s="40">
        <f t="shared" si="29"/>
        <v>0</v>
      </c>
      <c r="BD26" s="33">
        <f t="shared" si="30"/>
        <v>0</v>
      </c>
      <c r="BE26" s="40">
        <f t="shared" si="31"/>
        <v>0</v>
      </c>
      <c r="BF26" s="41">
        <f t="shared" si="32"/>
        <v>0</v>
      </c>
      <c r="BG26" s="40">
        <f t="shared" si="33"/>
        <v>0</v>
      </c>
      <c r="BH26" s="41">
        <f t="shared" si="34"/>
        <v>0</v>
      </c>
      <c r="BJ26" s="70">
        <f t="shared" si="35"/>
        <v>0</v>
      </c>
      <c r="BK26" s="70">
        <f t="shared" si="36"/>
        <v>0</v>
      </c>
      <c r="BL26" s="70">
        <f t="shared" si="37"/>
        <v>0</v>
      </c>
      <c r="BM26" s="70">
        <f t="shared" si="38"/>
        <v>0</v>
      </c>
      <c r="BN26" s="70">
        <f t="shared" si="39"/>
        <v>0</v>
      </c>
      <c r="BO26" s="71">
        <f t="shared" si="40"/>
        <v>0</v>
      </c>
      <c r="BP26" s="69">
        <f t="shared" si="41"/>
        <v>0</v>
      </c>
      <c r="BQ26" s="69">
        <f t="shared" si="42"/>
        <v>0</v>
      </c>
      <c r="BR26" s="69">
        <f t="shared" si="43"/>
        <v>0</v>
      </c>
      <c r="BS26" s="69">
        <f t="shared" si="44"/>
        <v>0</v>
      </c>
      <c r="BT26" s="69">
        <f t="shared" si="45"/>
        <v>0</v>
      </c>
      <c r="BU26" s="69">
        <f t="shared" si="46"/>
        <v>0</v>
      </c>
    </row>
    <row r="27" spans="1:73">
      <c r="A27" s="3" t="s">
        <v>319</v>
      </c>
      <c r="B27" s="3">
        <v>2101138</v>
      </c>
      <c r="C27" s="3">
        <v>1227055</v>
      </c>
      <c r="D27" s="34">
        <v>42165.06</v>
      </c>
      <c r="E27" s="85">
        <f t="shared" si="1"/>
        <v>51738847698.299995</v>
      </c>
      <c r="F27" s="85">
        <v>72228</v>
      </c>
      <c r="G27" s="86">
        <f t="shared" si="2"/>
        <v>3.4375657381856876E-2</v>
      </c>
      <c r="H27" s="3">
        <v>36.9</v>
      </c>
      <c r="I27" s="29">
        <f t="shared" si="3"/>
        <v>0</v>
      </c>
      <c r="J27" s="16">
        <f>+'Track mile elasticities'!F54</f>
        <v>1.7377468567490932E-3</v>
      </c>
      <c r="K27" s="16">
        <f>+'Track mile elasticities'!G54</f>
        <v>1.1846303503044405E-2</v>
      </c>
      <c r="L27" s="16">
        <f>+'Track mile elasticities'!H54</f>
        <v>4.7678253109361404E-3</v>
      </c>
      <c r="M27" s="16">
        <f>+'Track mile elasticities'!I54</f>
        <v>1.4028517306236795E-2</v>
      </c>
      <c r="N27" s="32">
        <f t="shared" si="4"/>
        <v>0</v>
      </c>
      <c r="O27" s="35">
        <f t="shared" si="5"/>
        <v>0</v>
      </c>
      <c r="P27" s="36">
        <f t="shared" si="6"/>
        <v>0</v>
      </c>
      <c r="Q27" s="35">
        <f t="shared" si="7"/>
        <v>0</v>
      </c>
      <c r="R27" s="36">
        <f t="shared" si="8"/>
        <v>0</v>
      </c>
      <c r="S27" s="33">
        <f t="shared" si="9"/>
        <v>0</v>
      </c>
      <c r="T27" s="36">
        <f t="shared" si="10"/>
        <v>0</v>
      </c>
      <c r="U27" s="33">
        <f t="shared" si="0"/>
        <v>0</v>
      </c>
      <c r="V27" s="13"/>
      <c r="W27" s="11">
        <f>+'Track mile elasticities'!N54</f>
        <v>1.8758709616295576E-3</v>
      </c>
      <c r="X27" s="11">
        <f>+'Track mile elasticities'!O54</f>
        <v>1.7925911367667163E-2</v>
      </c>
      <c r="Y27" s="11">
        <f>+'Track mile elasticities'!P54</f>
        <v>5.1467939741460782E-3</v>
      </c>
      <c r="Z27" s="11">
        <f>+'Track mile elasticities'!Q54</f>
        <v>2.1228052935395324E-2</v>
      </c>
      <c r="AA27" s="32">
        <f t="shared" si="11"/>
        <v>0</v>
      </c>
      <c r="AB27" s="33">
        <f t="shared" si="12"/>
        <v>0</v>
      </c>
      <c r="AC27" s="40">
        <f t="shared" si="13"/>
        <v>0</v>
      </c>
      <c r="AD27" s="33">
        <f t="shared" si="14"/>
        <v>0</v>
      </c>
      <c r="AE27" s="40">
        <f t="shared" si="15"/>
        <v>0</v>
      </c>
      <c r="AF27" s="41">
        <f t="shared" si="16"/>
        <v>0</v>
      </c>
      <c r="AG27" s="40">
        <f t="shared" si="17"/>
        <v>0</v>
      </c>
      <c r="AH27" s="41">
        <f t="shared" si="18"/>
        <v>0</v>
      </c>
      <c r="AJ27" s="11">
        <f>+'Track mile pop elasticities'!H55</f>
        <v>2.7953741545483884E-2</v>
      </c>
      <c r="AK27" s="11">
        <f>+'Track mile pop elasticities'!I55</f>
        <v>5.0297040654785859E-2</v>
      </c>
      <c r="AL27" s="11">
        <f>+'Track mile pop elasticities'!J55</f>
        <v>4.059948176844088E-2</v>
      </c>
      <c r="AM27" s="11">
        <f>+'Track mile pop elasticities'!K55</f>
        <v>9.2552403297905358E-2</v>
      </c>
      <c r="AN27" s="32">
        <f t="shared" si="19"/>
        <v>0</v>
      </c>
      <c r="AO27" s="33">
        <f t="shared" si="20"/>
        <v>0</v>
      </c>
      <c r="AP27" s="40">
        <f t="shared" si="21"/>
        <v>0</v>
      </c>
      <c r="AQ27" s="33">
        <f t="shared" si="22"/>
        <v>0</v>
      </c>
      <c r="AR27" s="40">
        <f t="shared" si="23"/>
        <v>0</v>
      </c>
      <c r="AS27" s="41">
        <f t="shared" si="24"/>
        <v>0</v>
      </c>
      <c r="AT27" s="40">
        <f t="shared" si="25"/>
        <v>0</v>
      </c>
      <c r="AU27" s="41">
        <f t="shared" si="26"/>
        <v>0</v>
      </c>
      <c r="AW27" s="11">
        <f>+'Track mile pop elasticities'!P55</f>
        <v>3.8689365831896819E-2</v>
      </c>
      <c r="AX27" s="11">
        <f>+'Track mile pop elasticities'!Q55</f>
        <v>5.9263244676475244E-2</v>
      </c>
      <c r="AY27" s="11">
        <f>+'Track mile pop elasticities'!R55</f>
        <v>5.6191697993945376E-2</v>
      </c>
      <c r="AZ27" s="11">
        <f>+'Track mile pop elasticities'!S55</f>
        <v>0.10905126127967682</v>
      </c>
      <c r="BA27" s="32">
        <f t="shared" si="27"/>
        <v>0</v>
      </c>
      <c r="BB27" s="33">
        <f t="shared" si="28"/>
        <v>0</v>
      </c>
      <c r="BC27" s="40">
        <f t="shared" si="29"/>
        <v>0</v>
      </c>
      <c r="BD27" s="33">
        <f t="shared" si="30"/>
        <v>0</v>
      </c>
      <c r="BE27" s="40">
        <f t="shared" si="31"/>
        <v>0</v>
      </c>
      <c r="BF27" s="41">
        <f t="shared" si="32"/>
        <v>0</v>
      </c>
      <c r="BG27" s="40">
        <f t="shared" si="33"/>
        <v>0</v>
      </c>
      <c r="BH27" s="41">
        <f t="shared" si="34"/>
        <v>0</v>
      </c>
      <c r="BJ27" s="70">
        <f t="shared" si="35"/>
        <v>0</v>
      </c>
      <c r="BK27" s="70">
        <f t="shared" si="36"/>
        <v>0</v>
      </c>
      <c r="BL27" s="70">
        <f t="shared" si="37"/>
        <v>0</v>
      </c>
      <c r="BM27" s="70">
        <f t="shared" si="38"/>
        <v>0</v>
      </c>
      <c r="BN27" s="70">
        <f t="shared" si="39"/>
        <v>0</v>
      </c>
      <c r="BO27" s="71">
        <f t="shared" si="40"/>
        <v>0</v>
      </c>
      <c r="BP27" s="69">
        <f t="shared" si="41"/>
        <v>0</v>
      </c>
      <c r="BQ27" s="69">
        <f t="shared" si="42"/>
        <v>0</v>
      </c>
      <c r="BR27" s="69">
        <f t="shared" si="43"/>
        <v>0</v>
      </c>
      <c r="BS27" s="69">
        <f t="shared" si="44"/>
        <v>0</v>
      </c>
      <c r="BT27" s="69">
        <f t="shared" si="45"/>
        <v>0</v>
      </c>
      <c r="BU27" s="69">
        <f t="shared" si="46"/>
        <v>0</v>
      </c>
    </row>
    <row r="28" spans="1:73">
      <c r="A28" s="3" t="s">
        <v>321</v>
      </c>
      <c r="B28" s="3">
        <v>2818688</v>
      </c>
      <c r="C28" s="3">
        <v>1731976</v>
      </c>
      <c r="D28" s="34">
        <v>42578.1</v>
      </c>
      <c r="E28" s="85">
        <f t="shared" si="1"/>
        <v>73744247325.599991</v>
      </c>
      <c r="F28" s="85">
        <v>116061</v>
      </c>
      <c r="G28" s="86">
        <f t="shared" si="2"/>
        <v>4.1175539825620999E-2</v>
      </c>
      <c r="H28" s="3">
        <v>45.9</v>
      </c>
      <c r="I28" s="29">
        <f t="shared" si="3"/>
        <v>0</v>
      </c>
      <c r="J28" s="16">
        <f>+'Track mile elasticities'!F55</f>
        <v>1.5662987485381193E-3</v>
      </c>
      <c r="K28" s="16">
        <f>+'Track mile elasticities'!G55</f>
        <v>1.0677533542677704E-2</v>
      </c>
      <c r="L28" s="16">
        <f>+'Track mile elasticities'!H55</f>
        <v>4.297426169274263E-3</v>
      </c>
      <c r="M28" s="16">
        <f>+'Track mile elasticities'!I55</f>
        <v>1.2644447616328861E-2</v>
      </c>
      <c r="N28" s="32">
        <f t="shared" si="4"/>
        <v>0</v>
      </c>
      <c r="O28" s="35">
        <f t="shared" si="5"/>
        <v>0</v>
      </c>
      <c r="P28" s="36">
        <f t="shared" si="6"/>
        <v>0</v>
      </c>
      <c r="Q28" s="35">
        <f t="shared" si="7"/>
        <v>0</v>
      </c>
      <c r="R28" s="36">
        <f t="shared" si="8"/>
        <v>0</v>
      </c>
      <c r="S28" s="33">
        <f t="shared" si="9"/>
        <v>0</v>
      </c>
      <c r="T28" s="36">
        <f t="shared" si="10"/>
        <v>0</v>
      </c>
      <c r="U28" s="33">
        <f t="shared" si="0"/>
        <v>0</v>
      </c>
      <c r="V28" s="13"/>
      <c r="W28" s="11">
        <f>+'Track mile elasticities'!N55</f>
        <v>9.9582492198562692E-4</v>
      </c>
      <c r="X28" s="11">
        <f>+'Track mile elasticities'!O55</f>
        <v>9.5161499134894124E-3</v>
      </c>
      <c r="Y28" s="11">
        <f>+'Track mile elasticities'!P55</f>
        <v>2.732227222776449E-3</v>
      </c>
      <c r="Z28" s="11">
        <f>+'Track mile elasticities'!Q55</f>
        <v>1.1269124897553251E-2</v>
      </c>
      <c r="AA28" s="32">
        <f t="shared" si="11"/>
        <v>0</v>
      </c>
      <c r="AB28" s="33">
        <f t="shared" si="12"/>
        <v>0</v>
      </c>
      <c r="AC28" s="40">
        <f t="shared" si="13"/>
        <v>0</v>
      </c>
      <c r="AD28" s="33">
        <f t="shared" si="14"/>
        <v>0</v>
      </c>
      <c r="AE28" s="40">
        <f t="shared" si="15"/>
        <v>0</v>
      </c>
      <c r="AF28" s="41">
        <f t="shared" si="16"/>
        <v>0</v>
      </c>
      <c r="AG28" s="40">
        <f t="shared" si="17"/>
        <v>0</v>
      </c>
      <c r="AH28" s="41">
        <f t="shared" si="18"/>
        <v>0</v>
      </c>
      <c r="AJ28" s="11">
        <f>+'Track mile pop elasticities'!H56</f>
        <v>1.9321525220657072E-2</v>
      </c>
      <c r="AK28" s="11">
        <f>+'Track mile pop elasticities'!I56</f>
        <v>3.4765132887653184E-2</v>
      </c>
      <c r="AL28" s="11">
        <f>+'Track mile pop elasticities'!J56</f>
        <v>2.8062215201430506E-2</v>
      </c>
      <c r="AM28" s="11">
        <f>+'Track mile pop elasticities'!K56</f>
        <v>6.3971886970594374E-2</v>
      </c>
      <c r="AN28" s="32">
        <f t="shared" si="19"/>
        <v>0</v>
      </c>
      <c r="AO28" s="33">
        <f t="shared" si="20"/>
        <v>0</v>
      </c>
      <c r="AP28" s="40">
        <f t="shared" si="21"/>
        <v>0</v>
      </c>
      <c r="AQ28" s="33">
        <f t="shared" si="22"/>
        <v>0</v>
      </c>
      <c r="AR28" s="40">
        <f t="shared" si="23"/>
        <v>0</v>
      </c>
      <c r="AS28" s="41">
        <f t="shared" si="24"/>
        <v>0</v>
      </c>
      <c r="AT28" s="40">
        <f t="shared" si="25"/>
        <v>0</v>
      </c>
      <c r="AU28" s="41">
        <f t="shared" si="26"/>
        <v>0</v>
      </c>
      <c r="AW28" s="11">
        <f>+'Track mile pop elasticities'!P56</f>
        <v>1.6939764177806897E-2</v>
      </c>
      <c r="AX28" s="11">
        <f>+'Track mile pop elasticities'!Q56</f>
        <v>2.5947837801040072E-2</v>
      </c>
      <c r="AY28" s="11">
        <f>+'Track mile pop elasticities'!R56</f>
        <v>2.460299082967192E-2</v>
      </c>
      <c r="AZ28" s="11">
        <f>+'Track mile pop elasticities'!S56</f>
        <v>4.7747038744355708E-2</v>
      </c>
      <c r="BA28" s="32">
        <f t="shared" si="27"/>
        <v>0</v>
      </c>
      <c r="BB28" s="33">
        <f t="shared" si="28"/>
        <v>0</v>
      </c>
      <c r="BC28" s="40">
        <f t="shared" si="29"/>
        <v>0</v>
      </c>
      <c r="BD28" s="33">
        <f t="shared" si="30"/>
        <v>0</v>
      </c>
      <c r="BE28" s="40">
        <f t="shared" si="31"/>
        <v>0</v>
      </c>
      <c r="BF28" s="41">
        <f t="shared" si="32"/>
        <v>0</v>
      </c>
      <c r="BG28" s="40">
        <f t="shared" si="33"/>
        <v>0</v>
      </c>
      <c r="BH28" s="41">
        <f t="shared" si="34"/>
        <v>0</v>
      </c>
      <c r="BJ28" s="70">
        <f t="shared" si="35"/>
        <v>0</v>
      </c>
      <c r="BK28" s="70">
        <f t="shared" si="36"/>
        <v>0</v>
      </c>
      <c r="BL28" s="70">
        <f t="shared" si="37"/>
        <v>0</v>
      </c>
      <c r="BM28" s="70">
        <f t="shared" si="38"/>
        <v>0</v>
      </c>
      <c r="BN28" s="70">
        <f t="shared" si="39"/>
        <v>0</v>
      </c>
      <c r="BO28" s="71">
        <f t="shared" si="40"/>
        <v>0</v>
      </c>
      <c r="BP28" s="69">
        <f t="shared" si="41"/>
        <v>0</v>
      </c>
      <c r="BQ28" s="69">
        <f t="shared" si="42"/>
        <v>0</v>
      </c>
      <c r="BR28" s="69">
        <f t="shared" si="43"/>
        <v>0</v>
      </c>
      <c r="BS28" s="69">
        <f t="shared" si="44"/>
        <v>0</v>
      </c>
      <c r="BT28" s="69">
        <f t="shared" si="45"/>
        <v>0</v>
      </c>
      <c r="BU28" s="69">
        <f t="shared" si="46"/>
        <v>0</v>
      </c>
    </row>
    <row r="29" spans="1:73">
      <c r="A29" s="3" t="s">
        <v>323</v>
      </c>
      <c r="B29" s="3">
        <v>1111600</v>
      </c>
      <c r="C29" s="3">
        <v>834207</v>
      </c>
      <c r="D29" s="34">
        <v>39217.54</v>
      </c>
      <c r="E29" s="85">
        <f t="shared" si="1"/>
        <v>32715546390.780003</v>
      </c>
      <c r="F29" s="85">
        <v>55270</v>
      </c>
      <c r="G29" s="86">
        <f t="shared" si="2"/>
        <v>4.9721122706009355E-2</v>
      </c>
      <c r="H29" s="3">
        <v>19</v>
      </c>
      <c r="I29" s="29">
        <f t="shared" si="3"/>
        <v>0</v>
      </c>
      <c r="J29" s="16">
        <f>+'Track mile elasticities'!F56</f>
        <v>5.6075011489356932E-4</v>
      </c>
      <c r="K29" s="16">
        <f>+'Track mile elasticities'!G56</f>
        <v>3.8226603746090819E-3</v>
      </c>
      <c r="L29" s="16">
        <f>+'Track mile elasticities'!H56</f>
        <v>1.5385201708271216E-3</v>
      </c>
      <c r="M29" s="16">
        <f>+'Track mile elasticities'!I56</f>
        <v>4.5268346541423345E-3</v>
      </c>
      <c r="N29" s="32">
        <f t="shared" si="4"/>
        <v>0</v>
      </c>
      <c r="O29" s="35">
        <f t="shared" si="5"/>
        <v>0</v>
      </c>
      <c r="P29" s="36">
        <f t="shared" si="6"/>
        <v>0</v>
      </c>
      <c r="Q29" s="35">
        <f t="shared" si="7"/>
        <v>0</v>
      </c>
      <c r="R29" s="36">
        <f t="shared" si="8"/>
        <v>0</v>
      </c>
      <c r="S29" s="33">
        <f t="shared" si="9"/>
        <v>0</v>
      </c>
      <c r="T29" s="36">
        <f t="shared" si="10"/>
        <v>0</v>
      </c>
      <c r="U29" s="33">
        <f t="shared" si="0"/>
        <v>0</v>
      </c>
      <c r="V29" s="13"/>
      <c r="W29" s="11">
        <f>+'Track mile elasticities'!N56</f>
        <v>3.2327465505027294E-4</v>
      </c>
      <c r="X29" s="11">
        <f>+'Track mile elasticities'!O56</f>
        <v>3.0892278479593784E-3</v>
      </c>
      <c r="Y29" s="11">
        <f>+'Track mile elasticities'!P56</f>
        <v>8.8696295248450331E-4</v>
      </c>
      <c r="Z29" s="11">
        <f>+'Track mile elasticities'!Q56</f>
        <v>3.6582961357413692E-3</v>
      </c>
      <c r="AA29" s="32">
        <f t="shared" si="11"/>
        <v>0</v>
      </c>
      <c r="AB29" s="33">
        <f t="shared" si="12"/>
        <v>0</v>
      </c>
      <c r="AC29" s="40">
        <f t="shared" si="13"/>
        <v>0</v>
      </c>
      <c r="AD29" s="33">
        <f t="shared" si="14"/>
        <v>0</v>
      </c>
      <c r="AE29" s="40">
        <f t="shared" si="15"/>
        <v>0</v>
      </c>
      <c r="AF29" s="41">
        <f t="shared" si="16"/>
        <v>0</v>
      </c>
      <c r="AG29" s="40">
        <f t="shared" si="17"/>
        <v>0</v>
      </c>
      <c r="AH29" s="41">
        <f t="shared" si="18"/>
        <v>0</v>
      </c>
      <c r="AJ29" s="11">
        <f>+'Track mile pop elasticities'!H57</f>
        <v>5.1425587099358912E-2</v>
      </c>
      <c r="AK29" s="11">
        <f>+'Track mile pop elasticities'!I57</f>
        <v>9.2529826135226673E-2</v>
      </c>
      <c r="AL29" s="11">
        <f>+'Track mile pop elasticities'!J57</f>
        <v>7.4689543168116504E-2</v>
      </c>
      <c r="AM29" s="11">
        <f>+'Track mile pop elasticities'!K57</f>
        <v>0.17026563937092581</v>
      </c>
      <c r="AN29" s="32">
        <f t="shared" si="19"/>
        <v>0</v>
      </c>
      <c r="AO29" s="33">
        <f t="shared" si="20"/>
        <v>0</v>
      </c>
      <c r="AP29" s="40">
        <f t="shared" si="21"/>
        <v>0</v>
      </c>
      <c r="AQ29" s="33">
        <f t="shared" si="22"/>
        <v>0</v>
      </c>
      <c r="AR29" s="40">
        <f t="shared" si="23"/>
        <v>0</v>
      </c>
      <c r="AS29" s="41">
        <f t="shared" si="24"/>
        <v>0</v>
      </c>
      <c r="AT29" s="40">
        <f t="shared" si="25"/>
        <v>0</v>
      </c>
      <c r="AU29" s="41">
        <f t="shared" si="26"/>
        <v>0</v>
      </c>
      <c r="AW29" s="11">
        <f>+'Track mile pop elasticities'!P57</f>
        <v>6.982741265095202E-2</v>
      </c>
      <c r="AX29" s="11">
        <f>+'Track mile pop elasticities'!Q57</f>
        <v>0.10695959864110517</v>
      </c>
      <c r="AY29" s="11">
        <f>+'Track mile pop elasticities'!R57</f>
        <v>0.10141600408828744</v>
      </c>
      <c r="AZ29" s="11">
        <f>+'Track mile pop elasticities'!S57</f>
        <v>0.19681809866226621</v>
      </c>
      <c r="BA29" s="32">
        <f t="shared" si="27"/>
        <v>0</v>
      </c>
      <c r="BB29" s="33">
        <f t="shared" si="28"/>
        <v>0</v>
      </c>
      <c r="BC29" s="40">
        <f t="shared" si="29"/>
        <v>0</v>
      </c>
      <c r="BD29" s="33">
        <f t="shared" si="30"/>
        <v>0</v>
      </c>
      <c r="BE29" s="40">
        <f t="shared" si="31"/>
        <v>0</v>
      </c>
      <c r="BF29" s="41">
        <f t="shared" si="32"/>
        <v>0</v>
      </c>
      <c r="BG29" s="40">
        <f t="shared" si="33"/>
        <v>0</v>
      </c>
      <c r="BH29" s="41">
        <f t="shared" si="34"/>
        <v>0</v>
      </c>
      <c r="BJ29" s="70">
        <f t="shared" si="35"/>
        <v>0</v>
      </c>
      <c r="BK29" s="70">
        <f t="shared" si="36"/>
        <v>0</v>
      </c>
      <c r="BL29" s="70">
        <f t="shared" si="37"/>
        <v>0</v>
      </c>
      <c r="BM29" s="70">
        <f t="shared" si="38"/>
        <v>0</v>
      </c>
      <c r="BN29" s="70">
        <f t="shared" si="39"/>
        <v>0</v>
      </c>
      <c r="BO29" s="71">
        <f t="shared" si="40"/>
        <v>0</v>
      </c>
      <c r="BP29" s="69">
        <f t="shared" si="41"/>
        <v>0</v>
      </c>
      <c r="BQ29" s="69">
        <f t="shared" si="42"/>
        <v>0</v>
      </c>
      <c r="BR29" s="69">
        <f t="shared" si="43"/>
        <v>0</v>
      </c>
      <c r="BS29" s="69">
        <f t="shared" si="44"/>
        <v>0</v>
      </c>
      <c r="BT29" s="69">
        <f t="shared" si="45"/>
        <v>0</v>
      </c>
      <c r="BU29" s="69">
        <f t="shared" si="46"/>
        <v>0</v>
      </c>
    </row>
    <row r="30" spans="1:73">
      <c r="A30" s="3" t="s">
        <v>325</v>
      </c>
      <c r="B30" s="3">
        <v>3019274</v>
      </c>
      <c r="C30" s="3">
        <v>1920205</v>
      </c>
      <c r="D30" s="34">
        <v>44562.98</v>
      </c>
      <c r="E30" s="85">
        <f t="shared" si="1"/>
        <v>85570057010.900009</v>
      </c>
      <c r="F30" s="85">
        <v>140538</v>
      </c>
      <c r="G30" s="86">
        <f t="shared" si="2"/>
        <v>4.6546951353206099E-2</v>
      </c>
      <c r="H30" s="3">
        <v>92.899990000000003</v>
      </c>
      <c r="I30" s="29">
        <f t="shared" si="3"/>
        <v>0</v>
      </c>
      <c r="J30" s="16">
        <f>+'Track mile elasticities'!F57</f>
        <v>3.8785902341066285E-3</v>
      </c>
      <c r="K30" s="16">
        <f>+'Track mile elasticities'!G57</f>
        <v>2.644053528206455E-2</v>
      </c>
      <c r="L30" s="16">
        <f>+'Track mile elasticities'!H57</f>
        <v>1.0641619414877393E-2</v>
      </c>
      <c r="M30" s="16">
        <f>+'Track mile elasticities'!I57</f>
        <v>3.1311160202444864E-2</v>
      </c>
      <c r="N30" s="32">
        <f t="shared" si="4"/>
        <v>0</v>
      </c>
      <c r="O30" s="35">
        <f t="shared" si="5"/>
        <v>0</v>
      </c>
      <c r="P30" s="36">
        <f t="shared" si="6"/>
        <v>0</v>
      </c>
      <c r="Q30" s="35">
        <f t="shared" si="7"/>
        <v>0</v>
      </c>
      <c r="R30" s="36">
        <f t="shared" si="8"/>
        <v>0</v>
      </c>
      <c r="S30" s="33">
        <f t="shared" si="9"/>
        <v>0</v>
      </c>
      <c r="T30" s="36">
        <f t="shared" si="10"/>
        <v>0</v>
      </c>
      <c r="U30" s="33">
        <f t="shared" si="0"/>
        <v>0</v>
      </c>
      <c r="V30" s="13"/>
      <c r="W30" s="11">
        <f>+'Track mile elasticities'!N57</f>
        <v>5.0783643526759311E-3</v>
      </c>
      <c r="X30" s="11">
        <f>+'Track mile elasticities'!O57</f>
        <v>4.8529089228881828E-2</v>
      </c>
      <c r="Y30" s="11">
        <f>+'Track mile elasticities'!P57</f>
        <v>1.3933418440554903E-2</v>
      </c>
      <c r="Z30" s="11">
        <f>+'Track mile elasticities'!Q57</f>
        <v>5.7468658297360066E-2</v>
      </c>
      <c r="AA30" s="32">
        <f t="shared" si="11"/>
        <v>0</v>
      </c>
      <c r="AB30" s="33">
        <f t="shared" si="12"/>
        <v>0</v>
      </c>
      <c r="AC30" s="40">
        <f t="shared" si="13"/>
        <v>0</v>
      </c>
      <c r="AD30" s="33">
        <f t="shared" si="14"/>
        <v>0</v>
      </c>
      <c r="AE30" s="40">
        <f t="shared" si="15"/>
        <v>0</v>
      </c>
      <c r="AF30" s="41">
        <f t="shared" si="16"/>
        <v>0</v>
      </c>
      <c r="AG30" s="40">
        <f t="shared" si="17"/>
        <v>0</v>
      </c>
      <c r="AH30" s="41">
        <f t="shared" si="18"/>
        <v>0</v>
      </c>
      <c r="AJ30" s="11">
        <f>+'Track mile pop elasticities'!H58</f>
        <v>3.4082649367603218E-2</v>
      </c>
      <c r="AK30" s="11">
        <f>+'Track mile pop elasticities'!I58</f>
        <v>6.1324756762019234E-2</v>
      </c>
      <c r="AL30" s="11">
        <f>+'Track mile pop elasticities'!J58</f>
        <v>4.9500990748185626E-2</v>
      </c>
      <c r="AM30" s="11">
        <f>+'Track mile pop elasticities'!K58</f>
        <v>0.11284468322778538</v>
      </c>
      <c r="AN30" s="32">
        <f t="shared" si="19"/>
        <v>0</v>
      </c>
      <c r="AO30" s="33">
        <f t="shared" si="20"/>
        <v>0</v>
      </c>
      <c r="AP30" s="40">
        <f t="shared" si="21"/>
        <v>0</v>
      </c>
      <c r="AQ30" s="33">
        <f t="shared" si="22"/>
        <v>0</v>
      </c>
      <c r="AR30" s="40">
        <f t="shared" si="23"/>
        <v>0</v>
      </c>
      <c r="AS30" s="41">
        <f t="shared" si="24"/>
        <v>0</v>
      </c>
      <c r="AT30" s="40">
        <f t="shared" si="25"/>
        <v>0</v>
      </c>
      <c r="AU30" s="41">
        <f t="shared" si="26"/>
        <v>0</v>
      </c>
      <c r="AW30" s="11">
        <f>+'Track mile pop elasticities'!P58</f>
        <v>3.9661526114713692E-2</v>
      </c>
      <c r="AX30" s="11">
        <f>+'Track mile pop elasticities'!Q58</f>
        <v>6.07523715067173E-2</v>
      </c>
      <c r="AY30" s="11">
        <f>+'Track mile pop elasticities'!R58</f>
        <v>5.7603645071369877E-2</v>
      </c>
      <c r="AZ30" s="11">
        <f>+'Track mile pop elasticities'!S58</f>
        <v>0.11179142780160478</v>
      </c>
      <c r="BA30" s="32">
        <f t="shared" si="27"/>
        <v>0</v>
      </c>
      <c r="BB30" s="33">
        <f t="shared" si="28"/>
        <v>0</v>
      </c>
      <c r="BC30" s="40">
        <f t="shared" si="29"/>
        <v>0</v>
      </c>
      <c r="BD30" s="33">
        <f t="shared" si="30"/>
        <v>0</v>
      </c>
      <c r="BE30" s="40">
        <f t="shared" si="31"/>
        <v>0</v>
      </c>
      <c r="BF30" s="41">
        <f t="shared" si="32"/>
        <v>0</v>
      </c>
      <c r="BG30" s="40">
        <f t="shared" si="33"/>
        <v>0</v>
      </c>
      <c r="BH30" s="41">
        <f t="shared" si="34"/>
        <v>0</v>
      </c>
      <c r="BJ30" s="70">
        <f t="shared" si="35"/>
        <v>0</v>
      </c>
      <c r="BK30" s="70">
        <f t="shared" si="36"/>
        <v>0</v>
      </c>
      <c r="BL30" s="70">
        <f t="shared" si="37"/>
        <v>0</v>
      </c>
      <c r="BM30" s="70">
        <f t="shared" si="38"/>
        <v>0</v>
      </c>
      <c r="BN30" s="70">
        <f t="shared" si="39"/>
        <v>0</v>
      </c>
      <c r="BO30" s="71">
        <f t="shared" si="40"/>
        <v>0</v>
      </c>
      <c r="BP30" s="69">
        <f t="shared" si="41"/>
        <v>0</v>
      </c>
      <c r="BQ30" s="69">
        <f t="shared" si="42"/>
        <v>0</v>
      </c>
      <c r="BR30" s="69">
        <f t="shared" si="43"/>
        <v>0</v>
      </c>
      <c r="BS30" s="69">
        <f t="shared" si="44"/>
        <v>0</v>
      </c>
      <c r="BT30" s="69">
        <f t="shared" si="45"/>
        <v>0</v>
      </c>
      <c r="BU30" s="69">
        <f t="shared" si="46"/>
        <v>0</v>
      </c>
    </row>
    <row r="31" spans="1:73">
      <c r="A31" s="3" t="s">
        <v>327</v>
      </c>
      <c r="B31" s="3">
        <v>4260236</v>
      </c>
      <c r="C31" s="3">
        <v>2849527</v>
      </c>
      <c r="D31" s="34">
        <v>61146.07</v>
      </c>
      <c r="E31" s="85">
        <f t="shared" si="1"/>
        <v>174237377408.88998</v>
      </c>
      <c r="F31" s="85">
        <v>283010</v>
      </c>
      <c r="G31" s="86">
        <f t="shared" si="2"/>
        <v>6.6430592108042835E-2</v>
      </c>
      <c r="H31" s="3">
        <v>186.5</v>
      </c>
      <c r="I31" s="29">
        <f t="shared" si="3"/>
        <v>0</v>
      </c>
      <c r="J31" s="16">
        <f>+'Track mile elasticities'!F58</f>
        <v>4.5392579074301212E-3</v>
      </c>
      <c r="K31" s="16">
        <f>+'Track mile elasticities'!G58</f>
        <v>3.0944338435235971E-2</v>
      </c>
      <c r="L31" s="16">
        <f>+'Track mile elasticities'!H58</f>
        <v>1.2454281623273979E-2</v>
      </c>
      <c r="M31" s="16">
        <f>+'Track mile elasticities'!I58</f>
        <v>3.6644611304884701E-2</v>
      </c>
      <c r="N31" s="32">
        <f t="shared" si="4"/>
        <v>0</v>
      </c>
      <c r="O31" s="35">
        <f t="shared" si="5"/>
        <v>0</v>
      </c>
      <c r="P31" s="36">
        <f t="shared" si="6"/>
        <v>0</v>
      </c>
      <c r="Q31" s="35">
        <f t="shared" si="7"/>
        <v>0</v>
      </c>
      <c r="R31" s="36">
        <f t="shared" si="8"/>
        <v>0</v>
      </c>
      <c r="S31" s="33">
        <f t="shared" si="9"/>
        <v>0</v>
      </c>
      <c r="T31" s="36">
        <f t="shared" si="10"/>
        <v>0</v>
      </c>
      <c r="U31" s="33">
        <f t="shared" si="0"/>
        <v>0</v>
      </c>
      <c r="V31" s="13"/>
      <c r="W31" s="11">
        <f>+'Track mile elasticities'!N58</f>
        <v>1.0093338457188145E-2</v>
      </c>
      <c r="X31" s="11">
        <f>+'Track mile elasticities'!O58</f>
        <v>9.6452418257088612E-2</v>
      </c>
      <c r="Y31" s="11">
        <f>+'Track mile elasticities'!P58</f>
        <v>2.7692914178566754E-2</v>
      </c>
      <c r="Z31" s="11">
        <f>+'Track mile elasticities'!Q58</f>
        <v>0.11421996898865758</v>
      </c>
      <c r="AA31" s="32">
        <f t="shared" si="11"/>
        <v>0</v>
      </c>
      <c r="AB31" s="33">
        <f t="shared" si="12"/>
        <v>0</v>
      </c>
      <c r="AC31" s="40">
        <f t="shared" si="13"/>
        <v>0</v>
      </c>
      <c r="AD31" s="33">
        <f t="shared" si="14"/>
        <v>0</v>
      </c>
      <c r="AE31" s="40">
        <f t="shared" si="15"/>
        <v>0</v>
      </c>
      <c r="AF31" s="41">
        <f t="shared" si="16"/>
        <v>0</v>
      </c>
      <c r="AG31" s="40">
        <f t="shared" si="17"/>
        <v>0</v>
      </c>
      <c r="AH31" s="41">
        <f t="shared" si="18"/>
        <v>0</v>
      </c>
      <c r="AJ31" s="11">
        <f>+'Track mile pop elasticities'!H59</f>
        <v>3.4366416884005109E-2</v>
      </c>
      <c r="AK31" s="11">
        <f>+'Track mile pop elasticities'!I59</f>
        <v>6.183533837005728E-2</v>
      </c>
      <c r="AL31" s="11">
        <f>+'Track mile pop elasticities'!J59</f>
        <v>4.9913129283912179E-2</v>
      </c>
      <c r="AM31" s="11">
        <f>+'Track mile pop elasticities'!K59</f>
        <v>0.11378421275652981</v>
      </c>
      <c r="AN31" s="32">
        <f t="shared" si="19"/>
        <v>0</v>
      </c>
      <c r="AO31" s="33">
        <f t="shared" si="20"/>
        <v>0</v>
      </c>
      <c r="AP31" s="40">
        <f t="shared" si="21"/>
        <v>0</v>
      </c>
      <c r="AQ31" s="33">
        <f t="shared" si="22"/>
        <v>0</v>
      </c>
      <c r="AR31" s="40">
        <f t="shared" si="23"/>
        <v>0</v>
      </c>
      <c r="AS31" s="41">
        <f t="shared" si="24"/>
        <v>0</v>
      </c>
      <c r="AT31" s="40">
        <f t="shared" si="25"/>
        <v>0</v>
      </c>
      <c r="AU31" s="41">
        <f t="shared" si="26"/>
        <v>0</v>
      </c>
      <c r="AW31" s="11">
        <f>+'Track mile pop elasticities'!P59</f>
        <v>5.6830550903518955E-2</v>
      </c>
      <c r="AX31" s="11">
        <f>+'Track mile pop elasticities'!Q59</f>
        <v>8.7051384039938506E-2</v>
      </c>
      <c r="AY31" s="11">
        <f>+'Track mile pop elasticities'!R59</f>
        <v>8.2539609645587042E-2</v>
      </c>
      <c r="AZ31" s="11">
        <f>+'Track mile pop elasticities'!S59</f>
        <v>0.16018466888744498</v>
      </c>
      <c r="BA31" s="32">
        <f t="shared" si="27"/>
        <v>0</v>
      </c>
      <c r="BB31" s="33">
        <f t="shared" si="28"/>
        <v>0</v>
      </c>
      <c r="BC31" s="40">
        <f t="shared" si="29"/>
        <v>0</v>
      </c>
      <c r="BD31" s="33">
        <f t="shared" si="30"/>
        <v>0</v>
      </c>
      <c r="BE31" s="40">
        <f t="shared" si="31"/>
        <v>0</v>
      </c>
      <c r="BF31" s="41">
        <f t="shared" si="32"/>
        <v>0</v>
      </c>
      <c r="BG31" s="40">
        <f t="shared" si="33"/>
        <v>0</v>
      </c>
      <c r="BH31" s="41">
        <f t="shared" si="34"/>
        <v>0</v>
      </c>
      <c r="BJ31" s="70">
        <f t="shared" si="35"/>
        <v>0</v>
      </c>
      <c r="BK31" s="70">
        <f t="shared" si="36"/>
        <v>0</v>
      </c>
      <c r="BL31" s="70">
        <f t="shared" si="37"/>
        <v>0</v>
      </c>
      <c r="BM31" s="70">
        <f t="shared" si="38"/>
        <v>0</v>
      </c>
      <c r="BN31" s="70">
        <f t="shared" si="39"/>
        <v>0</v>
      </c>
      <c r="BO31" s="71">
        <f t="shared" si="40"/>
        <v>0</v>
      </c>
      <c r="BP31" s="69">
        <f t="shared" si="41"/>
        <v>0</v>
      </c>
      <c r="BQ31" s="69">
        <f t="shared" si="42"/>
        <v>0</v>
      </c>
      <c r="BR31" s="69">
        <f t="shared" si="43"/>
        <v>0</v>
      </c>
      <c r="BS31" s="69">
        <f t="shared" si="44"/>
        <v>0</v>
      </c>
      <c r="BT31" s="69">
        <f t="shared" si="45"/>
        <v>0</v>
      </c>
      <c r="BU31" s="69">
        <f t="shared" si="46"/>
        <v>0</v>
      </c>
    </row>
    <row r="32" spans="1:73">
      <c r="A32" s="3" t="s">
        <v>329</v>
      </c>
      <c r="B32" s="3">
        <v>1810646</v>
      </c>
      <c r="C32">
        <v>1208681</v>
      </c>
      <c r="D32" s="34">
        <v>76360.73</v>
      </c>
      <c r="E32" s="85">
        <f t="shared" si="1"/>
        <v>92295763497.12999</v>
      </c>
      <c r="F32" s="85">
        <v>138071</v>
      </c>
      <c r="G32" s="86">
        <f t="shared" si="2"/>
        <v>7.6255104531752757E-2</v>
      </c>
      <c r="H32" s="3">
        <v>158.4</v>
      </c>
      <c r="I32" s="29">
        <f t="shared" si="3"/>
        <v>0</v>
      </c>
      <c r="J32" s="16">
        <f>+'Track mile elasticities'!F59</f>
        <v>5.2298079415149063E-3</v>
      </c>
      <c r="K32" s="16">
        <f>+'Track mile elasticities'!G59</f>
        <v>3.5651851072093628E-2</v>
      </c>
      <c r="L32" s="16">
        <f>+'Track mile elasticities'!H59</f>
        <v>1.4348931536286386E-2</v>
      </c>
      <c r="M32" s="16">
        <f>+'Track mile elasticities'!I59</f>
        <v>4.2219297322216139E-2</v>
      </c>
      <c r="N32" s="32">
        <f t="shared" si="4"/>
        <v>0</v>
      </c>
      <c r="O32" s="35">
        <f t="shared" si="5"/>
        <v>0</v>
      </c>
      <c r="P32" s="36">
        <f t="shared" si="6"/>
        <v>0</v>
      </c>
      <c r="Q32" s="35">
        <f t="shared" si="7"/>
        <v>0</v>
      </c>
      <c r="R32" s="36">
        <f t="shared" si="8"/>
        <v>0</v>
      </c>
      <c r="S32" s="33">
        <f t="shared" si="9"/>
        <v>0</v>
      </c>
      <c r="T32" s="36">
        <f t="shared" si="10"/>
        <v>0</v>
      </c>
      <c r="U32" s="33">
        <f t="shared" si="0"/>
        <v>0</v>
      </c>
      <c r="V32" s="13"/>
      <c r="W32" s="11">
        <f>+'Track mile elasticities'!N59</f>
        <v>1.0731998717520811E-2</v>
      </c>
      <c r="X32" s="11">
        <f>+'Track mile elasticities'!O59</f>
        <v>0.10255548582141047</v>
      </c>
      <c r="Y32" s="11">
        <f>+'Track mile elasticities'!P59</f>
        <v>2.9445195037241214E-2</v>
      </c>
      <c r="Z32" s="11">
        <f>+'Track mile elasticities'!Q59</f>
        <v>0.12144728584114398</v>
      </c>
      <c r="AA32" s="32">
        <f t="shared" si="11"/>
        <v>0</v>
      </c>
      <c r="AB32" s="33">
        <f t="shared" si="12"/>
        <v>0</v>
      </c>
      <c r="AC32" s="40">
        <f t="shared" si="13"/>
        <v>0</v>
      </c>
      <c r="AD32" s="33">
        <f t="shared" si="14"/>
        <v>0</v>
      </c>
      <c r="AE32" s="40">
        <f t="shared" si="15"/>
        <v>0</v>
      </c>
      <c r="AF32" s="41">
        <f t="shared" si="16"/>
        <v>0</v>
      </c>
      <c r="AG32" s="40">
        <f t="shared" si="17"/>
        <v>0</v>
      </c>
      <c r="AH32" s="41">
        <f t="shared" si="18"/>
        <v>0</v>
      </c>
      <c r="AJ32" s="11">
        <f>+'Track mile pop elasticities'!H60</f>
        <v>0.16158863485000699</v>
      </c>
      <c r="AK32" s="11">
        <f>+'Track mile pop elasticities'!I60</f>
        <v>0.2907456993969092</v>
      </c>
      <c r="AL32" s="11">
        <f>+'Track mile pop elasticities'!J60</f>
        <v>0.2346882553773911</v>
      </c>
      <c r="AM32" s="11">
        <f>+'Track mile pop elasticities'!K60</f>
        <v>0.53500589452977765</v>
      </c>
      <c r="AN32" s="32">
        <f t="shared" si="19"/>
        <v>0</v>
      </c>
      <c r="AO32" s="33">
        <f t="shared" si="20"/>
        <v>0</v>
      </c>
      <c r="AP32" s="40">
        <f t="shared" si="21"/>
        <v>0</v>
      </c>
      <c r="AQ32" s="33">
        <f t="shared" si="22"/>
        <v>0</v>
      </c>
      <c r="AR32" s="40">
        <f t="shared" si="23"/>
        <v>0</v>
      </c>
      <c r="AS32" s="41">
        <f t="shared" si="24"/>
        <v>0</v>
      </c>
      <c r="AT32" s="40">
        <f t="shared" si="25"/>
        <v>0</v>
      </c>
      <c r="AU32" s="41">
        <f t="shared" si="26"/>
        <v>0</v>
      </c>
      <c r="AW32" s="11">
        <f>+'Track mile pop elasticities'!P60</f>
        <v>0.28614727711465499</v>
      </c>
      <c r="AX32" s="11">
        <f>+'Track mile pop elasticities'!Q60</f>
        <v>0.43831207187097909</v>
      </c>
      <c r="AY32" s="11">
        <f>+'Track mile pop elasticities'!R60</f>
        <v>0.41559485485699887</v>
      </c>
      <c r="AZ32" s="11">
        <f>+'Track mile pop elasticities'!S60</f>
        <v>0.80654517876258647</v>
      </c>
      <c r="BA32" s="32">
        <f t="shared" si="27"/>
        <v>0</v>
      </c>
      <c r="BB32" s="33">
        <f t="shared" si="28"/>
        <v>0</v>
      </c>
      <c r="BC32" s="40">
        <f t="shared" si="29"/>
        <v>0</v>
      </c>
      <c r="BD32" s="33">
        <f t="shared" si="30"/>
        <v>0</v>
      </c>
      <c r="BE32" s="40">
        <f t="shared" si="31"/>
        <v>0</v>
      </c>
      <c r="BF32" s="41">
        <f t="shared" si="32"/>
        <v>0</v>
      </c>
      <c r="BG32" s="40">
        <f t="shared" si="33"/>
        <v>0</v>
      </c>
      <c r="BH32" s="41">
        <f t="shared" si="34"/>
        <v>0</v>
      </c>
      <c r="BJ32" s="70">
        <f t="shared" si="35"/>
        <v>0</v>
      </c>
      <c r="BK32" s="70">
        <f t="shared" si="36"/>
        <v>0</v>
      </c>
      <c r="BL32" s="70">
        <f t="shared" si="37"/>
        <v>0</v>
      </c>
      <c r="BM32" s="70">
        <f t="shared" si="38"/>
        <v>0</v>
      </c>
      <c r="BN32" s="70">
        <f t="shared" si="39"/>
        <v>0</v>
      </c>
      <c r="BO32" s="71">
        <f t="shared" si="40"/>
        <v>0</v>
      </c>
      <c r="BP32" s="69">
        <f t="shared" si="41"/>
        <v>0</v>
      </c>
      <c r="BQ32" s="69">
        <f t="shared" si="42"/>
        <v>0</v>
      </c>
      <c r="BR32" s="69">
        <f t="shared" si="43"/>
        <v>0</v>
      </c>
      <c r="BS32" s="69">
        <f t="shared" si="44"/>
        <v>0</v>
      </c>
      <c r="BT32" s="69">
        <f t="shared" si="45"/>
        <v>0</v>
      </c>
      <c r="BU32" s="69">
        <f t="shared" si="46"/>
        <v>0</v>
      </c>
    </row>
    <row r="33" spans="1:73">
      <c r="A33" s="3" t="s">
        <v>331</v>
      </c>
      <c r="B33" s="3">
        <v>3356637</v>
      </c>
      <c r="C33">
        <v>2306396</v>
      </c>
      <c r="D33" s="34">
        <v>51606.48</v>
      </c>
      <c r="E33" s="85">
        <f t="shared" si="1"/>
        <v>119024979046.08</v>
      </c>
      <c r="F33" s="85">
        <v>194038</v>
      </c>
      <c r="G33" s="86">
        <f t="shared" si="2"/>
        <v>5.7807263639172185E-2</v>
      </c>
      <c r="H33" s="3">
        <v>86.8</v>
      </c>
      <c r="I33" s="29">
        <f t="shared" si="3"/>
        <v>0</v>
      </c>
      <c r="J33" s="16">
        <f>+'Track mile elasticities'!F60</f>
        <v>2.5178654001207826E-3</v>
      </c>
      <c r="K33" s="16">
        <f>+'Track mile elasticities'!G60</f>
        <v>1.7164408955079351E-2</v>
      </c>
      <c r="L33" s="16">
        <f>+'Track mile elasticities'!H60</f>
        <v>6.9082227584541332E-3</v>
      </c>
      <c r="M33" s="16">
        <f>+'Track mile elasticities'!I60</f>
        <v>2.0326273762593969E-2</v>
      </c>
      <c r="N33" s="32">
        <f t="shared" si="4"/>
        <v>0</v>
      </c>
      <c r="O33" s="35">
        <f t="shared" si="5"/>
        <v>0</v>
      </c>
      <c r="P33" s="36">
        <f t="shared" si="6"/>
        <v>0</v>
      </c>
      <c r="Q33" s="35">
        <f t="shared" si="7"/>
        <v>0</v>
      </c>
      <c r="R33" s="36">
        <f t="shared" si="8"/>
        <v>0</v>
      </c>
      <c r="S33" s="33">
        <f t="shared" si="9"/>
        <v>0</v>
      </c>
      <c r="T33" s="36">
        <f t="shared" si="10"/>
        <v>0</v>
      </c>
      <c r="U33" s="33">
        <f t="shared" si="0"/>
        <v>0</v>
      </c>
      <c r="V33" s="13"/>
      <c r="W33" s="11">
        <f>+'Track mile elasticities'!N60</f>
        <v>2.3491434010479619E-3</v>
      </c>
      <c r="X33" s="11">
        <f>+'Track mile elasticities'!O60</f>
        <v>2.2448525116325054E-2</v>
      </c>
      <c r="Y33" s="11">
        <f>+'Track mile elasticities'!P60</f>
        <v>6.4453031942110139E-3</v>
      </c>
      <c r="Z33" s="11">
        <f>+'Track mile elasticities'!Q60</f>
        <v>2.6583779743016511E-2</v>
      </c>
      <c r="AA33" s="32">
        <f t="shared" si="11"/>
        <v>0</v>
      </c>
      <c r="AB33" s="33">
        <f t="shared" si="12"/>
        <v>0</v>
      </c>
      <c r="AC33" s="40">
        <f t="shared" si="13"/>
        <v>0</v>
      </c>
      <c r="AD33" s="33">
        <f t="shared" si="14"/>
        <v>0</v>
      </c>
      <c r="AE33" s="40">
        <f t="shared" si="15"/>
        <v>0</v>
      </c>
      <c r="AF33" s="41">
        <f t="shared" si="16"/>
        <v>0</v>
      </c>
      <c r="AG33" s="40">
        <f t="shared" si="17"/>
        <v>0</v>
      </c>
      <c r="AH33" s="41">
        <f t="shared" si="18"/>
        <v>0</v>
      </c>
      <c r="AJ33" s="11">
        <f>+'Track mile pop elasticities'!H61</f>
        <v>2.5765211036804819E-2</v>
      </c>
      <c r="AK33" s="11">
        <f>+'Track mile pop elasticities'!I61</f>
        <v>4.6359227614976392E-2</v>
      </c>
      <c r="AL33" s="11">
        <f>+'Track mile pop elasticities'!J61</f>
        <v>3.7420901743930805E-2</v>
      </c>
      <c r="AM33" s="11">
        <f>+'Track mile pop elasticities'!K61</f>
        <v>8.5306369419418757E-2</v>
      </c>
      <c r="AN33" s="32">
        <f t="shared" si="19"/>
        <v>0</v>
      </c>
      <c r="AO33" s="33">
        <f t="shared" si="20"/>
        <v>0</v>
      </c>
      <c r="AP33" s="40">
        <f t="shared" si="21"/>
        <v>0</v>
      </c>
      <c r="AQ33" s="33">
        <f t="shared" si="22"/>
        <v>0</v>
      </c>
      <c r="AR33" s="40">
        <f t="shared" si="23"/>
        <v>0</v>
      </c>
      <c r="AS33" s="41">
        <f t="shared" si="24"/>
        <v>0</v>
      </c>
      <c r="AT33" s="40">
        <f t="shared" si="25"/>
        <v>0</v>
      </c>
      <c r="AU33" s="41">
        <f t="shared" si="26"/>
        <v>0</v>
      </c>
      <c r="AW33" s="11">
        <f>+'Track mile pop elasticities'!P61</f>
        <v>2.5529084846712347E-2</v>
      </c>
      <c r="AX33" s="11">
        <f>+'Track mile pop elasticities'!Q61</f>
        <v>3.9104709242607803E-2</v>
      </c>
      <c r="AY33" s="11">
        <f>+'Track mile pop elasticities'!R61</f>
        <v>3.7077956563082215E-2</v>
      </c>
      <c r="AZ33" s="11">
        <f>+'Track mile pop elasticities'!S61</f>
        <v>7.1957212065612619E-2</v>
      </c>
      <c r="BA33" s="32">
        <f t="shared" si="27"/>
        <v>0</v>
      </c>
      <c r="BB33" s="33">
        <f t="shared" si="28"/>
        <v>0</v>
      </c>
      <c r="BC33" s="40">
        <f t="shared" si="29"/>
        <v>0</v>
      </c>
      <c r="BD33" s="33">
        <f t="shared" si="30"/>
        <v>0</v>
      </c>
      <c r="BE33" s="40">
        <f t="shared" si="31"/>
        <v>0</v>
      </c>
      <c r="BF33" s="41">
        <f t="shared" si="32"/>
        <v>0</v>
      </c>
      <c r="BG33" s="40">
        <f t="shared" si="33"/>
        <v>0</v>
      </c>
      <c r="BH33" s="41">
        <f t="shared" si="34"/>
        <v>0</v>
      </c>
      <c r="BJ33" s="70">
        <f t="shared" si="35"/>
        <v>0</v>
      </c>
      <c r="BK33" s="70">
        <f t="shared" si="36"/>
        <v>0</v>
      </c>
      <c r="BL33" s="70">
        <f t="shared" si="37"/>
        <v>0</v>
      </c>
      <c r="BM33" s="70">
        <f t="shared" si="38"/>
        <v>0</v>
      </c>
      <c r="BN33" s="70">
        <f t="shared" si="39"/>
        <v>0</v>
      </c>
      <c r="BO33" s="71">
        <f t="shared" si="40"/>
        <v>0</v>
      </c>
      <c r="BP33" s="69">
        <f t="shared" si="41"/>
        <v>0</v>
      </c>
      <c r="BQ33" s="69">
        <f t="shared" si="42"/>
        <v>0</v>
      </c>
      <c r="BR33" s="69">
        <f t="shared" si="43"/>
        <v>0</v>
      </c>
      <c r="BS33" s="69">
        <f t="shared" si="44"/>
        <v>0</v>
      </c>
      <c r="BT33" s="69">
        <f t="shared" si="45"/>
        <v>0</v>
      </c>
      <c r="BU33" s="69">
        <f t="shared" si="46"/>
        <v>0</v>
      </c>
    </row>
    <row r="34" spans="1:73">
      <c r="A34" s="3" t="s">
        <v>333</v>
      </c>
      <c r="B34">
        <v>2730007</v>
      </c>
      <c r="C34">
        <v>1576110</v>
      </c>
      <c r="D34" s="34">
        <v>38033.29</v>
      </c>
      <c r="E34" s="85">
        <f t="shared" si="1"/>
        <v>59944648701.900002</v>
      </c>
      <c r="F34" s="52">
        <v>98666</v>
      </c>
      <c r="G34" s="86">
        <f t="shared" si="2"/>
        <v>3.6141299271393812E-2</v>
      </c>
      <c r="H34">
        <v>2.4</v>
      </c>
      <c r="I34" s="29">
        <f t="shared" si="3"/>
        <v>0</v>
      </c>
      <c r="J34" s="16">
        <f>+'Track mile elasticities'!F61</f>
        <v>9.7266839818983982E-5</v>
      </c>
      <c r="K34" s="16">
        <f>+'Track mile elasticities'!G61</f>
        <v>6.6307270290983376E-4</v>
      </c>
      <c r="L34" s="16">
        <f>+'Track mile elasticities'!H61</f>
        <v>2.6686930780659866E-4</v>
      </c>
      <c r="M34" s="16">
        <f>+'Track mile elasticities'!I61</f>
        <v>7.8521767449848739E-4</v>
      </c>
      <c r="N34" s="32">
        <f t="shared" si="4"/>
        <v>0</v>
      </c>
      <c r="O34" s="35">
        <f t="shared" si="5"/>
        <v>0</v>
      </c>
      <c r="P34" s="36">
        <f t="shared" si="6"/>
        <v>0</v>
      </c>
      <c r="Q34" s="35">
        <f t="shared" si="7"/>
        <v>0</v>
      </c>
      <c r="R34" s="36">
        <f t="shared" si="8"/>
        <v>0</v>
      </c>
      <c r="S34" s="33">
        <f t="shared" si="9"/>
        <v>0</v>
      </c>
      <c r="T34" s="36">
        <f t="shared" si="10"/>
        <v>0</v>
      </c>
      <c r="U34" s="33">
        <f t="shared" si="0"/>
        <v>0</v>
      </c>
      <c r="V34" s="13"/>
      <c r="W34" s="11">
        <f>+'Track mile elasticities'!N61</f>
        <v>2.0942626441185189E-4</v>
      </c>
      <c r="X34" s="11">
        <f>+'Track mile elasticities'!O61</f>
        <v>2.0012872583982386E-3</v>
      </c>
      <c r="Y34" s="11">
        <f>+'Track mile elasticities'!P61</f>
        <v>5.7459913701446734E-4</v>
      </c>
      <c r="Z34" s="11">
        <f>+'Track mile elasticities'!Q61</f>
        <v>2.3699454375768619E-3</v>
      </c>
      <c r="AA34" s="32">
        <f t="shared" si="11"/>
        <v>0</v>
      </c>
      <c r="AB34" s="33">
        <f t="shared" si="12"/>
        <v>0</v>
      </c>
      <c r="AC34" s="40">
        <f t="shared" si="13"/>
        <v>0</v>
      </c>
      <c r="AD34" s="33">
        <f t="shared" si="14"/>
        <v>0</v>
      </c>
      <c r="AE34" s="40">
        <f t="shared" si="15"/>
        <v>0</v>
      </c>
      <c r="AF34" s="41">
        <f t="shared" si="16"/>
        <v>0</v>
      </c>
      <c r="AG34" s="40">
        <f t="shared" si="17"/>
        <v>0</v>
      </c>
      <c r="AH34" s="41">
        <f t="shared" si="18"/>
        <v>0</v>
      </c>
      <c r="AJ34" s="11">
        <f>+'Track mile pop elasticities'!H62</f>
        <v>1.0769770636777434E-3</v>
      </c>
      <c r="AK34" s="11">
        <f>+'Track mile pop elasticities'!I62</f>
        <v>1.9377999566867531E-3</v>
      </c>
      <c r="AL34" s="11">
        <f>+'Track mile pop elasticities'!J62</f>
        <v>1.5641809734367224E-3</v>
      </c>
      <c r="AM34" s="11">
        <f>+'Track mile pop elasticities'!K62</f>
        <v>3.5657772458799844E-3</v>
      </c>
      <c r="AN34" s="32">
        <f t="shared" si="19"/>
        <v>0</v>
      </c>
      <c r="AO34" s="33">
        <f t="shared" si="20"/>
        <v>0</v>
      </c>
      <c r="AP34" s="40">
        <f t="shared" si="21"/>
        <v>0</v>
      </c>
      <c r="AQ34" s="33">
        <f t="shared" si="22"/>
        <v>0</v>
      </c>
      <c r="AR34" s="40">
        <f t="shared" si="23"/>
        <v>0</v>
      </c>
      <c r="AS34" s="41">
        <f t="shared" si="24"/>
        <v>0</v>
      </c>
      <c r="AT34" s="40">
        <f t="shared" si="25"/>
        <v>0</v>
      </c>
      <c r="AU34" s="41">
        <f t="shared" si="26"/>
        <v>0</v>
      </c>
      <c r="AW34" s="11">
        <f>+'Track mile pop elasticities'!P62</f>
        <v>9.6849623251786521E-4</v>
      </c>
      <c r="AX34" s="11">
        <f>+'Track mile pop elasticities'!Q62</f>
        <v>1.4835143446220904E-3</v>
      </c>
      <c r="AY34" s="11">
        <f>+'Track mile pop elasticities'!R62</f>
        <v>1.4066254805616613E-3</v>
      </c>
      <c r="AZ34" s="11">
        <f>+'Track mile pop elasticities'!S62</f>
        <v>2.7298388957726258E-3</v>
      </c>
      <c r="BA34" s="32">
        <f t="shared" si="27"/>
        <v>0</v>
      </c>
      <c r="BB34" s="33">
        <f t="shared" si="28"/>
        <v>0</v>
      </c>
      <c r="BC34" s="40">
        <f t="shared" si="29"/>
        <v>0</v>
      </c>
      <c r="BD34" s="33">
        <f t="shared" si="30"/>
        <v>0</v>
      </c>
      <c r="BE34" s="40">
        <f t="shared" si="31"/>
        <v>0</v>
      </c>
      <c r="BF34" s="41">
        <f t="shared" si="32"/>
        <v>0</v>
      </c>
      <c r="BG34" s="40">
        <f t="shared" si="33"/>
        <v>0</v>
      </c>
      <c r="BH34" s="41">
        <f t="shared" si="34"/>
        <v>0</v>
      </c>
      <c r="BJ34" s="70">
        <f t="shared" si="35"/>
        <v>0</v>
      </c>
      <c r="BK34" s="70">
        <f t="shared" si="36"/>
        <v>0</v>
      </c>
      <c r="BL34" s="70">
        <f t="shared" si="37"/>
        <v>0</v>
      </c>
      <c r="BM34" s="70">
        <f t="shared" si="38"/>
        <v>0</v>
      </c>
      <c r="BN34" s="70">
        <f t="shared" si="39"/>
        <v>0</v>
      </c>
      <c r="BO34" s="71">
        <f t="shared" si="40"/>
        <v>0</v>
      </c>
      <c r="BP34" s="69">
        <f t="shared" si="41"/>
        <v>0</v>
      </c>
      <c r="BQ34" s="69">
        <f t="shared" si="42"/>
        <v>0</v>
      </c>
      <c r="BR34" s="69">
        <f t="shared" si="43"/>
        <v>0</v>
      </c>
      <c r="BS34" s="69">
        <f t="shared" si="44"/>
        <v>0</v>
      </c>
      <c r="BT34" s="69">
        <f t="shared" si="45"/>
        <v>0</v>
      </c>
      <c r="BU34" s="69">
        <f t="shared" si="46"/>
        <v>0</v>
      </c>
    </row>
    <row r="35" spans="1:73">
      <c r="A35" s="3" t="s">
        <v>335</v>
      </c>
      <c r="B35">
        <v>364571</v>
      </c>
      <c r="C35">
        <v>273317</v>
      </c>
      <c r="D35" s="34">
        <v>54212.63</v>
      </c>
      <c r="E35" s="85">
        <f t="shared" si="1"/>
        <v>14817233393.709999</v>
      </c>
      <c r="F35" s="52">
        <v>20072</v>
      </c>
      <c r="G35" s="86">
        <f t="shared" si="2"/>
        <v>5.505649105386879E-2</v>
      </c>
      <c r="H35">
        <v>6.9</v>
      </c>
      <c r="I35" s="29">
        <f t="shared" si="3"/>
        <v>0</v>
      </c>
      <c r="J35" s="16">
        <f>+'Track mile elasticities'!F62</f>
        <v>2.4528231953922444E-4</v>
      </c>
      <c r="K35" s="16">
        <f>+'Track mile elasticities'!G62</f>
        <v>1.6721013132075043E-3</v>
      </c>
      <c r="L35" s="16">
        <f>+'Track mile elasticities'!H62</f>
        <v>6.7297676119065189E-4</v>
      </c>
      <c r="M35" s="16">
        <f>+'Track mile elasticities'!I62</f>
        <v>1.9801199761667813E-3</v>
      </c>
      <c r="N35" s="32">
        <f t="shared" si="4"/>
        <v>0</v>
      </c>
      <c r="O35" s="35">
        <f t="shared" si="5"/>
        <v>0</v>
      </c>
      <c r="P35" s="36">
        <f t="shared" si="6"/>
        <v>0</v>
      </c>
      <c r="Q35" s="35">
        <f t="shared" si="7"/>
        <v>0</v>
      </c>
      <c r="R35" s="36">
        <f t="shared" si="8"/>
        <v>0</v>
      </c>
      <c r="S35" s="33">
        <f t="shared" si="9"/>
        <v>0</v>
      </c>
      <c r="T35" s="36">
        <f t="shared" si="10"/>
        <v>0</v>
      </c>
      <c r="U35" s="33">
        <f t="shared" si="0"/>
        <v>0</v>
      </c>
      <c r="V35" s="13"/>
      <c r="W35" s="11">
        <f>+'Track mile elasticities'!N62</f>
        <v>5.9701201812475766E-3</v>
      </c>
      <c r="X35" s="11">
        <f>+'Track mile elasticities'!O62</f>
        <v>5.7050749978238162E-2</v>
      </c>
      <c r="Y35" s="11">
        <f>+'Track mile elasticities'!P62</f>
        <v>1.6380113132664832E-2</v>
      </c>
      <c r="Z35" s="11">
        <f>+'Track mile elasticities'!Q62</f>
        <v>6.7560098658439927E-2</v>
      </c>
      <c r="AA35" s="32">
        <f t="shared" si="11"/>
        <v>0</v>
      </c>
      <c r="AB35" s="33">
        <f t="shared" si="12"/>
        <v>0</v>
      </c>
      <c r="AC35" s="40">
        <f t="shared" si="13"/>
        <v>0</v>
      </c>
      <c r="AD35" s="33">
        <f t="shared" si="14"/>
        <v>0</v>
      </c>
      <c r="AE35" s="40">
        <f t="shared" si="15"/>
        <v>0</v>
      </c>
      <c r="AF35" s="41">
        <f t="shared" si="16"/>
        <v>0</v>
      </c>
      <c r="AG35" s="40">
        <f t="shared" si="17"/>
        <v>0</v>
      </c>
      <c r="AH35" s="41">
        <f t="shared" si="18"/>
        <v>0</v>
      </c>
      <c r="AJ35" s="11">
        <f>+'Track mile pop elasticities'!H63</f>
        <v>0.17362313171239324</v>
      </c>
      <c r="AK35" s="11">
        <f>+'Track mile pop elasticities'!I63</f>
        <v>0.31239931513784475</v>
      </c>
      <c r="AL35" s="11">
        <f>+'Track mile pop elasticities'!J63</f>
        <v>0.25216692939180918</v>
      </c>
      <c r="AM35" s="11">
        <f>+'Track mile pop elasticities'!K63</f>
        <v>0.57485106535539454</v>
      </c>
      <c r="AN35" s="32">
        <f t="shared" si="19"/>
        <v>0</v>
      </c>
      <c r="AO35" s="33">
        <f t="shared" si="20"/>
        <v>0</v>
      </c>
      <c r="AP35" s="40">
        <f t="shared" si="21"/>
        <v>0</v>
      </c>
      <c r="AQ35" s="33">
        <f t="shared" si="22"/>
        <v>0</v>
      </c>
      <c r="AR35" s="40">
        <f t="shared" si="23"/>
        <v>0</v>
      </c>
      <c r="AS35" s="41">
        <f t="shared" si="24"/>
        <v>0</v>
      </c>
      <c r="AT35" s="40">
        <f t="shared" si="25"/>
        <v>0</v>
      </c>
      <c r="AU35" s="41">
        <f t="shared" si="26"/>
        <v>0</v>
      </c>
      <c r="AW35" s="11">
        <f>+'Track mile pop elasticities'!P63</f>
        <v>0.15520427947048718</v>
      </c>
      <c r="AX35" s="11">
        <f>+'Track mile pop elasticities'!Q63</f>
        <v>0.2377373986707339</v>
      </c>
      <c r="AY35" s="11">
        <f>+'Track mile pop elasticities'!R63</f>
        <v>0.22541573923094563</v>
      </c>
      <c r="AZ35" s="11">
        <f>+'Track mile pop elasticities'!S63</f>
        <v>0.43746445743771672</v>
      </c>
      <c r="BA35" s="32">
        <f t="shared" si="27"/>
        <v>0</v>
      </c>
      <c r="BB35" s="33">
        <f t="shared" si="28"/>
        <v>0</v>
      </c>
      <c r="BC35" s="40">
        <f t="shared" si="29"/>
        <v>0</v>
      </c>
      <c r="BD35" s="33">
        <f t="shared" si="30"/>
        <v>0</v>
      </c>
      <c r="BE35" s="40">
        <f t="shared" si="31"/>
        <v>0</v>
      </c>
      <c r="BF35" s="41">
        <f t="shared" si="32"/>
        <v>0</v>
      </c>
      <c r="BG35" s="40">
        <f t="shared" si="33"/>
        <v>0</v>
      </c>
      <c r="BH35" s="41">
        <f t="shared" si="34"/>
        <v>0</v>
      </c>
      <c r="BJ35" s="70">
        <f t="shared" si="35"/>
        <v>0</v>
      </c>
      <c r="BK35" s="70">
        <f t="shared" si="36"/>
        <v>0</v>
      </c>
      <c r="BL35" s="70">
        <f t="shared" si="37"/>
        <v>0</v>
      </c>
      <c r="BM35" s="70">
        <f t="shared" si="38"/>
        <v>0</v>
      </c>
      <c r="BN35" s="70">
        <f t="shared" si="39"/>
        <v>0</v>
      </c>
      <c r="BO35" s="71">
        <f t="shared" si="40"/>
        <v>0</v>
      </c>
      <c r="BP35" s="69">
        <f t="shared" si="41"/>
        <v>0</v>
      </c>
      <c r="BQ35" s="69">
        <f t="shared" si="42"/>
        <v>0</v>
      </c>
      <c r="BR35" s="69">
        <f t="shared" si="43"/>
        <v>0</v>
      </c>
      <c r="BS35" s="69">
        <f t="shared" si="44"/>
        <v>0</v>
      </c>
      <c r="BT35" s="69">
        <f t="shared" si="45"/>
        <v>0</v>
      </c>
      <c r="BU35" s="69">
        <f t="shared" si="46"/>
        <v>0</v>
      </c>
    </row>
    <row r="36" spans="1:73">
      <c r="A36" s="3" t="s">
        <v>337</v>
      </c>
      <c r="B36">
        <v>5377936</v>
      </c>
      <c r="C36">
        <v>3904006</v>
      </c>
      <c r="D36" s="34">
        <v>55048.91</v>
      </c>
      <c r="E36" s="85">
        <f t="shared" si="1"/>
        <v>214911274933.46002</v>
      </c>
      <c r="F36" s="52">
        <v>312626</v>
      </c>
      <c r="G36" s="86">
        <f t="shared" si="2"/>
        <v>5.8131223577223681E-2</v>
      </c>
      <c r="H36">
        <v>327</v>
      </c>
      <c r="I36" s="29">
        <f t="shared" si="3"/>
        <v>0</v>
      </c>
      <c r="J36" s="16">
        <f>+'Track mile elasticities'!F63</f>
        <v>6.2468096952408769E-3</v>
      </c>
      <c r="K36" s="16">
        <f>+'Track mile elasticities'!G63</f>
        <v>4.2584800707982845E-2</v>
      </c>
      <c r="L36" s="16">
        <f>+'Track mile elasticities'!H63</f>
        <v>1.71392612577006E-2</v>
      </c>
      <c r="M36" s="16">
        <f>+'Track mile elasticities'!I63</f>
        <v>5.042936925945337E-2</v>
      </c>
      <c r="N36" s="32">
        <f t="shared" si="4"/>
        <v>0</v>
      </c>
      <c r="O36" s="35">
        <f t="shared" si="5"/>
        <v>0</v>
      </c>
      <c r="P36" s="36">
        <f t="shared" si="6"/>
        <v>0</v>
      </c>
      <c r="Q36" s="35">
        <f t="shared" si="7"/>
        <v>0</v>
      </c>
      <c r="R36" s="36">
        <f t="shared" si="8"/>
        <v>0</v>
      </c>
      <c r="S36" s="33">
        <f t="shared" si="9"/>
        <v>0</v>
      </c>
      <c r="T36" s="36">
        <f t="shared" si="10"/>
        <v>0</v>
      </c>
      <c r="U36" s="33">
        <f t="shared" si="0"/>
        <v>0</v>
      </c>
      <c r="V36" s="13"/>
      <c r="W36" s="11">
        <f>+'Track mile elasticities'!N63</f>
        <v>7.6983451211034455E-3</v>
      </c>
      <c r="X36" s="11">
        <f>+'Track mile elasticities'!O63</f>
        <v>7.356574899945871E-2</v>
      </c>
      <c r="Y36" s="11">
        <f>+'Track mile elasticities'!P63</f>
        <v>2.1121813328659273E-2</v>
      </c>
      <c r="Z36" s="11">
        <f>+'Track mile elasticities'!Q63</f>
        <v>8.7117334341464264E-2</v>
      </c>
      <c r="AA36" s="32">
        <f t="shared" si="11"/>
        <v>0</v>
      </c>
      <c r="AB36" s="33">
        <f t="shared" si="12"/>
        <v>0</v>
      </c>
      <c r="AC36" s="40">
        <f t="shared" si="13"/>
        <v>0</v>
      </c>
      <c r="AD36" s="33">
        <f t="shared" si="14"/>
        <v>0</v>
      </c>
      <c r="AE36" s="40">
        <f t="shared" si="15"/>
        <v>0</v>
      </c>
      <c r="AF36" s="41">
        <f t="shared" si="16"/>
        <v>0</v>
      </c>
      <c r="AG36" s="40">
        <f t="shared" si="17"/>
        <v>0</v>
      </c>
      <c r="AH36" s="41">
        <f t="shared" si="18"/>
        <v>0</v>
      </c>
      <c r="AJ36" s="11">
        <f>+'Track mile pop elasticities'!H64</f>
        <v>3.7812833920537949E-2</v>
      </c>
      <c r="AK36" s="11">
        <f>+'Track mile pop elasticities'!I64</f>
        <v>6.8036460946718003E-2</v>
      </c>
      <c r="AL36" s="11">
        <f>+'Track mile pop elasticities'!J64</f>
        <v>5.4918639741733687E-2</v>
      </c>
      <c r="AM36" s="11">
        <f>+'Track mile pop elasticities'!K64</f>
        <v>0.12519499935835027</v>
      </c>
      <c r="AN36" s="32">
        <f t="shared" si="19"/>
        <v>0</v>
      </c>
      <c r="AO36" s="33">
        <f t="shared" si="20"/>
        <v>0</v>
      </c>
      <c r="AP36" s="40">
        <f t="shared" si="21"/>
        <v>0</v>
      </c>
      <c r="AQ36" s="33">
        <f t="shared" si="22"/>
        <v>0</v>
      </c>
      <c r="AR36" s="40">
        <f t="shared" si="23"/>
        <v>0</v>
      </c>
      <c r="AS36" s="41">
        <f t="shared" si="24"/>
        <v>0</v>
      </c>
      <c r="AT36" s="40">
        <f t="shared" si="25"/>
        <v>0</v>
      </c>
      <c r="AU36" s="41">
        <f t="shared" si="26"/>
        <v>0</v>
      </c>
      <c r="AW36" s="11">
        <f>+'Track mile pop elasticities'!P64</f>
        <v>4.3136950498783168E-2</v>
      </c>
      <c r="AX36" s="11">
        <f>+'Track mile pop elasticities'!Q64</f>
        <v>6.6075925439407851E-2</v>
      </c>
      <c r="AY36" s="11">
        <f>+'Track mile pop elasticities'!R64</f>
        <v>6.2651285248232699E-2</v>
      </c>
      <c r="AZ36" s="11">
        <f>+'Track mile pop elasticities'!S64</f>
        <v>0.12158738605565457</v>
      </c>
      <c r="BA36" s="32">
        <f t="shared" si="27"/>
        <v>0</v>
      </c>
      <c r="BB36" s="33">
        <f t="shared" si="28"/>
        <v>0</v>
      </c>
      <c r="BC36" s="40">
        <f t="shared" si="29"/>
        <v>0</v>
      </c>
      <c r="BD36" s="33">
        <f t="shared" si="30"/>
        <v>0</v>
      </c>
      <c r="BE36" s="40">
        <f t="shared" si="31"/>
        <v>0</v>
      </c>
      <c r="BF36" s="41">
        <f t="shared" si="32"/>
        <v>0</v>
      </c>
      <c r="BG36" s="40">
        <f t="shared" si="33"/>
        <v>0</v>
      </c>
      <c r="BH36" s="41">
        <f t="shared" si="34"/>
        <v>0</v>
      </c>
      <c r="BJ36" s="70">
        <f t="shared" si="35"/>
        <v>0</v>
      </c>
      <c r="BK36" s="70">
        <f t="shared" si="36"/>
        <v>0</v>
      </c>
      <c r="BL36" s="70">
        <f t="shared" si="37"/>
        <v>0</v>
      </c>
      <c r="BM36" s="70">
        <f t="shared" si="38"/>
        <v>0</v>
      </c>
      <c r="BN36" s="70">
        <f t="shared" si="39"/>
        <v>0</v>
      </c>
      <c r="BO36" s="71">
        <f t="shared" si="40"/>
        <v>0</v>
      </c>
      <c r="BP36" s="69">
        <f t="shared" si="41"/>
        <v>0</v>
      </c>
      <c r="BQ36" s="69">
        <f t="shared" si="42"/>
        <v>0</v>
      </c>
      <c r="BR36" s="69">
        <f t="shared" si="43"/>
        <v>0</v>
      </c>
      <c r="BS36" s="69">
        <f t="shared" si="44"/>
        <v>0</v>
      </c>
      <c r="BT36" s="69">
        <f t="shared" si="45"/>
        <v>0</v>
      </c>
      <c r="BU36" s="69">
        <f t="shared" si="46"/>
        <v>0</v>
      </c>
    </row>
  </sheetData>
  <mergeCells count="5">
    <mergeCell ref="W2:Z2"/>
    <mergeCell ref="AJ2:AM2"/>
    <mergeCell ref="AW2:AZ2"/>
    <mergeCell ref="BJ2:BO2"/>
    <mergeCell ref="BP2:BU2"/>
  </mergeCell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dimension ref="A1:AA65"/>
  <sheetViews>
    <sheetView topLeftCell="B7" workbookViewId="0"/>
  </sheetViews>
  <sheetFormatPr defaultRowHeight="15"/>
  <cols>
    <col min="1" max="1" width="40.7109375" customWidth="1"/>
    <col min="2" max="2" width="13.7109375" customWidth="1"/>
    <col min="3" max="3" width="12.85546875" customWidth="1"/>
    <col min="4" max="5" width="14.7109375" customWidth="1"/>
    <col min="6" max="6" width="16.7109375" customWidth="1"/>
    <col min="7" max="7" width="17.42578125" customWidth="1"/>
    <col min="8" max="14" width="14.7109375" customWidth="1"/>
    <col min="15" max="15" width="17.42578125" customWidth="1"/>
    <col min="16" max="16" width="13.7109375" customWidth="1"/>
    <col min="17" max="17" width="12.42578125" customWidth="1"/>
    <col min="18" max="18" width="13.42578125" customWidth="1"/>
    <col min="19" max="19" width="15" customWidth="1"/>
    <col min="20" max="20" width="12.5703125" customWidth="1"/>
    <col min="21" max="21" width="14.85546875" customWidth="1"/>
    <col min="22" max="22" width="15.85546875" customWidth="1"/>
    <col min="23" max="23" width="19.28515625" customWidth="1"/>
    <col min="24" max="24" width="19" customWidth="1"/>
    <col min="25" max="25" width="16.42578125" customWidth="1"/>
    <col min="26" max="26" width="18.42578125" customWidth="1"/>
    <col min="27" max="27" width="16.7109375" customWidth="1"/>
  </cols>
  <sheetData>
    <row r="1" spans="1:25">
      <c r="A1" s="27" t="s">
        <v>562</v>
      </c>
      <c r="B1" s="28"/>
      <c r="C1" s="28"/>
      <c r="D1" s="3"/>
      <c r="E1" s="3"/>
      <c r="F1" s="3"/>
      <c r="G1" s="3"/>
      <c r="H1" s="3"/>
      <c r="I1" s="3"/>
      <c r="J1" s="3"/>
      <c r="K1" s="3"/>
      <c r="L1" s="3"/>
      <c r="M1" s="3"/>
      <c r="N1" s="3"/>
      <c r="O1" s="3"/>
      <c r="P1" s="3"/>
      <c r="Q1" s="3"/>
      <c r="R1" s="3"/>
      <c r="S1" s="3"/>
      <c r="T1" s="3"/>
      <c r="U1" s="3"/>
      <c r="V1" s="3"/>
      <c r="W1" s="3"/>
      <c r="X1" s="3"/>
      <c r="Y1" s="3"/>
    </row>
    <row r="2" spans="1:25">
      <c r="A2" s="15"/>
      <c r="B2" s="3"/>
      <c r="C2" s="4"/>
      <c r="D2" s="3"/>
      <c r="E2" s="3"/>
      <c r="F2" s="3"/>
      <c r="G2" s="3"/>
      <c r="H2" s="3"/>
      <c r="I2" s="3"/>
      <c r="J2" s="3"/>
      <c r="K2" s="3"/>
      <c r="L2" s="3"/>
      <c r="M2" s="3"/>
      <c r="N2" s="3"/>
      <c r="O2" s="3"/>
      <c r="P2" s="3"/>
      <c r="Q2" s="3"/>
      <c r="R2" s="3"/>
      <c r="S2" s="3"/>
      <c r="T2" s="3"/>
      <c r="U2" s="3"/>
      <c r="V2" s="3"/>
      <c r="W2" s="3"/>
      <c r="X2" s="3"/>
      <c r="Y2" s="3"/>
    </row>
    <row r="3" spans="1:25">
      <c r="A3" s="15" t="s">
        <v>542</v>
      </c>
      <c r="B3" s="3"/>
      <c r="C3" s="4"/>
      <c r="D3" s="3"/>
      <c r="E3" s="3"/>
      <c r="F3" s="3"/>
      <c r="G3" s="3"/>
      <c r="H3" s="3"/>
      <c r="I3" s="3"/>
      <c r="J3" s="3"/>
      <c r="K3" s="3"/>
      <c r="L3" s="3"/>
      <c r="M3" s="3"/>
      <c r="N3" s="3"/>
      <c r="O3" s="3"/>
      <c r="P3" s="3"/>
      <c r="Q3" s="3"/>
      <c r="R3" s="3"/>
      <c r="S3" s="3"/>
      <c r="T3" s="3"/>
      <c r="U3" s="3"/>
      <c r="V3" s="3"/>
      <c r="W3" s="3"/>
      <c r="X3" s="3"/>
      <c r="Y3" s="3"/>
    </row>
    <row r="4" spans="1:25">
      <c r="A4" s="6" t="s">
        <v>268</v>
      </c>
      <c r="B4" s="3">
        <v>1698.6</v>
      </c>
      <c r="D4" s="3"/>
      <c r="E4" s="3"/>
      <c r="F4" s="3"/>
      <c r="G4" s="3"/>
      <c r="H4" s="3"/>
      <c r="I4" s="3"/>
      <c r="J4" s="3"/>
      <c r="K4" s="3"/>
      <c r="L4" s="3"/>
      <c r="M4" s="3"/>
      <c r="N4" s="3"/>
      <c r="O4" s="3"/>
      <c r="P4" s="3"/>
      <c r="Q4" s="3"/>
      <c r="R4" s="3"/>
      <c r="S4" s="3"/>
      <c r="T4" s="3"/>
      <c r="U4" s="3"/>
      <c r="V4" s="3"/>
      <c r="W4" s="3"/>
      <c r="X4" s="3"/>
      <c r="Y4" s="3"/>
    </row>
    <row r="5" spans="1:25">
      <c r="A5" s="3" t="s">
        <v>269</v>
      </c>
      <c r="B5" s="3">
        <v>13.23</v>
      </c>
      <c r="D5" s="3"/>
      <c r="E5" s="3"/>
      <c r="F5" s="3"/>
      <c r="G5" s="3"/>
      <c r="H5" s="3"/>
      <c r="I5" s="3"/>
      <c r="J5" s="3"/>
      <c r="K5" s="3"/>
      <c r="L5" s="3"/>
      <c r="M5" s="3"/>
      <c r="N5" s="3"/>
      <c r="O5" s="3"/>
      <c r="P5" s="3"/>
      <c r="Q5" s="3"/>
      <c r="R5" s="3"/>
      <c r="S5" s="3"/>
      <c r="T5" s="3"/>
      <c r="U5" s="3"/>
      <c r="V5" s="3"/>
      <c r="W5" s="3"/>
      <c r="X5" s="3"/>
      <c r="Y5" s="3"/>
    </row>
    <row r="6" spans="1:25">
      <c r="A6" s="3" t="s">
        <v>270</v>
      </c>
      <c r="B6" s="3">
        <v>2.99E-3</v>
      </c>
      <c r="D6" s="3"/>
      <c r="E6" s="3"/>
      <c r="F6" s="3"/>
      <c r="G6" s="3"/>
      <c r="H6" s="3"/>
      <c r="I6" s="3"/>
      <c r="J6" s="3"/>
      <c r="K6" s="3"/>
      <c r="L6" s="3"/>
      <c r="M6" s="3"/>
      <c r="N6" s="3"/>
      <c r="O6" s="3"/>
      <c r="P6" s="3"/>
      <c r="Q6" s="3"/>
      <c r="R6" s="3"/>
      <c r="S6" s="3"/>
      <c r="T6" s="3"/>
      <c r="U6" s="3"/>
      <c r="V6" s="3"/>
      <c r="W6" s="3"/>
      <c r="X6" s="3"/>
      <c r="Y6" s="3"/>
    </row>
    <row r="7" spans="1:25">
      <c r="A7" s="3" t="s">
        <v>271</v>
      </c>
      <c r="B7" s="3">
        <v>894629.7</v>
      </c>
      <c r="D7" s="3"/>
      <c r="E7" s="3"/>
      <c r="F7" s="3"/>
      <c r="G7" s="3"/>
      <c r="H7" s="3"/>
      <c r="I7" s="3"/>
      <c r="J7" s="3"/>
      <c r="K7" s="3"/>
      <c r="L7" s="3"/>
      <c r="M7" s="3"/>
      <c r="N7" s="3"/>
      <c r="O7" s="3"/>
      <c r="P7" s="3"/>
      <c r="Q7" s="3"/>
      <c r="R7" s="3"/>
      <c r="S7" s="3"/>
      <c r="T7" s="3"/>
      <c r="U7" s="3"/>
      <c r="V7" s="3"/>
      <c r="W7" s="3"/>
      <c r="X7" s="3"/>
      <c r="Y7" s="3"/>
    </row>
    <row r="8" spans="1:25">
      <c r="A8" s="3" t="s">
        <v>272</v>
      </c>
      <c r="B8" s="3">
        <v>8081743</v>
      </c>
      <c r="D8" s="3"/>
      <c r="E8" s="3"/>
      <c r="F8" s="3"/>
      <c r="G8" s="3"/>
      <c r="H8" s="3"/>
      <c r="I8" s="3"/>
      <c r="J8" s="3"/>
      <c r="K8" s="3"/>
      <c r="L8" s="3"/>
      <c r="M8" s="3"/>
      <c r="N8" s="3"/>
      <c r="O8" s="3"/>
      <c r="P8" s="3"/>
      <c r="Q8" s="3"/>
      <c r="R8" s="3"/>
      <c r="S8" s="3"/>
      <c r="T8" s="3"/>
      <c r="U8" s="3"/>
      <c r="V8" s="3"/>
      <c r="W8" s="3"/>
      <c r="X8" s="3"/>
      <c r="Y8" s="3"/>
    </row>
    <row r="9" spans="1:25">
      <c r="A9" s="3"/>
      <c r="B9" s="3"/>
      <c r="D9" s="3"/>
      <c r="E9" s="3"/>
      <c r="F9" s="3"/>
      <c r="G9" s="3"/>
      <c r="H9" s="3"/>
      <c r="I9" s="3"/>
      <c r="J9" s="3"/>
      <c r="K9" s="3"/>
      <c r="L9" s="3"/>
      <c r="M9" s="3"/>
      <c r="N9" s="3"/>
      <c r="O9" s="3"/>
      <c r="P9" s="3"/>
      <c r="Q9" s="3"/>
      <c r="R9" s="3"/>
      <c r="S9" s="3"/>
      <c r="T9" s="3"/>
      <c r="U9" s="3"/>
      <c r="V9" s="3"/>
      <c r="W9" s="3"/>
      <c r="X9" s="3"/>
      <c r="Y9" s="3"/>
    </row>
    <row r="10" spans="1:25">
      <c r="O10" s="3"/>
      <c r="P10" s="3"/>
      <c r="Q10" s="3"/>
      <c r="R10" s="3"/>
      <c r="S10" s="3"/>
      <c r="T10" s="3"/>
      <c r="U10" s="3"/>
      <c r="V10" s="3"/>
      <c r="W10" s="3"/>
      <c r="X10" s="3"/>
      <c r="Y10" s="3"/>
    </row>
    <row r="11" spans="1:25">
      <c r="O11" s="3"/>
      <c r="P11" s="3"/>
      <c r="Q11" s="3"/>
      <c r="R11" s="3"/>
      <c r="S11" s="3"/>
      <c r="T11" s="3"/>
      <c r="U11" s="3"/>
      <c r="V11" s="3"/>
      <c r="W11" s="3"/>
      <c r="X11" s="3"/>
      <c r="Y11" s="3"/>
    </row>
    <row r="12" spans="1:25">
      <c r="A12" s="3"/>
      <c r="B12" t="s">
        <v>544</v>
      </c>
      <c r="C12" t="s">
        <v>544</v>
      </c>
      <c r="D12" t="s">
        <v>544</v>
      </c>
      <c r="E12" t="s">
        <v>544</v>
      </c>
      <c r="F12" s="3"/>
      <c r="G12" s="3"/>
      <c r="H12" s="3"/>
      <c r="I12" s="3"/>
      <c r="J12" s="3"/>
      <c r="K12" s="3"/>
      <c r="L12" s="3"/>
      <c r="M12" s="3"/>
      <c r="N12" s="3"/>
      <c r="O12" s="3"/>
      <c r="P12" s="7"/>
      <c r="Q12" s="7"/>
      <c r="R12" s="7"/>
      <c r="S12" s="7"/>
      <c r="T12" s="7"/>
      <c r="U12" s="7"/>
      <c r="V12" s="3"/>
      <c r="W12" s="3"/>
      <c r="X12" s="3"/>
      <c r="Y12" s="3"/>
    </row>
    <row r="13" spans="1:25">
      <c r="A13" s="5" t="s">
        <v>547</v>
      </c>
      <c r="B13" t="s">
        <v>1</v>
      </c>
      <c r="C13" t="s">
        <v>2</v>
      </c>
      <c r="D13" t="s">
        <v>545</v>
      </c>
      <c r="E13" t="s">
        <v>546</v>
      </c>
      <c r="F13" s="3"/>
      <c r="G13" s="3"/>
      <c r="H13" s="3"/>
      <c r="I13" s="3"/>
      <c r="J13" s="3"/>
      <c r="K13" s="3"/>
      <c r="L13" s="3"/>
      <c r="M13" s="3"/>
      <c r="N13" s="3"/>
      <c r="O13" s="3"/>
      <c r="P13" s="8"/>
      <c r="Q13" s="9"/>
      <c r="S13" s="9"/>
      <c r="U13" s="7"/>
      <c r="V13" s="3"/>
      <c r="W13" s="3"/>
      <c r="X13" s="3"/>
      <c r="Y13" s="3"/>
    </row>
    <row r="14" spans="1:25">
      <c r="J14" s="3"/>
      <c r="K14" s="3"/>
      <c r="L14" s="3"/>
      <c r="M14" s="3"/>
      <c r="N14" s="3"/>
      <c r="O14" s="3"/>
      <c r="P14" s="8"/>
      <c r="Q14" s="9"/>
      <c r="S14" s="9"/>
      <c r="U14" s="7"/>
      <c r="V14" s="3"/>
      <c r="W14" s="3"/>
      <c r="X14" s="3"/>
      <c r="Y14" s="3"/>
    </row>
    <row r="15" spans="1:25">
      <c r="H15" s="3"/>
      <c r="I15" s="3"/>
      <c r="J15" s="3"/>
      <c r="K15" s="3"/>
      <c r="L15" s="3"/>
      <c r="M15" s="3"/>
      <c r="N15" s="3"/>
      <c r="O15" s="3"/>
      <c r="P15" s="7"/>
      <c r="Q15" s="7"/>
      <c r="R15" s="7"/>
      <c r="S15" s="7"/>
      <c r="T15" s="7"/>
      <c r="U15" s="7"/>
      <c r="V15" s="3"/>
      <c r="W15" s="3"/>
      <c r="X15" s="3"/>
      <c r="Y15" s="3"/>
    </row>
    <row r="16" spans="1:25">
      <c r="F16" s="3"/>
      <c r="G16" s="3" t="s">
        <v>1254</v>
      </c>
      <c r="H16" s="3"/>
      <c r="J16" s="3"/>
      <c r="K16" s="3"/>
      <c r="L16" s="3"/>
      <c r="M16" s="3"/>
      <c r="N16" s="3"/>
      <c r="O16" s="3"/>
      <c r="P16" s="7"/>
      <c r="Q16" s="7"/>
      <c r="R16" s="7"/>
      <c r="S16" s="7"/>
      <c r="T16" s="7"/>
      <c r="U16" s="7"/>
      <c r="V16" s="3"/>
      <c r="W16" s="3"/>
      <c r="X16" s="3"/>
      <c r="Y16" s="3"/>
    </row>
    <row r="17" spans="1:27">
      <c r="A17" s="3" t="s">
        <v>548</v>
      </c>
      <c r="B17" s="21">
        <f>+$B$5/$B$4*'Data entry and outputs'!C35</f>
        <v>1.4066513599434829E-2</v>
      </c>
      <c r="C17" s="21">
        <f>+$B$5/$B$4*'Data entry and outputs'!C36</f>
        <v>4.6600194277640408E-2</v>
      </c>
      <c r="D17" s="21" t="e">
        <f>+$B$5/$B$4*'Data entry and outputs'!#REF!</f>
        <v>#REF!</v>
      </c>
      <c r="E17" s="21" t="e">
        <f>+$B$5/$B$4*'Data entry and outputs'!#REF!</f>
        <v>#REF!</v>
      </c>
      <c r="F17" s="16"/>
      <c r="G17" s="3" t="s">
        <v>1</v>
      </c>
      <c r="H17" s="3" t="s">
        <v>2</v>
      </c>
      <c r="I17" s="3"/>
      <c r="J17" s="3"/>
      <c r="K17" s="3"/>
      <c r="L17" s="3"/>
      <c r="M17" s="3"/>
      <c r="N17" s="3"/>
      <c r="O17" s="3"/>
      <c r="P17" s="7"/>
      <c r="Q17" s="7"/>
      <c r="R17" s="7"/>
      <c r="S17" s="7"/>
      <c r="T17" s="7"/>
      <c r="U17" s="7"/>
      <c r="V17" s="3"/>
      <c r="W17" s="3"/>
      <c r="X17" s="3"/>
      <c r="Y17" s="3"/>
    </row>
    <row r="18" spans="1:27">
      <c r="A18" s="3" t="s">
        <v>549</v>
      </c>
      <c r="B18" s="22">
        <f>+B17*'Data entry and outputs'!D52</f>
        <v>7.7928485340868952E-4</v>
      </c>
      <c r="C18" s="22">
        <f>+C17*'Data entry and outputs'!E52</f>
        <v>5.3124221476510067E-3</v>
      </c>
      <c r="D18" s="22" t="e">
        <f>+D17*'Data entry and outputs'!D52</f>
        <v>#REF!</v>
      </c>
      <c r="E18" s="22" t="e">
        <f>+E17*'Data entry and outputs'!E52</f>
        <v>#REF!</v>
      </c>
      <c r="F18" s="3" t="s">
        <v>1259</v>
      </c>
      <c r="G18" s="34">
        <f>+'all wage calcs'!$D$2*B18*0.01</f>
        <v>0.34212956402621741</v>
      </c>
      <c r="H18" s="34">
        <f>+'all wage calcs'!$D$2*C18*0.01</f>
        <v>2.3323136146544203</v>
      </c>
      <c r="J18" s="3"/>
      <c r="K18" s="3"/>
      <c r="L18" s="3"/>
      <c r="M18" s="3"/>
      <c r="N18" s="3"/>
      <c r="O18" s="3"/>
      <c r="P18" s="7"/>
      <c r="Q18" s="7"/>
      <c r="R18" s="7"/>
      <c r="S18" s="7"/>
      <c r="T18" s="7"/>
      <c r="U18" s="7"/>
      <c r="V18" s="3"/>
      <c r="W18" s="3"/>
      <c r="X18" s="3"/>
      <c r="Y18" s="3"/>
    </row>
    <row r="19" spans="1:27">
      <c r="A19" s="3" t="s">
        <v>550</v>
      </c>
      <c r="B19" s="22">
        <f>+B17*'Data entry and outputs'!D53</f>
        <v>2.1381100671140942E-3</v>
      </c>
      <c r="C19" s="22">
        <f>+C17*'Data entry and outputs'!E53</f>
        <v>6.2910262274814555E-3</v>
      </c>
      <c r="D19" s="22" t="e">
        <f>+D17*'Data entry and outputs'!D53</f>
        <v>#REF!</v>
      </c>
      <c r="E19" s="22" t="e">
        <f>+E17*'Data entry and outputs'!E53</f>
        <v>#REF!</v>
      </c>
      <c r="F19" s="3" t="s">
        <v>1260</v>
      </c>
      <c r="G19" s="34">
        <f>+'all wage calcs'!$G$2*B19*0.01</f>
        <v>0.94181412279449139</v>
      </c>
      <c r="H19" s="34">
        <f>+'all wage calcs'!$G$2*C19*0.01</f>
        <v>2.7711283151619042</v>
      </c>
      <c r="I19" s="3"/>
      <c r="J19" s="3"/>
      <c r="K19" s="3"/>
      <c r="L19" s="3"/>
      <c r="M19" s="3"/>
      <c r="N19" s="3"/>
      <c r="O19" s="3"/>
      <c r="Q19" s="3"/>
      <c r="R19" s="3"/>
      <c r="S19" s="3"/>
      <c r="T19" s="3"/>
      <c r="U19" s="3"/>
      <c r="V19" s="3"/>
      <c r="W19" s="3"/>
      <c r="Z19" s="3" t="s">
        <v>273</v>
      </c>
    </row>
    <row r="20" spans="1:27">
      <c r="A20" s="3"/>
      <c r="B20" s="3"/>
      <c r="C20" s="3"/>
      <c r="D20" s="3"/>
      <c r="E20" s="3"/>
      <c r="F20" s="3"/>
      <c r="G20" s="3"/>
      <c r="H20" s="3"/>
      <c r="I20" s="3"/>
      <c r="J20" s="3"/>
      <c r="K20" s="3"/>
      <c r="L20" s="3"/>
      <c r="M20" s="3"/>
      <c r="N20" s="3"/>
      <c r="O20" s="3"/>
      <c r="Q20" s="3"/>
      <c r="R20" s="3"/>
      <c r="S20" s="3"/>
      <c r="T20" s="3"/>
      <c r="U20" s="3"/>
      <c r="V20" s="3"/>
      <c r="W20" s="3"/>
      <c r="Z20" s="3"/>
    </row>
    <row r="21" spans="1:27">
      <c r="F21" s="3"/>
      <c r="G21" s="3"/>
      <c r="H21" s="3"/>
      <c r="I21" s="3"/>
      <c r="J21" s="3"/>
      <c r="K21" s="3"/>
      <c r="L21" s="3"/>
      <c r="M21" s="3"/>
      <c r="N21" s="3"/>
      <c r="O21" s="3"/>
      <c r="Q21" s="3"/>
      <c r="R21" s="3"/>
      <c r="S21" s="3"/>
      <c r="T21" s="3"/>
      <c r="U21" s="3"/>
      <c r="V21" s="3"/>
      <c r="W21" s="3"/>
      <c r="Z21" s="3"/>
    </row>
    <row r="22" spans="1:27">
      <c r="F22" s="3"/>
      <c r="G22" s="3"/>
      <c r="H22" s="3"/>
      <c r="I22" s="3"/>
      <c r="J22" s="3"/>
      <c r="K22" s="3"/>
      <c r="L22" s="3"/>
      <c r="M22" s="3"/>
      <c r="N22" s="3"/>
      <c r="O22" s="3"/>
      <c r="Q22" s="3"/>
      <c r="R22" s="3"/>
      <c r="S22" s="3"/>
      <c r="T22" s="3"/>
      <c r="U22" s="3"/>
      <c r="V22" s="3"/>
      <c r="W22" s="3"/>
      <c r="Z22" s="3"/>
    </row>
    <row r="23" spans="1:27">
      <c r="D23" s="3"/>
      <c r="E23" s="3"/>
      <c r="F23" s="3"/>
      <c r="G23" s="3"/>
      <c r="H23" s="3"/>
      <c r="I23" s="3"/>
      <c r="J23" s="3"/>
      <c r="K23" s="3"/>
      <c r="L23" s="3"/>
      <c r="M23" s="3"/>
      <c r="N23" s="3"/>
      <c r="O23" s="3"/>
      <c r="Q23" s="3"/>
      <c r="R23" s="3"/>
      <c r="S23" s="3"/>
      <c r="T23" s="3"/>
      <c r="U23" s="3"/>
      <c r="V23" s="3"/>
      <c r="W23" s="3"/>
      <c r="Z23" s="3"/>
    </row>
    <row r="24" spans="1:27" ht="17.25" customHeight="1">
      <c r="A24" s="3" t="s">
        <v>557</v>
      </c>
      <c r="B24" s="21">
        <f>+$B$6/$B$4*'Data entry and outputs'!C41</f>
        <v>1.7481800894854585E-2</v>
      </c>
      <c r="C24" s="21">
        <f>+$B$6/$B$4*'Data entry and outputs'!C42</f>
        <v>8.1183798422230072E-2</v>
      </c>
      <c r="D24" s="3"/>
      <c r="E24" s="3"/>
      <c r="F24" s="3"/>
      <c r="G24" s="3"/>
      <c r="H24" s="3"/>
      <c r="I24" s="3"/>
      <c r="J24" s="3"/>
      <c r="K24" s="3"/>
      <c r="L24" s="3"/>
      <c r="M24" s="3"/>
      <c r="N24" s="3"/>
      <c r="O24" s="3"/>
      <c r="Q24" s="3"/>
      <c r="R24" s="3"/>
      <c r="S24" s="3"/>
      <c r="T24" s="3"/>
      <c r="U24" s="3"/>
      <c r="V24" s="3"/>
      <c r="W24" s="3"/>
      <c r="Z24" s="3"/>
    </row>
    <row r="25" spans="1:27" ht="16.5" customHeight="1">
      <c r="A25" s="3" t="s">
        <v>549</v>
      </c>
      <c r="B25" s="23">
        <f>+B24*'Data entry and outputs'!D52</f>
        <v>9.6849176957494395E-4</v>
      </c>
      <c r="C25" s="23">
        <f>+C24*'Data entry and outputs'!E52</f>
        <v>9.2549530201342291E-3</v>
      </c>
      <c r="D25" s="3"/>
      <c r="F25" s="3" t="s">
        <v>1259</v>
      </c>
      <c r="G25" s="34">
        <f>+'all wage calcs'!$D$2*B25*0.01</f>
        <v>0.42519710916783576</v>
      </c>
      <c r="H25" s="34">
        <f>+'all wage calcs'!$D$2*C25*0.01</f>
        <v>4.0632036257492352</v>
      </c>
      <c r="I25" s="3"/>
      <c r="J25" s="3"/>
      <c r="K25" s="3"/>
      <c r="M25" s="3"/>
      <c r="N25" s="3"/>
      <c r="O25" s="3"/>
      <c r="P25" s="3"/>
      <c r="R25" s="8"/>
      <c r="S25" s="3"/>
      <c r="T25" s="8"/>
      <c r="U25" s="3"/>
      <c r="V25" s="8"/>
      <c r="W25" s="3"/>
      <c r="X25" s="3"/>
      <c r="AA25" s="8"/>
    </row>
    <row r="26" spans="1:27" ht="15.75" customHeight="1">
      <c r="A26" s="3" t="s">
        <v>550</v>
      </c>
      <c r="B26" s="23">
        <f>+B24*'Data entry and outputs'!D53</f>
        <v>2.657233736017897E-3</v>
      </c>
      <c r="C26" s="23">
        <f>+C24*'Data entry and outputs'!E53</f>
        <v>1.0959812787001061E-2</v>
      </c>
      <c r="D26" s="3"/>
      <c r="F26" s="3" t="s">
        <v>1260</v>
      </c>
      <c r="G26" s="34">
        <f>+'all wage calcs'!$G$2*B26*0.01</f>
        <v>1.1704824268123515</v>
      </c>
      <c r="H26" s="34">
        <f>+'all wage calcs'!$G$2*C26*0.01</f>
        <v>4.8276777817680259</v>
      </c>
      <c r="I26" s="3"/>
      <c r="J26" s="3"/>
      <c r="K26" s="3"/>
      <c r="M26" s="3"/>
      <c r="N26" s="3"/>
      <c r="O26" s="3"/>
      <c r="P26" s="3"/>
      <c r="R26" s="11"/>
      <c r="S26" s="3"/>
      <c r="T26" s="11"/>
      <c r="U26" s="11"/>
      <c r="V26" s="11"/>
      <c r="W26" s="3"/>
      <c r="X26" s="3"/>
      <c r="AA26" s="12"/>
    </row>
    <row r="27" spans="1:27" ht="15.75" customHeight="1">
      <c r="B27" s="26" t="s">
        <v>551</v>
      </c>
      <c r="C27" s="23"/>
      <c r="D27" s="3"/>
      <c r="G27" s="3"/>
      <c r="H27" s="3"/>
      <c r="I27" s="3"/>
      <c r="J27" s="3"/>
      <c r="K27" s="3"/>
      <c r="M27" s="3"/>
      <c r="N27" s="3"/>
      <c r="O27" s="3"/>
      <c r="P27" s="3"/>
      <c r="R27" s="11"/>
      <c r="S27" s="3"/>
      <c r="T27" s="11"/>
      <c r="U27" s="11"/>
      <c r="V27" s="11"/>
      <c r="W27" s="3"/>
      <c r="X27" s="3"/>
      <c r="AA27" s="12"/>
    </row>
    <row r="28" spans="1:27" ht="15.75" customHeight="1">
      <c r="B28" s="26" t="s">
        <v>561</v>
      </c>
      <c r="C28" s="23"/>
      <c r="D28" s="3"/>
      <c r="G28" s="3"/>
      <c r="H28" s="3"/>
      <c r="I28" s="3"/>
      <c r="J28" s="3"/>
      <c r="K28" s="3"/>
      <c r="M28" s="3"/>
      <c r="N28" s="3"/>
      <c r="O28" s="3"/>
      <c r="P28" s="3"/>
      <c r="R28" s="11"/>
      <c r="S28" s="3"/>
      <c r="T28" s="11"/>
      <c r="U28" s="11"/>
      <c r="V28" s="11"/>
      <c r="W28" s="3"/>
      <c r="X28" s="3"/>
      <c r="AA28" s="12"/>
    </row>
    <row r="29" spans="1:27" ht="33" customHeight="1">
      <c r="A29" s="3"/>
      <c r="B29" s="3"/>
      <c r="C29" s="3"/>
      <c r="D29" s="3"/>
      <c r="F29" s="258" t="s">
        <v>552</v>
      </c>
      <c r="G29" s="259"/>
      <c r="H29" s="259"/>
      <c r="I29" s="259"/>
      <c r="J29" s="24"/>
      <c r="K29" s="3"/>
      <c r="L29" s="3"/>
      <c r="N29" s="258" t="s">
        <v>552</v>
      </c>
      <c r="O29" s="259"/>
      <c r="P29" s="259"/>
      <c r="Q29" s="259"/>
      <c r="R29" s="13"/>
      <c r="S29" s="13"/>
      <c r="T29" s="13"/>
      <c r="U29" s="13"/>
      <c r="V29" s="13"/>
      <c r="W29" s="13"/>
    </row>
    <row r="30" spans="1:27" ht="30">
      <c r="A30" s="3" t="s">
        <v>274</v>
      </c>
      <c r="B30" s="10" t="s">
        <v>275</v>
      </c>
      <c r="C30" s="10" t="s">
        <v>276</v>
      </c>
      <c r="D30" s="260" t="s">
        <v>558</v>
      </c>
      <c r="E30" s="261"/>
      <c r="F30" s="260" t="s">
        <v>559</v>
      </c>
      <c r="G30" s="261"/>
      <c r="H30" s="262" t="s">
        <v>560</v>
      </c>
      <c r="I30" s="262"/>
      <c r="J30" s="19"/>
      <c r="K30" s="19"/>
      <c r="L30" s="260" t="s">
        <v>553</v>
      </c>
      <c r="M30" s="261"/>
      <c r="N30" s="260" t="s">
        <v>554</v>
      </c>
      <c r="O30" s="261"/>
      <c r="P30" s="262" t="s">
        <v>555</v>
      </c>
      <c r="Q30" s="262"/>
      <c r="R30" s="13"/>
      <c r="S30" s="13"/>
      <c r="T30" s="13"/>
      <c r="U30" s="13"/>
      <c r="V30" s="13"/>
      <c r="W30" s="13"/>
    </row>
    <row r="31" spans="1:27" ht="45">
      <c r="A31" s="3"/>
      <c r="B31" s="10"/>
      <c r="C31" s="10"/>
      <c r="D31" s="17" t="s">
        <v>1</v>
      </c>
      <c r="E31" s="18" t="s">
        <v>2</v>
      </c>
      <c r="F31" s="17" t="s">
        <v>1</v>
      </c>
      <c r="G31" s="18" t="s">
        <v>2</v>
      </c>
      <c r="H31" s="17" t="s">
        <v>1</v>
      </c>
      <c r="I31" s="18" t="s">
        <v>2</v>
      </c>
      <c r="J31" s="18"/>
      <c r="K31" s="10" t="s">
        <v>277</v>
      </c>
      <c r="L31" s="17" t="s">
        <v>1</v>
      </c>
      <c r="M31" s="18" t="s">
        <v>2</v>
      </c>
      <c r="N31" s="17" t="s">
        <v>1</v>
      </c>
      <c r="O31" s="18" t="s">
        <v>2</v>
      </c>
      <c r="P31" s="17" t="s">
        <v>1</v>
      </c>
      <c r="Q31" s="18" t="s">
        <v>2</v>
      </c>
      <c r="R31" s="13"/>
      <c r="S31" s="13"/>
      <c r="T31" s="13"/>
      <c r="U31" s="13"/>
      <c r="V31" s="13"/>
      <c r="W31" s="13"/>
    </row>
    <row r="32" spans="1:27">
      <c r="A32" s="3" t="s">
        <v>278</v>
      </c>
      <c r="B32" s="3">
        <v>2119.08</v>
      </c>
      <c r="C32" s="3">
        <v>42</v>
      </c>
      <c r="D32" s="13">
        <f>+C32/B32*'Data entry and outputs'!$C$35</f>
        <v>3.5794778866300475E-2</v>
      </c>
      <c r="E32" s="13">
        <f>+C32/B32*'Data entry and outputs'!$C$36</f>
        <v>0.11858259244577836</v>
      </c>
      <c r="F32" s="11">
        <f>+D32*'Data entry and outputs'!$D$52</f>
        <v>1.9830307491930464E-3</v>
      </c>
      <c r="G32" s="11">
        <f>+E32*'Data entry and outputs'!$E$52</f>
        <v>1.3518415538818733E-2</v>
      </c>
      <c r="H32" s="11">
        <f>+D32*'Data entry and outputs'!$D$53</f>
        <v>5.4408063876776724E-3</v>
      </c>
      <c r="I32" s="11">
        <f>+E32*'Data entry and outputs'!$E$53</f>
        <v>1.6008649980180079E-2</v>
      </c>
      <c r="J32" s="3"/>
      <c r="K32" s="3">
        <v>4.5221000000000003E-3</v>
      </c>
      <c r="L32" s="11">
        <f>+K32/B32*'Data entry and outputs'!$C$41</f>
        <v>2.1193315839892781E-2</v>
      </c>
      <c r="M32" s="11">
        <f>+K32/B32*'Data entry and outputs'!$C$42</f>
        <v>9.8419716103214608E-2</v>
      </c>
      <c r="N32" s="25">
        <f>+L32*'Data entry and outputs'!$D$52</f>
        <v>1.17410969753006E-3</v>
      </c>
      <c r="O32" s="11">
        <f>+M32*'Data entry and outputs'!$E$52</f>
        <v>1.1219847635766465E-2</v>
      </c>
      <c r="P32" s="11">
        <f>+L32*'Data entry and outputs'!$D$53</f>
        <v>3.2213840076637025E-3</v>
      </c>
      <c r="Q32" s="11">
        <f>+M32*'Data entry and outputs'!$E$53</f>
        <v>1.3286661673933973E-2</v>
      </c>
      <c r="R32" s="13"/>
      <c r="S32" s="13"/>
      <c r="T32" s="13"/>
      <c r="U32" s="13"/>
      <c r="V32" s="13"/>
      <c r="W32" s="13"/>
    </row>
    <row r="33" spans="1:23">
      <c r="A33" s="3" t="s">
        <v>280</v>
      </c>
      <c r="B33" s="3">
        <v>2583.3389999999999</v>
      </c>
      <c r="C33" s="3">
        <v>49.5</v>
      </c>
      <c r="D33" s="13">
        <f>+C33/B33*'Data entry and outputs'!$C$35</f>
        <v>3.4605214414368382E-2</v>
      </c>
      <c r="E33" s="13">
        <f>+C33/B33*'Data entry and outputs'!$C$36</f>
        <v>0.11464174852777742</v>
      </c>
      <c r="F33" s="11">
        <f>+D33*'Data entry and outputs'!$D$52</f>
        <v>1.9171288785560083E-3</v>
      </c>
      <c r="G33" s="11">
        <f>+E33*'Data entry and outputs'!$E$52</f>
        <v>1.3069159332166626E-2</v>
      </c>
      <c r="H33" s="11">
        <f>+D33*'Data entry and outputs'!$D$53</f>
        <v>5.2599925909839942E-3</v>
      </c>
      <c r="I33" s="11">
        <f>+E33*'Data entry and outputs'!$E$53</f>
        <v>1.5476636051249952E-2</v>
      </c>
      <c r="J33" s="11"/>
      <c r="K33" s="3">
        <v>5.9094000000000004E-3</v>
      </c>
      <c r="L33" s="11">
        <f>+K33/B33*'Data entry and outputs'!$C$41</f>
        <v>2.2717895026552845E-2</v>
      </c>
      <c r="M33" s="11">
        <f>+K33/B33*'Data entry and outputs'!$C$42</f>
        <v>0.10549971490385118</v>
      </c>
      <c r="N33" s="25">
        <f>+L33*'Data entry and outputs'!$D$52</f>
        <v>1.2585713844710275E-3</v>
      </c>
      <c r="O33" s="11">
        <f>+M33*'Data entry and outputs'!$E$52</f>
        <v>1.2026967499039035E-2</v>
      </c>
      <c r="P33" s="11">
        <f>+L33*'Data entry and outputs'!$D$53</f>
        <v>3.4531200440360323E-3</v>
      </c>
      <c r="Q33" s="11">
        <f>+M33*'Data entry and outputs'!$E$53</f>
        <v>1.4242461512019911E-2</v>
      </c>
      <c r="R33" s="13"/>
      <c r="S33" s="13"/>
      <c r="T33" s="13"/>
      <c r="U33" s="13"/>
      <c r="V33" s="13"/>
      <c r="W33" s="13"/>
    </row>
    <row r="34" spans="1:23">
      <c r="A34" s="3" t="s">
        <v>282</v>
      </c>
      <c r="B34" s="3">
        <v>3706.4470000000001</v>
      </c>
      <c r="C34" s="3">
        <v>107</v>
      </c>
      <c r="D34" s="13">
        <f>+C34/B34*'Data entry and outputs'!$C$35</f>
        <v>5.2136722850751681E-2</v>
      </c>
      <c r="E34" s="13">
        <f>+C34/B34*'Data entry and outputs'!$C$36</f>
        <v>0.17272093732892982</v>
      </c>
      <c r="F34" s="11">
        <f>+D34*'Data entry and outputs'!$D$52</f>
        <v>2.8883744459316432E-3</v>
      </c>
      <c r="G34" s="11">
        <f>+E34*'Data entry and outputs'!$E$52</f>
        <v>1.9690186855498001E-2</v>
      </c>
      <c r="H34" s="11">
        <f>+D34*'Data entry and outputs'!$D$53</f>
        <v>7.9247818733142548E-3</v>
      </c>
      <c r="I34" s="11">
        <f>+E34*'Data entry and outputs'!$E$53</f>
        <v>2.3317326539405527E-2</v>
      </c>
      <c r="J34" s="11"/>
      <c r="K34" s="3">
        <v>4.1011100000000002E-2</v>
      </c>
      <c r="L34" s="11">
        <f>+K34/B34*'Data entry and outputs'!$C$41</f>
        <v>0.10988786226539862</v>
      </c>
      <c r="M34" s="11">
        <f>+K34/B34*'Data entry and outputs'!$C$42</f>
        <v>0.51030864113259944</v>
      </c>
      <c r="N34" s="25">
        <f>+L34*'Data entry and outputs'!$D$52</f>
        <v>6.0877875695030835E-3</v>
      </c>
      <c r="O34" s="11">
        <f>+M34*'Data entry and outputs'!$E$52</f>
        <v>5.8175185089116337E-2</v>
      </c>
      <c r="P34" s="11">
        <f>+L34*'Data entry and outputs'!$D$53</f>
        <v>1.670295506434059E-2</v>
      </c>
      <c r="Q34" s="11">
        <f>+M34*'Data entry and outputs'!$E$53</f>
        <v>6.8891666552900924E-2</v>
      </c>
      <c r="R34" s="13"/>
      <c r="S34" s="13"/>
      <c r="T34" s="13"/>
      <c r="U34" s="13"/>
      <c r="V34" s="13"/>
      <c r="W34" s="13"/>
    </row>
    <row r="35" spans="1:23">
      <c r="A35" s="3" t="s">
        <v>284</v>
      </c>
      <c r="B35" s="3">
        <v>2161.3150000000001</v>
      </c>
      <c r="C35" s="3">
        <v>6.4</v>
      </c>
      <c r="D35" s="13">
        <f>+C35/B35*'Data entry and outputs'!$C$35</f>
        <v>5.3478553565768985E-3</v>
      </c>
      <c r="E35" s="13">
        <f>+C35/B35*'Data entry and outputs'!$C$36</f>
        <v>1.7716621593798217E-2</v>
      </c>
      <c r="F35" s="11">
        <f>+D35*'Data entry and outputs'!$D$52</f>
        <v>2.9627118675436016E-4</v>
      </c>
      <c r="G35" s="11">
        <f>+E35*'Data entry and outputs'!$E$52</f>
        <v>2.0196948616929967E-3</v>
      </c>
      <c r="H35" s="11">
        <f>+D35*'Data entry and outputs'!$D$53</f>
        <v>8.1287401419968851E-4</v>
      </c>
      <c r="I35" s="11">
        <f>+E35*'Data entry and outputs'!$E$53</f>
        <v>2.3917439151627594E-3</v>
      </c>
      <c r="J35" s="11"/>
      <c r="K35" s="3">
        <v>4.0838000000000003E-3</v>
      </c>
      <c r="L35" s="11">
        <f>+K35/B35*'Data entry and outputs'!$C$41</f>
        <v>1.8765169787837498E-2</v>
      </c>
      <c r="M35" s="11">
        <f>+K35/B35*'Data entry and outputs'!$C$42</f>
        <v>8.7143639867395553E-2</v>
      </c>
      <c r="N35" s="25">
        <f>+L35*'Data entry and outputs'!$D$52</f>
        <v>1.0395904062461974E-3</v>
      </c>
      <c r="O35" s="11">
        <f>+M35*'Data entry and outputs'!$E$52</f>
        <v>9.9343749448830929E-3</v>
      </c>
      <c r="P35" s="11">
        <f>+L35*'Data entry and outputs'!$D$53</f>
        <v>2.8523058077512997E-3</v>
      </c>
      <c r="Q35" s="11">
        <f>+M35*'Data entry and outputs'!$E$53</f>
        <v>1.1764391382098401E-2</v>
      </c>
      <c r="R35" s="13"/>
      <c r="S35" s="13"/>
      <c r="T35" s="13"/>
      <c r="U35" s="13"/>
      <c r="V35" s="13"/>
      <c r="W35" s="13"/>
    </row>
    <row r="36" spans="1:23">
      <c r="A36" s="3" t="s">
        <v>285</v>
      </c>
      <c r="B36" s="3">
        <v>693.90279999999996</v>
      </c>
      <c r="C36" s="3">
        <v>9.6</v>
      </c>
      <c r="D36" s="13">
        <f>+C36/B36*'Data entry and outputs'!$C$35</f>
        <v>2.498563199341464E-2</v>
      </c>
      <c r="E36" s="13">
        <f>+C36/B36*'Data entry and outputs'!$C$36</f>
        <v>8.2773552722369761E-2</v>
      </c>
      <c r="F36" s="11">
        <f>+D36*'Data entry and outputs'!$D$52</f>
        <v>1.3842040124351709E-3</v>
      </c>
      <c r="G36" s="11">
        <f>+E36*'Data entry and outputs'!$E$52</f>
        <v>9.4361850103501527E-3</v>
      </c>
      <c r="H36" s="11">
        <f>+D36*'Data entry and outputs'!$D$53</f>
        <v>3.7978160629990251E-3</v>
      </c>
      <c r="I36" s="11">
        <f>+E36*'Data entry and outputs'!$E$53</f>
        <v>1.1174429617519918E-2</v>
      </c>
      <c r="J36" s="11"/>
      <c r="K36" s="3">
        <v>3.0985000000000001E-3</v>
      </c>
      <c r="L36" s="11">
        <f>+K36/B36*'Data entry and outputs'!$C$41</f>
        <v>4.4346460412034654E-2</v>
      </c>
      <c r="M36" s="11">
        <f>+K36/B36*'Data entry and outputs'!$C$42</f>
        <v>0.20594068794649625</v>
      </c>
      <c r="N36" s="25">
        <f>+L36*'Data entry and outputs'!$D$52</f>
        <v>2.4567939068267197E-3</v>
      </c>
      <c r="O36" s="11">
        <f>+M36*'Data entry and outputs'!$E$52</f>
        <v>2.3477238425900573E-2</v>
      </c>
      <c r="P36" s="11">
        <f>+L36*'Data entry and outputs'!$D$53</f>
        <v>6.7406619826292672E-3</v>
      </c>
      <c r="Q36" s="11">
        <f>+M36*'Data entry and outputs'!$E$53</f>
        <v>2.7801992872776998E-2</v>
      </c>
      <c r="R36" s="13"/>
      <c r="S36" s="13"/>
      <c r="T36" s="13"/>
      <c r="U36" s="13"/>
      <c r="V36" s="13"/>
      <c r="W36" s="13"/>
    </row>
    <row r="37" spans="1:23">
      <c r="A37" s="3" t="s">
        <v>287</v>
      </c>
      <c r="B37" s="3">
        <v>3391.5</v>
      </c>
      <c r="C37" s="3">
        <v>691.3</v>
      </c>
      <c r="D37" s="13">
        <f>+C37/B37*'Data entry and outputs'!$C$35</f>
        <v>0.36812260061919505</v>
      </c>
      <c r="E37" s="13">
        <f>+C37/B37*'Data entry and outputs'!$C$36</f>
        <v>1.2195335102462037</v>
      </c>
      <c r="F37" s="11">
        <f>+D37*'Data entry and outputs'!$D$52</f>
        <v>2.0393992074303403E-2</v>
      </c>
      <c r="G37" s="11">
        <f>+E37*'Data entry and outputs'!$E$52</f>
        <v>0.13902682016806722</v>
      </c>
      <c r="H37" s="11">
        <f>+D37*'Data entry and outputs'!$D$53</f>
        <v>5.5954635294117649E-2</v>
      </c>
      <c r="I37" s="11">
        <f>+E37*'Data entry and outputs'!$E$53</f>
        <v>0.1646370238832375</v>
      </c>
      <c r="J37" s="11"/>
      <c r="K37" s="3">
        <v>9.5853999999999995E-2</v>
      </c>
      <c r="L37" s="11">
        <f>+K37/B37*'Data entry and outputs'!$C$41</f>
        <v>0.28068843585434172</v>
      </c>
      <c r="M37" s="11">
        <f>+K37/B37*'Data entry and outputs'!$C$42</f>
        <v>1.3034900427539438</v>
      </c>
      <c r="N37" s="25">
        <f>+L37*'Data entry and outputs'!$D$52</f>
        <v>1.5550139346330531E-2</v>
      </c>
      <c r="O37" s="11">
        <f>+M37*'Data entry and outputs'!$E$52</f>
        <v>0.1485978648739496</v>
      </c>
      <c r="P37" s="11">
        <f>+L37*'Data entry and outputs'!$D$53</f>
        <v>4.2664642249859941E-2</v>
      </c>
      <c r="Q37" s="11">
        <f>+M37*'Data entry and outputs'!$E$53</f>
        <v>0.17597115577178241</v>
      </c>
      <c r="R37" s="13"/>
      <c r="S37" s="13"/>
      <c r="T37" s="13"/>
      <c r="U37" s="13"/>
      <c r="V37" s="13"/>
      <c r="W37" s="13"/>
    </row>
    <row r="38" spans="1:23">
      <c r="A38" s="3" t="s">
        <v>289</v>
      </c>
      <c r="B38" s="3">
        <v>2385.5729999999999</v>
      </c>
      <c r="C38" s="3">
        <v>34.5</v>
      </c>
      <c r="D38" s="13">
        <f>+C38/B38*'Data entry and outputs'!$C$35</f>
        <v>2.6118253350452911E-2</v>
      </c>
      <c r="E38" s="13">
        <f>+C38/B38*'Data entry and outputs'!$C$36</f>
        <v>8.6525752932314376E-2</v>
      </c>
      <c r="F38" s="11">
        <f>+D38*'Data entry and outputs'!$D$52</f>
        <v>1.4469512356150912E-3</v>
      </c>
      <c r="G38" s="11">
        <f>+E38*'Data entry and outputs'!$E$52</f>
        <v>9.863935834283839E-3</v>
      </c>
      <c r="H38" s="11">
        <f>+D38*'Data entry and outputs'!$D$53</f>
        <v>3.9699745092688426E-3</v>
      </c>
      <c r="I38" s="11">
        <f>+E38*'Data entry and outputs'!$E$53</f>
        <v>1.1680976645862441E-2</v>
      </c>
      <c r="J38" s="11"/>
      <c r="K38" s="3">
        <v>1.7212100000000001E-2</v>
      </c>
      <c r="L38" s="11">
        <f>+K38/B38*'Data entry and outputs'!$C$41</f>
        <v>7.1655123833980344E-2</v>
      </c>
      <c r="M38" s="11">
        <f>+K38/B38*'Data entry and outputs'!$C$42</f>
        <v>0.33275948881044515</v>
      </c>
      <c r="N38" s="25">
        <f>+L38*'Data entry and outputs'!$D$52</f>
        <v>3.9696938604025112E-3</v>
      </c>
      <c r="O38" s="11">
        <f>+M38*'Data entry and outputs'!$E$52</f>
        <v>3.7934581724390751E-2</v>
      </c>
      <c r="P38" s="11">
        <f>+L38*'Data entry and outputs'!$D$53</f>
        <v>1.0891578822765011E-2</v>
      </c>
      <c r="Q38" s="11">
        <f>+M38*'Data entry and outputs'!$E$53</f>
        <v>4.4922530989410098E-2</v>
      </c>
      <c r="R38" s="13"/>
      <c r="S38" s="13"/>
      <c r="T38" s="13"/>
      <c r="U38" s="13"/>
      <c r="V38" s="13"/>
      <c r="W38" s="13"/>
    </row>
    <row r="39" spans="1:23">
      <c r="A39" s="3" t="s">
        <v>291</v>
      </c>
      <c r="B39" s="3">
        <v>1869.365</v>
      </c>
      <c r="C39" s="3">
        <v>84.600009999999997</v>
      </c>
      <c r="D39" s="13">
        <f>+C39/B39*'Data entry and outputs'!$C$35</f>
        <v>8.1732362625811433E-2</v>
      </c>
      <c r="E39" s="13">
        <f>+C39/B39*'Data entry and outputs'!$C$36</f>
        <v>0.2707667362072147</v>
      </c>
      <c r="F39" s="11">
        <f>+D39*'Data entry and outputs'!$D$52</f>
        <v>4.5279728894699533E-3</v>
      </c>
      <c r="G39" s="11">
        <f>+E39*'Data entry and outputs'!$E$52</f>
        <v>3.0867407927622478E-2</v>
      </c>
      <c r="H39" s="11">
        <f>+D39*'Data entry and outputs'!$D$53</f>
        <v>1.2423319119123338E-2</v>
      </c>
      <c r="I39" s="11">
        <f>+E39*'Data entry and outputs'!$E$53</f>
        <v>3.6553509387973984E-2</v>
      </c>
      <c r="J39" s="11"/>
      <c r="K39" s="3">
        <v>9.4108999999999998E-3</v>
      </c>
      <c r="L39" s="11">
        <f>+K39/B39*'Data entry and outputs'!$C$41</f>
        <v>4.9996908666846758E-2</v>
      </c>
      <c r="M39" s="11">
        <f>+K39/B39*'Data entry and outputs'!$C$42</f>
        <v>0.23218082503951876</v>
      </c>
      <c r="N39" s="25">
        <f>+L39*'Data entry and outputs'!$D$52</f>
        <v>2.7698287401433101E-3</v>
      </c>
      <c r="O39" s="11">
        <f>+M39*'Data entry and outputs'!$E$52</f>
        <v>2.6468614054505138E-2</v>
      </c>
      <c r="P39" s="11">
        <f>+L39*'Data entry and outputs'!$D$53</f>
        <v>7.5995301173607073E-3</v>
      </c>
      <c r="Q39" s="11">
        <f>+M39*'Data entry and outputs'!$E$53</f>
        <v>3.1344411380335037E-2</v>
      </c>
      <c r="R39" s="13"/>
      <c r="S39" s="13"/>
      <c r="T39" s="13"/>
      <c r="U39" s="13"/>
      <c r="V39" s="13"/>
      <c r="W39" s="13"/>
    </row>
    <row r="40" spans="1:23">
      <c r="A40" s="3" t="s">
        <v>293</v>
      </c>
      <c r="B40" s="3">
        <v>2612.3159999999998</v>
      </c>
      <c r="C40" s="3">
        <v>34.6</v>
      </c>
      <c r="D40" s="13">
        <f>+C40/B40*'Data entry and outputs'!$C$35</f>
        <v>2.3920383292067273E-2</v>
      </c>
      <c r="E40" s="13">
        <f>+C40/B40*'Data entry and outputs'!$C$36</f>
        <v>7.9244547749965935E-2</v>
      </c>
      <c r="F40" s="11">
        <f>+D40*'Data entry and outputs'!$D$52</f>
        <v>1.325189234380527E-3</v>
      </c>
      <c r="G40" s="11">
        <f>+E40*'Data entry and outputs'!$E$52</f>
        <v>9.033878443496117E-3</v>
      </c>
      <c r="H40" s="11">
        <f>+D40*'Data entry and outputs'!$D$53</f>
        <v>3.6358982603942255E-3</v>
      </c>
      <c r="I40" s="11">
        <f>+E40*'Data entry and outputs'!$E$53</f>
        <v>1.0698013946245402E-2</v>
      </c>
      <c r="J40" s="11"/>
      <c r="K40" s="3">
        <v>4.1399999999999996E-3</v>
      </c>
      <c r="L40" s="11">
        <f>+K40/B40*'Data entry and outputs'!$C$41</f>
        <v>1.5739130334921195E-2</v>
      </c>
      <c r="M40" s="11">
        <f>+K40/B40*'Data entry and outputs'!$C$42</f>
        <v>7.3091004304226589E-2</v>
      </c>
      <c r="N40" s="25">
        <f>+L40*'Data entry and outputs'!$D$52</f>
        <v>8.719478205546342E-4</v>
      </c>
      <c r="O40" s="11">
        <f>+M40*'Data entry and outputs'!$E$52</f>
        <v>8.332374490681832E-3</v>
      </c>
      <c r="P40" s="11">
        <f>+L40*'Data entry and outputs'!$D$53</f>
        <v>2.3923478109080217E-3</v>
      </c>
      <c r="Q40" s="11">
        <f>+M40*'Data entry and outputs'!$E$53</f>
        <v>9.8672855810705909E-3</v>
      </c>
      <c r="R40" s="13"/>
      <c r="S40" s="13"/>
      <c r="T40" s="13"/>
      <c r="U40" s="13"/>
      <c r="V40" s="13"/>
      <c r="W40" s="13"/>
    </row>
    <row r="41" spans="1:23">
      <c r="A41" s="3" t="s">
        <v>295</v>
      </c>
      <c r="B41" s="3">
        <v>2433.1990000000001</v>
      </c>
      <c r="C41" s="3">
        <v>14.3</v>
      </c>
      <c r="D41" s="13">
        <f>+C41/B41*'Data entry and outputs'!$C$35</f>
        <v>1.0613928412760322E-2</v>
      </c>
      <c r="E41" s="13">
        <f>+C41/B41*'Data entry and outputs'!$C$36</f>
        <v>3.516231101525194E-2</v>
      </c>
      <c r="F41" s="11">
        <f>+D41*'Data entry and outputs'!$D$52</f>
        <v>5.8801163406692184E-4</v>
      </c>
      <c r="G41" s="11">
        <f>+E41*'Data entry and outputs'!$E$52</f>
        <v>4.0085034557387211E-3</v>
      </c>
      <c r="H41" s="11">
        <f>+D41*'Data entry and outputs'!$D$53</f>
        <v>1.6133171187395689E-3</v>
      </c>
      <c r="I41" s="11">
        <f>+E41*'Data entry and outputs'!$E$53</f>
        <v>4.7469119870590121E-3</v>
      </c>
      <c r="J41" s="11"/>
      <c r="K41" s="3">
        <v>1.6017E-3</v>
      </c>
      <c r="L41" s="11">
        <f>+K41/B41*'Data entry and outputs'!$C$41</f>
        <v>6.5374690726077061E-3</v>
      </c>
      <c r="M41" s="11">
        <f>+K41/B41*'Data entry and outputs'!$C$42</f>
        <v>3.0359376277895887E-2</v>
      </c>
      <c r="N41" s="25">
        <f>+L41*'Data entry and outputs'!$D$52</f>
        <v>3.6217578662246688E-4</v>
      </c>
      <c r="O41" s="11">
        <f>+M41*'Data entry and outputs'!$E$52</f>
        <v>3.4609688956801312E-3</v>
      </c>
      <c r="P41" s="11">
        <f>+L41*'Data entry and outputs'!$D$53</f>
        <v>9.9369529903637135E-4</v>
      </c>
      <c r="Q41" s="11">
        <f>+M41*'Data entry and outputs'!$E$53</f>
        <v>4.0985157975159453E-3</v>
      </c>
      <c r="R41" s="13"/>
      <c r="S41" s="13"/>
      <c r="T41" s="13"/>
      <c r="U41" s="13"/>
      <c r="V41" s="13"/>
      <c r="W41" s="13"/>
    </row>
    <row r="42" spans="1:23">
      <c r="A42" s="3" t="s">
        <v>297</v>
      </c>
      <c r="B42" s="3">
        <v>1561.5360000000001</v>
      </c>
      <c r="C42" s="3">
        <v>3.4</v>
      </c>
      <c r="D42" s="13">
        <f>+C42/B42*'Data entry and outputs'!$C$35</f>
        <v>3.9322820607401937E-3</v>
      </c>
      <c r="E42" s="13">
        <f>+C42/B42*'Data entry and outputs'!$C$36</f>
        <v>1.302704516578548E-2</v>
      </c>
      <c r="F42" s="11">
        <f>+D42*'Data entry and outputs'!$D$52</f>
        <v>2.1784842616500672E-4</v>
      </c>
      <c r="G42" s="11">
        <f>+E42*'Data entry and outputs'!$E$52</f>
        <v>1.4850831488995447E-3</v>
      </c>
      <c r="H42" s="11">
        <f>+D42*'Data entry and outputs'!$D$53</f>
        <v>5.9770687323250945E-4</v>
      </c>
      <c r="I42" s="11">
        <f>+E42*'Data entry and outputs'!$E$53</f>
        <v>1.7586510973810398E-3</v>
      </c>
      <c r="J42" s="11"/>
      <c r="K42" s="3">
        <v>8.3120000000000004E-4</v>
      </c>
      <c r="L42" s="11">
        <f>+K42/B42*'Data entry and outputs'!$C$41</f>
        <v>5.2863952928398697E-3</v>
      </c>
      <c r="M42" s="11">
        <f>+K42/B42*'Data entry and outputs'!$C$42</f>
        <v>2.4549510225828925E-2</v>
      </c>
      <c r="N42" s="25">
        <f>+L42*'Data entry and outputs'!$D$52</f>
        <v>2.9286629922332876E-4</v>
      </c>
      <c r="O42" s="11">
        <f>+M42*'Data entry and outputs'!$E$52</f>
        <v>2.7986441657444974E-3</v>
      </c>
      <c r="P42" s="11">
        <f>+L42*'Data entry and outputs'!$D$53</f>
        <v>8.0353208451166018E-4</v>
      </c>
      <c r="Q42" s="11">
        <f>+M42*'Data entry and outputs'!$E$53</f>
        <v>3.3141838804869052E-3</v>
      </c>
      <c r="R42" s="13"/>
      <c r="S42" s="13"/>
      <c r="T42" s="13"/>
      <c r="U42" s="13"/>
      <c r="V42" s="13"/>
      <c r="W42" s="13"/>
    </row>
    <row r="43" spans="1:23">
      <c r="A43" s="3" t="s">
        <v>299</v>
      </c>
      <c r="B43" s="3">
        <v>3572.0419999999999</v>
      </c>
      <c r="C43" s="3">
        <v>481.3</v>
      </c>
      <c r="D43" s="13">
        <f>+C43/B43*'Data entry and outputs'!$C$35</f>
        <v>0.24334198758021322</v>
      </c>
      <c r="E43" s="13">
        <f>+C43/B43*'Data entry and outputs'!$C$36</f>
        <v>0.8061545468950253</v>
      </c>
      <c r="F43" s="11">
        <f>+D43*'Data entry and outputs'!$D$52</f>
        <v>1.3481146111943811E-2</v>
      </c>
      <c r="G43" s="11">
        <f>+E43*'Data entry and outputs'!$E$52</f>
        <v>9.1901618346032887E-2</v>
      </c>
      <c r="H43" s="11">
        <f>+D43*'Data entry and outputs'!$D$53</f>
        <v>3.6987982112192411E-2</v>
      </c>
      <c r="I43" s="11">
        <f>+E43*'Data entry and outputs'!$E$53</f>
        <v>0.10883086383082842</v>
      </c>
      <c r="J43" s="11"/>
      <c r="K43" s="3">
        <v>9.92315E-2</v>
      </c>
      <c r="L43" s="11">
        <f>+K43/B43*'Data entry and outputs'!$C$41</f>
        <v>0.27589199565682598</v>
      </c>
      <c r="M43" s="11">
        <f>+K43/B43*'Data entry and outputs'!$C$42</f>
        <v>1.2812158367678768</v>
      </c>
      <c r="N43" s="25">
        <f>+L43*'Data entry and outputs'!$D$52</f>
        <v>1.5284416559388159E-2</v>
      </c>
      <c r="O43" s="11">
        <f>+M43*'Data entry and outputs'!$E$52</f>
        <v>0.14605860539153795</v>
      </c>
      <c r="P43" s="11">
        <f>+L43*'Data entry and outputs'!$D$53</f>
        <v>4.1935583339837545E-2</v>
      </c>
      <c r="Q43" s="11">
        <f>+M43*'Data entry and outputs'!$E$53</f>
        <v>0.17296413796366336</v>
      </c>
      <c r="R43" s="13"/>
      <c r="S43" s="13"/>
      <c r="T43" s="13"/>
      <c r="U43" s="13"/>
      <c r="V43" s="13"/>
      <c r="W43" s="13"/>
    </row>
    <row r="44" spans="1:23">
      <c r="A44" s="3" t="s">
        <v>301</v>
      </c>
      <c r="B44" s="3">
        <v>1540.3879999999999</v>
      </c>
      <c r="C44" s="3">
        <v>7</v>
      </c>
      <c r="D44" s="13">
        <f>+C44/B44*'Data entry and outputs'!$C$35</f>
        <v>8.2070231655920461E-3</v>
      </c>
      <c r="E44" s="13">
        <f>+C44/B44*'Data entry and outputs'!$C$36</f>
        <v>2.7188604429533338E-2</v>
      </c>
      <c r="F44" s="11">
        <f>+D44*'Data entry and outputs'!$D$52</f>
        <v>4.5466908337379934E-4</v>
      </c>
      <c r="G44" s="11">
        <f>+E44*'Data entry and outputs'!$E$52</f>
        <v>3.0995009049668005E-3</v>
      </c>
      <c r="H44" s="11">
        <f>+D44*'Data entry and outputs'!$D$53</f>
        <v>1.247467521169991E-3</v>
      </c>
      <c r="I44" s="11">
        <f>+E44*'Data entry and outputs'!$E$53</f>
        <v>3.6704615979870009E-3</v>
      </c>
      <c r="J44" s="11"/>
      <c r="K44" s="3">
        <v>1.531E-3</v>
      </c>
      <c r="L44" s="11">
        <f>+K44/B44*'Data entry and outputs'!$C$41</f>
        <v>9.8707730130330809E-3</v>
      </c>
      <c r="M44" s="11">
        <f>+K44/B44*'Data entry and outputs'!$C$42</f>
        <v>4.5838918506246482E-2</v>
      </c>
      <c r="N44" s="25">
        <f>+L44*'Data entry and outputs'!$D$52</f>
        <v>5.4684082492203264E-4</v>
      </c>
      <c r="O44" s="11">
        <f>+M44*'Data entry and outputs'!$E$52</f>
        <v>5.2256367097120995E-3</v>
      </c>
      <c r="P44" s="11">
        <f>+L44*'Data entry and outputs'!$D$53</f>
        <v>1.5003574979810283E-3</v>
      </c>
      <c r="Q44" s="11">
        <f>+M44*'Data entry and outputs'!$E$53</f>
        <v>6.1882539983432756E-3</v>
      </c>
      <c r="R44" s="13"/>
      <c r="S44" s="13"/>
      <c r="T44" s="13"/>
      <c r="U44" s="13"/>
      <c r="V44" s="13"/>
      <c r="W44" s="13"/>
    </row>
    <row r="45" spans="1:23">
      <c r="A45" s="3" t="s">
        <v>303</v>
      </c>
      <c r="B45" s="3">
        <v>3174.2339999999999</v>
      </c>
      <c r="C45" s="3">
        <v>95.8</v>
      </c>
      <c r="D45" s="13">
        <f>+C45/B45*'Data entry and outputs'!$C$35</f>
        <v>5.4506000502798468E-2</v>
      </c>
      <c r="E45" s="13">
        <f>+C45/B45*'Data entry and outputs'!$C$36</f>
        <v>0.18056998948407707</v>
      </c>
      <c r="F45" s="11">
        <f>+D45*'Data entry and outputs'!$D$52</f>
        <v>3.0196324278550352E-3</v>
      </c>
      <c r="G45" s="11">
        <f>+E45*'Data entry and outputs'!$E$52</f>
        <v>2.0584978801184785E-2</v>
      </c>
      <c r="H45" s="11">
        <f>+D45*'Data entry and outputs'!$D$53</f>
        <v>8.2849120764253662E-3</v>
      </c>
      <c r="I45" s="11">
        <f>+E45*'Data entry and outputs'!$E$53</f>
        <v>2.4376948580350406E-2</v>
      </c>
      <c r="J45" s="11"/>
      <c r="K45" s="3">
        <v>1.8690600000000002E-2</v>
      </c>
      <c r="L45" s="11">
        <f>+K45/B45*'Data entry and outputs'!$C$41</f>
        <v>5.847771644434531E-2</v>
      </c>
      <c r="M45" s="11">
        <f>+K45/B45*'Data entry and outputs'!$C$42</f>
        <v>0.27156487895977427</v>
      </c>
      <c r="N45" s="25">
        <f>+L45*'Data entry and outputs'!$D$52</f>
        <v>3.23966549101673E-3</v>
      </c>
      <c r="O45" s="11">
        <f>+M45*'Data entry and outputs'!$E$52</f>
        <v>3.0958396201414266E-2</v>
      </c>
      <c r="P45" s="11">
        <f>+L45*'Data entry and outputs'!$D$53</f>
        <v>8.8886128995404861E-3</v>
      </c>
      <c r="Q45" s="11">
        <f>+M45*'Data entry and outputs'!$E$53</f>
        <v>3.6661258659569526E-2</v>
      </c>
      <c r="R45" s="13"/>
      <c r="S45" s="13"/>
      <c r="T45" s="13"/>
      <c r="U45" s="13"/>
      <c r="V45" s="13"/>
      <c r="W45" s="13"/>
    </row>
    <row r="46" spans="1:23">
      <c r="A46" s="3" t="s">
        <v>305</v>
      </c>
      <c r="B46" s="3">
        <v>2774.518</v>
      </c>
      <c r="C46" s="3">
        <v>12.1</v>
      </c>
      <c r="D46" s="13">
        <f>+C46/B46*'Data entry and outputs'!$C$35</f>
        <v>7.8761788534080501E-3</v>
      </c>
      <c r="E46" s="13">
        <f>+C46/B46*'Data entry and outputs'!$C$36</f>
        <v>2.6092568150576059E-2</v>
      </c>
      <c r="F46" s="11">
        <f>+D46*'Data entry and outputs'!$D$52</f>
        <v>4.3634030847880594E-4</v>
      </c>
      <c r="G46" s="11">
        <f>+E46*'Data entry and outputs'!$E$52</f>
        <v>2.9745527691656709E-3</v>
      </c>
      <c r="H46" s="11">
        <f>+D46*'Data entry and outputs'!$D$53</f>
        <v>1.1971791857180237E-3</v>
      </c>
      <c r="I46" s="11">
        <f>+E46*'Data entry and outputs'!$E$53</f>
        <v>3.522496700327768E-3</v>
      </c>
      <c r="J46" s="11"/>
      <c r="K46" s="3">
        <v>1.9957E-3</v>
      </c>
      <c r="L46" s="11">
        <f>+K46/B46*'Data entry and outputs'!$C$41</f>
        <v>7.1435454410459752E-3</v>
      </c>
      <c r="M46" s="11">
        <f>+K46/B46*'Data entry and outputs'!$C$42</f>
        <v>3.3173936517982582E-2</v>
      </c>
      <c r="N46" s="25">
        <f>+L46*'Data entry and outputs'!$D$52</f>
        <v>3.9575241743394703E-4</v>
      </c>
      <c r="O46" s="11">
        <f>+M46*'Data entry and outputs'!$E$52</f>
        <v>3.7818287630500143E-3</v>
      </c>
      <c r="P46" s="11">
        <f>+L46*'Data entry and outputs'!$D$53</f>
        <v>1.0858189070389883E-3</v>
      </c>
      <c r="Q46" s="11">
        <f>+M46*'Data entry and outputs'!$E$53</f>
        <v>4.4784814299276485E-3</v>
      </c>
      <c r="R46" s="13"/>
      <c r="S46" s="13"/>
      <c r="T46" s="13"/>
      <c r="U46" s="13"/>
      <c r="V46" s="13"/>
      <c r="W46" s="13"/>
    </row>
    <row r="47" spans="1:23">
      <c r="A47" s="3" t="s">
        <v>306</v>
      </c>
      <c r="B47" s="3">
        <v>1446.223</v>
      </c>
      <c r="C47" s="3">
        <v>32</v>
      </c>
      <c r="D47" s="13">
        <f>+C47/B47*'Data entry and outputs'!$C$35</f>
        <v>3.9960642307583269E-2</v>
      </c>
      <c r="E47" s="13">
        <f>+C47/B47*'Data entry and outputs'!$C$36</f>
        <v>0.13238345676980659</v>
      </c>
      <c r="F47" s="11">
        <f>+D47*'Data entry and outputs'!$D$52</f>
        <v>2.2138195838401131E-3</v>
      </c>
      <c r="G47" s="11">
        <f>+E47*'Data entry and outputs'!$E$52</f>
        <v>1.5091714071757951E-2</v>
      </c>
      <c r="H47" s="11">
        <f>+D47*'Data entry and outputs'!$D$53</f>
        <v>6.0740176307526568E-3</v>
      </c>
      <c r="I47" s="11">
        <f>+E47*'Data entry and outputs'!$E$53</f>
        <v>1.7871766663923892E-2</v>
      </c>
      <c r="J47" s="11"/>
      <c r="K47" s="3">
        <v>5.6271999999999997E-3</v>
      </c>
      <c r="L47" s="11">
        <f>+K47/B47*'Data entry and outputs'!$C$41</f>
        <v>3.8642319586951669E-2</v>
      </c>
      <c r="M47" s="11">
        <f>+K47/B47*'Data entry and outputs'!$C$42</f>
        <v>0.1794512077321409</v>
      </c>
      <c r="N47" s="25">
        <f>+L47*'Data entry and outputs'!$D$52</f>
        <v>2.1407845051171224E-3</v>
      </c>
      <c r="O47" s="11">
        <f>+M47*'Data entry and outputs'!$E$52</f>
        <v>2.0457437681464064E-2</v>
      </c>
      <c r="P47" s="11">
        <f>+L47*'Data entry and outputs'!$D$53</f>
        <v>5.873632577216654E-3</v>
      </c>
      <c r="Q47" s="11">
        <f>+M47*'Data entry and outputs'!$E$53</f>
        <v>2.4225913043839024E-2</v>
      </c>
      <c r="R47" s="13"/>
      <c r="S47" s="13"/>
      <c r="T47" s="13"/>
      <c r="U47" s="13"/>
      <c r="V47" s="13"/>
      <c r="W47" s="13"/>
    </row>
    <row r="48" spans="1:23">
      <c r="A48" s="3" t="s">
        <v>308</v>
      </c>
      <c r="B48" s="3">
        <v>2097.4870000000001</v>
      </c>
      <c r="C48" s="3">
        <v>12.9</v>
      </c>
      <c r="D48" s="13">
        <f>+C48/B48*'Data entry and outputs'!$C$35</f>
        <v>1.1107291725765167E-2</v>
      </c>
      <c r="E48" s="13">
        <f>+C48/B48*'Data entry and outputs'!$C$36</f>
        <v>3.6796747727161121E-2</v>
      </c>
      <c r="F48" s="11">
        <f>+D48*'Data entry and outputs'!$D$52</f>
        <v>6.1534396160739025E-4</v>
      </c>
      <c r="G48" s="11">
        <f>+E48*'Data entry and outputs'!$E$52</f>
        <v>4.1948292408963677E-3</v>
      </c>
      <c r="H48" s="11">
        <f>+D48*'Data entry and outputs'!$D$53</f>
        <v>1.6883083423163052E-3</v>
      </c>
      <c r="I48" s="11">
        <f>+E48*'Data entry and outputs'!$E$53</f>
        <v>4.9675609431667515E-3</v>
      </c>
      <c r="J48" s="11"/>
      <c r="K48" s="3">
        <v>4.0908999999999997E-3</v>
      </c>
      <c r="L48" s="11">
        <f>+K48/B48*'Data entry and outputs'!$C$41</f>
        <v>1.936982454241671E-2</v>
      </c>
      <c r="M48" s="11">
        <f>+K48/B48*'Data entry and outputs'!$C$42</f>
        <v>8.9951598269738975E-2</v>
      </c>
      <c r="N48" s="25">
        <f>+L48*'Data entry and outputs'!$D$52</f>
        <v>1.0730882796498858E-3</v>
      </c>
      <c r="O48" s="11">
        <f>+M48*'Data entry and outputs'!$E$52</f>
        <v>1.0254482202750244E-2</v>
      </c>
      <c r="P48" s="11">
        <f>+L48*'Data entry and outputs'!$D$53</f>
        <v>2.9442133304473398E-3</v>
      </c>
      <c r="Q48" s="11">
        <f>+M48*'Data entry and outputs'!$E$53</f>
        <v>1.2143465766414762E-2</v>
      </c>
      <c r="R48" s="13"/>
      <c r="S48" s="13"/>
      <c r="T48" s="13"/>
      <c r="U48" s="13"/>
      <c r="V48" s="13"/>
      <c r="W48" s="13"/>
    </row>
    <row r="49" spans="1:23">
      <c r="A49" s="3" t="s">
        <v>310</v>
      </c>
      <c r="B49" s="3">
        <v>8813.7450000000008</v>
      </c>
      <c r="C49" s="3">
        <v>1243.2</v>
      </c>
      <c r="D49" s="13">
        <f>+C49/B49*'Data entry and outputs'!$C$35</f>
        <v>0.25474065791556261</v>
      </c>
      <c r="E49" s="13">
        <f>+C49/B49*'Data entry and outputs'!$C$36</f>
        <v>0.84391658710343898</v>
      </c>
      <c r="F49" s="11">
        <f>+D49*'Data entry and outputs'!$D$52</f>
        <v>1.4112632448522167E-2</v>
      </c>
      <c r="G49" s="11">
        <f>+E49*'Data entry and outputs'!$E$52</f>
        <v>9.6206490929792041E-2</v>
      </c>
      <c r="H49" s="11">
        <f>+D49*'Data entry and outputs'!$D$53</f>
        <v>3.8720580003165514E-2</v>
      </c>
      <c r="I49" s="11">
        <f>+E49*'Data entry and outputs'!$E$53</f>
        <v>0.11392873925896427</v>
      </c>
      <c r="J49" s="11"/>
      <c r="K49" s="3">
        <v>0.184839</v>
      </c>
      <c r="L49" s="11">
        <f>+K49/B49*'Data entry and outputs'!$C$41</f>
        <v>0.20827600080329073</v>
      </c>
      <c r="M49" s="11">
        <f>+K49/B49*'Data entry and outputs'!$C$42</f>
        <v>0.96721367364270228</v>
      </c>
      <c r="N49" s="25">
        <f>+L49*'Data entry and outputs'!$D$52</f>
        <v>1.1538490444502307E-2</v>
      </c>
      <c r="O49" s="11">
        <f>+M49*'Data entry and outputs'!$E$52</f>
        <v>0.11026235879526806</v>
      </c>
      <c r="P49" s="11">
        <f>+L49*'Data entry and outputs'!$D$53</f>
        <v>3.1657952122100187E-2</v>
      </c>
      <c r="Q49" s="11">
        <f>+M49*'Data entry and outputs'!$E$53</f>
        <v>0.13057384594176483</v>
      </c>
      <c r="R49" s="13"/>
      <c r="S49" s="13"/>
      <c r="T49" s="13"/>
      <c r="U49" s="13"/>
      <c r="V49" s="13"/>
      <c r="W49" s="13"/>
    </row>
    <row r="50" spans="1:23">
      <c r="A50" s="3" t="s">
        <v>312</v>
      </c>
      <c r="B50" s="3">
        <v>4244.8509999999997</v>
      </c>
      <c r="C50" s="3">
        <v>336.2</v>
      </c>
      <c r="D50" s="13">
        <f>+C50/B50*'Data entry and outputs'!$C$35</f>
        <v>0.14303851890207689</v>
      </c>
      <c r="E50" s="13">
        <f>+C50/B50*'Data entry and outputs'!$C$36</f>
        <v>0.47386459501169764</v>
      </c>
      <c r="F50" s="11">
        <f>+D50*'Data entry and outputs'!$D$52</f>
        <v>7.9243339471750593E-3</v>
      </c>
      <c r="G50" s="11">
        <f>+E50*'Data entry and outputs'!$E$52</f>
        <v>5.402056383133353E-2</v>
      </c>
      <c r="H50" s="11">
        <f>+D50*'Data entry and outputs'!$D$53</f>
        <v>2.1741854873115685E-2</v>
      </c>
      <c r="I50" s="11">
        <f>+E50*'Data entry and outputs'!$E$53</f>
        <v>6.397172032657919E-2</v>
      </c>
      <c r="J50" s="11"/>
      <c r="K50" s="3">
        <v>7.2619100000000006E-2</v>
      </c>
      <c r="L50" s="11">
        <f>+K50/B50*'Data entry and outputs'!$C$41</f>
        <v>0.16990044357976286</v>
      </c>
      <c r="M50" s="11">
        <f>+K50/B50*'Data entry and outputs'!$C$42</f>
        <v>0.78900128461517272</v>
      </c>
      <c r="N50" s="25">
        <f>+L50*'Data entry and outputs'!$D$52</f>
        <v>9.412484574318862E-3</v>
      </c>
      <c r="O50" s="11">
        <f>+M50*'Data entry and outputs'!$E$52</f>
        <v>8.9946146446129693E-2</v>
      </c>
      <c r="P50" s="11">
        <f>+L50*'Data entry and outputs'!$D$53</f>
        <v>2.5824867424123953E-2</v>
      </c>
      <c r="Q50" s="11">
        <f>+M50*'Data entry and outputs'!$E$53</f>
        <v>0.10651517342304832</v>
      </c>
      <c r="R50" s="13"/>
      <c r="S50" s="13"/>
      <c r="T50" s="13"/>
      <c r="U50" s="13"/>
      <c r="V50" s="13"/>
      <c r="W50" s="13"/>
    </row>
    <row r="51" spans="1:23">
      <c r="A51" s="3" t="s">
        <v>313</v>
      </c>
      <c r="B51" s="3">
        <v>4012.5479999999998</v>
      </c>
      <c r="C51" s="3">
        <v>22</v>
      </c>
      <c r="D51" s="13">
        <f>+C51/B51*'Data entry and outputs'!$C$35</f>
        <v>9.901937621680788E-3</v>
      </c>
      <c r="E51" s="13">
        <f>+C51/B51*'Data entry and outputs'!$C$36</f>
        <v>3.2803595122101965E-2</v>
      </c>
      <c r="F51" s="11">
        <f>+D51*'Data entry and outputs'!$D$52</f>
        <v>5.4856734424111567E-4</v>
      </c>
      <c r="G51" s="11">
        <f>+E51*'Data entry and outputs'!$E$52</f>
        <v>3.7396098439196244E-3</v>
      </c>
      <c r="H51" s="11">
        <f>+D51*'Data entry and outputs'!$D$53</f>
        <v>1.5050945184954796E-3</v>
      </c>
      <c r="I51" s="11">
        <f>+E51*'Data entry and outputs'!$E$53</f>
        <v>4.428485341483766E-3</v>
      </c>
      <c r="J51" s="11"/>
      <c r="K51" s="3">
        <v>4.1669999999999997E-3</v>
      </c>
      <c r="L51" s="11">
        <f>+K51/B51*'Data entry and outputs'!$C$41</f>
        <v>1.0313578080561278E-2</v>
      </c>
      <c r="M51" s="11">
        <f>+K51/B51*'Data entry and outputs'!$C$42</f>
        <v>4.7895262561345062E-2</v>
      </c>
      <c r="N51" s="25">
        <f>+L51*'Data entry and outputs'!$D$52</f>
        <v>5.7137222566309477E-4</v>
      </c>
      <c r="O51" s="11">
        <f>+M51*'Data entry and outputs'!$E$52</f>
        <v>5.4600599319933373E-3</v>
      </c>
      <c r="P51" s="11">
        <f>+L51*'Data entry and outputs'!$D$53</f>
        <v>1.5676638682453144E-3</v>
      </c>
      <c r="Q51" s="11">
        <f>+M51*'Data entry and outputs'!$E$53</f>
        <v>6.4658604457815839E-3</v>
      </c>
      <c r="R51" s="13"/>
      <c r="S51" s="13"/>
      <c r="T51" s="13"/>
      <c r="U51" s="13"/>
      <c r="V51" s="13"/>
      <c r="W51" s="13"/>
    </row>
    <row r="52" spans="1:23">
      <c r="A52" s="3" t="s">
        <v>315</v>
      </c>
      <c r="B52" s="3">
        <v>2596.1419999999998</v>
      </c>
      <c r="C52" s="3">
        <v>48.4</v>
      </c>
      <c r="D52" s="13">
        <f>+C52/B52*'Data entry and outputs'!$C$35</f>
        <v>3.3669344743084161E-2</v>
      </c>
      <c r="E52" s="13">
        <f>+C52/B52*'Data entry and outputs'!$C$36</f>
        <v>0.11154135636648534</v>
      </c>
      <c r="F52" s="11">
        <f>+D52*'Data entry and outputs'!$D$52</f>
        <v>1.8652816987668624E-3</v>
      </c>
      <c r="G52" s="11">
        <f>+E52*'Data entry and outputs'!$E$52</f>
        <v>1.2715714625779329E-2</v>
      </c>
      <c r="H52" s="11">
        <f>+D52*'Data entry and outputs'!$D$53</f>
        <v>5.1177404009487924E-3</v>
      </c>
      <c r="I52" s="11">
        <f>+E52*'Data entry and outputs'!$E$53</f>
        <v>1.5058083109475521E-2</v>
      </c>
      <c r="J52" s="11"/>
      <c r="K52" s="3">
        <v>7.2411000000000003E-3</v>
      </c>
      <c r="L52" s="11">
        <f>+K52/B52*'Data entry and outputs'!$C$41</f>
        <v>2.7700155241893551E-2</v>
      </c>
      <c r="M52" s="11">
        <f>+K52/B52*'Data entry and outputs'!$C$42</f>
        <v>0.12863685114296522</v>
      </c>
      <c r="N52" s="25">
        <f>+L52*'Data entry and outputs'!$D$52</f>
        <v>1.5345886004009027E-3</v>
      </c>
      <c r="O52" s="11">
        <f>+M52*'Data entry and outputs'!$E$52</f>
        <v>1.4664601030298036E-2</v>
      </c>
      <c r="P52" s="11">
        <f>+L52*'Data entry and outputs'!$D$53</f>
        <v>4.2104235967678197E-3</v>
      </c>
      <c r="Q52" s="11">
        <f>+M52*'Data entry and outputs'!$E$53</f>
        <v>1.7365974904300304E-2</v>
      </c>
      <c r="R52" s="13"/>
      <c r="S52" s="13"/>
      <c r="T52" s="13"/>
      <c r="U52" s="13"/>
      <c r="V52" s="13"/>
      <c r="W52" s="13"/>
    </row>
    <row r="53" spans="1:23">
      <c r="A53" s="3" t="s">
        <v>317</v>
      </c>
      <c r="B53" s="3">
        <v>2469.1010000000001</v>
      </c>
      <c r="C53" s="3">
        <v>6.8</v>
      </c>
      <c r="D53" s="13">
        <f>+C53/B53*'Data entry and outputs'!$C$35</f>
        <v>4.973794105627918E-3</v>
      </c>
      <c r="E53" s="13">
        <f>+C53/B53*'Data entry and outputs'!$C$36</f>
        <v>1.6477414249153839E-2</v>
      </c>
      <c r="F53" s="11">
        <f>+D53*'Data entry and outputs'!$D$52</f>
        <v>2.7554819345178662E-4</v>
      </c>
      <c r="G53" s="11">
        <f>+E53*'Data entry and outputs'!$E$52</f>
        <v>1.8784252244035378E-3</v>
      </c>
      <c r="H53" s="11">
        <f>+D53*'Data entry and outputs'!$D$53</f>
        <v>7.5601670405544348E-4</v>
      </c>
      <c r="I53" s="11">
        <f>+E53*'Data entry and outputs'!$E$53</f>
        <v>2.2244509236357683E-3</v>
      </c>
      <c r="J53" s="11"/>
      <c r="K53" s="3">
        <v>4.2475000000000004E-3</v>
      </c>
      <c r="L53" s="11">
        <f>+K53/B53*'Data entry and outputs'!$C$41</f>
        <v>1.7084435488868215E-2</v>
      </c>
      <c r="M53" s="11">
        <f>+K53/B53*'Data entry and outputs'!$C$42</f>
        <v>7.9338471775759686E-2</v>
      </c>
      <c r="N53" s="25">
        <f>+L53*'Data entry and outputs'!$D$52</f>
        <v>9.464777260832991E-4</v>
      </c>
      <c r="O53" s="11">
        <f>+M53*'Data entry and outputs'!$E$52</f>
        <v>9.0445857824366042E-3</v>
      </c>
      <c r="P53" s="11">
        <f>+L53*'Data entry and outputs'!$D$53</f>
        <v>2.5968341943079687E-3</v>
      </c>
      <c r="Q53" s="11">
        <f>+M53*'Data entry and outputs'!$E$53</f>
        <v>1.0710693689727558E-2</v>
      </c>
      <c r="R53" s="13"/>
      <c r="S53" s="13"/>
      <c r="T53" s="13"/>
      <c r="U53" s="13"/>
      <c r="V53" s="13"/>
      <c r="W53" s="13"/>
    </row>
    <row r="54" spans="1:23">
      <c r="A54" s="3" t="s">
        <v>319</v>
      </c>
      <c r="B54" s="3">
        <v>2124.5520000000001</v>
      </c>
      <c r="C54" s="3">
        <v>36.9</v>
      </c>
      <c r="D54" s="13">
        <f>+C54/B54*'Data entry and outputs'!$C$35</f>
        <v>3.1367271782474608E-2</v>
      </c>
      <c r="E54" s="13">
        <f>+C54/B54*'Data entry and outputs'!$C$36</f>
        <v>0.10391494300916145</v>
      </c>
      <c r="F54" s="11">
        <f>+D54*'Data entry and outputs'!$D$52</f>
        <v>1.7377468567490932E-3</v>
      </c>
      <c r="G54" s="11">
        <f>+E54*'Data entry and outputs'!$E$52</f>
        <v>1.1846303503044405E-2</v>
      </c>
      <c r="H54" s="11">
        <f>+D54*'Data entry and outputs'!$D$53</f>
        <v>4.7678253109361404E-3</v>
      </c>
      <c r="I54" s="11">
        <f>+E54*'Data entry and outputs'!$E$53</f>
        <v>1.4028517306236795E-2</v>
      </c>
      <c r="J54" s="11"/>
      <c r="K54" s="3">
        <v>7.2436000000000002E-3</v>
      </c>
      <c r="L54" s="11">
        <f>+K54/B54*'Data entry and outputs'!$C$41</f>
        <v>3.3860486672013676E-2</v>
      </c>
      <c r="M54" s="11">
        <f>+K54/B54*'Data entry and outputs'!$C$42</f>
        <v>0.15724483655848387</v>
      </c>
      <c r="N54" s="25">
        <f>+L54*'Data entry and outputs'!$D$52</f>
        <v>1.8758709616295576E-3</v>
      </c>
      <c r="O54" s="11">
        <f>+M54*'Data entry and outputs'!$E$52</f>
        <v>1.7925911367667163E-2</v>
      </c>
      <c r="P54" s="11">
        <f>+L54*'Data entry and outputs'!$D$53</f>
        <v>5.1467939741460782E-3</v>
      </c>
      <c r="Q54" s="11">
        <f>+M54*'Data entry and outputs'!$E$53</f>
        <v>2.1228052935395324E-2</v>
      </c>
      <c r="R54" s="13"/>
      <c r="S54" s="13"/>
      <c r="T54" s="13"/>
      <c r="U54" s="13"/>
      <c r="V54" s="13"/>
      <c r="W54" s="13"/>
    </row>
    <row r="55" spans="1:23">
      <c r="A55" s="3" t="s">
        <v>321</v>
      </c>
      <c r="B55" s="3">
        <v>2932.011</v>
      </c>
      <c r="C55" s="3">
        <v>45.9</v>
      </c>
      <c r="D55" s="13">
        <f>+C55/B55*'Data entry and outputs'!$C$35</f>
        <v>2.8272540587330676E-2</v>
      </c>
      <c r="E55" s="13">
        <f>+C55/B55*'Data entry and outputs'!$C$36</f>
        <v>9.3662574935769335E-2</v>
      </c>
      <c r="F55" s="11">
        <f>+D55*'Data entry and outputs'!$D$52</f>
        <v>1.5662987485381193E-3</v>
      </c>
      <c r="G55" s="11">
        <f>+E55*'Data entry and outputs'!$E$52</f>
        <v>1.0677533542677704E-2</v>
      </c>
      <c r="H55" s="11">
        <f>+D55*'Data entry and outputs'!$D$53</f>
        <v>4.297426169274263E-3</v>
      </c>
      <c r="I55" s="11">
        <f>+E55*'Data entry and outputs'!$E$53</f>
        <v>1.2644447616328861E-2</v>
      </c>
      <c r="J55" s="11"/>
      <c r="K55" s="3">
        <v>5.3068000000000004E-3</v>
      </c>
      <c r="L55" s="11">
        <f>+K55/B55*'Data entry and outputs'!$C$41</f>
        <v>1.7975179097213481E-2</v>
      </c>
      <c r="M55" s="11">
        <f>+K55/B55*'Data entry and outputs'!$C$42</f>
        <v>8.3474999241135189E-2</v>
      </c>
      <c r="N55" s="25">
        <f>+L55*'Data entry and outputs'!$D$52</f>
        <v>9.9582492198562692E-4</v>
      </c>
      <c r="O55" s="11">
        <f>+M55*'Data entry and outputs'!$E$52</f>
        <v>9.5161499134894124E-3</v>
      </c>
      <c r="P55" s="11">
        <f>+L55*'Data entry and outputs'!$D$53</f>
        <v>2.732227222776449E-3</v>
      </c>
      <c r="Q55" s="11">
        <f>+M55*'Data entry and outputs'!$E$53</f>
        <v>1.1269124897553251E-2</v>
      </c>
      <c r="R55" s="13"/>
      <c r="S55" s="13"/>
      <c r="T55" s="13"/>
      <c r="U55" s="13"/>
      <c r="V55" s="13"/>
      <c r="W55" s="13"/>
    </row>
    <row r="56" spans="1:23">
      <c r="A56" s="3" t="s">
        <v>323</v>
      </c>
      <c r="B56" s="3">
        <v>3390.0940000000001</v>
      </c>
      <c r="C56" s="3">
        <v>19</v>
      </c>
      <c r="D56" s="13">
        <f>+C56/B56*'Data entry and outputs'!$C$35</f>
        <v>1.01218432291258E-2</v>
      </c>
      <c r="E56" s="13">
        <f>+C56/B56*'Data entry and outputs'!$C$36</f>
        <v>3.3532108549202473E-2</v>
      </c>
      <c r="F56" s="11">
        <f>+D56*'Data entry and outputs'!$D$52</f>
        <v>5.6075011489356932E-4</v>
      </c>
      <c r="G56" s="11">
        <f>+E56*'Data entry and outputs'!$E$52</f>
        <v>3.8226603746090819E-3</v>
      </c>
      <c r="H56" s="11">
        <f>+D56*'Data entry and outputs'!$D$53</f>
        <v>1.5385201708271216E-3</v>
      </c>
      <c r="I56" s="11">
        <f>+E56*'Data entry and outputs'!$E$53</f>
        <v>4.5268346541423345E-3</v>
      </c>
      <c r="J56" s="11"/>
      <c r="K56" s="3">
        <v>1.9919E-3</v>
      </c>
      <c r="L56" s="11">
        <f>+K56/B56*'Data entry and outputs'!$C$41</f>
        <v>5.8352825821348904E-3</v>
      </c>
      <c r="M56" s="11">
        <f>+K56/B56*'Data entry and outputs'!$C$42</f>
        <v>2.7098489894380511E-2</v>
      </c>
      <c r="N56" s="25">
        <f>+L56*'Data entry and outputs'!$D$52</f>
        <v>3.2327465505027294E-4</v>
      </c>
      <c r="O56" s="11">
        <f>+M56*'Data entry and outputs'!$E$52</f>
        <v>3.0892278479593784E-3</v>
      </c>
      <c r="P56" s="11">
        <f>+L56*'Data entry and outputs'!$D$53</f>
        <v>8.8696295248450331E-4</v>
      </c>
      <c r="Q56" s="11">
        <f>+M56*'Data entry and outputs'!$E$53</f>
        <v>3.6582961357413692E-3</v>
      </c>
      <c r="R56" s="13"/>
      <c r="S56" s="13"/>
      <c r="T56" s="13"/>
      <c r="U56" s="13"/>
      <c r="V56" s="13"/>
      <c r="W56" s="13"/>
    </row>
    <row r="57" spans="1:23">
      <c r="A57" s="3" t="s">
        <v>325</v>
      </c>
      <c r="B57" s="3">
        <v>2396.4549999999999</v>
      </c>
      <c r="C57" s="3">
        <v>92.899990000000003</v>
      </c>
      <c r="D57" s="13">
        <f>+C57/B57*'Data entry and outputs'!$C$35</f>
        <v>7.0010654045246007E-2</v>
      </c>
      <c r="E57" s="13">
        <f>+C57/B57*'Data entry and outputs'!$C$36</f>
        <v>0.23193452001811007</v>
      </c>
      <c r="F57" s="11">
        <f>+D57*'Data entry and outputs'!$D$52</f>
        <v>3.8785902341066285E-3</v>
      </c>
      <c r="G57" s="11">
        <f>+E57*'Data entry and outputs'!$E$52</f>
        <v>2.644053528206455E-2</v>
      </c>
      <c r="H57" s="11">
        <f>+D57*'Data entry and outputs'!$D$53</f>
        <v>1.0641619414877393E-2</v>
      </c>
      <c r="I57" s="11">
        <f>+E57*'Data entry and outputs'!$E$53</f>
        <v>3.1311160202444864E-2</v>
      </c>
      <c r="J57" s="11"/>
      <c r="K57" s="3">
        <v>2.21196E-2</v>
      </c>
      <c r="L57" s="11">
        <f>+K57/B57*'Data entry and outputs'!$C$41</f>
        <v>9.1667226582598044E-2</v>
      </c>
      <c r="M57" s="11">
        <f>+K57/B57*'Data entry and outputs'!$C$42</f>
        <v>0.42569376516563007</v>
      </c>
      <c r="N57" s="25">
        <f>+L57*'Data entry and outputs'!$D$52</f>
        <v>5.0783643526759311E-3</v>
      </c>
      <c r="O57" s="11">
        <f>+M57*'Data entry and outputs'!$E$52</f>
        <v>4.8529089228881828E-2</v>
      </c>
      <c r="P57" s="11">
        <f>+L57*'Data entry and outputs'!$D$53</f>
        <v>1.3933418440554903E-2</v>
      </c>
      <c r="Q57" s="11">
        <f>+M57*'Data entry and outputs'!$E$53</f>
        <v>5.7468658297360066E-2</v>
      </c>
      <c r="R57" s="13"/>
      <c r="S57" s="13"/>
      <c r="T57" s="13"/>
      <c r="U57" s="13"/>
      <c r="V57" s="13"/>
      <c r="W57" s="13"/>
    </row>
    <row r="58" spans="1:23">
      <c r="A58" s="3" t="s">
        <v>327</v>
      </c>
      <c r="B58" s="3">
        <v>4110.7539999999999</v>
      </c>
      <c r="C58" s="3">
        <v>186.5</v>
      </c>
      <c r="D58" s="13">
        <f>+C58/B58*'Data entry and outputs'!$C$35</f>
        <v>8.1936063311013024E-2</v>
      </c>
      <c r="E58" s="13">
        <f>+C58/B58*'Data entry and outputs'!$C$36</f>
        <v>0.27144156522136814</v>
      </c>
      <c r="F58" s="11">
        <f>+D58*'Data entry and outputs'!$D$52</f>
        <v>4.5392579074301212E-3</v>
      </c>
      <c r="G58" s="11">
        <f>+E58*'Data entry and outputs'!$E$52</f>
        <v>3.0944338435235971E-2</v>
      </c>
      <c r="H58" s="11">
        <f>+D58*'Data entry and outputs'!$D$53</f>
        <v>1.2454281623273979E-2</v>
      </c>
      <c r="I58" s="11">
        <f>+E58*'Data entry and outputs'!$E$53</f>
        <v>3.6644611304884701E-2</v>
      </c>
      <c r="J58" s="11"/>
      <c r="K58" s="3">
        <v>7.5412000000000007E-2</v>
      </c>
      <c r="L58" s="11">
        <f>+K58/B58*'Data entry and outputs'!$C$41</f>
        <v>0.18219022485899181</v>
      </c>
      <c r="M58" s="11">
        <f>+K58/B58*'Data entry and outputs'!$C$42</f>
        <v>0.84607384436042643</v>
      </c>
      <c r="N58" s="25">
        <f>+L58*'Data entry and outputs'!$D$52</f>
        <v>1.0093338457188145E-2</v>
      </c>
      <c r="O58" s="11">
        <f>+M58*'Data entry and outputs'!$E$52</f>
        <v>9.6452418257088612E-2</v>
      </c>
      <c r="P58" s="11">
        <f>+L58*'Data entry and outputs'!$D$53</f>
        <v>2.7692914178566754E-2</v>
      </c>
      <c r="Q58" s="11">
        <f>+M58*'Data entry and outputs'!$E$53</f>
        <v>0.11421996898865758</v>
      </c>
      <c r="R58" s="13"/>
      <c r="S58" s="13"/>
      <c r="T58" s="13"/>
      <c r="U58" s="13"/>
      <c r="V58" s="13"/>
      <c r="W58" s="13"/>
    </row>
    <row r="59" spans="1:23">
      <c r="A59" s="3" t="s">
        <v>329</v>
      </c>
      <c r="B59" s="3">
        <v>3030.3789999999999</v>
      </c>
      <c r="C59" s="3">
        <v>158.4</v>
      </c>
      <c r="D59" s="13">
        <f>+C59/B59*'Data entry and outputs'!$C$35</f>
        <v>9.4400865370305176E-2</v>
      </c>
      <c r="E59" s="13">
        <f>+C59/B59*'Data entry and outputs'!$C$36</f>
        <v>0.31273553572011953</v>
      </c>
      <c r="F59" s="11">
        <f>+D59*'Data entry and outputs'!$D$52</f>
        <v>5.2298079415149063E-3</v>
      </c>
      <c r="G59" s="11">
        <f>+E59*'Data entry and outputs'!$E$52</f>
        <v>3.5651851072093628E-2</v>
      </c>
      <c r="H59" s="11">
        <f>+D59*'Data entry and outputs'!$D$53</f>
        <v>1.4348931536286386E-2</v>
      </c>
      <c r="I59" s="11">
        <f>+E59*'Data entry and outputs'!$E$53</f>
        <v>4.2219297322216139E-2</v>
      </c>
      <c r="J59" s="11"/>
      <c r="K59" s="3">
        <v>5.9110099999999999E-2</v>
      </c>
      <c r="L59" s="11">
        <f>+K59/B59*'Data entry and outputs'!$C$41</f>
        <v>0.19371838840290273</v>
      </c>
      <c r="M59" s="11">
        <f>+K59/B59*'Data entry and outputs'!$C$42</f>
        <v>0.89960952474921463</v>
      </c>
      <c r="N59" s="25">
        <f>+L59*'Data entry and outputs'!$D$52</f>
        <v>1.0731998717520811E-2</v>
      </c>
      <c r="O59" s="11">
        <f>+M59*'Data entry and outputs'!$E$52</f>
        <v>0.10255548582141047</v>
      </c>
      <c r="P59" s="11">
        <f>+L59*'Data entry and outputs'!$D$53</f>
        <v>2.9445195037241214E-2</v>
      </c>
      <c r="Q59" s="11">
        <f>+M59*'Data entry and outputs'!$E$53</f>
        <v>0.12144728584114398</v>
      </c>
      <c r="R59" s="13"/>
      <c r="S59" s="13"/>
      <c r="T59" s="13"/>
      <c r="U59" s="13"/>
      <c r="V59" s="13"/>
      <c r="W59" s="13"/>
    </row>
    <row r="60" spans="1:23">
      <c r="A60" s="3" t="s">
        <v>331</v>
      </c>
      <c r="B60" s="3">
        <v>3449.1709999999998</v>
      </c>
      <c r="C60" s="3">
        <v>86.8</v>
      </c>
      <c r="D60" s="13">
        <f>+C60/B60*'Data entry and outputs'!$C$35</f>
        <v>4.5448833937198244E-2</v>
      </c>
      <c r="E60" s="13">
        <f>+C60/B60*'Data entry and outputs'!$C$36</f>
        <v>0.15056499083402938</v>
      </c>
      <c r="F60" s="11">
        <f>+D60*'Data entry and outputs'!$D$52</f>
        <v>2.5178654001207826E-3</v>
      </c>
      <c r="G60" s="11">
        <f>+E60*'Data entry and outputs'!$E$52</f>
        <v>1.7164408955079351E-2</v>
      </c>
      <c r="H60" s="11">
        <f>+D60*'Data entry and outputs'!$D$53</f>
        <v>6.9082227584541332E-3</v>
      </c>
      <c r="I60" s="11">
        <f>+E60*'Data entry and outputs'!$E$53</f>
        <v>2.0326273762593969E-2</v>
      </c>
      <c r="J60" s="11"/>
      <c r="K60" s="3">
        <v>1.47268E-2</v>
      </c>
      <c r="L60" s="11">
        <f>+K60/B60*'Data entry and outputs'!$C$41</f>
        <v>4.2403310488230359E-2</v>
      </c>
      <c r="M60" s="11">
        <f>+K60/B60*'Data entry and outputs'!$C$42</f>
        <v>0.19691688698530749</v>
      </c>
      <c r="N60" s="25">
        <f>+L60*'Data entry and outputs'!$D$52</f>
        <v>2.3491434010479619E-3</v>
      </c>
      <c r="O60" s="11">
        <f>+M60*'Data entry and outputs'!$E$52</f>
        <v>2.2448525116325054E-2</v>
      </c>
      <c r="P60" s="11">
        <f>+L60*'Data entry and outputs'!$D$53</f>
        <v>6.4453031942110139E-3</v>
      </c>
      <c r="Q60" s="11">
        <f>+M60*'Data entry and outputs'!$E$53</f>
        <v>2.6583779743016511E-2</v>
      </c>
      <c r="R60" s="13"/>
      <c r="S60" s="13"/>
      <c r="T60" s="13"/>
      <c r="U60" s="13"/>
      <c r="V60" s="13"/>
      <c r="W60" s="13"/>
    </row>
    <row r="61" spans="1:23">
      <c r="A61" s="3" t="s">
        <v>333</v>
      </c>
      <c r="B61" s="3">
        <v>2468.732</v>
      </c>
      <c r="C61" s="3">
        <v>2.4</v>
      </c>
      <c r="D61" s="13">
        <f>+C61/B61*'Data entry and outputs'!$C$35</f>
        <v>1.7557191303065702E-3</v>
      </c>
      <c r="E61" s="13">
        <f>+C61/B61*'Data entry and outputs'!$C$36</f>
        <v>5.8164272185073137E-3</v>
      </c>
      <c r="F61" s="11">
        <f>+D61*'Data entry and outputs'!$D$52</f>
        <v>9.7266839818983982E-5</v>
      </c>
      <c r="G61" s="11">
        <f>+E61*'Data entry and outputs'!$E$52</f>
        <v>6.6307270290983376E-4</v>
      </c>
      <c r="H61" s="11">
        <f>+D61*'Data entry and outputs'!$D$53</f>
        <v>2.6686930780659866E-4</v>
      </c>
      <c r="I61" s="11">
        <f>+E61*'Data entry and outputs'!$E$53</f>
        <v>7.8521767449848739E-4</v>
      </c>
      <c r="J61" s="11"/>
      <c r="K61" s="3">
        <v>9.3970000000000002E-4</v>
      </c>
      <c r="L61" s="11">
        <f>+K61/B61*'Data entry and outputs'!$C$41</f>
        <v>3.7802574803583377E-3</v>
      </c>
      <c r="M61" s="11">
        <f>+K61/B61*'Data entry and outputs'!$C$42</f>
        <v>1.7555151389458235E-2</v>
      </c>
      <c r="N61" s="25">
        <f>+L61*'Data entry and outputs'!$D$52</f>
        <v>2.0942626441185189E-4</v>
      </c>
      <c r="O61" s="11">
        <f>+M61*'Data entry and outputs'!$E$52</f>
        <v>2.0012872583982386E-3</v>
      </c>
      <c r="P61" s="11">
        <f>+L61*'Data entry and outputs'!$D$53</f>
        <v>5.7459913701446734E-4</v>
      </c>
      <c r="Q61" s="11">
        <f>+M61*'Data entry and outputs'!$E$53</f>
        <v>2.3699454375768619E-3</v>
      </c>
      <c r="R61" s="13"/>
      <c r="S61" s="13"/>
      <c r="T61" s="13"/>
      <c r="U61" s="13"/>
      <c r="V61" s="13"/>
      <c r="W61" s="13"/>
    </row>
    <row r="62" spans="1:23">
      <c r="A62" s="3" t="s">
        <v>335</v>
      </c>
      <c r="B62" s="3">
        <v>2814.5590000000002</v>
      </c>
      <c r="C62" s="3">
        <v>6.9</v>
      </c>
      <c r="D62" s="13">
        <f>+C62/B62*'Data entry and outputs'!$C$35</f>
        <v>4.4274786920437629E-3</v>
      </c>
      <c r="E62" s="13">
        <f>+C62/B62*'Data entry and outputs'!$C$36</f>
        <v>1.4667555379013195E-2</v>
      </c>
      <c r="F62" s="11">
        <f>+D62*'Data entry and outputs'!$D$52</f>
        <v>2.4528231953922444E-4</v>
      </c>
      <c r="G62" s="11">
        <f>+E62*'Data entry and outputs'!$E$52</f>
        <v>1.6721013132075043E-3</v>
      </c>
      <c r="H62" s="11">
        <f>+D62*'Data entry and outputs'!$D$53</f>
        <v>6.7297676119065189E-4</v>
      </c>
      <c r="I62" s="11">
        <f>+E62*'Data entry and outputs'!$E$53</f>
        <v>1.9801199761667813E-3</v>
      </c>
      <c r="J62" s="11"/>
      <c r="K62">
        <v>3.0540600000000001E-2</v>
      </c>
      <c r="L62" s="11">
        <f>+K62/B62*'Data entry and outputs'!$C$41</f>
        <v>0.10776390218858442</v>
      </c>
      <c r="M62" s="11">
        <f>+K62/B62*'Data entry and outputs'!$C$42</f>
        <v>0.50044517524770316</v>
      </c>
      <c r="N62" s="25">
        <f>+L62*'Data entry and outputs'!$D$52</f>
        <v>5.9701201812475766E-3</v>
      </c>
      <c r="O62" s="11">
        <f>+M62*'Data entry and outputs'!$E$52</f>
        <v>5.7050749978238162E-2</v>
      </c>
      <c r="P62" s="11">
        <f>+L62*'Data entry and outputs'!$D$53</f>
        <v>1.6380113132664832E-2</v>
      </c>
      <c r="Q62" s="11">
        <f>+M62*'Data entry and outputs'!$E$53</f>
        <v>6.7560098658439927E-2</v>
      </c>
      <c r="R62" s="3"/>
      <c r="S62" s="3"/>
      <c r="T62" s="3"/>
      <c r="U62" s="3"/>
      <c r="V62" s="3"/>
      <c r="W62" s="3"/>
    </row>
    <row r="63" spans="1:23">
      <c r="A63" s="3" t="s">
        <v>337</v>
      </c>
      <c r="B63" s="3">
        <v>5237.415</v>
      </c>
      <c r="C63" s="3">
        <v>327</v>
      </c>
      <c r="D63" s="13">
        <f>+C63/B63*'Data entry and outputs'!$C$35</f>
        <v>0.11275829774803027</v>
      </c>
      <c r="E63" s="13">
        <f>+C63/B63*'Data entry and outputs'!$C$36</f>
        <v>0.37355088340335829</v>
      </c>
      <c r="F63" s="11">
        <f>+D63*'Data entry and outputs'!$D$52</f>
        <v>6.2468096952408769E-3</v>
      </c>
      <c r="G63" s="11">
        <f>+E63*'Data entry and outputs'!$E$52</f>
        <v>4.2584800707982845E-2</v>
      </c>
      <c r="H63" s="11">
        <f>+D63*'Data entry and outputs'!$D$53</f>
        <v>1.71392612577006E-2</v>
      </c>
      <c r="I63" s="11">
        <f>+E63*'Data entry and outputs'!$E$53</f>
        <v>5.042936925945337E-2</v>
      </c>
      <c r="J63" s="11"/>
      <c r="K63">
        <v>7.3282200000000006E-2</v>
      </c>
      <c r="L63" s="11">
        <f>+K63/B63*'Data entry and outputs'!$C$41</f>
        <v>0.13895929821486364</v>
      </c>
      <c r="M63" s="11">
        <f>+K63/B63*'Data entry and outputs'!$C$42</f>
        <v>0.64531358771455005</v>
      </c>
      <c r="N63" s="25">
        <f>+L63*'Data entry and outputs'!$D$52</f>
        <v>7.6983451211034455E-3</v>
      </c>
      <c r="O63" s="11">
        <f>+M63*'Data entry and outputs'!$E$52</f>
        <v>7.356574899945871E-2</v>
      </c>
      <c r="P63" s="11">
        <f>+L63*'Data entry and outputs'!$D$53</f>
        <v>2.1121813328659273E-2</v>
      </c>
      <c r="Q63" s="11">
        <f>+M63*'Data entry and outputs'!$E$53</f>
        <v>8.7117334341464264E-2</v>
      </c>
    </row>
    <row r="64" spans="1:23">
      <c r="A64" s="3"/>
      <c r="B64" s="3"/>
      <c r="C64" s="3"/>
      <c r="D64" s="3"/>
      <c r="G64" s="3"/>
      <c r="H64" s="3"/>
      <c r="I64" s="3"/>
      <c r="J64" s="3"/>
      <c r="K64" s="3"/>
      <c r="L64" s="3"/>
      <c r="M64" s="3"/>
      <c r="N64" s="3"/>
    </row>
    <row r="65" spans="4:17">
      <c r="D65" s="13">
        <f>AVERAGE(D32:D63)</f>
        <v>6.1222904971840825E-2</v>
      </c>
      <c r="E65" s="13">
        <f>AVERAGE(E32:E63)</f>
        <v>0.20282206004790895</v>
      </c>
      <c r="F65" s="13">
        <f t="shared" ref="F65:I65" si="0">AVERAGE(F32:F63)</f>
        <v>3.3917489354399802E-3</v>
      </c>
      <c r="G65" s="13">
        <f t="shared" si="0"/>
        <v>2.3121714845461626E-2</v>
      </c>
      <c r="H65" s="13">
        <f t="shared" si="0"/>
        <v>9.3058815557198037E-3</v>
      </c>
      <c r="I65" s="13">
        <f t="shared" si="0"/>
        <v>2.738097810646771E-2</v>
      </c>
      <c r="J65" s="13"/>
      <c r="K65" s="13"/>
      <c r="L65" s="13">
        <f t="shared" ref="L65:Q65" si="1">AVERAGE(L32:L63)</f>
        <v>7.2113703463566894E-2</v>
      </c>
      <c r="M65" s="13">
        <f t="shared" si="1"/>
        <v>0.33488908841135667</v>
      </c>
      <c r="N65" s="13">
        <f t="shared" si="1"/>
        <v>3.9950991718816064E-3</v>
      </c>
      <c r="O65" s="13">
        <f t="shared" si="1"/>
        <v>3.8177356078894657E-2</v>
      </c>
      <c r="P65" s="13">
        <f t="shared" si="1"/>
        <v>1.0961282926462167E-2</v>
      </c>
      <c r="Q65" s="13">
        <f t="shared" si="1"/>
        <v>4.5210026935533144E-2</v>
      </c>
    </row>
  </sheetData>
  <mergeCells count="8">
    <mergeCell ref="D30:E30"/>
    <mergeCell ref="F30:G30"/>
    <mergeCell ref="H30:I30"/>
    <mergeCell ref="F29:I29"/>
    <mergeCell ref="N29:Q29"/>
    <mergeCell ref="L30:M30"/>
    <mergeCell ref="N30:O30"/>
    <mergeCell ref="P30:Q30"/>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A1:I30"/>
  <sheetViews>
    <sheetView workbookViewId="0">
      <pane xSplit="1" ySplit="5" topLeftCell="B6" activePane="bottomRight" state="frozen"/>
      <selection pane="topRight"/>
      <selection pane="bottomLeft"/>
      <selection pane="bottomRight"/>
    </sheetView>
  </sheetViews>
  <sheetFormatPr defaultColWidth="17.7109375" defaultRowHeight="15"/>
  <cols>
    <col min="1" max="1" width="21.5703125" customWidth="1"/>
  </cols>
  <sheetData>
    <row r="1" spans="1:9">
      <c r="A1" t="s">
        <v>141</v>
      </c>
    </row>
    <row r="2" spans="1:9">
      <c r="A2" t="s">
        <v>4</v>
      </c>
      <c r="B2" t="s">
        <v>116</v>
      </c>
      <c r="C2" t="s">
        <v>117</v>
      </c>
      <c r="D2" t="s">
        <v>118</v>
      </c>
      <c r="E2" t="s">
        <v>119</v>
      </c>
      <c r="F2" t="s">
        <v>120</v>
      </c>
      <c r="G2" t="s">
        <v>121</v>
      </c>
      <c r="H2" t="s">
        <v>122</v>
      </c>
      <c r="I2" t="s">
        <v>123</v>
      </c>
    </row>
    <row r="3" spans="1:9">
      <c r="A3" t="s">
        <v>4</v>
      </c>
      <c r="B3" t="s">
        <v>124</v>
      </c>
      <c r="C3" t="s">
        <v>124</v>
      </c>
      <c r="D3" t="s">
        <v>124</v>
      </c>
      <c r="E3" t="s">
        <v>124</v>
      </c>
      <c r="F3" t="s">
        <v>124</v>
      </c>
      <c r="G3" t="s">
        <v>124</v>
      </c>
      <c r="H3" t="s">
        <v>124</v>
      </c>
      <c r="I3" t="s">
        <v>124</v>
      </c>
    </row>
    <row r="4" spans="1:9">
      <c r="F4" t="s">
        <v>125</v>
      </c>
      <c r="G4" t="s">
        <v>125</v>
      </c>
      <c r="H4" t="s">
        <v>125</v>
      </c>
      <c r="I4" t="s">
        <v>125</v>
      </c>
    </row>
    <row r="5" spans="1:9">
      <c r="B5" t="s">
        <v>1</v>
      </c>
      <c r="C5" t="s">
        <v>1</v>
      </c>
      <c r="D5" t="s">
        <v>2</v>
      </c>
      <c r="E5" t="s">
        <v>2</v>
      </c>
      <c r="F5" t="s">
        <v>1</v>
      </c>
      <c r="G5" t="s">
        <v>1</v>
      </c>
      <c r="H5" t="s">
        <v>2</v>
      </c>
      <c r="I5" t="s">
        <v>2</v>
      </c>
    </row>
    <row r="6" spans="1:9">
      <c r="A6" t="s">
        <v>187</v>
      </c>
      <c r="B6" t="s">
        <v>188</v>
      </c>
      <c r="C6" t="s">
        <v>4</v>
      </c>
      <c r="D6" t="s">
        <v>189</v>
      </c>
      <c r="E6" t="s">
        <v>4</v>
      </c>
      <c r="F6" t="s">
        <v>190</v>
      </c>
      <c r="G6" t="s">
        <v>4</v>
      </c>
      <c r="H6" t="s">
        <v>191</v>
      </c>
      <c r="I6" t="s">
        <v>4</v>
      </c>
    </row>
    <row r="7" spans="1:9">
      <c r="A7" t="s">
        <v>4</v>
      </c>
      <c r="B7" t="s">
        <v>192</v>
      </c>
      <c r="C7" t="s">
        <v>4</v>
      </c>
      <c r="D7" t="s">
        <v>193</v>
      </c>
      <c r="E7" t="s">
        <v>4</v>
      </c>
      <c r="F7" t="s">
        <v>194</v>
      </c>
      <c r="G7" t="s">
        <v>4</v>
      </c>
      <c r="H7" t="s">
        <v>126</v>
      </c>
      <c r="I7" t="s">
        <v>4</v>
      </c>
    </row>
    <row r="9" spans="1:9">
      <c r="A9" t="s">
        <v>195</v>
      </c>
      <c r="B9" t="s">
        <v>4</v>
      </c>
      <c r="C9" s="30" t="s">
        <v>196</v>
      </c>
      <c r="D9" t="s">
        <v>4</v>
      </c>
      <c r="E9" t="s">
        <v>197</v>
      </c>
      <c r="F9" t="s">
        <v>4</v>
      </c>
      <c r="G9" t="s">
        <v>198</v>
      </c>
      <c r="H9" t="s">
        <v>4</v>
      </c>
      <c r="I9" t="s">
        <v>199</v>
      </c>
    </row>
    <row r="10" spans="1:9">
      <c r="A10" t="s">
        <v>4</v>
      </c>
      <c r="B10" t="s">
        <v>4</v>
      </c>
      <c r="C10" t="s">
        <v>200</v>
      </c>
      <c r="D10" t="s">
        <v>4</v>
      </c>
      <c r="E10" t="s">
        <v>201</v>
      </c>
      <c r="F10" t="s">
        <v>4</v>
      </c>
      <c r="G10" t="s">
        <v>202</v>
      </c>
      <c r="H10" t="s">
        <v>4</v>
      </c>
      <c r="I10" t="s">
        <v>126</v>
      </c>
    </row>
    <row r="12" spans="1:9">
      <c r="A12" t="s">
        <v>203</v>
      </c>
      <c r="B12" t="s">
        <v>204</v>
      </c>
      <c r="C12" t="s">
        <v>4</v>
      </c>
      <c r="D12" t="s">
        <v>205</v>
      </c>
      <c r="E12" t="s">
        <v>4</v>
      </c>
      <c r="F12" t="s">
        <v>206</v>
      </c>
      <c r="G12" t="s">
        <v>4</v>
      </c>
      <c r="H12" t="s">
        <v>207</v>
      </c>
      <c r="I12" t="s">
        <v>4</v>
      </c>
    </row>
    <row r="13" spans="1:9">
      <c r="A13" t="s">
        <v>4</v>
      </c>
      <c r="B13" t="s">
        <v>208</v>
      </c>
      <c r="C13" t="s">
        <v>4</v>
      </c>
      <c r="D13" t="s">
        <v>209</v>
      </c>
      <c r="E13" t="s">
        <v>4</v>
      </c>
      <c r="F13" t="s">
        <v>210</v>
      </c>
      <c r="G13" t="s">
        <v>4</v>
      </c>
      <c r="H13" t="s">
        <v>211</v>
      </c>
      <c r="I13" t="s">
        <v>4</v>
      </c>
    </row>
    <row r="15" spans="1:9">
      <c r="A15" t="s">
        <v>212</v>
      </c>
      <c r="B15" t="s">
        <v>4</v>
      </c>
      <c r="C15" t="s">
        <v>213</v>
      </c>
      <c r="D15" t="s">
        <v>4</v>
      </c>
      <c r="E15" t="s">
        <v>214</v>
      </c>
      <c r="F15" t="s">
        <v>4</v>
      </c>
      <c r="G15" t="s">
        <v>215</v>
      </c>
      <c r="H15" t="s">
        <v>4</v>
      </c>
      <c r="I15" t="s">
        <v>216</v>
      </c>
    </row>
    <row r="16" spans="1:9">
      <c r="A16" t="s">
        <v>4</v>
      </c>
      <c r="B16" t="s">
        <v>4</v>
      </c>
      <c r="C16" t="s">
        <v>217</v>
      </c>
      <c r="D16" t="s">
        <v>4</v>
      </c>
      <c r="E16" t="s">
        <v>80</v>
      </c>
      <c r="F16" t="s">
        <v>4</v>
      </c>
      <c r="G16" t="s">
        <v>71</v>
      </c>
      <c r="H16" t="s">
        <v>4</v>
      </c>
      <c r="I16" t="s">
        <v>218</v>
      </c>
    </row>
    <row r="18" spans="1:9">
      <c r="A18" t="s">
        <v>130</v>
      </c>
      <c r="B18" t="s">
        <v>219</v>
      </c>
      <c r="C18" t="s">
        <v>220</v>
      </c>
      <c r="D18" t="s">
        <v>221</v>
      </c>
      <c r="E18" t="s">
        <v>222</v>
      </c>
      <c r="F18" t="s">
        <v>223</v>
      </c>
      <c r="G18" t="s">
        <v>224</v>
      </c>
      <c r="H18" t="s">
        <v>225</v>
      </c>
      <c r="I18" t="s">
        <v>226</v>
      </c>
    </row>
    <row r="19" spans="1:9">
      <c r="A19" t="s">
        <v>4</v>
      </c>
      <c r="B19" t="s">
        <v>227</v>
      </c>
      <c r="C19" t="s">
        <v>228</v>
      </c>
      <c r="D19" t="s">
        <v>129</v>
      </c>
      <c r="E19" t="s">
        <v>229</v>
      </c>
      <c r="F19" t="s">
        <v>230</v>
      </c>
      <c r="G19" t="s">
        <v>231</v>
      </c>
      <c r="H19" t="s">
        <v>128</v>
      </c>
      <c r="I19" t="s">
        <v>127</v>
      </c>
    </row>
    <row r="21" spans="1:9">
      <c r="A21" t="s">
        <v>131</v>
      </c>
      <c r="B21" t="s">
        <v>232</v>
      </c>
      <c r="C21" t="s">
        <v>233</v>
      </c>
      <c r="D21" t="s">
        <v>234</v>
      </c>
      <c r="E21" t="s">
        <v>235</v>
      </c>
      <c r="F21" t="s">
        <v>236</v>
      </c>
      <c r="G21" t="s">
        <v>237</v>
      </c>
      <c r="H21" t="s">
        <v>238</v>
      </c>
      <c r="I21" t="s">
        <v>239</v>
      </c>
    </row>
    <row r="22" spans="1:9">
      <c r="A22" t="s">
        <v>4</v>
      </c>
      <c r="B22" t="s">
        <v>240</v>
      </c>
      <c r="C22" t="s">
        <v>241</v>
      </c>
      <c r="D22" t="s">
        <v>242</v>
      </c>
      <c r="E22" t="s">
        <v>243</v>
      </c>
      <c r="F22" t="s">
        <v>244</v>
      </c>
      <c r="G22" t="s">
        <v>245</v>
      </c>
      <c r="H22" t="s">
        <v>246</v>
      </c>
      <c r="I22" t="s">
        <v>247</v>
      </c>
    </row>
    <row r="24" spans="1:9">
      <c r="A24" t="s">
        <v>132</v>
      </c>
      <c r="B24" t="s">
        <v>133</v>
      </c>
      <c r="C24" t="s">
        <v>133</v>
      </c>
      <c r="D24" t="s">
        <v>98</v>
      </c>
      <c r="E24" t="s">
        <v>98</v>
      </c>
      <c r="F24" t="s">
        <v>134</v>
      </c>
      <c r="G24" t="s">
        <v>134</v>
      </c>
      <c r="H24" t="s">
        <v>135</v>
      </c>
      <c r="I24" t="s">
        <v>135</v>
      </c>
    </row>
    <row r="25" spans="1:9">
      <c r="A25" t="s">
        <v>136</v>
      </c>
      <c r="B25" t="s">
        <v>248</v>
      </c>
      <c r="C25" t="s">
        <v>249</v>
      </c>
      <c r="D25" t="s">
        <v>250</v>
      </c>
      <c r="E25" t="s">
        <v>251</v>
      </c>
      <c r="F25" t="s">
        <v>252</v>
      </c>
      <c r="G25" t="s">
        <v>253</v>
      </c>
      <c r="H25" t="s">
        <v>114</v>
      </c>
      <c r="I25" t="s">
        <v>254</v>
      </c>
    </row>
    <row r="26" spans="1:9">
      <c r="A26" t="s">
        <v>137</v>
      </c>
      <c r="B26" t="s">
        <v>4</v>
      </c>
      <c r="C26" t="s">
        <v>4</v>
      </c>
      <c r="D26" t="s">
        <v>255</v>
      </c>
      <c r="E26" t="s">
        <v>256</v>
      </c>
      <c r="F26" t="s">
        <v>4</v>
      </c>
      <c r="G26" t="s">
        <v>4</v>
      </c>
      <c r="H26" t="s">
        <v>257</v>
      </c>
      <c r="I26" t="s">
        <v>258</v>
      </c>
    </row>
    <row r="27" spans="1:9">
      <c r="A27" t="s">
        <v>138</v>
      </c>
      <c r="B27" t="s">
        <v>4</v>
      </c>
      <c r="C27" t="s">
        <v>4</v>
      </c>
      <c r="D27" t="s">
        <v>259</v>
      </c>
      <c r="E27" t="s">
        <v>260</v>
      </c>
      <c r="F27" t="s">
        <v>4</v>
      </c>
      <c r="G27" t="s">
        <v>4</v>
      </c>
      <c r="H27" t="s">
        <v>261</v>
      </c>
      <c r="I27" t="s">
        <v>262</v>
      </c>
    </row>
    <row r="28" spans="1:9">
      <c r="A28" t="s">
        <v>139</v>
      </c>
      <c r="B28" t="s">
        <v>4</v>
      </c>
      <c r="C28" t="s">
        <v>4</v>
      </c>
      <c r="D28" t="s">
        <v>263</v>
      </c>
      <c r="E28" t="s">
        <v>264</v>
      </c>
      <c r="F28" t="s">
        <v>4</v>
      </c>
      <c r="G28" t="s">
        <v>4</v>
      </c>
      <c r="H28" t="s">
        <v>265</v>
      </c>
      <c r="I28" t="s">
        <v>266</v>
      </c>
    </row>
    <row r="30" spans="1:9">
      <c r="A30" t="s">
        <v>140</v>
      </c>
    </row>
  </sheetData>
  <pageMargins left="0.7" right="0.7" top="0.75" bottom="0.75" header="0.3" footer="0.3"/>
  <pageSetup orientation="portrait" verticalDpi="0" r:id="rId1"/>
</worksheet>
</file>

<file path=xl/worksheets/sheet14.xml><?xml version="1.0" encoding="utf-8"?>
<worksheet xmlns="http://schemas.openxmlformats.org/spreadsheetml/2006/main" xmlns:r="http://schemas.openxmlformats.org/officeDocument/2006/relationships">
  <dimension ref="A1:BU35"/>
  <sheetViews>
    <sheetView workbookViewId="0">
      <pane xSplit="1" ySplit="3" topLeftCell="B4" activePane="bottomRight" state="frozen"/>
      <selection pane="topRight"/>
      <selection pane="bottomLeft"/>
      <selection pane="bottomRight"/>
    </sheetView>
  </sheetViews>
  <sheetFormatPr defaultRowHeight="15"/>
  <cols>
    <col min="1" max="1" width="46" customWidth="1"/>
    <col min="2" max="2" width="13.85546875" customWidth="1"/>
    <col min="3" max="3" width="13.5703125" customWidth="1"/>
    <col min="4" max="4" width="13.85546875" customWidth="1"/>
    <col min="5" max="7" width="18" customWidth="1"/>
    <col min="8" max="8" width="11.85546875" customWidth="1"/>
    <col min="9" max="9" width="13.5703125" customWidth="1"/>
    <col min="10" max="10" width="11" customWidth="1"/>
    <col min="11" max="11" width="10.85546875" customWidth="1"/>
    <col min="12" max="12" width="10.140625" customWidth="1"/>
    <col min="13" max="13" width="10.42578125" customWidth="1"/>
    <col min="14" max="14" width="20.28515625" customWidth="1"/>
    <col min="15" max="15" width="17.140625" customWidth="1"/>
    <col min="16" max="16" width="19" customWidth="1"/>
    <col min="17" max="17" width="17.140625" customWidth="1"/>
    <col min="18" max="18" width="19" customWidth="1"/>
    <col min="19" max="21" width="18.140625" customWidth="1"/>
    <col min="27" max="27" width="18.42578125" customWidth="1"/>
    <col min="28" max="28" width="13.5703125" customWidth="1"/>
    <col min="29" max="29" width="19" customWidth="1"/>
    <col min="30" max="30" width="16" customWidth="1"/>
    <col min="31" max="34" width="16.85546875" customWidth="1"/>
    <col min="36" max="36" width="9.85546875" customWidth="1"/>
    <col min="40" max="47" width="17.85546875" customWidth="1"/>
    <col min="53" max="60" width="18.7109375" customWidth="1"/>
    <col min="62" max="62" width="10.85546875" bestFit="1" customWidth="1"/>
    <col min="65" max="65" width="10.85546875" bestFit="1" customWidth="1"/>
    <col min="70" max="70" width="10.85546875" bestFit="1" customWidth="1"/>
    <col min="73" max="73" width="11.85546875" bestFit="1" customWidth="1"/>
  </cols>
  <sheetData>
    <row r="1" spans="1:73">
      <c r="B1" t="s">
        <v>572</v>
      </c>
      <c r="C1" s="29">
        <v>0.01</v>
      </c>
      <c r="AJ1" s="30" t="s">
        <v>746</v>
      </c>
    </row>
    <row r="2" spans="1:73" ht="60">
      <c r="J2" s="30" t="s">
        <v>577</v>
      </c>
      <c r="N2" s="39" t="s">
        <v>568</v>
      </c>
      <c r="O2" s="39" t="s">
        <v>569</v>
      </c>
      <c r="P2" s="39" t="s">
        <v>568</v>
      </c>
      <c r="Q2" s="39" t="s">
        <v>569</v>
      </c>
      <c r="R2" s="39" t="s">
        <v>585</v>
      </c>
      <c r="S2" s="39" t="s">
        <v>580</v>
      </c>
      <c r="T2" s="39" t="s">
        <v>579</v>
      </c>
      <c r="U2" s="39" t="s">
        <v>580</v>
      </c>
      <c r="W2" s="263" t="s">
        <v>586</v>
      </c>
      <c r="X2" s="261"/>
      <c r="Y2" s="261"/>
      <c r="Z2" s="261"/>
      <c r="AA2" s="39" t="s">
        <v>570</v>
      </c>
      <c r="AB2" s="39" t="s">
        <v>569</v>
      </c>
      <c r="AC2" s="39" t="s">
        <v>570</v>
      </c>
      <c r="AD2" s="39" t="s">
        <v>569</v>
      </c>
      <c r="AE2" s="39" t="s">
        <v>587</v>
      </c>
      <c r="AF2" s="39" t="s">
        <v>580</v>
      </c>
      <c r="AG2" s="39" t="s">
        <v>587</v>
      </c>
      <c r="AH2" s="39" t="s">
        <v>580</v>
      </c>
      <c r="AJ2" s="264" t="s">
        <v>747</v>
      </c>
      <c r="AK2" s="261"/>
      <c r="AL2" s="261"/>
      <c r="AM2" s="261"/>
      <c r="AN2" s="39" t="s">
        <v>751</v>
      </c>
      <c r="AO2" s="39" t="s">
        <v>569</v>
      </c>
      <c r="AP2" s="39" t="s">
        <v>751</v>
      </c>
      <c r="AQ2" s="39" t="s">
        <v>569</v>
      </c>
      <c r="AR2" s="39" t="s">
        <v>752</v>
      </c>
      <c r="AS2" s="39" t="s">
        <v>580</v>
      </c>
      <c r="AT2" s="39" t="s">
        <v>752</v>
      </c>
      <c r="AU2" s="39" t="s">
        <v>580</v>
      </c>
      <c r="AW2" s="264" t="s">
        <v>750</v>
      </c>
      <c r="AX2" s="261"/>
      <c r="AY2" s="261"/>
      <c r="AZ2" s="261"/>
      <c r="BA2" s="39" t="s">
        <v>748</v>
      </c>
      <c r="BB2" s="39" t="s">
        <v>569</v>
      </c>
      <c r="BC2" s="39" t="s">
        <v>748</v>
      </c>
      <c r="BD2" s="39" t="s">
        <v>569</v>
      </c>
      <c r="BE2" s="39" t="s">
        <v>749</v>
      </c>
      <c r="BF2" s="39" t="s">
        <v>580</v>
      </c>
      <c r="BG2" s="39" t="s">
        <v>749</v>
      </c>
      <c r="BH2" s="39" t="s">
        <v>580</v>
      </c>
      <c r="BJ2" s="265" t="s">
        <v>1271</v>
      </c>
      <c r="BK2" s="266"/>
      <c r="BL2" s="266"/>
      <c r="BM2" s="266"/>
      <c r="BN2" s="266"/>
      <c r="BO2" s="267"/>
      <c r="BP2" s="268" t="s">
        <v>1272</v>
      </c>
      <c r="BQ2" s="261"/>
      <c r="BR2" s="261"/>
      <c r="BS2" s="261"/>
      <c r="BT2" s="261"/>
      <c r="BU2" s="261"/>
    </row>
    <row r="3" spans="1:73" ht="59.25" customHeight="1">
      <c r="A3" t="s">
        <v>571</v>
      </c>
      <c r="B3" s="3" t="s">
        <v>130</v>
      </c>
      <c r="C3" s="10" t="s">
        <v>563</v>
      </c>
      <c r="D3" s="10" t="s">
        <v>564</v>
      </c>
      <c r="E3" s="10" t="s">
        <v>565</v>
      </c>
      <c r="F3" s="10" t="s">
        <v>583</v>
      </c>
      <c r="G3" s="10" t="s">
        <v>584</v>
      </c>
      <c r="H3" s="3" t="s">
        <v>566</v>
      </c>
      <c r="I3" s="10" t="s">
        <v>567</v>
      </c>
      <c r="J3" s="31" t="s">
        <v>573</v>
      </c>
      <c r="K3" s="31" t="s">
        <v>574</v>
      </c>
      <c r="L3" s="31" t="s">
        <v>575</v>
      </c>
      <c r="M3" s="31" t="s">
        <v>576</v>
      </c>
      <c r="N3" s="31" t="s">
        <v>578</v>
      </c>
      <c r="P3" s="31" t="s">
        <v>574</v>
      </c>
      <c r="R3" s="31" t="s">
        <v>581</v>
      </c>
      <c r="T3" s="31" t="s">
        <v>582</v>
      </c>
      <c r="U3" s="31"/>
      <c r="V3" s="30"/>
      <c r="W3" s="31" t="s">
        <v>573</v>
      </c>
      <c r="X3" s="31" t="s">
        <v>574</v>
      </c>
      <c r="Y3" s="31" t="s">
        <v>575</v>
      </c>
      <c r="Z3" s="31" t="s">
        <v>576</v>
      </c>
      <c r="AA3" s="31" t="s">
        <v>573</v>
      </c>
      <c r="AC3" s="31" t="s">
        <v>574</v>
      </c>
      <c r="AE3" s="31" t="s">
        <v>575</v>
      </c>
      <c r="AG3" s="31" t="s">
        <v>576</v>
      </c>
      <c r="AJ3" s="38" t="s">
        <v>573</v>
      </c>
      <c r="AK3" s="38" t="s">
        <v>574</v>
      </c>
      <c r="AL3" s="38" t="s">
        <v>575</v>
      </c>
      <c r="AM3" s="38" t="s">
        <v>576</v>
      </c>
      <c r="AN3" s="38" t="s">
        <v>573</v>
      </c>
      <c r="AP3" s="38" t="s">
        <v>574</v>
      </c>
      <c r="AR3" s="38" t="s">
        <v>575</v>
      </c>
      <c r="AT3" s="38" t="s">
        <v>576</v>
      </c>
      <c r="AW3" s="38" t="s">
        <v>573</v>
      </c>
      <c r="AX3" s="38" t="s">
        <v>574</v>
      </c>
      <c r="AY3" s="38" t="s">
        <v>575</v>
      </c>
      <c r="AZ3" s="38" t="s">
        <v>576</v>
      </c>
      <c r="BA3" s="38" t="s">
        <v>573</v>
      </c>
      <c r="BC3" s="38" t="s">
        <v>574</v>
      </c>
      <c r="BE3" s="38" t="s">
        <v>575</v>
      </c>
      <c r="BG3" s="38" t="s">
        <v>576</v>
      </c>
      <c r="BJ3" s="72" t="s">
        <v>1265</v>
      </c>
      <c r="BK3" s="72" t="s">
        <v>1266</v>
      </c>
      <c r="BL3" s="72" t="s">
        <v>1267</v>
      </c>
      <c r="BM3" s="72" t="s">
        <v>1268</v>
      </c>
      <c r="BN3" s="72" t="s">
        <v>1269</v>
      </c>
      <c r="BO3" s="73" t="s">
        <v>1270</v>
      </c>
      <c r="BP3" t="s">
        <v>1265</v>
      </c>
      <c r="BQ3" t="s">
        <v>1266</v>
      </c>
      <c r="BR3" t="s">
        <v>1267</v>
      </c>
      <c r="BS3" t="s">
        <v>1268</v>
      </c>
      <c r="BT3" t="s">
        <v>1269</v>
      </c>
      <c r="BU3" t="s">
        <v>1270</v>
      </c>
    </row>
    <row r="4" spans="1:73">
      <c r="A4" s="3" t="s">
        <v>278</v>
      </c>
      <c r="B4" s="3">
        <v>846582</v>
      </c>
      <c r="C4" s="3">
        <v>512994</v>
      </c>
      <c r="D4" s="34">
        <v>35760.019999999997</v>
      </c>
      <c r="E4" s="32">
        <f>C4*D4</f>
        <v>18344675699.879997</v>
      </c>
      <c r="F4" s="32">
        <v>28740</v>
      </c>
      <c r="G4" s="37">
        <f>+F4/B4</f>
        <v>3.394827671743552E-2</v>
      </c>
      <c r="H4" s="3">
        <v>42</v>
      </c>
      <c r="I4" s="3">
        <f>+H4*$C$1</f>
        <v>0.42</v>
      </c>
      <c r="J4" s="16">
        <f>+'Track mile elasticities'!F32</f>
        <v>1.9830307491930464E-3</v>
      </c>
      <c r="K4" s="16">
        <f>+'Track mile elasticities'!G32</f>
        <v>1.3518415538818733E-2</v>
      </c>
      <c r="L4" s="16">
        <f>+'Track mile elasticities'!H32</f>
        <v>5.4408063876776724E-3</v>
      </c>
      <c r="M4" s="16">
        <f>+'Track mile elasticities'!I32</f>
        <v>1.6008649980180079E-2</v>
      </c>
      <c r="N4" s="32">
        <f t="shared" ref="N4:N35" si="0">J4*$C$1*E4</f>
        <v>363780.55996836507</v>
      </c>
      <c r="O4" s="35">
        <f t="shared" ref="O4:O35" si="1">N4/E4</f>
        <v>1.9830307491930466E-5</v>
      </c>
      <c r="P4" s="36">
        <f t="shared" ref="P4:P35" si="2">+K4*$C$1*E4</f>
        <v>2479909.4903584821</v>
      </c>
      <c r="Q4" s="35">
        <f t="shared" ref="Q4:Q35" si="3">P4/E4</f>
        <v>1.3518415538818734E-4</v>
      </c>
      <c r="R4" s="36">
        <f>+L4*$C$1*G4*1000000*B4</f>
        <v>1563687.7558185628</v>
      </c>
      <c r="S4" s="33">
        <f>+R4/F4/1000000</f>
        <v>5.4408063876776716E-5</v>
      </c>
      <c r="T4" s="36">
        <f>+M4*$C$1*G4*1000000*B4</f>
        <v>4600886.0043037543</v>
      </c>
      <c r="U4" s="33">
        <f>+T4/F4/1000000</f>
        <v>1.6008649980180079E-4</v>
      </c>
      <c r="V4" s="13"/>
      <c r="W4" s="11">
        <f>+'Track mile elasticities'!N32</f>
        <v>1.17410969753006E-3</v>
      </c>
      <c r="X4" s="11">
        <f>+'Track mile elasticities'!O32</f>
        <v>1.1219847635766465E-2</v>
      </c>
      <c r="Y4" s="11">
        <f>+'Track mile elasticities'!P32</f>
        <v>3.2213840076637025E-3</v>
      </c>
      <c r="Z4" s="11">
        <f>+'Track mile elasticities'!Q32</f>
        <v>1.3286661673933973E-2</v>
      </c>
      <c r="AA4" s="32">
        <f>E4*$C$1*W4</f>
        <v>215386.61637273146</v>
      </c>
      <c r="AB4" s="33">
        <f t="shared" ref="AB4:AB35" si="4">AA4/E4</f>
        <v>1.1741096975300601E-5</v>
      </c>
      <c r="AC4" s="40">
        <f>+E4*$C$1*X4</f>
        <v>2058244.6628020112</v>
      </c>
      <c r="AD4" s="33">
        <f>AC4/E4</f>
        <v>1.1219847635766466E-4</v>
      </c>
      <c r="AE4" s="40">
        <f>+Y4*$C$1*G4*B4*1000000</f>
        <v>925825.76380254794</v>
      </c>
      <c r="AF4" s="41">
        <f>+AE4/F4/1000000</f>
        <v>3.2213840076637023E-5</v>
      </c>
      <c r="AG4" s="40">
        <f>+Z4*G4*B4*$C$1*1000000</f>
        <v>3818586.5650886232</v>
      </c>
      <c r="AH4" s="41">
        <f>+AG4/F4/1000000</f>
        <v>1.3286661673933973E-4</v>
      </c>
      <c r="AJ4" s="11">
        <f>+'Track mile pop elasticities'!H33</f>
        <v>0.19599002287832915</v>
      </c>
      <c r="AK4" s="11">
        <f>+'Track mile pop elasticities'!I33</f>
        <v>0.35264396118866997</v>
      </c>
      <c r="AL4" s="11">
        <f>+'Track mile pop elasticities'!J33</f>
        <v>0.28465217608519228</v>
      </c>
      <c r="AM4" s="11">
        <f>+'Track mile pop elasticities'!K33</f>
        <v>0.64890589369891882</v>
      </c>
      <c r="AN4" s="32">
        <f>E4*$C$1*AJ4</f>
        <v>35953734.101150095</v>
      </c>
      <c r="AO4" s="33">
        <f>AN4/E4</f>
        <v>1.9599002287832915E-3</v>
      </c>
      <c r="AP4" s="40">
        <f>+E4*$C$1*AK4</f>
        <v>64691391.055272192</v>
      </c>
      <c r="AQ4" s="33">
        <f>AP4/E4</f>
        <v>3.5264396118866999E-3</v>
      </c>
      <c r="AR4" s="40">
        <f>+AL4*$C$1*G4*B4*1000000</f>
        <v>81809035.406884268</v>
      </c>
      <c r="AS4" s="41">
        <f>+AR4/F4/1000000</f>
        <v>2.846521760851923E-3</v>
      </c>
      <c r="AT4" s="40">
        <f>+AM4*G4*B4*$C$1*1000000</f>
        <v>186495553.84906927</v>
      </c>
      <c r="AU4" s="41">
        <f>+AT4/F4/1000000</f>
        <v>6.4890589369891874E-3</v>
      </c>
      <c r="AW4" s="11">
        <f>+'Track mile pop elasticities'!P33</f>
        <v>0.18330581364005763</v>
      </c>
      <c r="AX4" s="11">
        <f>+'Track mile pop elasticities'!Q33</f>
        <v>0.28078251092487638</v>
      </c>
      <c r="AY4" s="11">
        <f>+'Track mile pop elasticities'!R33</f>
        <v>0.26622987219151223</v>
      </c>
      <c r="AZ4" s="11">
        <f>+'Track mile pop elasticities'!S33</f>
        <v>0.51667246923094989</v>
      </c>
      <c r="BA4" s="32">
        <f>E4*$C$1*AW4</f>
        <v>33626857.051294968</v>
      </c>
      <c r="BB4" s="33">
        <f>BA4/E4</f>
        <v>1.8330581364005764E-3</v>
      </c>
      <c r="BC4" s="40">
        <f>+E4*$C$1*AX4</f>
        <v>51508641.051148698</v>
      </c>
      <c r="BD4" s="33">
        <f>BC4/E4</f>
        <v>2.807825109248764E-3</v>
      </c>
      <c r="BE4" s="40">
        <f>+AY4*$C$1*G4*B4*1000000</f>
        <v>76514465.267840609</v>
      </c>
      <c r="BF4" s="41">
        <f>+BE4/F4/1000000</f>
        <v>2.6622987219151223E-3</v>
      </c>
      <c r="BG4" s="40">
        <f>+AZ4*G4*B4*$C$1*1000000</f>
        <v>148491667.65697497</v>
      </c>
      <c r="BH4" s="41">
        <f>+BG4/F4/1000000</f>
        <v>5.1667246923094981E-3</v>
      </c>
      <c r="BJ4" s="70">
        <f>+N4/C4</f>
        <v>0.70913219251758319</v>
      </c>
      <c r="BK4" s="70">
        <f>+AN4/C4</f>
        <v>70.086071379295078</v>
      </c>
      <c r="BL4" s="70">
        <f>+(N4+AN4)/C4</f>
        <v>70.795203571812664</v>
      </c>
      <c r="BM4" s="70">
        <f>+P4/C4</f>
        <v>4.8341881003646865</v>
      </c>
      <c r="BN4" s="70">
        <f>+AP4/C4</f>
        <v>126.10555104986061</v>
      </c>
      <c r="BO4" s="71">
        <f>+(P4+AP4)/C4</f>
        <v>130.93973915022531</v>
      </c>
      <c r="BP4" s="69">
        <f>+R4/C4</f>
        <v>3.0481599313414245</v>
      </c>
      <c r="BQ4" s="69">
        <f>+AR4/C4</f>
        <v>159.47366910116739</v>
      </c>
      <c r="BR4" s="69">
        <f>+(R4+AR4)/C4</f>
        <v>162.5218290325088</v>
      </c>
      <c r="BS4" s="69">
        <f>+T4/C4</f>
        <v>8.9686935993476613</v>
      </c>
      <c r="BT4" s="69">
        <f>+AT4/C4</f>
        <v>363.54334329264918</v>
      </c>
      <c r="BU4" s="69">
        <f>+(T4+AT4)/C4</f>
        <v>372.51203689199684</v>
      </c>
    </row>
    <row r="5" spans="1:73">
      <c r="A5" s="3" t="s">
        <v>280</v>
      </c>
      <c r="B5" s="3">
        <v>5385586</v>
      </c>
      <c r="C5" s="3">
        <v>3235326</v>
      </c>
      <c r="D5" s="34">
        <v>44729.85</v>
      </c>
      <c r="E5" s="32">
        <f t="shared" ref="E5:E35" si="5">C5*D5</f>
        <v>144715646681.10001</v>
      </c>
      <c r="F5" s="32">
        <v>244325</v>
      </c>
      <c r="G5" s="37">
        <f t="shared" ref="G5:G35" si="6">+F5/B5</f>
        <v>4.5366465227739378E-2</v>
      </c>
      <c r="H5" s="3">
        <v>49.5</v>
      </c>
      <c r="I5" s="3">
        <f t="shared" ref="I5:I35" si="7">+H5*$C$1</f>
        <v>0.495</v>
      </c>
      <c r="J5" s="16">
        <f>+'Track mile elasticities'!F33</f>
        <v>1.9171288785560083E-3</v>
      </c>
      <c r="K5" s="16">
        <f>+'Track mile elasticities'!G33</f>
        <v>1.3069159332166626E-2</v>
      </c>
      <c r="L5" s="16">
        <f>+'Track mile elasticities'!H33</f>
        <v>5.2599925909839942E-3</v>
      </c>
      <c r="M5" s="16">
        <f>+'Track mile elasticities'!I33</f>
        <v>1.5476636051249952E-2</v>
      </c>
      <c r="N5" s="32">
        <f t="shared" si="0"/>
        <v>2774385.4543124479</v>
      </c>
      <c r="O5" s="35">
        <f t="shared" si="1"/>
        <v>1.9171288785560084E-5</v>
      </c>
      <c r="P5" s="36">
        <f t="shared" si="2"/>
        <v>18913118.443328265</v>
      </c>
      <c r="Q5" s="35">
        <f t="shared" si="3"/>
        <v>1.3069159332166627E-4</v>
      </c>
      <c r="R5" s="36">
        <f t="shared" ref="R5:R35" si="8">+L5*$C$1*G5*1000000*B5</f>
        <v>12851476.897921646</v>
      </c>
      <c r="S5" s="33">
        <f t="shared" ref="S5:S35" si="9">+R5/F5/1000000</f>
        <v>5.2599925909839952E-5</v>
      </c>
      <c r="T5" s="36">
        <f t="shared" ref="T5:T35" si="10">+M5*$C$1*G5*1000000*B5</f>
        <v>37813291.032216445</v>
      </c>
      <c r="U5" s="33">
        <f t="shared" ref="U5:U35" si="11">+T5/F5/1000000</f>
        <v>1.5476636051249952E-4</v>
      </c>
      <c r="V5" s="13"/>
      <c r="W5" s="11">
        <f>+'Track mile elasticities'!N33</f>
        <v>1.2585713844710275E-3</v>
      </c>
      <c r="X5" s="11">
        <f>+'Track mile elasticities'!O33</f>
        <v>1.2026967499039035E-2</v>
      </c>
      <c r="Y5" s="11">
        <f>+'Track mile elasticities'!P33</f>
        <v>3.4531200440360323E-3</v>
      </c>
      <c r="Z5" s="11">
        <f>+'Track mile elasticities'!Q33</f>
        <v>1.4242461512019911E-2</v>
      </c>
      <c r="AA5" s="32">
        <f t="shared" ref="AA5:AA35" si="12">E5*$C$1*W5</f>
        <v>1821349.717980521</v>
      </c>
      <c r="AB5" s="33">
        <f t="shared" si="4"/>
        <v>1.2585713844710276E-5</v>
      </c>
      <c r="AC5" s="40">
        <f t="shared" ref="AC5:AC35" si="13">+E5*$C$1*X5</f>
        <v>17404903.79236006</v>
      </c>
      <c r="AD5" s="33">
        <f t="shared" ref="AD5:AD35" si="14">AC5/E5</f>
        <v>1.2026967499039035E-4</v>
      </c>
      <c r="AE5" s="40">
        <f t="shared" ref="AE5:AE35" si="15">+Y5*$C$1*G5*B5*1000000</f>
        <v>8436835.5475910362</v>
      </c>
      <c r="AF5" s="41">
        <f t="shared" ref="AF5:AF35" si="16">+AE5/F5/1000000</f>
        <v>3.4531200440360326E-5</v>
      </c>
      <c r="AG5" s="40">
        <f t="shared" ref="AG5:AG35" si="17">+Z5*G5*B5*$C$1*1000000</f>
        <v>34797894.089242645</v>
      </c>
      <c r="AH5" s="41">
        <f t="shared" ref="AH5:AH35" si="18">+AG5/F5/1000000</f>
        <v>1.424246151201991E-4</v>
      </c>
      <c r="AJ5" s="11">
        <f>+'Track mile pop elasticities'!H34</f>
        <v>5.7077113519174473E-3</v>
      </c>
      <c r="AK5" s="11">
        <f>+'Track mile pop elasticities'!I34</f>
        <v>1.0269859204574155E-2</v>
      </c>
      <c r="AL5" s="11">
        <f>+'Track mile pop elasticities'!J34</f>
        <v>8.2897712492134342E-3</v>
      </c>
      <c r="AM5" s="11">
        <f>+'Track mile pop elasticities'!K34</f>
        <v>1.8897735106091395E-2</v>
      </c>
      <c r="AN5" s="32">
        <f t="shared" ref="AN5:AN35" si="19">E5*$C$1*AJ5</f>
        <v>8259951.3936178898</v>
      </c>
      <c r="AO5" s="33">
        <f t="shared" ref="AO5:AO35" si="20">AN5/E5</f>
        <v>5.7077113519174478E-5</v>
      </c>
      <c r="AP5" s="40">
        <f t="shared" ref="AP5:AP35" si="21">+E5*$C$1*AK5</f>
        <v>14862093.161137963</v>
      </c>
      <c r="AQ5" s="33">
        <f t="shared" ref="AQ5:AQ35" si="22">AP5/E5</f>
        <v>1.0269859204574156E-4</v>
      </c>
      <c r="AR5" s="40">
        <f t="shared" ref="AR5:AR35" si="23">+AL5*$C$1*G5*B5*1000000</f>
        <v>20253983.604640726</v>
      </c>
      <c r="AS5" s="41">
        <f t="shared" ref="AS5:AS35" si="24">+AR5/F5/1000000</f>
        <v>8.2897712492134359E-5</v>
      </c>
      <c r="AT5" s="40">
        <f t="shared" ref="AT5:AT35" si="25">+AM5*G5*B5*$C$1*1000000</f>
        <v>46171891.2979578</v>
      </c>
      <c r="AU5" s="41">
        <f t="shared" ref="AU5:AU35" si="26">+AT5/F5/1000000</f>
        <v>1.8897735106091396E-4</v>
      </c>
      <c r="AW5" s="11">
        <f>+'Track mile pop elasticities'!P34</f>
        <v>4.4952507939357384E-3</v>
      </c>
      <c r="AX5" s="11">
        <f>+'Track mile pop elasticities'!Q34</f>
        <v>6.8856943492080075E-3</v>
      </c>
      <c r="AY5" s="11">
        <f>+'Track mile pop elasticities'!R34</f>
        <v>6.5288166292876201E-3</v>
      </c>
      <c r="AZ5" s="11">
        <f>+'Track mile pop elasticities'!S34</f>
        <v>1.2670478264676361E-2</v>
      </c>
      <c r="BA5" s="32">
        <f t="shared" ref="BA5:BA35" si="27">E5*$C$1*AW5</f>
        <v>6505331.256381386</v>
      </c>
      <c r="BB5" s="33">
        <f t="shared" ref="BB5:BB35" si="28">BA5/E5</f>
        <v>4.4952507939357383E-5</v>
      </c>
      <c r="BC5" s="40">
        <f t="shared" ref="BC5:BC35" si="29">+E5*$C$1*AX5</f>
        <v>9964677.1059403289</v>
      </c>
      <c r="BD5" s="33">
        <f t="shared" ref="BD5:BD35" si="30">BC5/E5</f>
        <v>6.8856943492080083E-5</v>
      </c>
      <c r="BE5" s="40">
        <f t="shared" ref="BE5:BE35" si="31">+AY5*$C$1*G5*B5*1000000</f>
        <v>15951531.229506977</v>
      </c>
      <c r="BF5" s="41">
        <f t="shared" ref="BF5:BF35" si="32">+BE5/F5/1000000</f>
        <v>6.52881662928762E-5</v>
      </c>
      <c r="BG5" s="40">
        <f t="shared" ref="BG5:BG35" si="33">+AZ5*G5*B5*$C$1*1000000</f>
        <v>30957146.020170517</v>
      </c>
      <c r="BH5" s="41">
        <f t="shared" ref="BH5:BH35" si="34">+BG5/F5/1000000</f>
        <v>1.2670478264676361E-4</v>
      </c>
      <c r="BJ5" s="70">
        <f t="shared" ref="BJ5:BJ35" si="35">+N5/C5</f>
        <v>0.85752887168478475</v>
      </c>
      <c r="BK5" s="70">
        <f t="shared" ref="BK5:BK35" si="36">+AN5/C5</f>
        <v>2.5530507261456465</v>
      </c>
      <c r="BL5" s="70">
        <f t="shared" ref="BL5:BL35" si="37">+(N5+AN5)/C5</f>
        <v>3.4105795978304312</v>
      </c>
      <c r="BM5" s="70">
        <f t="shared" ref="BM5:BM35" si="38">+P5/C5</f>
        <v>5.8458153655391341</v>
      </c>
      <c r="BN5" s="70">
        <f t="shared" ref="BN5:BN35" si="39">+AP5/C5</f>
        <v>4.5936926174172132</v>
      </c>
      <c r="BO5" s="71">
        <f t="shared" ref="BO5:BO35" si="40">+(P5+AP5)/C5</f>
        <v>10.439507982956348</v>
      </c>
      <c r="BP5" s="69">
        <f t="shared" ref="BP5:BP35" si="41">+R5/C5</f>
        <v>3.9722355329638019</v>
      </c>
      <c r="BQ5" s="69">
        <f t="shared" ref="BQ5:BQ35" si="42">+AR5/C5</f>
        <v>6.260260513048987</v>
      </c>
      <c r="BR5" s="69">
        <f t="shared" ref="BR5:BR35" si="43">+(R5+AR5)/C5</f>
        <v>10.232496046012789</v>
      </c>
      <c r="BS5" s="69">
        <f t="shared" ref="BS5:BS35" si="44">+T5/C5</f>
        <v>11.687629324592466</v>
      </c>
      <c r="BT5" s="69">
        <f t="shared" ref="BT5:BT35" si="45">+AT5/C5</f>
        <v>14.271171219826936</v>
      </c>
      <c r="BU5" s="69">
        <f t="shared" ref="BU5:BU35" si="46">+(T5+AT5)/C5</f>
        <v>25.9588005444194</v>
      </c>
    </row>
    <row r="6" spans="1:73">
      <c r="A6" s="3" t="s">
        <v>282</v>
      </c>
      <c r="B6" s="3">
        <v>2677712</v>
      </c>
      <c r="C6" s="3">
        <v>1711130</v>
      </c>
      <c r="D6" s="34">
        <v>44573.68</v>
      </c>
      <c r="E6" s="32">
        <f t="shared" si="5"/>
        <v>76271361058.399994</v>
      </c>
      <c r="F6" s="32">
        <v>108896</v>
      </c>
      <c r="G6" s="37">
        <f t="shared" si="6"/>
        <v>4.0667554987242838E-2</v>
      </c>
      <c r="H6" s="3">
        <v>107</v>
      </c>
      <c r="I6" s="3">
        <f t="shared" si="7"/>
        <v>1.07</v>
      </c>
      <c r="J6" s="16">
        <f>+'Track mile elasticities'!F34</f>
        <v>2.8883744459316432E-3</v>
      </c>
      <c r="K6" s="16">
        <f>+'Track mile elasticities'!G34</f>
        <v>1.9690186855498001E-2</v>
      </c>
      <c r="L6" s="16">
        <f>+'Track mile elasticities'!H34</f>
        <v>7.9247818733142548E-3</v>
      </c>
      <c r="M6" s="16">
        <f>+'Track mile elasticities'!I34</f>
        <v>2.3317326539405527E-2</v>
      </c>
      <c r="N6" s="32">
        <f t="shared" si="0"/>
        <v>2203002.502375084</v>
      </c>
      <c r="O6" s="35">
        <f t="shared" si="1"/>
        <v>2.8883744459316433E-5</v>
      </c>
      <c r="P6" s="36">
        <f t="shared" si="2"/>
        <v>15017973.509630496</v>
      </c>
      <c r="Q6" s="35">
        <f t="shared" si="3"/>
        <v>1.9690186855498E-4</v>
      </c>
      <c r="R6" s="36">
        <f t="shared" si="8"/>
        <v>8629770.4687642902</v>
      </c>
      <c r="S6" s="33">
        <f t="shared" si="9"/>
        <v>7.9247818733142543E-5</v>
      </c>
      <c r="T6" s="36">
        <f t="shared" si="10"/>
        <v>25391635.908351041</v>
      </c>
      <c r="U6" s="33">
        <f t="shared" si="11"/>
        <v>2.3317326539405524E-4</v>
      </c>
      <c r="V6" s="13"/>
      <c r="W6" s="11">
        <f>+'Track mile elasticities'!N34</f>
        <v>6.0877875695030835E-3</v>
      </c>
      <c r="X6" s="11">
        <f>+'Track mile elasticities'!O34</f>
        <v>5.8175185089116337E-2</v>
      </c>
      <c r="Y6" s="11">
        <f>+'Track mile elasticities'!P34</f>
        <v>1.670295506434059E-2</v>
      </c>
      <c r="Z6" s="11">
        <f>+'Track mile elasticities'!Q34</f>
        <v>6.8891666552900924E-2</v>
      </c>
      <c r="AA6" s="32">
        <f t="shared" si="12"/>
        <v>4643238.4376040902</v>
      </c>
      <c r="AB6" s="33">
        <f t="shared" si="4"/>
        <v>6.0877875695030832E-5</v>
      </c>
      <c r="AC6" s="40">
        <f t="shared" si="13"/>
        <v>44371005.465712398</v>
      </c>
      <c r="AD6" s="33">
        <f t="shared" si="14"/>
        <v>5.8175185089116334E-4</v>
      </c>
      <c r="AE6" s="40">
        <f t="shared" si="15"/>
        <v>18188849.946864329</v>
      </c>
      <c r="AF6" s="41">
        <f t="shared" si="16"/>
        <v>1.6702955064340592E-4</v>
      </c>
      <c r="AG6" s="40">
        <f t="shared" si="17"/>
        <v>75020269.209446996</v>
      </c>
      <c r="AH6" s="41">
        <f t="shared" si="18"/>
        <v>6.8891666552900921E-4</v>
      </c>
      <c r="AJ6" s="11">
        <f>+'Track mile pop elasticities'!H35</f>
        <v>4.9908990060768051E-2</v>
      </c>
      <c r="AK6" s="11">
        <f>+'Track mile pop elasticities'!I35</f>
        <v>8.9801019947231567E-2</v>
      </c>
      <c r="AL6" s="11">
        <f>+'Track mile pop elasticities'!J35</f>
        <v>7.2486866516829784E-2</v>
      </c>
      <c r="AM6" s="11">
        <f>+'Track mile pop elasticities'!K35</f>
        <v>0.1652443186819697</v>
      </c>
      <c r="AN6" s="32">
        <f t="shared" si="19"/>
        <v>38066266.00984937</v>
      </c>
      <c r="AO6" s="33">
        <f t="shared" si="20"/>
        <v>4.9908990060768053E-4</v>
      </c>
      <c r="AP6" s="40">
        <f t="shared" si="21"/>
        <v>68492460.15807879</v>
      </c>
      <c r="AQ6" s="33">
        <f t="shared" si="22"/>
        <v>8.980101994723157E-4</v>
      </c>
      <c r="AR6" s="40">
        <f t="shared" si="23"/>
        <v>78935298.162166953</v>
      </c>
      <c r="AS6" s="41">
        <f t="shared" si="24"/>
        <v>7.2486866516829776E-4</v>
      </c>
      <c r="AT6" s="40">
        <f t="shared" si="25"/>
        <v>179944453.2719177</v>
      </c>
      <c r="AU6" s="41">
        <f t="shared" si="26"/>
        <v>1.6524431868196968E-3</v>
      </c>
      <c r="AW6" s="11">
        <f>+'Track mile pop elasticities'!P35</f>
        <v>4.8368493380974834E-2</v>
      </c>
      <c r="AX6" s="11">
        <f>+'Track mile pop elasticities'!Q35</f>
        <v>7.4089450582463842E-2</v>
      </c>
      <c r="AY6" s="11">
        <f>+'Track mile pop elasticities'!R35</f>
        <v>7.0249478481892016E-2</v>
      </c>
      <c r="AZ6" s="11">
        <f>+'Track mile pop elasticities'!S35</f>
        <v>0.13633320412412678</v>
      </c>
      <c r="BA6" s="32">
        <f t="shared" si="27"/>
        <v>36891308.225111619</v>
      </c>
      <c r="BB6" s="33">
        <f t="shared" si="28"/>
        <v>4.8368493380974834E-4</v>
      </c>
      <c r="BC6" s="40">
        <f t="shared" si="29"/>
        <v>56509032.359935835</v>
      </c>
      <c r="BD6" s="33">
        <f t="shared" si="30"/>
        <v>7.4089450582463844E-4</v>
      </c>
      <c r="BE6" s="40">
        <f t="shared" si="31"/>
        <v>76498872.08764112</v>
      </c>
      <c r="BF6" s="41">
        <f t="shared" si="32"/>
        <v>7.0249478481892004E-4</v>
      </c>
      <c r="BG6" s="40">
        <f t="shared" si="33"/>
        <v>148461405.96300906</v>
      </c>
      <c r="BH6" s="41">
        <f t="shared" si="34"/>
        <v>1.3633320412412674E-3</v>
      </c>
      <c r="BJ6" s="70">
        <f t="shared" si="35"/>
        <v>1.2874547827313436</v>
      </c>
      <c r="BK6" s="70">
        <f t="shared" si="36"/>
        <v>22.246273520918557</v>
      </c>
      <c r="BL6" s="70">
        <f t="shared" si="37"/>
        <v>23.533728303649898</v>
      </c>
      <c r="BM6" s="70">
        <f t="shared" si="38"/>
        <v>8.7766408803717404</v>
      </c>
      <c r="BN6" s="70">
        <f t="shared" si="39"/>
        <v>40.027619268015165</v>
      </c>
      <c r="BO6" s="71">
        <f t="shared" si="40"/>
        <v>48.804260148386909</v>
      </c>
      <c r="BP6" s="69">
        <f t="shared" si="41"/>
        <v>5.0433166788989094</v>
      </c>
      <c r="BQ6" s="69">
        <f t="shared" si="42"/>
        <v>46.130509173567731</v>
      </c>
      <c r="BR6" s="69">
        <f t="shared" si="43"/>
        <v>51.173825852466642</v>
      </c>
      <c r="BS6" s="69">
        <f t="shared" si="44"/>
        <v>14.839103930356572</v>
      </c>
      <c r="BT6" s="69">
        <f t="shared" si="45"/>
        <v>105.16118195106023</v>
      </c>
      <c r="BU6" s="69">
        <f t="shared" si="46"/>
        <v>120.0002858814168</v>
      </c>
    </row>
    <row r="7" spans="1:73">
      <c r="A7" s="3" t="s">
        <v>284</v>
      </c>
      <c r="B7" s="3">
        <v>1124055</v>
      </c>
      <c r="C7" s="3">
        <v>658725</v>
      </c>
      <c r="D7" s="34">
        <v>35849.879999999997</v>
      </c>
      <c r="E7" s="32">
        <f t="shared" si="5"/>
        <v>23615212203</v>
      </c>
      <c r="F7" s="32">
        <v>37554</v>
      </c>
      <c r="G7" s="37">
        <f t="shared" si="6"/>
        <v>3.340939722700402E-2</v>
      </c>
      <c r="H7" s="3">
        <v>6.4</v>
      </c>
      <c r="I7" s="3">
        <f t="shared" si="7"/>
        <v>6.4000000000000001E-2</v>
      </c>
      <c r="J7" s="16">
        <f>+'Track mile elasticities'!F35</f>
        <v>2.9627118675436016E-4</v>
      </c>
      <c r="K7" s="16">
        <f>+'Track mile elasticities'!G35</f>
        <v>2.0196948616929967E-3</v>
      </c>
      <c r="L7" s="16">
        <f>+'Track mile elasticities'!H35</f>
        <v>8.1287401419968851E-4</v>
      </c>
      <c r="M7" s="16">
        <f>+'Track mile elasticities'!I35</f>
        <v>2.3917439151627594E-3</v>
      </c>
      <c r="N7" s="32">
        <f t="shared" si="0"/>
        <v>69965.069448388575</v>
      </c>
      <c r="O7" s="35">
        <f t="shared" si="1"/>
        <v>2.9627118675436012E-6</v>
      </c>
      <c r="P7" s="36">
        <f t="shared" si="2"/>
        <v>476955.22744188854</v>
      </c>
      <c r="Q7" s="35">
        <f t="shared" si="3"/>
        <v>2.0196948616929967E-5</v>
      </c>
      <c r="R7" s="36">
        <f t="shared" si="8"/>
        <v>305266.707292551</v>
      </c>
      <c r="S7" s="33">
        <f t="shared" si="9"/>
        <v>8.1287401419968845E-6</v>
      </c>
      <c r="T7" s="36">
        <f t="shared" si="10"/>
        <v>898195.50990022277</v>
      </c>
      <c r="U7" s="33">
        <f t="shared" si="11"/>
        <v>2.3917439151627597E-5</v>
      </c>
      <c r="V7" s="13"/>
      <c r="W7" s="11">
        <f>+'Track mile elasticities'!N35</f>
        <v>1.0395904062461974E-3</v>
      </c>
      <c r="X7" s="11">
        <f>+'Track mile elasticities'!O35</f>
        <v>9.9343749448830929E-3</v>
      </c>
      <c r="Y7" s="11">
        <f>+'Track mile elasticities'!P35</f>
        <v>2.8523058077512997E-3</v>
      </c>
      <c r="Z7" s="11">
        <f>+'Track mile elasticities'!Q35</f>
        <v>1.1764391382098401E-2</v>
      </c>
      <c r="AA7" s="32">
        <f t="shared" si="12"/>
        <v>245501.4804770693</v>
      </c>
      <c r="AB7" s="33">
        <f t="shared" si="4"/>
        <v>1.0395904062461976E-5</v>
      </c>
      <c r="AC7" s="40">
        <f t="shared" si="13"/>
        <v>2346023.7242758069</v>
      </c>
      <c r="AD7" s="33">
        <f t="shared" si="14"/>
        <v>9.9343749448830944E-5</v>
      </c>
      <c r="AE7" s="40">
        <f t="shared" si="15"/>
        <v>1071154.9230429234</v>
      </c>
      <c r="AF7" s="41">
        <f t="shared" si="16"/>
        <v>2.8523058077513008E-5</v>
      </c>
      <c r="AG7" s="40">
        <f t="shared" si="17"/>
        <v>4417999.539633234</v>
      </c>
      <c r="AH7" s="41">
        <f t="shared" si="18"/>
        <v>1.1764391382098402E-4</v>
      </c>
      <c r="AJ7" s="11">
        <f>+'Track mile pop elasticities'!H36</f>
        <v>1.6940553041039908E-2</v>
      </c>
      <c r="AK7" s="11">
        <f>+'Track mile pop elasticities'!I36</f>
        <v>3.0481060420242616E-2</v>
      </c>
      <c r="AL7" s="11">
        <f>+'Track mile pop elasticities'!J36</f>
        <v>2.4604136559605579E-2</v>
      </c>
      <c r="AM7" s="11">
        <f>+'Track mile pop elasticities'!K36</f>
        <v>5.6088695482597602E-2</v>
      </c>
      <c r="AN7" s="32">
        <f t="shared" si="19"/>
        <v>4000547.549003344</v>
      </c>
      <c r="AO7" s="33">
        <f t="shared" si="20"/>
        <v>1.6940553041039908E-4</v>
      </c>
      <c r="AP7" s="40">
        <f t="shared" si="21"/>
        <v>7198167.0999649372</v>
      </c>
      <c r="AQ7" s="33">
        <f t="shared" si="22"/>
        <v>3.0481060420242613E-4</v>
      </c>
      <c r="AR7" s="40">
        <f t="shared" si="23"/>
        <v>9239837.4435942788</v>
      </c>
      <c r="AS7" s="41">
        <f t="shared" si="24"/>
        <v>2.4604136559605577E-4</v>
      </c>
      <c r="AT7" s="40">
        <f t="shared" si="25"/>
        <v>21063548.701534707</v>
      </c>
      <c r="AU7" s="41">
        <f t="shared" si="26"/>
        <v>5.6088695482597612E-4</v>
      </c>
      <c r="AW7" s="11">
        <f>+'Track mile pop elasticities'!P36</f>
        <v>1.4940292765489411E-2</v>
      </c>
      <c r="AX7" s="11">
        <f>+'Track mile pop elasticities'!Q36</f>
        <v>2.288510567855857E-2</v>
      </c>
      <c r="AY7" s="11">
        <f>+'Track mile pop elasticities'!R36</f>
        <v>2.1698996635591761E-2</v>
      </c>
      <c r="AZ7" s="11">
        <f>+'Track mile pop elasticities'!S36</f>
        <v>4.2111255507347602E-2</v>
      </c>
      <c r="BA7" s="32">
        <f t="shared" si="27"/>
        <v>3528181.8403197816</v>
      </c>
      <c r="BB7" s="33">
        <f t="shared" si="28"/>
        <v>1.4940292765489412E-4</v>
      </c>
      <c r="BC7" s="40">
        <f t="shared" si="29"/>
        <v>5404366.2688724091</v>
      </c>
      <c r="BD7" s="33">
        <f t="shared" si="30"/>
        <v>2.288510567855857E-4</v>
      </c>
      <c r="BE7" s="40">
        <f t="shared" si="31"/>
        <v>8148841.1965301316</v>
      </c>
      <c r="BF7" s="41">
        <f t="shared" si="32"/>
        <v>2.1698996635591766E-4</v>
      </c>
      <c r="BG7" s="40">
        <f t="shared" si="33"/>
        <v>15814460.893229321</v>
      </c>
      <c r="BH7" s="41">
        <f t="shared" si="34"/>
        <v>4.2111255507347608E-4</v>
      </c>
      <c r="BJ7" s="70">
        <f t="shared" si="35"/>
        <v>0.10621286492601401</v>
      </c>
      <c r="BK7" s="70">
        <f t="shared" si="36"/>
        <v>6.073167936549158</v>
      </c>
      <c r="BL7" s="70">
        <f t="shared" si="37"/>
        <v>6.1793808014751717</v>
      </c>
      <c r="BM7" s="70">
        <f t="shared" si="38"/>
        <v>0.72405818428310531</v>
      </c>
      <c r="BN7" s="70">
        <f t="shared" si="39"/>
        <v>10.927423583384474</v>
      </c>
      <c r="BO7" s="71">
        <f t="shared" si="40"/>
        <v>11.651481767667578</v>
      </c>
      <c r="BP7" s="69">
        <f t="shared" si="41"/>
        <v>0.46342055834005236</v>
      </c>
      <c r="BQ7" s="69">
        <f t="shared" si="42"/>
        <v>14.026851028265632</v>
      </c>
      <c r="BR7" s="69">
        <f t="shared" si="43"/>
        <v>14.490271586605685</v>
      </c>
      <c r="BS7" s="69">
        <f t="shared" si="44"/>
        <v>1.3635363921214814</v>
      </c>
      <c r="BT7" s="69">
        <f t="shared" si="45"/>
        <v>31.976240011438321</v>
      </c>
      <c r="BU7" s="69">
        <f t="shared" si="46"/>
        <v>33.339776403559803</v>
      </c>
    </row>
    <row r="8" spans="1:73">
      <c r="A8" s="3" t="s">
        <v>285</v>
      </c>
      <c r="B8" s="3">
        <v>1706469</v>
      </c>
      <c r="C8" s="3">
        <v>1111511</v>
      </c>
      <c r="D8" s="34">
        <v>44341.88</v>
      </c>
      <c r="E8" s="32">
        <f t="shared" si="5"/>
        <v>49286487380.68</v>
      </c>
      <c r="F8" s="32">
        <v>110738</v>
      </c>
      <c r="G8" s="37">
        <f t="shared" si="6"/>
        <v>6.4893062809813717E-2</v>
      </c>
      <c r="H8" s="3">
        <v>9.6</v>
      </c>
      <c r="I8" s="3">
        <f t="shared" si="7"/>
        <v>9.6000000000000002E-2</v>
      </c>
      <c r="J8" s="16">
        <f>+'Track mile elasticities'!F36</f>
        <v>1.3842040124351709E-3</v>
      </c>
      <c r="K8" s="16">
        <f>+'Track mile elasticities'!G36</f>
        <v>9.4361850103501527E-3</v>
      </c>
      <c r="L8" s="16">
        <f>+'Track mile elasticities'!H36</f>
        <v>3.7978160629990251E-3</v>
      </c>
      <c r="M8" s="16">
        <f>+'Track mile elasticities'!I36</f>
        <v>1.1174429617519918E-2</v>
      </c>
      <c r="N8" s="32">
        <f t="shared" si="0"/>
        <v>682225.53591172677</v>
      </c>
      <c r="O8" s="35">
        <f t="shared" si="1"/>
        <v>1.3842040124351709E-5</v>
      </c>
      <c r="P8" s="36">
        <f t="shared" si="2"/>
        <v>4650764.1343438467</v>
      </c>
      <c r="Q8" s="35">
        <f t="shared" si="3"/>
        <v>9.436185010350155E-5</v>
      </c>
      <c r="R8" s="36">
        <f t="shared" si="8"/>
        <v>4205625.5518438611</v>
      </c>
      <c r="S8" s="33">
        <f t="shared" si="9"/>
        <v>3.7978160629990254E-5</v>
      </c>
      <c r="T8" s="36">
        <f t="shared" si="10"/>
        <v>12374339.869849207</v>
      </c>
      <c r="U8" s="33">
        <f t="shared" si="11"/>
        <v>1.1174429617519919E-4</v>
      </c>
      <c r="V8" s="13"/>
      <c r="W8" s="11">
        <f>+'Track mile elasticities'!N36</f>
        <v>2.4567939068267197E-3</v>
      </c>
      <c r="X8" s="11">
        <f>+'Track mile elasticities'!O36</f>
        <v>2.3477238425900573E-2</v>
      </c>
      <c r="Y8" s="11">
        <f>+'Track mile elasticities'!P36</f>
        <v>6.7406619826292672E-3</v>
      </c>
      <c r="Z8" s="11">
        <f>+'Track mile elasticities'!Q36</f>
        <v>2.7801992872776998E-2</v>
      </c>
      <c r="AA8" s="32">
        <f t="shared" si="12"/>
        <v>1210867.4188574664</v>
      </c>
      <c r="AB8" s="33">
        <f t="shared" si="4"/>
        <v>2.4567939068267199E-5</v>
      </c>
      <c r="AC8" s="40">
        <f t="shared" si="13"/>
        <v>11571106.154113641</v>
      </c>
      <c r="AD8" s="33">
        <f t="shared" si="14"/>
        <v>2.3477238425900573E-4</v>
      </c>
      <c r="AE8" s="40">
        <f t="shared" si="15"/>
        <v>7464474.2663239995</v>
      </c>
      <c r="AF8" s="41">
        <f t="shared" si="16"/>
        <v>6.7406619826292679E-5</v>
      </c>
      <c r="AG8" s="40">
        <f t="shared" si="17"/>
        <v>30787370.867455795</v>
      </c>
      <c r="AH8" s="41">
        <f t="shared" si="18"/>
        <v>2.7801992872777005E-4</v>
      </c>
      <c r="AJ8" s="11">
        <f>+'Track mile pop elasticities'!H37</f>
        <v>1.1025471230787972E-2</v>
      </c>
      <c r="AK8" s="11">
        <f>+'Track mile pop elasticities'!I37</f>
        <v>1.9838080488467049E-2</v>
      </c>
      <c r="AL8" s="11">
        <f>+'Track mile pop elasticities'!J37</f>
        <v>1.6013184406620626E-2</v>
      </c>
      <c r="AM8" s="11">
        <f>+'Track mile pop elasticities'!K37</f>
        <v>3.6504374852324536E-2</v>
      </c>
      <c r="AN8" s="32">
        <f t="shared" si="19"/>
        <v>5434067.4868228175</v>
      </c>
      <c r="AO8" s="33">
        <f t="shared" si="20"/>
        <v>1.1025471230787972E-4</v>
      </c>
      <c r="AP8" s="40">
        <f t="shared" si="21"/>
        <v>9777493.0365174543</v>
      </c>
      <c r="AQ8" s="33">
        <f t="shared" si="22"/>
        <v>1.983808048846705E-4</v>
      </c>
      <c r="AR8" s="40">
        <f t="shared" si="23"/>
        <v>17732680.148203548</v>
      </c>
      <c r="AS8" s="41">
        <f t="shared" si="24"/>
        <v>1.6013184406620624E-4</v>
      </c>
      <c r="AT8" s="40">
        <f t="shared" si="25"/>
        <v>40424214.623967141</v>
      </c>
      <c r="AU8" s="41">
        <f t="shared" si="26"/>
        <v>3.6504374852324529E-4</v>
      </c>
      <c r="AW8" s="11">
        <f>+'Track mile pop elasticities'!P37</f>
        <v>8.3240569564725399E-3</v>
      </c>
      <c r="AX8" s="11">
        <f>+'Track mile pop elasticities'!Q37</f>
        <v>1.2750548206340619E-2</v>
      </c>
      <c r="AY8" s="11">
        <f>+'Track mile pop elasticities'!R37</f>
        <v>1.2089701770114879E-2</v>
      </c>
      <c r="AZ8" s="11">
        <f>+'Track mile pop elasticities'!S37</f>
        <v>2.3462491321551194E-2</v>
      </c>
      <c r="BA8" s="32">
        <f t="shared" si="27"/>
        <v>4102635.2814124543</v>
      </c>
      <c r="BB8" s="33">
        <f t="shared" si="28"/>
        <v>8.3240569564725403E-5</v>
      </c>
      <c r="BC8" s="40">
        <f t="shared" si="29"/>
        <v>6284297.3326855889</v>
      </c>
      <c r="BD8" s="33">
        <f t="shared" si="30"/>
        <v>1.2750548206340618E-4</v>
      </c>
      <c r="BE8" s="40">
        <f t="shared" si="31"/>
        <v>13387893.946189817</v>
      </c>
      <c r="BF8" s="41">
        <f t="shared" si="32"/>
        <v>1.2089701770114881E-4</v>
      </c>
      <c r="BG8" s="40">
        <f t="shared" si="33"/>
        <v>25981893.639659364</v>
      </c>
      <c r="BH8" s="41">
        <f t="shared" si="34"/>
        <v>2.3462491321551195E-4</v>
      </c>
      <c r="BJ8" s="70">
        <f t="shared" si="35"/>
        <v>0.61378208214918861</v>
      </c>
      <c r="BK8" s="70">
        <f t="shared" si="36"/>
        <v>4.8889012225905253</v>
      </c>
      <c r="BL8" s="70">
        <f t="shared" si="37"/>
        <v>5.5026833047397137</v>
      </c>
      <c r="BM8" s="70">
        <f t="shared" si="38"/>
        <v>4.184181833867453</v>
      </c>
      <c r="BN8" s="70">
        <f t="shared" si="39"/>
        <v>8.796577844499474</v>
      </c>
      <c r="BO8" s="71">
        <f t="shared" si="40"/>
        <v>12.980759678366926</v>
      </c>
      <c r="BP8" s="69">
        <f t="shared" si="41"/>
        <v>3.7837012425822696</v>
      </c>
      <c r="BQ8" s="69">
        <f t="shared" si="42"/>
        <v>15.953670407403569</v>
      </c>
      <c r="BR8" s="69">
        <f t="shared" si="43"/>
        <v>19.737371649985839</v>
      </c>
      <c r="BS8" s="69">
        <f t="shared" si="44"/>
        <v>11.132899152459316</v>
      </c>
      <c r="BT8" s="69">
        <f t="shared" si="45"/>
        <v>36.368704064977443</v>
      </c>
      <c r="BU8" s="69">
        <f t="shared" si="46"/>
        <v>47.501603217436752</v>
      </c>
    </row>
    <row r="9" spans="1:73">
      <c r="A9" s="3" t="s">
        <v>287</v>
      </c>
      <c r="B9" s="3">
        <v>9515636</v>
      </c>
      <c r="C9" s="3">
        <v>5777274</v>
      </c>
      <c r="D9" s="34">
        <v>49692.34</v>
      </c>
      <c r="E9" s="32">
        <f t="shared" si="5"/>
        <v>287086263881.15997</v>
      </c>
      <c r="F9" s="32">
        <v>476895</v>
      </c>
      <c r="G9" s="37">
        <f t="shared" si="6"/>
        <v>5.0116986400068265E-2</v>
      </c>
      <c r="H9" s="3">
        <v>691.3</v>
      </c>
      <c r="I9" s="3">
        <f t="shared" si="7"/>
        <v>6.9129999999999994</v>
      </c>
      <c r="J9" s="16">
        <f>+'Track mile elasticities'!F37</f>
        <v>2.0393992074303403E-2</v>
      </c>
      <c r="K9" s="16">
        <f>+'Track mile elasticities'!G37</f>
        <v>0.13902682016806722</v>
      </c>
      <c r="L9" s="16">
        <f>+'Track mile elasticities'!H37</f>
        <v>5.5954635294117649E-2</v>
      </c>
      <c r="M9" s="16">
        <f>+'Track mile elasticities'!I37</f>
        <v>0.1646370238832375</v>
      </c>
      <c r="N9" s="32">
        <f t="shared" si="0"/>
        <v>58548349.902337521</v>
      </c>
      <c r="O9" s="35">
        <f t="shared" si="1"/>
        <v>2.0393992074303405E-4</v>
      </c>
      <c r="P9" s="36">
        <f t="shared" si="2"/>
        <v>399126903.81328321</v>
      </c>
      <c r="Q9" s="35">
        <f t="shared" si="3"/>
        <v>1.3902682016806722E-3</v>
      </c>
      <c r="R9" s="36">
        <f t="shared" si="8"/>
        <v>266844857.98588237</v>
      </c>
      <c r="S9" s="33">
        <f t="shared" si="9"/>
        <v>5.5954635294117657E-4</v>
      </c>
      <c r="T9" s="36">
        <f t="shared" si="10"/>
        <v>785145735.04796553</v>
      </c>
      <c r="U9" s="33">
        <f t="shared" si="11"/>
        <v>1.6463702388323752E-3</v>
      </c>
      <c r="V9" s="13"/>
      <c r="W9" s="11">
        <f>+'Track mile elasticities'!N37</f>
        <v>1.5550139346330531E-2</v>
      </c>
      <c r="X9" s="11">
        <f>+'Track mile elasticities'!O37</f>
        <v>0.1485978648739496</v>
      </c>
      <c r="Y9" s="11">
        <f>+'Track mile elasticities'!P37</f>
        <v>4.2664642249859941E-2</v>
      </c>
      <c r="Z9" s="11">
        <f>+'Track mile elasticities'!Q37</f>
        <v>0.17597115577178241</v>
      </c>
      <c r="AA9" s="32">
        <f t="shared" si="12"/>
        <v>44642314.07769455</v>
      </c>
      <c r="AB9" s="33">
        <f t="shared" si="4"/>
        <v>1.5550139346330531E-4</v>
      </c>
      <c r="AC9" s="40">
        <f t="shared" si="13"/>
        <v>426604058.47379649</v>
      </c>
      <c r="AD9" s="33">
        <f t="shared" si="14"/>
        <v>1.4859786487394961E-3</v>
      </c>
      <c r="AE9" s="40">
        <f t="shared" si="15"/>
        <v>203465545.65746954</v>
      </c>
      <c r="AF9" s="41">
        <f t="shared" si="16"/>
        <v>4.2664642249859935E-4</v>
      </c>
      <c r="AG9" s="40">
        <f t="shared" si="17"/>
        <v>839197643.31784153</v>
      </c>
      <c r="AH9" s="41">
        <f t="shared" si="18"/>
        <v>1.7597115577178237E-3</v>
      </c>
      <c r="AJ9" s="11">
        <f>+'Track mile pop elasticities'!H38</f>
        <v>2.5533693991158166E-2</v>
      </c>
      <c r="AK9" s="11">
        <f>+'Track mile pop elasticities'!I38</f>
        <v>4.5942660042502463E-2</v>
      </c>
      <c r="AL9" s="11">
        <f>+'Track mile pop elasticities'!J38</f>
        <v>3.7084650796682092E-2</v>
      </c>
      <c r="AM9" s="11">
        <f>+'Track mile pop elasticities'!K38</f>
        <v>8.4539836647976915E-2</v>
      </c>
      <c r="AN9" s="32">
        <f t="shared" si="19"/>
        <v>73303728.110064223</v>
      </c>
      <c r="AO9" s="33">
        <f t="shared" si="20"/>
        <v>2.5533693991158167E-4</v>
      </c>
      <c r="AP9" s="40">
        <f t="shared" si="21"/>
        <v>131895066.24364287</v>
      </c>
      <c r="AQ9" s="33">
        <f t="shared" si="22"/>
        <v>4.5942660042502462E-4</v>
      </c>
      <c r="AR9" s="40">
        <f t="shared" si="23"/>
        <v>176854845.41683707</v>
      </c>
      <c r="AS9" s="41">
        <f t="shared" si="24"/>
        <v>3.7084650796682093E-4</v>
      </c>
      <c r="AT9" s="40">
        <f t="shared" si="25"/>
        <v>403166253.98236954</v>
      </c>
      <c r="AU9" s="41">
        <f t="shared" si="26"/>
        <v>8.453983664797693E-4</v>
      </c>
      <c r="AW9" s="11">
        <f>+'Track mile pop elasticities'!P38</f>
        <v>3.1431201615405663E-2</v>
      </c>
      <c r="AX9" s="11">
        <f>+'Track mile pop elasticities'!Q38</f>
        <v>4.8145399950539493E-2</v>
      </c>
      <c r="AY9" s="11">
        <f>+'Track mile pop elasticities'!R38</f>
        <v>4.5650078536660595E-2</v>
      </c>
      <c r="AZ9" s="11">
        <f>+'Track mile pop elasticities'!S38</f>
        <v>8.8593134211312485E-2</v>
      </c>
      <c r="BA9" s="32">
        <f t="shared" si="27"/>
        <v>90234662.410622925</v>
      </c>
      <c r="BB9" s="33">
        <f t="shared" si="28"/>
        <v>3.1431201615405663E-4</v>
      </c>
      <c r="BC9" s="40">
        <f t="shared" si="29"/>
        <v>138218829.94864568</v>
      </c>
      <c r="BD9" s="33">
        <f t="shared" si="30"/>
        <v>4.8145399950539497E-4</v>
      </c>
      <c r="BE9" s="40">
        <f t="shared" si="31"/>
        <v>217702942.03740752</v>
      </c>
      <c r="BF9" s="41">
        <f t="shared" si="32"/>
        <v>4.5650078536660588E-4</v>
      </c>
      <c r="BG9" s="40">
        <f t="shared" si="33"/>
        <v>422496227.3970387</v>
      </c>
      <c r="BH9" s="41">
        <f t="shared" si="34"/>
        <v>8.859313421131249E-4</v>
      </c>
      <c r="BJ9" s="70">
        <f t="shared" si="35"/>
        <v>10.134251881135899</v>
      </c>
      <c r="BK9" s="70">
        <f t="shared" si="36"/>
        <v>12.688290032645885</v>
      </c>
      <c r="BL9" s="70">
        <f t="shared" si="37"/>
        <v>22.822541913781784</v>
      </c>
      <c r="BM9" s="70">
        <f t="shared" si="38"/>
        <v>69.085680169104535</v>
      </c>
      <c r="BN9" s="70">
        <f t="shared" si="39"/>
        <v>22.829982833364468</v>
      </c>
      <c r="BO9" s="71">
        <f t="shared" si="40"/>
        <v>91.915663002469003</v>
      </c>
      <c r="BP9" s="69">
        <f t="shared" si="41"/>
        <v>46.188714259680665</v>
      </c>
      <c r="BQ9" s="69">
        <f t="shared" si="42"/>
        <v>30.612161621006216</v>
      </c>
      <c r="BR9" s="69">
        <f t="shared" si="43"/>
        <v>76.800875880686888</v>
      </c>
      <c r="BS9" s="69">
        <f t="shared" si="44"/>
        <v>135.90245763797347</v>
      </c>
      <c r="BT9" s="69">
        <f t="shared" si="45"/>
        <v>69.78485943065354</v>
      </c>
      <c r="BU9" s="69">
        <f t="shared" si="46"/>
        <v>205.68731706862698</v>
      </c>
    </row>
    <row r="10" spans="1:73">
      <c r="A10" s="3" t="s">
        <v>289</v>
      </c>
      <c r="B10" s="3">
        <v>2094051</v>
      </c>
      <c r="C10" s="3">
        <v>1316713</v>
      </c>
      <c r="D10" s="34">
        <v>41348.39</v>
      </c>
      <c r="E10" s="32">
        <f t="shared" si="5"/>
        <v>54443962642.07</v>
      </c>
      <c r="F10" s="32">
        <v>93805</v>
      </c>
      <c r="G10" s="37">
        <f t="shared" si="6"/>
        <v>4.4795948140709085E-2</v>
      </c>
      <c r="H10" s="3">
        <v>34.5</v>
      </c>
      <c r="I10" s="3">
        <f t="shared" si="7"/>
        <v>0.34500000000000003</v>
      </c>
      <c r="J10" s="16">
        <f>+'Track mile elasticities'!F38</f>
        <v>1.4469512356150912E-3</v>
      </c>
      <c r="K10" s="16">
        <f>+'Track mile elasticities'!G38</f>
        <v>9.863935834283839E-3</v>
      </c>
      <c r="L10" s="16">
        <f>+'Track mile elasticities'!H38</f>
        <v>3.9699745092688426E-3</v>
      </c>
      <c r="M10" s="16">
        <f>+'Track mile elasticities'!I38</f>
        <v>1.1680976645862441E-2</v>
      </c>
      <c r="N10" s="32">
        <f t="shared" si="0"/>
        <v>787777.59016725048</v>
      </c>
      <c r="O10" s="35">
        <f t="shared" si="1"/>
        <v>1.4469512356150912E-5</v>
      </c>
      <c r="P10" s="36">
        <f t="shared" si="2"/>
        <v>5370317.5406552497</v>
      </c>
      <c r="Q10" s="35">
        <f t="shared" si="3"/>
        <v>9.8639358342838396E-5</v>
      </c>
      <c r="R10" s="36">
        <f t="shared" si="8"/>
        <v>3724034.5884196381</v>
      </c>
      <c r="S10" s="33">
        <f t="shared" si="9"/>
        <v>3.9699745092688429E-5</v>
      </c>
      <c r="T10" s="36">
        <f t="shared" si="10"/>
        <v>10957340.142651264</v>
      </c>
      <c r="U10" s="33">
        <f t="shared" si="11"/>
        <v>1.1680976645862442E-4</v>
      </c>
      <c r="V10" s="13"/>
      <c r="W10" s="11">
        <f>+'Track mile elasticities'!N38</f>
        <v>3.9696938604025112E-3</v>
      </c>
      <c r="X10" s="11">
        <f>+'Track mile elasticities'!O38</f>
        <v>3.7934581724390751E-2</v>
      </c>
      <c r="Y10" s="11">
        <f>+'Track mile elasticities'!P38</f>
        <v>1.0891578822765011E-2</v>
      </c>
      <c r="Z10" s="11">
        <f>+'Track mile elasticities'!Q38</f>
        <v>4.4922530989410098E-2</v>
      </c>
      <c r="AA10" s="32">
        <f t="shared" si="12"/>
        <v>2161258.6423620894</v>
      </c>
      <c r="AB10" s="33">
        <f t="shared" si="4"/>
        <v>3.969693860402511E-5</v>
      </c>
      <c r="AC10" s="40">
        <f t="shared" si="13"/>
        <v>20653089.502452813</v>
      </c>
      <c r="AD10" s="33">
        <f t="shared" si="14"/>
        <v>3.7934581724390748E-4</v>
      </c>
      <c r="AE10" s="40">
        <f t="shared" si="15"/>
        <v>10216845.514694721</v>
      </c>
      <c r="AF10" s="41">
        <f t="shared" si="16"/>
        <v>1.0891578822765013E-4</v>
      </c>
      <c r="AG10" s="40">
        <f t="shared" si="17"/>
        <v>42139580.194616146</v>
      </c>
      <c r="AH10" s="41">
        <f t="shared" si="18"/>
        <v>4.4922530989410103E-4</v>
      </c>
      <c r="AJ10" s="11">
        <f>+'Track mile pop elasticities'!H39</f>
        <v>2.6312815446218482E-2</v>
      </c>
      <c r="AK10" s="11">
        <f>+'Track mile pop elasticities'!I39</f>
        <v>4.734452975058509E-2</v>
      </c>
      <c r="AL10" s="11">
        <f>+'Track mile pop elasticities'!J39</f>
        <v>3.8216231957603028E-2</v>
      </c>
      <c r="AM10" s="11">
        <f>+'Track mile pop elasticities'!K39</f>
        <v>8.711943991895453E-2</v>
      </c>
      <c r="AN10" s="32">
        <f t="shared" si="19"/>
        <v>14325739.411616014</v>
      </c>
      <c r="AO10" s="33">
        <f t="shared" si="20"/>
        <v>2.631281544621848E-4</v>
      </c>
      <c r="AP10" s="40">
        <f t="shared" si="21"/>
        <v>25776238.090472262</v>
      </c>
      <c r="AQ10" s="33">
        <f t="shared" si="22"/>
        <v>4.7344529750585086E-4</v>
      </c>
      <c r="AR10" s="40">
        <f t="shared" si="23"/>
        <v>35848736.38782952</v>
      </c>
      <c r="AS10" s="41">
        <f t="shared" si="24"/>
        <v>3.8216231957603026E-4</v>
      </c>
      <c r="AT10" s="40">
        <f t="shared" si="25"/>
        <v>81722390.615975305</v>
      </c>
      <c r="AU10" s="41">
        <f t="shared" si="26"/>
        <v>8.711943991895454E-4</v>
      </c>
      <c r="AW10" s="11">
        <f>+'Track mile pop elasticities'!P39</f>
        <v>2.3825751755881187E-2</v>
      </c>
      <c r="AX10" s="11">
        <f>+'Track mile pop elasticities'!Q39</f>
        <v>3.6495593183014992E-2</v>
      </c>
      <c r="AY10" s="11">
        <f>+'Track mile pop elasticities'!R39</f>
        <v>3.4604068026398864E-2</v>
      </c>
      <c r="AZ10" s="11">
        <f>+'Track mile pop elasticities'!S39</f>
        <v>6.7156135130373509E-2</v>
      </c>
      <c r="BA10" s="32">
        <f t="shared" si="27"/>
        <v>12971683.385164289</v>
      </c>
      <c r="BB10" s="33">
        <f t="shared" si="28"/>
        <v>2.3825751755881183E-4</v>
      </c>
      <c r="BC10" s="40">
        <f t="shared" si="29"/>
        <v>19869647.118562527</v>
      </c>
      <c r="BD10" s="33">
        <f t="shared" si="30"/>
        <v>3.6495593183014991E-4</v>
      </c>
      <c r="BE10" s="40">
        <f t="shared" si="31"/>
        <v>32460346.012163449</v>
      </c>
      <c r="BF10" s="41">
        <f t="shared" si="32"/>
        <v>3.4604068026398857E-4</v>
      </c>
      <c r="BG10" s="40">
        <f t="shared" si="33"/>
        <v>62995812.559046872</v>
      </c>
      <c r="BH10" s="41">
        <f t="shared" si="34"/>
        <v>6.7156135130373512E-4</v>
      </c>
      <c r="BJ10" s="70">
        <f t="shared" si="35"/>
        <v>0.59829104001194677</v>
      </c>
      <c r="BK10" s="70">
        <f t="shared" si="36"/>
        <v>10.879925550682657</v>
      </c>
      <c r="BL10" s="70">
        <f t="shared" si="37"/>
        <v>11.478216590694604</v>
      </c>
      <c r="BM10" s="70">
        <f t="shared" si="38"/>
        <v>4.0785786581094357</v>
      </c>
      <c r="BN10" s="70">
        <f t="shared" si="39"/>
        <v>19.576200804937951</v>
      </c>
      <c r="BO10" s="71">
        <f t="shared" si="40"/>
        <v>23.654779463047387</v>
      </c>
      <c r="BP10" s="69">
        <f t="shared" si="41"/>
        <v>2.8282811732090729</v>
      </c>
      <c r="BQ10" s="69">
        <f t="shared" si="42"/>
        <v>27.225930318778293</v>
      </c>
      <c r="BR10" s="69">
        <f t="shared" si="43"/>
        <v>30.054211491987363</v>
      </c>
      <c r="BS10" s="69">
        <f t="shared" si="44"/>
        <v>8.3217376471951479</v>
      </c>
      <c r="BT10" s="69">
        <f t="shared" si="45"/>
        <v>62.0654543670301</v>
      </c>
      <c r="BU10" s="69">
        <f t="shared" si="46"/>
        <v>70.387192014225249</v>
      </c>
    </row>
    <row r="11" spans="1:73">
      <c r="A11" s="3" t="s">
        <v>291</v>
      </c>
      <c r="B11" s="3">
        <v>6301085</v>
      </c>
      <c r="C11" s="3">
        <v>4013361</v>
      </c>
      <c r="D11" s="34">
        <v>47180.46</v>
      </c>
      <c r="E11" s="32">
        <f t="shared" si="5"/>
        <v>189352218126.06</v>
      </c>
      <c r="F11" s="32">
        <v>352414</v>
      </c>
      <c r="G11" s="37">
        <f t="shared" si="6"/>
        <v>5.5929097925198595E-2</v>
      </c>
      <c r="H11" s="3">
        <v>84.600009999999997</v>
      </c>
      <c r="I11" s="3">
        <f t="shared" si="7"/>
        <v>0.84600010000000003</v>
      </c>
      <c r="J11" s="16">
        <f>+'Track mile elasticities'!F39</f>
        <v>4.5279728894699533E-3</v>
      </c>
      <c r="K11" s="16">
        <f>+'Track mile elasticities'!G39</f>
        <v>3.0867407927622478E-2</v>
      </c>
      <c r="L11" s="16">
        <f>+'Track mile elasticities'!H39</f>
        <v>1.2423319119123338E-2</v>
      </c>
      <c r="M11" s="16">
        <f>+'Track mile elasticities'!I39</f>
        <v>3.6553509387973984E-2</v>
      </c>
      <c r="N11" s="32">
        <f t="shared" si="0"/>
        <v>8573817.1023580078</v>
      </c>
      <c r="O11" s="35">
        <f t="shared" si="1"/>
        <v>4.5279728894699533E-5</v>
      </c>
      <c r="P11" s="36">
        <f t="shared" si="2"/>
        <v>58448121.588972449</v>
      </c>
      <c r="Q11" s="35">
        <f t="shared" si="3"/>
        <v>3.0867407927622479E-4</v>
      </c>
      <c r="R11" s="36">
        <f t="shared" si="8"/>
        <v>43781515.840467319</v>
      </c>
      <c r="S11" s="33">
        <f t="shared" si="9"/>
        <v>1.2423319119123338E-4</v>
      </c>
      <c r="T11" s="36">
        <f t="shared" si="10"/>
        <v>128819684.57453465</v>
      </c>
      <c r="U11" s="33">
        <f t="shared" si="11"/>
        <v>3.6553509387973992E-4</v>
      </c>
      <c r="V11" s="13"/>
      <c r="W11" s="11">
        <f>+'Track mile elasticities'!N39</f>
        <v>2.7698287401433101E-3</v>
      </c>
      <c r="X11" s="11">
        <f>+'Track mile elasticities'!O39</f>
        <v>2.6468614054505138E-2</v>
      </c>
      <c r="Y11" s="11">
        <f>+'Track mile elasticities'!P39</f>
        <v>7.5995301173607073E-3</v>
      </c>
      <c r="Z11" s="11">
        <f>+'Track mile elasticities'!Q39</f>
        <v>3.1344411380335037E-2</v>
      </c>
      <c r="AA11" s="32">
        <f t="shared" si="12"/>
        <v>5244732.1577544603</v>
      </c>
      <c r="AB11" s="33">
        <f t="shared" si="4"/>
        <v>2.7698287401433101E-5</v>
      </c>
      <c r="AC11" s="40">
        <f t="shared" si="13"/>
        <v>50118907.819431543</v>
      </c>
      <c r="AD11" s="33">
        <f t="shared" si="14"/>
        <v>2.6468614054505138E-4</v>
      </c>
      <c r="AE11" s="40">
        <f t="shared" si="15"/>
        <v>26781808.067795563</v>
      </c>
      <c r="AF11" s="41">
        <f t="shared" si="16"/>
        <v>7.599530117360707E-5</v>
      </c>
      <c r="AG11" s="40">
        <f t="shared" si="17"/>
        <v>110462093.92189392</v>
      </c>
      <c r="AH11" s="41">
        <f t="shared" si="18"/>
        <v>3.1344411380335039E-4</v>
      </c>
      <c r="AJ11" s="11">
        <f>+'Track mile pop elasticities'!H40</f>
        <v>7.1262732641301854E-3</v>
      </c>
      <c r="AK11" s="11">
        <f>+'Track mile pop elasticities'!I40</f>
        <v>1.2822271233346805E-2</v>
      </c>
      <c r="AL11" s="11">
        <f>+'Track mile pop elasticities'!J40</f>
        <v>1.0350063550284316E-2</v>
      </c>
      <c r="AM11" s="11">
        <f>+'Track mile pop elasticities'!K40</f>
        <v>2.3594470031129439E-2</v>
      </c>
      <c r="AN11" s="32">
        <f t="shared" si="19"/>
        <v>13493756.495354885</v>
      </c>
      <c r="AO11" s="33">
        <f t="shared" si="20"/>
        <v>7.1262732641301857E-5</v>
      </c>
      <c r="AP11" s="40">
        <f t="shared" si="21"/>
        <v>24279254.994481888</v>
      </c>
      <c r="AQ11" s="33">
        <f t="shared" si="22"/>
        <v>1.2822271233346806E-4</v>
      </c>
      <c r="AR11" s="40">
        <f t="shared" si="23"/>
        <v>36475072.960098967</v>
      </c>
      <c r="AS11" s="41">
        <f t="shared" si="24"/>
        <v>1.0350063550284315E-4</v>
      </c>
      <c r="AT11" s="40">
        <f t="shared" si="25"/>
        <v>83150215.615504488</v>
      </c>
      <c r="AU11" s="41">
        <f t="shared" si="26"/>
        <v>2.3594470031129436E-4</v>
      </c>
      <c r="AW11" s="11">
        <f>+'Track mile pop elasticities'!P40</f>
        <v>8.2029660364047307E-3</v>
      </c>
      <c r="AX11" s="11">
        <f>+'Track mile pop elasticities'!Q40</f>
        <v>1.2565064658865106E-2</v>
      </c>
      <c r="AY11" s="11">
        <f>+'Track mile pop elasticities'!R40</f>
        <v>1.1913831624302108E-2</v>
      </c>
      <c r="AZ11" s="11">
        <f>+'Track mile pop elasticities'!S40</f>
        <v>2.3121180026341892E-2</v>
      </c>
      <c r="BA11" s="32">
        <f t="shared" si="27"/>
        <v>15532498.142059704</v>
      </c>
      <c r="BB11" s="33">
        <f t="shared" si="28"/>
        <v>8.2029660364047309E-5</v>
      </c>
      <c r="BC11" s="40">
        <f t="shared" si="29"/>
        <v>23792228.640534732</v>
      </c>
      <c r="BD11" s="33">
        <f t="shared" si="30"/>
        <v>1.2565064658865107E-4</v>
      </c>
      <c r="BE11" s="40">
        <f t="shared" si="31"/>
        <v>41986010.580468036</v>
      </c>
      <c r="BF11" s="41">
        <f t="shared" si="32"/>
        <v>1.1913831624302109E-4</v>
      </c>
      <c r="BG11" s="40">
        <f t="shared" si="33"/>
        <v>81482275.378032506</v>
      </c>
      <c r="BH11" s="41">
        <f t="shared" si="34"/>
        <v>2.3121180026341889E-4</v>
      </c>
      <c r="BJ11" s="70">
        <f t="shared" si="35"/>
        <v>2.1363184379272155</v>
      </c>
      <c r="BK11" s="70">
        <f t="shared" si="36"/>
        <v>3.3622085068736367</v>
      </c>
      <c r="BL11" s="70">
        <f t="shared" si="37"/>
        <v>5.4985269448008518</v>
      </c>
      <c r="BM11" s="70">
        <f t="shared" si="38"/>
        <v>14.563385050328751</v>
      </c>
      <c r="BN11" s="70">
        <f t="shared" si="39"/>
        <v>6.0496065503406964</v>
      </c>
      <c r="BO11" s="71">
        <f t="shared" si="40"/>
        <v>20.612991600669449</v>
      </c>
      <c r="BP11" s="69">
        <f t="shared" si="41"/>
        <v>10.908940372039126</v>
      </c>
      <c r="BQ11" s="69">
        <f t="shared" si="42"/>
        <v>9.0884106762633525</v>
      </c>
      <c r="BR11" s="69">
        <f t="shared" si="43"/>
        <v>19.99735104830248</v>
      </c>
      <c r="BS11" s="69">
        <f t="shared" si="44"/>
        <v>32.097706778566554</v>
      </c>
      <c r="BT11" s="69">
        <f t="shared" si="45"/>
        <v>20.718349437168619</v>
      </c>
      <c r="BU11" s="69">
        <f t="shared" si="46"/>
        <v>52.816056215735181</v>
      </c>
    </row>
    <row r="12" spans="1:73">
      <c r="A12" s="3" t="s">
        <v>293</v>
      </c>
      <c r="B12" s="3">
        <v>2500384</v>
      </c>
      <c r="C12" s="3">
        <v>1701841</v>
      </c>
      <c r="D12" s="34">
        <v>47081.16</v>
      </c>
      <c r="E12" s="32">
        <f t="shared" si="5"/>
        <v>80124648415.560013</v>
      </c>
      <c r="F12" s="32">
        <v>136608</v>
      </c>
      <c r="G12" s="37">
        <f t="shared" si="6"/>
        <v>5.4634808093476844E-2</v>
      </c>
      <c r="H12" s="3">
        <v>34.6</v>
      </c>
      <c r="I12" s="3">
        <f t="shared" si="7"/>
        <v>0.34600000000000003</v>
      </c>
      <c r="J12" s="16">
        <f>+'Track mile elasticities'!F40</f>
        <v>1.325189234380527E-3</v>
      </c>
      <c r="K12" s="16">
        <f>+'Track mile elasticities'!G40</f>
        <v>9.033878443496117E-3</v>
      </c>
      <c r="L12" s="16">
        <f>+'Track mile elasticities'!H40</f>
        <v>3.6358982603942255E-3</v>
      </c>
      <c r="M12" s="16">
        <f>+'Track mile elasticities'!I40</f>
        <v>1.0698013946245402E-2</v>
      </c>
      <c r="N12" s="32">
        <f t="shared" si="0"/>
        <v>1061803.2148882488</v>
      </c>
      <c r="O12" s="35">
        <f t="shared" si="1"/>
        <v>1.325189234380527E-5</v>
      </c>
      <c r="P12" s="36">
        <f t="shared" si="2"/>
        <v>7238363.3411403298</v>
      </c>
      <c r="Q12" s="35">
        <f t="shared" si="3"/>
        <v>9.0338784434961176E-5</v>
      </c>
      <c r="R12" s="36">
        <f t="shared" si="8"/>
        <v>4966927.8955593444</v>
      </c>
      <c r="S12" s="33">
        <f t="shared" si="9"/>
        <v>3.6358982603942256E-5</v>
      </c>
      <c r="T12" s="36">
        <f t="shared" si="10"/>
        <v>14614342.89168692</v>
      </c>
      <c r="U12" s="33">
        <f t="shared" si="11"/>
        <v>1.0698013946245403E-4</v>
      </c>
      <c r="V12" s="13"/>
      <c r="W12" s="11">
        <f>+'Track mile elasticities'!N40</f>
        <v>8.719478205546342E-4</v>
      </c>
      <c r="X12" s="11">
        <f>+'Track mile elasticities'!O40</f>
        <v>8.332374490681832E-3</v>
      </c>
      <c r="Y12" s="11">
        <f>+'Track mile elasticities'!P40</f>
        <v>2.3923478109080217E-3</v>
      </c>
      <c r="Z12" s="11">
        <f>+'Track mile elasticities'!Q40</f>
        <v>9.8672855810705909E-3</v>
      </c>
      <c r="AA12" s="32">
        <f t="shared" si="12"/>
        <v>698645.12558653881</v>
      </c>
      <c r="AB12" s="33">
        <f t="shared" si="4"/>
        <v>8.7194782055463428E-6</v>
      </c>
      <c r="AC12" s="40">
        <f t="shared" si="13"/>
        <v>6676285.7653266275</v>
      </c>
      <c r="AD12" s="33">
        <f t="shared" si="14"/>
        <v>8.3323744906818318E-5</v>
      </c>
      <c r="AE12" s="40">
        <f t="shared" si="15"/>
        <v>3268138.4975252305</v>
      </c>
      <c r="AF12" s="41">
        <f t="shared" si="16"/>
        <v>2.3923478109080217E-5</v>
      </c>
      <c r="AG12" s="40">
        <f t="shared" si="17"/>
        <v>13479501.486588914</v>
      </c>
      <c r="AH12" s="41">
        <f t="shared" si="18"/>
        <v>9.8672855810705905E-5</v>
      </c>
      <c r="AJ12" s="11">
        <f>+'Track mile pop elasticities'!H41</f>
        <v>1.8509104619176427E-2</v>
      </c>
      <c r="AK12" s="11">
        <f>+'Track mile pop elasticities'!I41</f>
        <v>3.3303348176115737E-2</v>
      </c>
      <c r="AL12" s="11">
        <f>+'Track mile pop elasticities'!J41</f>
        <v>2.6882270994518141E-2</v>
      </c>
      <c r="AM12" s="11">
        <f>+'Track mile pop elasticities'!K41</f>
        <v>6.1282033126399009E-2</v>
      </c>
      <c r="AN12" s="32">
        <f t="shared" si="19"/>
        <v>14830355.000983292</v>
      </c>
      <c r="AO12" s="33">
        <f t="shared" si="20"/>
        <v>1.850910461917643E-4</v>
      </c>
      <c r="AP12" s="40">
        <f t="shared" si="21"/>
        <v>26684190.636722554</v>
      </c>
      <c r="AQ12" s="33">
        <f t="shared" si="22"/>
        <v>3.3303348176115738E-4</v>
      </c>
      <c r="AR12" s="40">
        <f t="shared" si="23"/>
        <v>36723332.760191344</v>
      </c>
      <c r="AS12" s="41">
        <f t="shared" si="24"/>
        <v>2.6882270994518141E-4</v>
      </c>
      <c r="AT12" s="40">
        <f t="shared" si="25"/>
        <v>83716159.81331116</v>
      </c>
      <c r="AU12" s="41">
        <f t="shared" si="26"/>
        <v>6.1282033126399001E-4</v>
      </c>
      <c r="AW12" s="11">
        <f>+'Track mile pop elasticities'!P41</f>
        <v>2.6460825524731002E-2</v>
      </c>
      <c r="AX12" s="11">
        <f>+'Track mile pop elasticities'!Q41</f>
        <v>4.0531922498476709E-2</v>
      </c>
      <c r="AY12" s="11">
        <f>+'Track mile pop elasticities'!R41</f>
        <v>3.8431198976395027E-2</v>
      </c>
      <c r="AZ12" s="11">
        <f>+'Track mile pop elasticities'!S41</f>
        <v>7.4583450411441155E-2</v>
      </c>
      <c r="BA12" s="32">
        <f t="shared" si="27"/>
        <v>21201643.419545479</v>
      </c>
      <c r="BB12" s="33">
        <f t="shared" si="28"/>
        <v>2.6460825524731005E-4</v>
      </c>
      <c r="BC12" s="40">
        <f t="shared" si="29"/>
        <v>32476060.397971734</v>
      </c>
      <c r="BD12" s="33">
        <f t="shared" si="30"/>
        <v>4.0531922498476716E-4</v>
      </c>
      <c r="BE12" s="40">
        <f t="shared" si="31"/>
        <v>52500092.297673725</v>
      </c>
      <c r="BF12" s="41">
        <f t="shared" si="32"/>
        <v>3.843119897639503E-4</v>
      </c>
      <c r="BG12" s="40">
        <f t="shared" si="33"/>
        <v>101886959.93806154</v>
      </c>
      <c r="BH12" s="41">
        <f t="shared" si="34"/>
        <v>7.4583450411441147E-4</v>
      </c>
      <c r="BJ12" s="70">
        <f t="shared" si="35"/>
        <v>0.62391446374147108</v>
      </c>
      <c r="BK12" s="70">
        <f t="shared" si="36"/>
        <v>8.7143011603218472</v>
      </c>
      <c r="BL12" s="70">
        <f t="shared" si="37"/>
        <v>9.3382156240633183</v>
      </c>
      <c r="BM12" s="70">
        <f t="shared" si="38"/>
        <v>4.2532547641879175</v>
      </c>
      <c r="BN12" s="70">
        <f t="shared" si="39"/>
        <v>15.679602640154135</v>
      </c>
      <c r="BO12" s="71">
        <f t="shared" si="40"/>
        <v>19.932857404342052</v>
      </c>
      <c r="BP12" s="69">
        <f t="shared" si="41"/>
        <v>2.9185616609068323</v>
      </c>
      <c r="BQ12" s="69">
        <f t="shared" si="42"/>
        <v>21.578592101254667</v>
      </c>
      <c r="BR12" s="69">
        <f t="shared" si="43"/>
        <v>24.497153762161503</v>
      </c>
      <c r="BS12" s="69">
        <f t="shared" si="44"/>
        <v>8.5873726697658128</v>
      </c>
      <c r="BT12" s="69">
        <f t="shared" si="45"/>
        <v>49.191528358589999</v>
      </c>
      <c r="BU12" s="69">
        <f t="shared" si="46"/>
        <v>57.778901028355804</v>
      </c>
    </row>
    <row r="13" spans="1:73">
      <c r="A13" s="3" t="s">
        <v>295</v>
      </c>
      <c r="B13" s="3">
        <v>5726705</v>
      </c>
      <c r="C13" s="3">
        <v>3487033</v>
      </c>
      <c r="D13" s="34">
        <v>52427.95</v>
      </c>
      <c r="E13" s="32">
        <f t="shared" si="5"/>
        <v>182817991772.34998</v>
      </c>
      <c r="F13" s="32">
        <v>377223</v>
      </c>
      <c r="G13" s="37">
        <f t="shared" si="6"/>
        <v>6.5870862913315772E-2</v>
      </c>
      <c r="H13" s="3">
        <v>14.3</v>
      </c>
      <c r="I13" s="3">
        <f t="shared" si="7"/>
        <v>0.14300000000000002</v>
      </c>
      <c r="J13" s="16">
        <f>+'Track mile elasticities'!F41</f>
        <v>5.8801163406692184E-4</v>
      </c>
      <c r="K13" s="16">
        <f>+'Track mile elasticities'!G41</f>
        <v>4.0085034557387211E-3</v>
      </c>
      <c r="L13" s="16">
        <f>+'Track mile elasticities'!H41</f>
        <v>1.6133171187395689E-3</v>
      </c>
      <c r="M13" s="16">
        <f>+'Track mile elasticities'!I41</f>
        <v>4.7469119870590121E-3</v>
      </c>
      <c r="N13" s="32">
        <f t="shared" si="0"/>
        <v>1074991.060788926</v>
      </c>
      <c r="O13" s="35">
        <f t="shared" si="1"/>
        <v>5.8801163406692189E-6</v>
      </c>
      <c r="P13" s="36">
        <f t="shared" si="2"/>
        <v>7328265.5179067794</v>
      </c>
      <c r="Q13" s="35">
        <f t="shared" si="3"/>
        <v>4.0085034557387212E-5</v>
      </c>
      <c r="R13" s="36">
        <f t="shared" si="8"/>
        <v>6085803.2348229643</v>
      </c>
      <c r="S13" s="33">
        <f t="shared" si="9"/>
        <v>1.6133171187395689E-5</v>
      </c>
      <c r="T13" s="36">
        <f t="shared" si="10"/>
        <v>17906443.804943617</v>
      </c>
      <c r="U13" s="33">
        <f t="shared" si="11"/>
        <v>4.7469119870590121E-5</v>
      </c>
      <c r="V13" s="13"/>
      <c r="W13" s="11">
        <f>+'Track mile elasticities'!N41</f>
        <v>3.6217578662246688E-4</v>
      </c>
      <c r="X13" s="11">
        <f>+'Track mile elasticities'!O41</f>
        <v>3.4609688956801312E-3</v>
      </c>
      <c r="Y13" s="11">
        <f>+'Track mile elasticities'!P41</f>
        <v>9.9369529903637135E-4</v>
      </c>
      <c r="Z13" s="11">
        <f>+'Track mile elasticities'!Q41</f>
        <v>4.0985157975159453E-3</v>
      </c>
      <c r="AA13" s="32">
        <f t="shared" si="12"/>
        <v>662122.49978890526</v>
      </c>
      <c r="AB13" s="33">
        <f t="shared" si="4"/>
        <v>3.6217578662246688E-6</v>
      </c>
      <c r="AC13" s="40">
        <f t="shared" si="13"/>
        <v>6327273.8309480939</v>
      </c>
      <c r="AD13" s="33">
        <f t="shared" si="14"/>
        <v>3.4609688956801311E-5</v>
      </c>
      <c r="AE13" s="40">
        <f t="shared" si="15"/>
        <v>3748447.2178839711</v>
      </c>
      <c r="AF13" s="41">
        <f t="shared" si="16"/>
        <v>9.9369529903637124E-6</v>
      </c>
      <c r="AG13" s="40">
        <f t="shared" si="17"/>
        <v>15460544.246863578</v>
      </c>
      <c r="AH13" s="41">
        <f t="shared" si="18"/>
        <v>4.0985157975159458E-5</v>
      </c>
      <c r="AJ13" s="11">
        <f>+'Track mile pop elasticities'!H42</f>
        <v>1.4583076281404186E-3</v>
      </c>
      <c r="AK13" s="11">
        <f>+'Track mile pop elasticities'!I42</f>
        <v>2.6239263155673318E-3</v>
      </c>
      <c r="AL13" s="11">
        <f>+'Track mile pop elasticities'!J42</f>
        <v>2.1180182218229885E-3</v>
      </c>
      <c r="AM13" s="11">
        <f>+'Track mile pop elasticities'!K42</f>
        <v>4.8283295283550022E-3</v>
      </c>
      <c r="AN13" s="32">
        <f t="shared" si="19"/>
        <v>2666048.7196293026</v>
      </c>
      <c r="AO13" s="33">
        <f t="shared" si="20"/>
        <v>1.4583076281404186E-5</v>
      </c>
      <c r="AP13" s="40">
        <f t="shared" si="21"/>
        <v>4797009.3957064105</v>
      </c>
      <c r="AQ13" s="33">
        <f t="shared" si="22"/>
        <v>2.6239263155673319E-5</v>
      </c>
      <c r="AR13" s="40">
        <f t="shared" si="23"/>
        <v>7989651.8769073328</v>
      </c>
      <c r="AS13" s="41">
        <f t="shared" si="24"/>
        <v>2.1180182218229889E-5</v>
      </c>
      <c r="AT13" s="40">
        <f t="shared" si="25"/>
        <v>18213569.496746588</v>
      </c>
      <c r="AU13" s="41">
        <f t="shared" si="26"/>
        <v>4.8283295283550017E-5</v>
      </c>
      <c r="AW13" s="11">
        <f>+'Track mile pop elasticities'!P42</f>
        <v>1.6595566451073176E-3</v>
      </c>
      <c r="AX13" s="11">
        <f>+'Track mile pop elasticities'!Q42</f>
        <v>2.5420605739777135E-3</v>
      </c>
      <c r="AY13" s="11">
        <f>+'Track mile pop elasticities'!R42</f>
        <v>2.4103084607511038E-3</v>
      </c>
      <c r="AZ13" s="11">
        <f>+'Track mile pop elasticities'!S42</f>
        <v>4.6776870445578269E-3</v>
      </c>
      <c r="BA13" s="32">
        <f t="shared" si="27"/>
        <v>3033968.1309097833</v>
      </c>
      <c r="BB13" s="33">
        <f t="shared" si="28"/>
        <v>1.6595566451073177E-5</v>
      </c>
      <c r="BC13" s="40">
        <f t="shared" si="29"/>
        <v>4647344.0909827286</v>
      </c>
      <c r="BD13" s="33">
        <f t="shared" si="30"/>
        <v>2.5420605739777135E-5</v>
      </c>
      <c r="BE13" s="40">
        <f t="shared" si="31"/>
        <v>9092237.8848991375</v>
      </c>
      <c r="BF13" s="41">
        <f t="shared" si="32"/>
        <v>2.410308460751104E-5</v>
      </c>
      <c r="BG13" s="40">
        <f t="shared" si="33"/>
        <v>17645311.400092371</v>
      </c>
      <c r="BH13" s="41">
        <f t="shared" si="34"/>
        <v>4.6776870445578267E-5</v>
      </c>
      <c r="BJ13" s="70">
        <f t="shared" si="35"/>
        <v>0.30828244550278877</v>
      </c>
      <c r="BK13" s="70">
        <f t="shared" si="36"/>
        <v>0.76456079412764455</v>
      </c>
      <c r="BL13" s="70">
        <f t="shared" si="37"/>
        <v>1.0728432396304333</v>
      </c>
      <c r="BM13" s="70">
        <f t="shared" si="38"/>
        <v>2.1015761875229684</v>
      </c>
      <c r="BN13" s="70">
        <f t="shared" si="39"/>
        <v>1.3756707767624827</v>
      </c>
      <c r="BO13" s="71">
        <f t="shared" si="40"/>
        <v>3.4772469642854511</v>
      </c>
      <c r="BP13" s="69">
        <f t="shared" si="41"/>
        <v>1.745266888734051</v>
      </c>
      <c r="BQ13" s="69">
        <f t="shared" si="42"/>
        <v>2.2912464197807512</v>
      </c>
      <c r="BR13" s="69">
        <f t="shared" si="43"/>
        <v>4.0365133085148024</v>
      </c>
      <c r="BS13" s="69">
        <f t="shared" si="44"/>
        <v>5.1351518052578271</v>
      </c>
      <c r="BT13" s="69">
        <f t="shared" si="45"/>
        <v>5.223228313797601</v>
      </c>
      <c r="BU13" s="69">
        <f t="shared" si="46"/>
        <v>10.358380119055427</v>
      </c>
    </row>
    <row r="14" spans="1:73">
      <c r="A14" s="3" t="s">
        <v>297</v>
      </c>
      <c r="B14" s="3">
        <v>675921</v>
      </c>
      <c r="C14" s="3">
        <v>436103</v>
      </c>
      <c r="D14" s="34">
        <v>36943.61</v>
      </c>
      <c r="E14" s="32">
        <f t="shared" si="5"/>
        <v>16111219151.83</v>
      </c>
      <c r="F14" s="32">
        <v>25560</v>
      </c>
      <c r="G14" s="37">
        <f t="shared" si="6"/>
        <v>3.7815070104346517E-2</v>
      </c>
      <c r="H14" s="3">
        <v>3.4</v>
      </c>
      <c r="I14" s="3">
        <f t="shared" si="7"/>
        <v>3.4000000000000002E-2</v>
      </c>
      <c r="J14" s="16">
        <f>+'Track mile elasticities'!F42</f>
        <v>2.1784842616500672E-4</v>
      </c>
      <c r="K14" s="16">
        <f>+'Track mile elasticities'!G42</f>
        <v>1.4850831488995447E-3</v>
      </c>
      <c r="L14" s="16">
        <f>+'Track mile elasticities'!H42</f>
        <v>5.9770687323250945E-4</v>
      </c>
      <c r="M14" s="16">
        <f>+'Track mile elasticities'!I42</f>
        <v>1.7586510973810398E-3</v>
      </c>
      <c r="N14" s="32">
        <f t="shared" si="0"/>
        <v>35098.037358256799</v>
      </c>
      <c r="O14" s="35">
        <f t="shared" si="1"/>
        <v>2.1784842616500672E-6</v>
      </c>
      <c r="P14" s="36">
        <f t="shared" si="2"/>
        <v>239265.00070610348</v>
      </c>
      <c r="Q14" s="35">
        <f t="shared" si="3"/>
        <v>1.4850831488995448E-5</v>
      </c>
      <c r="R14" s="36">
        <f t="shared" si="8"/>
        <v>152773.87679822944</v>
      </c>
      <c r="S14" s="33">
        <f t="shared" si="9"/>
        <v>5.9770687323250959E-6</v>
      </c>
      <c r="T14" s="36">
        <f t="shared" si="10"/>
        <v>449511.22049059375</v>
      </c>
      <c r="U14" s="33">
        <f t="shared" si="11"/>
        <v>1.7586510973810397E-5</v>
      </c>
      <c r="V14" s="13"/>
      <c r="W14" s="11">
        <f>+'Track mile elasticities'!N42</f>
        <v>2.9286629922332876E-4</v>
      </c>
      <c r="X14" s="11">
        <f>+'Track mile elasticities'!O42</f>
        <v>2.7986441657444974E-3</v>
      </c>
      <c r="Y14" s="11">
        <f>+'Track mile elasticities'!P42</f>
        <v>8.0353208451166018E-4</v>
      </c>
      <c r="Z14" s="11">
        <f>+'Track mile elasticities'!Q42</f>
        <v>3.3141838804869052E-3</v>
      </c>
      <c r="AA14" s="32">
        <f t="shared" si="12"/>
        <v>47184.331289724694</v>
      </c>
      <c r="AB14" s="33">
        <f t="shared" si="4"/>
        <v>2.9286629922332873E-6</v>
      </c>
      <c r="AC14" s="40">
        <f t="shared" si="13"/>
        <v>450895.69482300041</v>
      </c>
      <c r="AD14" s="33">
        <f t="shared" si="14"/>
        <v>2.7986441657444974E-5</v>
      </c>
      <c r="AE14" s="40">
        <f t="shared" si="15"/>
        <v>205382.80080118036</v>
      </c>
      <c r="AF14" s="41">
        <f t="shared" si="16"/>
        <v>8.0353208451166035E-6</v>
      </c>
      <c r="AG14" s="40">
        <f t="shared" si="17"/>
        <v>847105.39985245327</v>
      </c>
      <c r="AH14" s="41">
        <f t="shared" si="18"/>
        <v>3.3141838804869062E-5</v>
      </c>
      <c r="AJ14" s="11">
        <f>+'Track mile pop elasticities'!H43</f>
        <v>2.4889133178117473E-2</v>
      </c>
      <c r="AK14" s="11">
        <f>+'Track mile pop elasticities'!I43</f>
        <v>4.4782904688635453E-2</v>
      </c>
      <c r="AL14" s="11">
        <f>+'Track mile pop elasticities'!J43</f>
        <v>3.6148502949170609E-2</v>
      </c>
      <c r="AM14" s="11">
        <f>+'Track mile pop elasticities'!K43</f>
        <v>8.2405751941587904E-2</v>
      </c>
      <c r="AN14" s="32">
        <f t="shared" si="19"/>
        <v>4009942.7913173372</v>
      </c>
      <c r="AO14" s="33">
        <f t="shared" si="20"/>
        <v>2.4889133178117474E-4</v>
      </c>
      <c r="AP14" s="40">
        <f t="shared" si="21"/>
        <v>7215071.9169412097</v>
      </c>
      <c r="AQ14" s="33">
        <f t="shared" si="22"/>
        <v>4.4782904688635451E-4</v>
      </c>
      <c r="AR14" s="40">
        <f t="shared" si="23"/>
        <v>9239557.3538080081</v>
      </c>
      <c r="AS14" s="41">
        <f t="shared" si="24"/>
        <v>3.614850294917061E-4</v>
      </c>
      <c r="AT14" s="40">
        <f t="shared" si="25"/>
        <v>21062910.19626987</v>
      </c>
      <c r="AU14" s="41">
        <f t="shared" si="26"/>
        <v>8.2405751941587912E-4</v>
      </c>
      <c r="AW14" s="11">
        <f>+'Track mile pop elasticities'!P43</f>
        <v>2.1147264905086754E-2</v>
      </c>
      <c r="AX14" s="11">
        <f>+'Track mile pop elasticities'!Q43</f>
        <v>3.2392764972000859E-2</v>
      </c>
      <c r="AY14" s="11">
        <f>+'Track mile pop elasticities'!R43</f>
        <v>3.0713884743102188E-2</v>
      </c>
      <c r="AZ14" s="11">
        <f>+'Track mile pop elasticities'!S43</f>
        <v>5.9606454149059719E-2</v>
      </c>
      <c r="BA14" s="32">
        <f t="shared" si="27"/>
        <v>3407082.1934765615</v>
      </c>
      <c r="BB14" s="33">
        <f t="shared" si="28"/>
        <v>2.1147264905086753E-4</v>
      </c>
      <c r="BC14" s="40">
        <f t="shared" si="29"/>
        <v>5218869.3539762823</v>
      </c>
      <c r="BD14" s="33">
        <f t="shared" si="30"/>
        <v>3.2392764972000859E-4</v>
      </c>
      <c r="BE14" s="40">
        <f t="shared" si="31"/>
        <v>7850468.9403369194</v>
      </c>
      <c r="BF14" s="41">
        <f t="shared" si="32"/>
        <v>3.0713884743102188E-4</v>
      </c>
      <c r="BG14" s="40">
        <f t="shared" si="33"/>
        <v>15235409.680499665</v>
      </c>
      <c r="BH14" s="41">
        <f t="shared" si="34"/>
        <v>5.9606454149059725E-4</v>
      </c>
      <c r="BJ14" s="70">
        <f t="shared" si="35"/>
        <v>8.0481072953538041E-2</v>
      </c>
      <c r="BK14" s="70">
        <f t="shared" si="36"/>
        <v>9.1949442937043244</v>
      </c>
      <c r="BL14" s="70">
        <f t="shared" si="37"/>
        <v>9.2754253666578634</v>
      </c>
      <c r="BM14" s="70">
        <f t="shared" si="38"/>
        <v>0.54864332670516713</v>
      </c>
      <c r="BN14" s="70">
        <f t="shared" si="39"/>
        <v>16.544421654841194</v>
      </c>
      <c r="BO14" s="71">
        <f t="shared" si="40"/>
        <v>17.093064981546362</v>
      </c>
      <c r="BP14" s="69">
        <f t="shared" si="41"/>
        <v>0.35031604184843818</v>
      </c>
      <c r="BQ14" s="69">
        <f t="shared" si="42"/>
        <v>21.186640206116465</v>
      </c>
      <c r="BR14" s="69">
        <f t="shared" si="43"/>
        <v>21.536956247964902</v>
      </c>
      <c r="BS14" s="69">
        <f t="shared" si="44"/>
        <v>1.0307455360100566</v>
      </c>
      <c r="BT14" s="69">
        <f t="shared" si="45"/>
        <v>48.298017202976979</v>
      </c>
      <c r="BU14" s="69">
        <f t="shared" si="46"/>
        <v>49.328762738987038</v>
      </c>
    </row>
    <row r="15" spans="1:73">
      <c r="A15" s="3" t="s">
        <v>299</v>
      </c>
      <c r="B15" s="3">
        <v>12768395</v>
      </c>
      <c r="C15" s="3">
        <v>7823094</v>
      </c>
      <c r="D15" s="34">
        <v>47279</v>
      </c>
      <c r="E15" s="32">
        <f t="shared" si="5"/>
        <v>369868061226</v>
      </c>
      <c r="F15" s="32">
        <v>655355</v>
      </c>
      <c r="G15" s="37">
        <f t="shared" si="6"/>
        <v>5.1326341329509306E-2</v>
      </c>
      <c r="H15" s="3">
        <v>481.3</v>
      </c>
      <c r="I15" s="3">
        <f t="shared" si="7"/>
        <v>4.8130000000000006</v>
      </c>
      <c r="J15" s="16">
        <f>+'Track mile elasticities'!F43</f>
        <v>1.3481146111943811E-2</v>
      </c>
      <c r="K15" s="16">
        <f>+'Track mile elasticities'!G43</f>
        <v>9.1901618346032887E-2</v>
      </c>
      <c r="L15" s="16">
        <f>+'Track mile elasticities'!H43</f>
        <v>3.6987982112192411E-2</v>
      </c>
      <c r="M15" s="16">
        <f>+'Track mile elasticities'!I43</f>
        <v>0.10883086383082842</v>
      </c>
      <c r="N15" s="32">
        <f t="shared" si="0"/>
        <v>49862453.755290851</v>
      </c>
      <c r="O15" s="35">
        <f t="shared" si="1"/>
        <v>1.3481146111943811E-4</v>
      </c>
      <c r="P15" s="36">
        <f t="shared" si="2"/>
        <v>339914734.0117898</v>
      </c>
      <c r="Q15" s="35">
        <f t="shared" si="3"/>
        <v>9.19016183460329E-4</v>
      </c>
      <c r="R15" s="36">
        <f t="shared" si="8"/>
        <v>242402590.17135859</v>
      </c>
      <c r="S15" s="33">
        <f t="shared" si="9"/>
        <v>3.6987982112192413E-4</v>
      </c>
      <c r="T15" s="36">
        <f t="shared" si="10"/>
        <v>713228507.65852547</v>
      </c>
      <c r="U15" s="33">
        <f t="shared" si="11"/>
        <v>1.0883086383082841E-3</v>
      </c>
      <c r="V15" s="13"/>
      <c r="W15" s="11">
        <f>+'Track mile elasticities'!N43</f>
        <v>1.5284416559388159E-2</v>
      </c>
      <c r="X15" s="11">
        <f>+'Track mile elasticities'!O43</f>
        <v>0.14605860539153795</v>
      </c>
      <c r="Y15" s="11">
        <f>+'Track mile elasticities'!P43</f>
        <v>4.1935583339837545E-2</v>
      </c>
      <c r="Z15" s="11">
        <f>+'Track mile elasticities'!Q43</f>
        <v>0.17296413796366336</v>
      </c>
      <c r="AA15" s="32">
        <f t="shared" si="12"/>
        <v>56532175.197914682</v>
      </c>
      <c r="AB15" s="33">
        <f t="shared" si="4"/>
        <v>1.5284416559388161E-4</v>
      </c>
      <c r="AC15" s="40">
        <f t="shared" si="13"/>
        <v>540224132.01541531</v>
      </c>
      <c r="AD15" s="33">
        <f t="shared" si="14"/>
        <v>1.4605860539153794E-3</v>
      </c>
      <c r="AE15" s="40">
        <f t="shared" si="15"/>
        <v>274826942.19679236</v>
      </c>
      <c r="AF15" s="41">
        <f t="shared" si="16"/>
        <v>4.1935583339837548E-4</v>
      </c>
      <c r="AG15" s="40">
        <f t="shared" si="17"/>
        <v>1133529126.3517659</v>
      </c>
      <c r="AH15" s="41">
        <f t="shared" si="18"/>
        <v>1.7296413796366334E-3</v>
      </c>
      <c r="AJ15" s="11">
        <f>+'Track mile pop elasticities'!H44</f>
        <v>9.8733828278811785E-3</v>
      </c>
      <c r="AK15" s="11">
        <f>+'Track mile pop elasticities'!I44</f>
        <v>1.7765133039030819E-2</v>
      </c>
      <c r="AL15" s="11">
        <f>+'Track mile pop elasticities'!J44</f>
        <v>1.4339913154779806E-2</v>
      </c>
      <c r="AM15" s="11">
        <f>+'Track mile pop elasticities'!K44</f>
        <v>3.2689910504960777E-2</v>
      </c>
      <c r="AN15" s="32">
        <f t="shared" si="19"/>
        <v>36518489.64290493</v>
      </c>
      <c r="AO15" s="33">
        <f t="shared" si="20"/>
        <v>9.8733828278811794E-5</v>
      </c>
      <c r="AP15" s="40">
        <f t="shared" si="21"/>
        <v>65707553.145682871</v>
      </c>
      <c r="AQ15" s="33">
        <f t="shared" si="22"/>
        <v>1.7765133039030821E-4</v>
      </c>
      <c r="AR15" s="40">
        <f t="shared" si="23"/>
        <v>93977337.855507195</v>
      </c>
      <c r="AS15" s="41">
        <f t="shared" si="24"/>
        <v>1.4339913154779805E-4</v>
      </c>
      <c r="AT15" s="40">
        <f t="shared" si="25"/>
        <v>214234962.98978567</v>
      </c>
      <c r="AU15" s="41">
        <f t="shared" si="26"/>
        <v>3.268991050496077E-4</v>
      </c>
      <c r="AW15" s="11">
        <f>+'Track mile pop elasticities'!P44</f>
        <v>2.1102698559371812E-2</v>
      </c>
      <c r="AX15" s="11">
        <f>+'Track mile pop elasticities'!Q44</f>
        <v>3.2324499540566383E-2</v>
      </c>
      <c r="AY15" s="11">
        <f>+'Track mile pop elasticities'!R44</f>
        <v>3.0649157431468583E-2</v>
      </c>
      <c r="AZ15" s="11">
        <f>+'Track mile pop elasticities'!S44</f>
        <v>5.9480837817379416E-2</v>
      </c>
      <c r="BA15" s="32">
        <f t="shared" si="27"/>
        <v>78052142.027915567</v>
      </c>
      <c r="BB15" s="33">
        <f t="shared" si="28"/>
        <v>2.1102698559371817E-4</v>
      </c>
      <c r="BC15" s="40">
        <f t="shared" si="29"/>
        <v>119557999.75170016</v>
      </c>
      <c r="BD15" s="33">
        <f t="shared" si="30"/>
        <v>3.2324499540566386E-4</v>
      </c>
      <c r="BE15" s="40">
        <f t="shared" si="31"/>
        <v>200860785.68500093</v>
      </c>
      <c r="BF15" s="41">
        <f t="shared" si="32"/>
        <v>3.064915743146858E-4</v>
      </c>
      <c r="BG15" s="40">
        <f t="shared" si="33"/>
        <v>389810644.67808694</v>
      </c>
      <c r="BH15" s="41">
        <f t="shared" si="34"/>
        <v>5.9480837817379431E-4</v>
      </c>
      <c r="BJ15" s="70">
        <f t="shared" si="35"/>
        <v>6.3737510702659144</v>
      </c>
      <c r="BK15" s="70">
        <f t="shared" si="36"/>
        <v>4.6680366671939426</v>
      </c>
      <c r="BL15" s="70">
        <f t="shared" si="37"/>
        <v>11.041787737459856</v>
      </c>
      <c r="BM15" s="70">
        <f t="shared" si="38"/>
        <v>43.450166137820894</v>
      </c>
      <c r="BN15" s="70">
        <f t="shared" si="39"/>
        <v>8.3991772495233814</v>
      </c>
      <c r="BO15" s="71">
        <f t="shared" si="40"/>
        <v>51.849343387344277</v>
      </c>
      <c r="BP15" s="69">
        <f t="shared" si="41"/>
        <v>30.985514193151531</v>
      </c>
      <c r="BQ15" s="69">
        <f t="shared" si="42"/>
        <v>12.012809491424646</v>
      </c>
      <c r="BR15" s="69">
        <f t="shared" si="43"/>
        <v>42.998323684576178</v>
      </c>
      <c r="BS15" s="69">
        <f t="shared" si="44"/>
        <v>91.16962005806468</v>
      </c>
      <c r="BT15" s="69">
        <f t="shared" si="45"/>
        <v>27.384940407182334</v>
      </c>
      <c r="BU15" s="69">
        <f t="shared" si="46"/>
        <v>118.55456046524702</v>
      </c>
    </row>
    <row r="16" spans="1:73">
      <c r="A16" s="3" t="s">
        <v>301</v>
      </c>
      <c r="B16" s="3">
        <v>1298529</v>
      </c>
      <c r="C16" s="3">
        <v>819373</v>
      </c>
      <c r="D16" s="34">
        <v>39486.449999999997</v>
      </c>
      <c r="E16" s="32">
        <f t="shared" si="5"/>
        <v>32354130995.849998</v>
      </c>
      <c r="F16" s="32">
        <v>56599</v>
      </c>
      <c r="G16" s="37">
        <f t="shared" si="6"/>
        <v>4.3587012688973449E-2</v>
      </c>
      <c r="H16" s="3">
        <v>7</v>
      </c>
      <c r="I16" s="3">
        <f t="shared" si="7"/>
        <v>7.0000000000000007E-2</v>
      </c>
      <c r="J16" s="16">
        <f>+'Track mile elasticities'!F44</f>
        <v>4.5466908337379934E-4</v>
      </c>
      <c r="K16" s="16">
        <f>+'Track mile elasticities'!G44</f>
        <v>3.0995009049668005E-3</v>
      </c>
      <c r="L16" s="16">
        <f>+'Track mile elasticities'!H44</f>
        <v>1.247467521169991E-3</v>
      </c>
      <c r="M16" s="16">
        <f>+'Track mile elasticities'!I44</f>
        <v>3.6704615979870009E-3</v>
      </c>
      <c r="N16" s="32">
        <f t="shared" si="0"/>
        <v>147104.2308323895</v>
      </c>
      <c r="O16" s="35">
        <f t="shared" si="1"/>
        <v>4.5466908337379937E-6</v>
      </c>
      <c r="P16" s="36">
        <f t="shared" si="2"/>
        <v>1002816.5830105148</v>
      </c>
      <c r="Q16" s="35">
        <f t="shared" si="3"/>
        <v>3.0995009049668008E-5</v>
      </c>
      <c r="R16" s="36">
        <f t="shared" si="8"/>
        <v>706054.14230700326</v>
      </c>
      <c r="S16" s="33">
        <f t="shared" si="9"/>
        <v>1.2474675211699911E-5</v>
      </c>
      <c r="T16" s="36">
        <f t="shared" si="10"/>
        <v>2077444.5598446629</v>
      </c>
      <c r="U16" s="33">
        <f t="shared" si="11"/>
        <v>3.6704615979870016E-5</v>
      </c>
      <c r="V16" s="13"/>
      <c r="W16" s="11">
        <f>+'Track mile elasticities'!N44</f>
        <v>5.4684082492203264E-4</v>
      </c>
      <c r="X16" s="11">
        <f>+'Track mile elasticities'!O44</f>
        <v>5.2256367097120995E-3</v>
      </c>
      <c r="Y16" s="11">
        <f>+'Track mile elasticities'!P44</f>
        <v>1.5003574979810283E-3</v>
      </c>
      <c r="Z16" s="11">
        <f>+'Track mile elasticities'!Q44</f>
        <v>6.1882539983432756E-3</v>
      </c>
      <c r="AA16" s="32">
        <f t="shared" si="12"/>
        <v>176925.59683406117</v>
      </c>
      <c r="AB16" s="33">
        <f t="shared" si="4"/>
        <v>5.4684082492203257E-6</v>
      </c>
      <c r="AC16" s="40">
        <f t="shared" si="13"/>
        <v>1690709.3464274784</v>
      </c>
      <c r="AD16" s="33">
        <f t="shared" si="14"/>
        <v>5.2256367097120994E-5</v>
      </c>
      <c r="AE16" s="40">
        <f t="shared" si="15"/>
        <v>849187.34028228233</v>
      </c>
      <c r="AF16" s="41">
        <f t="shared" si="16"/>
        <v>1.5003574979810285E-5</v>
      </c>
      <c r="AG16" s="40">
        <f t="shared" si="17"/>
        <v>3502489.8805223107</v>
      </c>
      <c r="AH16" s="41">
        <f t="shared" si="18"/>
        <v>6.1882539983432752E-5</v>
      </c>
      <c r="AJ16" s="11">
        <f>+'Track mile pop elasticities'!H45</f>
        <v>1.3884091510903042E-2</v>
      </c>
      <c r="AK16" s="11">
        <f>+'Track mile pop elasticities'!I45</f>
        <v>2.498158302144985E-2</v>
      </c>
      <c r="AL16" s="11">
        <f>+'Track mile pop elasticities'!J45</f>
        <v>2.0164990051549654E-2</v>
      </c>
      <c r="AM16" s="11">
        <f>+'Track mile pop elasticities'!K45</f>
        <v>4.5969017594702774E-2</v>
      </c>
      <c r="AN16" s="32">
        <f t="shared" si="19"/>
        <v>4492077.1550212596</v>
      </c>
      <c r="AO16" s="33">
        <f t="shared" si="20"/>
        <v>1.3884091510903043E-4</v>
      </c>
      <c r="AP16" s="40">
        <f t="shared" si="21"/>
        <v>8082574.0955969058</v>
      </c>
      <c r="AQ16" s="33">
        <f t="shared" si="22"/>
        <v>2.4981583021449846E-4</v>
      </c>
      <c r="AR16" s="40">
        <f t="shared" si="23"/>
        <v>11413182.71927659</v>
      </c>
      <c r="AS16" s="41">
        <f t="shared" si="24"/>
        <v>2.0164990051549657E-4</v>
      </c>
      <c r="AT16" s="40">
        <f t="shared" si="25"/>
        <v>26018004.268425826</v>
      </c>
      <c r="AU16" s="41">
        <f t="shared" si="26"/>
        <v>4.5969017594702779E-4</v>
      </c>
      <c r="AW16" s="11">
        <f>+'Track mile pop elasticities'!P45</f>
        <v>1.284467447362323E-2</v>
      </c>
      <c r="AX16" s="11">
        <f>+'Track mile pop elasticities'!Q45</f>
        <v>1.967509856396861E-2</v>
      </c>
      <c r="AY16" s="11">
        <f>+'Track mile pop elasticities'!R45</f>
        <v>1.8655360545024213E-2</v>
      </c>
      <c r="AZ16" s="11">
        <f>+'Track mile pop elasticities'!S45</f>
        <v>3.6204469159860843E-2</v>
      </c>
      <c r="BA16" s="32">
        <f t="shared" si="27"/>
        <v>4155782.805186566</v>
      </c>
      <c r="BB16" s="33">
        <f t="shared" si="28"/>
        <v>1.2844674473623229E-4</v>
      </c>
      <c r="BC16" s="40">
        <f t="shared" si="29"/>
        <v>6365707.1629490061</v>
      </c>
      <c r="BD16" s="33">
        <f t="shared" si="30"/>
        <v>1.9675098563968609E-4</v>
      </c>
      <c r="BE16" s="40">
        <f t="shared" si="31"/>
        <v>10558747.514878254</v>
      </c>
      <c r="BF16" s="41">
        <f t="shared" si="32"/>
        <v>1.8655360545024213E-4</v>
      </c>
      <c r="BG16" s="40">
        <f t="shared" si="33"/>
        <v>20491367.49978964</v>
      </c>
      <c r="BH16" s="41">
        <f t="shared" si="34"/>
        <v>3.6204469159860841E-4</v>
      </c>
      <c r="BJ16" s="70">
        <f t="shared" si="35"/>
        <v>0.1795326802718536</v>
      </c>
      <c r="BK16" s="70">
        <f t="shared" si="36"/>
        <v>5.4823348524069742</v>
      </c>
      <c r="BL16" s="70">
        <f t="shared" si="37"/>
        <v>5.6618675326788281</v>
      </c>
      <c r="BM16" s="70">
        <f t="shared" si="38"/>
        <v>1.2238828750892632</v>
      </c>
      <c r="BN16" s="70">
        <f t="shared" si="39"/>
        <v>9.864340288973283</v>
      </c>
      <c r="BO16" s="71">
        <f t="shared" si="40"/>
        <v>11.088223164062546</v>
      </c>
      <c r="BP16" s="69">
        <f t="shared" si="41"/>
        <v>0.8617005226032628</v>
      </c>
      <c r="BQ16" s="69">
        <f t="shared" si="42"/>
        <v>13.929166227440483</v>
      </c>
      <c r="BR16" s="69">
        <f t="shared" si="43"/>
        <v>14.790866750043746</v>
      </c>
      <c r="BS16" s="69">
        <f t="shared" si="44"/>
        <v>2.5354076346726862</v>
      </c>
      <c r="BT16" s="69">
        <f t="shared" si="45"/>
        <v>31.753553349238778</v>
      </c>
      <c r="BU16" s="69">
        <f t="shared" si="46"/>
        <v>34.288960983911466</v>
      </c>
    </row>
    <row r="17" spans="1:73">
      <c r="A17" s="3" t="s">
        <v>303</v>
      </c>
      <c r="B17" s="3">
        <v>5501752</v>
      </c>
      <c r="C17" s="3">
        <v>3273236</v>
      </c>
      <c r="D17" s="34">
        <v>40292.35</v>
      </c>
      <c r="E17" s="32">
        <f t="shared" si="5"/>
        <v>131886370544.59999</v>
      </c>
      <c r="F17" s="32">
        <v>233919</v>
      </c>
      <c r="G17" s="37">
        <f t="shared" si="6"/>
        <v>4.2517183617145959E-2</v>
      </c>
      <c r="H17" s="3">
        <v>95.8</v>
      </c>
      <c r="I17" s="3">
        <f t="shared" si="7"/>
        <v>0.95799999999999996</v>
      </c>
      <c r="J17" s="16">
        <f>+'Track mile elasticities'!F45</f>
        <v>3.0196324278550352E-3</v>
      </c>
      <c r="K17" s="16">
        <f>+'Track mile elasticities'!G45</f>
        <v>2.0584978801184785E-2</v>
      </c>
      <c r="L17" s="16">
        <f>+'Track mile elasticities'!H45</f>
        <v>8.2849120764253662E-3</v>
      </c>
      <c r="M17" s="16">
        <f>+'Track mile elasticities'!I45</f>
        <v>2.4376948580350406E-2</v>
      </c>
      <c r="N17" s="32">
        <f t="shared" si="0"/>
        <v>3982483.6128857927</v>
      </c>
      <c r="O17" s="35">
        <f t="shared" si="1"/>
        <v>3.0196324278550352E-5</v>
      </c>
      <c r="P17" s="36">
        <f t="shared" si="2"/>
        <v>27148781.418257926</v>
      </c>
      <c r="Q17" s="35">
        <f t="shared" si="3"/>
        <v>2.0584978801184789E-4</v>
      </c>
      <c r="R17" s="36">
        <f t="shared" si="8"/>
        <v>19379983.480053455</v>
      </c>
      <c r="S17" s="33">
        <f t="shared" si="9"/>
        <v>8.2849120764253665E-5</v>
      </c>
      <c r="T17" s="36">
        <f t="shared" si="10"/>
        <v>57022314.349669866</v>
      </c>
      <c r="U17" s="33">
        <f t="shared" si="11"/>
        <v>2.4376948580350408E-4</v>
      </c>
      <c r="V17" s="13"/>
      <c r="W17" s="11">
        <f>+'Track mile elasticities'!N45</f>
        <v>3.23966549101673E-3</v>
      </c>
      <c r="X17" s="11">
        <f>+'Track mile elasticities'!O45</f>
        <v>3.0958396201414266E-2</v>
      </c>
      <c r="Y17" s="11">
        <f>+'Track mile elasticities'!P45</f>
        <v>8.8886128995404861E-3</v>
      </c>
      <c r="Z17" s="11">
        <f>+'Track mile elasticities'!Q45</f>
        <v>3.6661258659569526E-2</v>
      </c>
      <c r="AA17" s="32">
        <f t="shared" si="12"/>
        <v>4272677.2338878587</v>
      </c>
      <c r="AB17" s="33">
        <f t="shared" si="4"/>
        <v>3.2396654910167295E-5</v>
      </c>
      <c r="AC17" s="40">
        <f t="shared" si="13"/>
        <v>40829905.12886259</v>
      </c>
      <c r="AD17" s="33">
        <f t="shared" si="14"/>
        <v>3.0958396201414266E-4</v>
      </c>
      <c r="AE17" s="40">
        <f t="shared" si="15"/>
        <v>20792154.408476111</v>
      </c>
      <c r="AF17" s="41">
        <f t="shared" si="16"/>
        <v>8.8886128995404855E-5</v>
      </c>
      <c r="AG17" s="40">
        <f t="shared" si="17"/>
        <v>85757649.643878445</v>
      </c>
      <c r="AH17" s="41">
        <f t="shared" si="18"/>
        <v>3.666125865956953E-4</v>
      </c>
      <c r="AJ17" s="11">
        <f>+'Track mile pop elasticities'!H46</f>
        <v>1.058488692260743E-2</v>
      </c>
      <c r="AK17" s="11">
        <f>+'Track mile pop elasticities'!I46</f>
        <v>1.9045339136674822E-2</v>
      </c>
      <c r="AL17" s="11">
        <f>+'Track mile pop elasticities'!J46</f>
        <v>1.5373288149501266E-2</v>
      </c>
      <c r="AM17" s="11">
        <f>+'Track mile pop elasticities'!K46</f>
        <v>3.5045638585799885E-2</v>
      </c>
      <c r="AN17" s="32">
        <f t="shared" si="19"/>
        <v>13960023.188476941</v>
      </c>
      <c r="AO17" s="33">
        <f t="shared" si="20"/>
        <v>1.0584886922607429E-4</v>
      </c>
      <c r="AP17" s="40">
        <f t="shared" si="21"/>
        <v>25118206.545270678</v>
      </c>
      <c r="AQ17" s="33">
        <f t="shared" si="22"/>
        <v>1.9045339136674824E-4</v>
      </c>
      <c r="AR17" s="40">
        <f t="shared" si="23"/>
        <v>35961041.906431869</v>
      </c>
      <c r="AS17" s="41">
        <f t="shared" si="24"/>
        <v>1.5373288149501266E-4</v>
      </c>
      <c r="AT17" s="40">
        <f t="shared" si="25"/>
        <v>81978407.323517248</v>
      </c>
      <c r="AU17" s="41">
        <f t="shared" si="26"/>
        <v>3.5045638585799889E-4</v>
      </c>
      <c r="AW17" s="11">
        <f>+'Track mile pop elasticities'!P46</f>
        <v>1.5873387587621735E-2</v>
      </c>
      <c r="AX17" s="11">
        <f>+'Track mile pop elasticities'!Q46</f>
        <v>2.4314393172973649E-2</v>
      </c>
      <c r="AY17" s="11">
        <f>+'Track mile pop elasticities'!R46</f>
        <v>2.3054205782022039E-2</v>
      </c>
      <c r="AZ17" s="11">
        <f>+'Track mile pop elasticities'!S46</f>
        <v>4.4741310693291625E-2</v>
      </c>
      <c r="BA17" s="32">
        <f t="shared" si="27"/>
        <v>20934834.771791343</v>
      </c>
      <c r="BB17" s="33">
        <f t="shared" si="28"/>
        <v>1.5873387587621735E-4</v>
      </c>
      <c r="BC17" s="40">
        <f t="shared" si="29"/>
        <v>32067370.675778948</v>
      </c>
      <c r="BD17" s="33">
        <f t="shared" si="30"/>
        <v>2.4314393172973647E-4</v>
      </c>
      <c r="BE17" s="40">
        <f t="shared" si="31"/>
        <v>53928167.623248138</v>
      </c>
      <c r="BF17" s="41">
        <f t="shared" si="32"/>
        <v>2.305420578202204E-4</v>
      </c>
      <c r="BG17" s="40">
        <f t="shared" si="33"/>
        <v>104658426.56064083</v>
      </c>
      <c r="BH17" s="41">
        <f t="shared" si="34"/>
        <v>4.4741310693291621E-4</v>
      </c>
      <c r="BJ17" s="70">
        <f t="shared" si="35"/>
        <v>1.2166808665448483</v>
      </c>
      <c r="BK17" s="70">
        <f t="shared" si="36"/>
        <v>4.2648996859612138</v>
      </c>
      <c r="BL17" s="70">
        <f t="shared" si="37"/>
        <v>5.4815805525060624</v>
      </c>
      <c r="BM17" s="70">
        <f t="shared" si="38"/>
        <v>8.2941717059991777</v>
      </c>
      <c r="BN17" s="70">
        <f t="shared" si="39"/>
        <v>7.6738147036359976</v>
      </c>
      <c r="BO17" s="71">
        <f t="shared" si="40"/>
        <v>15.967986409635175</v>
      </c>
      <c r="BP17" s="69">
        <f t="shared" si="41"/>
        <v>5.9207412725674091</v>
      </c>
      <c r="BQ17" s="69">
        <f t="shared" si="42"/>
        <v>10.98638836504055</v>
      </c>
      <c r="BR17" s="69">
        <f t="shared" si="43"/>
        <v>16.907129637607959</v>
      </c>
      <c r="BS17" s="69">
        <f t="shared" si="44"/>
        <v>17.420776977177894</v>
      </c>
      <c r="BT17" s="69">
        <f t="shared" si="45"/>
        <v>25.045064677132125</v>
      </c>
      <c r="BU17" s="69">
        <f t="shared" si="46"/>
        <v>42.465841654310019</v>
      </c>
    </row>
    <row r="18" spans="1:73">
      <c r="A18" s="3" t="s">
        <v>305</v>
      </c>
      <c r="B18" s="3">
        <v>3237612</v>
      </c>
      <c r="C18" s="3">
        <v>2285862</v>
      </c>
      <c r="D18" s="34">
        <v>48866.68</v>
      </c>
      <c r="E18" s="32">
        <f t="shared" si="5"/>
        <v>111702486878.16</v>
      </c>
      <c r="F18" s="32">
        <v>175976</v>
      </c>
      <c r="G18" s="37">
        <f t="shared" si="6"/>
        <v>5.4353640893349792E-2</v>
      </c>
      <c r="H18" s="3">
        <v>12.1</v>
      </c>
      <c r="I18" s="3">
        <f t="shared" si="7"/>
        <v>0.121</v>
      </c>
      <c r="J18" s="16">
        <f>+'Track mile elasticities'!F46</f>
        <v>4.3634030847880594E-4</v>
      </c>
      <c r="K18" s="16">
        <f>+'Track mile elasticities'!G46</f>
        <v>2.9745527691656709E-3</v>
      </c>
      <c r="L18" s="16">
        <f>+'Track mile elasticities'!H46</f>
        <v>1.1971791857180237E-3</v>
      </c>
      <c r="M18" s="16">
        <f>+'Track mile elasticities'!I46</f>
        <v>3.522496700327768E-3</v>
      </c>
      <c r="N18" s="32">
        <f t="shared" si="0"/>
        <v>487402.97582266107</v>
      </c>
      <c r="O18" s="35">
        <f t="shared" si="1"/>
        <v>4.3634030847880593E-6</v>
      </c>
      <c r="P18" s="36">
        <f t="shared" si="2"/>
        <v>3322649.4166612285</v>
      </c>
      <c r="Q18" s="35">
        <f t="shared" si="3"/>
        <v>2.9745527691656709E-5</v>
      </c>
      <c r="R18" s="36">
        <f t="shared" si="8"/>
        <v>2106748.0438591493</v>
      </c>
      <c r="S18" s="33">
        <f t="shared" si="9"/>
        <v>1.1971791857180237E-5</v>
      </c>
      <c r="T18" s="36">
        <f t="shared" si="10"/>
        <v>6198748.7933687931</v>
      </c>
      <c r="U18" s="33">
        <f t="shared" si="11"/>
        <v>3.5224967003277684E-5</v>
      </c>
      <c r="V18" s="13"/>
      <c r="W18" s="11">
        <f>+'Track mile elasticities'!N46</f>
        <v>3.9575241743394703E-4</v>
      </c>
      <c r="X18" s="11">
        <f>+'Track mile elasticities'!O46</f>
        <v>3.7818287630500143E-3</v>
      </c>
      <c r="Y18" s="11">
        <f>+'Track mile elasticities'!P46</f>
        <v>1.0858189070389883E-3</v>
      </c>
      <c r="Z18" s="11">
        <f>+'Track mile elasticities'!Q46</f>
        <v>4.4784814299276485E-3</v>
      </c>
      <c r="AA18" s="32">
        <f t="shared" si="12"/>
        <v>442065.29215415567</v>
      </c>
      <c r="AB18" s="33">
        <f t="shared" si="4"/>
        <v>3.9575241743394701E-6</v>
      </c>
      <c r="AC18" s="40">
        <f t="shared" si="13"/>
        <v>4224396.7778004231</v>
      </c>
      <c r="AD18" s="33">
        <f t="shared" si="14"/>
        <v>3.7818287630500143E-5</v>
      </c>
      <c r="AE18" s="40">
        <f t="shared" si="15"/>
        <v>1910780.6798509301</v>
      </c>
      <c r="AF18" s="41">
        <f t="shared" si="16"/>
        <v>1.0858189070389883E-5</v>
      </c>
      <c r="AG18" s="40">
        <f t="shared" si="17"/>
        <v>7881052.4811294787</v>
      </c>
      <c r="AH18" s="41">
        <f t="shared" si="18"/>
        <v>4.4784814299276483E-5</v>
      </c>
      <c r="AJ18" s="11">
        <f>+'Track mile pop elasticities'!H47</f>
        <v>3.8606328516870704E-3</v>
      </c>
      <c r="AK18" s="11">
        <f>+'Track mile pop elasticities'!I47</f>
        <v>6.9464192182844761E-3</v>
      </c>
      <c r="AL18" s="11">
        <f>+'Track mile pop elasticities'!J47</f>
        <v>5.607109617926459E-3</v>
      </c>
      <c r="AM18" s="11">
        <f>+'Track mile pop elasticities'!K47</f>
        <v>1.2782219084808352E-2</v>
      </c>
      <c r="AN18" s="32">
        <f t="shared" si="19"/>
        <v>4312422.9045696836</v>
      </c>
      <c r="AO18" s="33">
        <f t="shared" si="20"/>
        <v>3.8606328516870699E-5</v>
      </c>
      <c r="AP18" s="40">
        <f t="shared" si="21"/>
        <v>7759323.0158062009</v>
      </c>
      <c r="AQ18" s="33">
        <f t="shared" si="22"/>
        <v>6.946419218284475E-5</v>
      </c>
      <c r="AR18" s="40">
        <f t="shared" si="23"/>
        <v>9867167.2212422658</v>
      </c>
      <c r="AS18" s="41">
        <f t="shared" si="24"/>
        <v>5.6071096179264591E-5</v>
      </c>
      <c r="AT18" s="40">
        <f t="shared" si="25"/>
        <v>22493637.856682349</v>
      </c>
      <c r="AU18" s="41">
        <f t="shared" si="26"/>
        <v>1.2782219084808355E-4</v>
      </c>
      <c r="AW18" s="11">
        <f>+'Track mile pop elasticities'!P47</f>
        <v>3.7992073429181697E-3</v>
      </c>
      <c r="AX18" s="11">
        <f>+'Track mile pop elasticities'!Q47</f>
        <v>5.8195152466003165E-3</v>
      </c>
      <c r="AY18" s="11">
        <f>+'Track mile pop elasticities'!R47</f>
        <v>5.517896379000198E-3</v>
      </c>
      <c r="AZ18" s="11">
        <f>+'Track mile pop elasticities'!S47</f>
        <v>1.0708584741563954E-2</v>
      </c>
      <c r="BA18" s="32">
        <f t="shared" si="27"/>
        <v>4243809.0836972594</v>
      </c>
      <c r="BB18" s="33">
        <f t="shared" si="28"/>
        <v>3.7992073429181692E-5</v>
      </c>
      <c r="BC18" s="40">
        <f t="shared" si="29"/>
        <v>6500543.2547062393</v>
      </c>
      <c r="BD18" s="33">
        <f t="shared" si="30"/>
        <v>5.8195152466003162E-5</v>
      </c>
      <c r="BE18" s="40">
        <f t="shared" si="31"/>
        <v>9710173.3319093883</v>
      </c>
      <c r="BF18" s="41">
        <f t="shared" si="32"/>
        <v>5.5178963790001982E-5</v>
      </c>
      <c r="BG18" s="40">
        <f t="shared" si="33"/>
        <v>18844539.084814589</v>
      </c>
      <c r="BH18" s="41">
        <f t="shared" si="34"/>
        <v>1.0708584741563958E-4</v>
      </c>
      <c r="BJ18" s="70">
        <f t="shared" si="35"/>
        <v>0.21322502225535098</v>
      </c>
      <c r="BK18" s="70">
        <f t="shared" si="36"/>
        <v>1.8865631016087951</v>
      </c>
      <c r="BL18" s="70">
        <f t="shared" si="37"/>
        <v>2.0997881238641463</v>
      </c>
      <c r="BM18" s="70">
        <f t="shared" si="38"/>
        <v>1.453565183139327</v>
      </c>
      <c r="BN18" s="70">
        <f t="shared" si="39"/>
        <v>3.3944844508575764</v>
      </c>
      <c r="BO18" s="71">
        <f t="shared" si="40"/>
        <v>4.8480496339969035</v>
      </c>
      <c r="BP18" s="69">
        <f t="shared" si="41"/>
        <v>0.92164270802837145</v>
      </c>
      <c r="BQ18" s="69">
        <f t="shared" si="42"/>
        <v>4.3166066985855949</v>
      </c>
      <c r="BR18" s="69">
        <f t="shared" si="43"/>
        <v>5.2382494066139662</v>
      </c>
      <c r="BS18" s="69">
        <f t="shared" si="44"/>
        <v>2.711777348487701</v>
      </c>
      <c r="BT18" s="69">
        <f t="shared" si="45"/>
        <v>9.8403306309315042</v>
      </c>
      <c r="BU18" s="69">
        <f t="shared" si="46"/>
        <v>12.552107979419205</v>
      </c>
    </row>
    <row r="19" spans="1:73">
      <c r="A19" s="3" t="s">
        <v>306</v>
      </c>
      <c r="B19" s="3">
        <v>1556368</v>
      </c>
      <c r="C19" s="3">
        <v>1038536</v>
      </c>
      <c r="D19" s="34">
        <v>40648.57</v>
      </c>
      <c r="E19" s="32">
        <f t="shared" si="5"/>
        <v>42215003293.519997</v>
      </c>
      <c r="F19" s="32">
        <v>71966</v>
      </c>
      <c r="G19" s="37">
        <f t="shared" si="6"/>
        <v>4.6239706804560361E-2</v>
      </c>
      <c r="H19" s="3">
        <v>32</v>
      </c>
      <c r="I19" s="3">
        <f t="shared" si="7"/>
        <v>0.32</v>
      </c>
      <c r="J19" s="16">
        <f>+'Track mile elasticities'!F47</f>
        <v>2.2138195838401131E-3</v>
      </c>
      <c r="K19" s="16">
        <f>+'Track mile elasticities'!G47</f>
        <v>1.5091714071757951E-2</v>
      </c>
      <c r="L19" s="16">
        <f>+'Track mile elasticities'!H47</f>
        <v>6.0740176307526568E-3</v>
      </c>
      <c r="M19" s="16">
        <f>+'Track mile elasticities'!I47</f>
        <v>1.7871766663923892E-2</v>
      </c>
      <c r="N19" s="32">
        <f t="shared" si="0"/>
        <v>934564.01023069443</v>
      </c>
      <c r="O19" s="35">
        <f t="shared" si="1"/>
        <v>2.213819583840113E-5</v>
      </c>
      <c r="P19" s="36">
        <f t="shared" si="2"/>
        <v>6370967.5924412403</v>
      </c>
      <c r="Q19" s="35">
        <f t="shared" si="3"/>
        <v>1.5091714071757952E-4</v>
      </c>
      <c r="R19" s="36">
        <f t="shared" si="8"/>
        <v>4371227.5281474572</v>
      </c>
      <c r="S19" s="33">
        <f t="shared" si="9"/>
        <v>6.0740176307526566E-5</v>
      </c>
      <c r="T19" s="36">
        <f t="shared" si="10"/>
        <v>12861595.597359469</v>
      </c>
      <c r="U19" s="33">
        <f t="shared" si="11"/>
        <v>1.7871766663923893E-4</v>
      </c>
      <c r="V19" s="13"/>
      <c r="W19" s="11">
        <f>+'Track mile elasticities'!N47</f>
        <v>2.1407845051171224E-3</v>
      </c>
      <c r="X19" s="11">
        <f>+'Track mile elasticities'!O47</f>
        <v>2.0457437681464064E-2</v>
      </c>
      <c r="Y19" s="11">
        <f>+'Track mile elasticities'!P47</f>
        <v>5.873632577216654E-3</v>
      </c>
      <c r="Z19" s="11">
        <f>+'Track mile elasticities'!Q47</f>
        <v>2.4225913043839024E-2</v>
      </c>
      <c r="AA19" s="32">
        <f t="shared" si="12"/>
        <v>903732.24934235902</v>
      </c>
      <c r="AB19" s="33">
        <f t="shared" si="4"/>
        <v>2.1407845051171224E-5</v>
      </c>
      <c r="AC19" s="40">
        <f t="shared" si="13"/>
        <v>8636107.9909998551</v>
      </c>
      <c r="AD19" s="33">
        <f t="shared" si="14"/>
        <v>2.0457437681464064E-4</v>
      </c>
      <c r="AE19" s="40">
        <f t="shared" si="15"/>
        <v>4227018.4205197375</v>
      </c>
      <c r="AF19" s="41">
        <f t="shared" si="16"/>
        <v>5.8736325772166548E-5</v>
      </c>
      <c r="AG19" s="40">
        <f t="shared" si="17"/>
        <v>17434420.581129193</v>
      </c>
      <c r="AH19" s="41">
        <f t="shared" si="18"/>
        <v>2.4225913043839024E-4</v>
      </c>
      <c r="AJ19" s="11">
        <f>+'Track mile pop elasticities'!H48</f>
        <v>4.418228028593145E-2</v>
      </c>
      <c r="AK19" s="11">
        <f>+'Track mile pop elasticities'!I48</f>
        <v>7.9496976966278624E-2</v>
      </c>
      <c r="AL19" s="11">
        <f>+'Track mile pop elasticities'!J48</f>
        <v>6.4169502320043301E-2</v>
      </c>
      <c r="AM19" s="11">
        <f>+'Track mile pop elasticities'!K48</f>
        <v>0.1462836814524836</v>
      </c>
      <c r="AN19" s="32">
        <f t="shared" si="19"/>
        <v>18651551.077858198</v>
      </c>
      <c r="AO19" s="33">
        <f t="shared" si="20"/>
        <v>4.4182280285931454E-4</v>
      </c>
      <c r="AP19" s="40">
        <f t="shared" si="21"/>
        <v>33559651.444563352</v>
      </c>
      <c r="AQ19" s="33">
        <f t="shared" si="22"/>
        <v>7.9496976966278617E-4</v>
      </c>
      <c r="AR19" s="40">
        <f t="shared" si="23"/>
        <v>46180224.039642371</v>
      </c>
      <c r="AS19" s="41">
        <f t="shared" si="24"/>
        <v>6.4169502320043318E-4</v>
      </c>
      <c r="AT19" s="40">
        <f t="shared" si="25"/>
        <v>105274514.19409434</v>
      </c>
      <c r="AU19" s="41">
        <f t="shared" si="26"/>
        <v>1.4628368145248359E-3</v>
      </c>
      <c r="AW19" s="11">
        <f>+'Track mile pop elasticities'!P48</f>
        <v>3.624077549018484E-2</v>
      </c>
      <c r="AX19" s="11">
        <f>+'Track mile pop elasticities'!Q48</f>
        <v>5.5512565247822103E-2</v>
      </c>
      <c r="AY19" s="11">
        <f>+'Track mile pop elasticities'!R48</f>
        <v>5.2635412021458931E-2</v>
      </c>
      <c r="AZ19" s="11">
        <f>+'Track mile pop elasticities'!S48</f>
        <v>0.10214957500544009</v>
      </c>
      <c r="BA19" s="32">
        <f t="shared" si="27"/>
        <v>15299044.566778718</v>
      </c>
      <c r="BB19" s="33">
        <f t="shared" si="28"/>
        <v>3.6240775490184842E-4</v>
      </c>
      <c r="BC19" s="40">
        <f t="shared" si="29"/>
        <v>23434631.247685537</v>
      </c>
      <c r="BD19" s="33">
        <f t="shared" si="30"/>
        <v>5.5512565247822104E-4</v>
      </c>
      <c r="BE19" s="40">
        <f t="shared" si="31"/>
        <v>37879600.615363136</v>
      </c>
      <c r="BF19" s="41">
        <f t="shared" si="32"/>
        <v>5.263541202145893E-4</v>
      </c>
      <c r="BG19" s="40">
        <f t="shared" si="33"/>
        <v>73512963.148415014</v>
      </c>
      <c r="BH19" s="41">
        <f t="shared" si="34"/>
        <v>1.0214957500544008E-3</v>
      </c>
      <c r="BJ19" s="70">
        <f t="shared" si="35"/>
        <v>0.89988600321095702</v>
      </c>
      <c r="BK19" s="70">
        <f t="shared" si="36"/>
        <v>17.959465129623045</v>
      </c>
      <c r="BL19" s="70">
        <f t="shared" si="37"/>
        <v>18.859351132834</v>
      </c>
      <c r="BM19" s="70">
        <f t="shared" si="38"/>
        <v>6.1345659586583814</v>
      </c>
      <c r="BN19" s="70">
        <f t="shared" si="39"/>
        <v>32.314384330021639</v>
      </c>
      <c r="BO19" s="71">
        <f t="shared" si="40"/>
        <v>38.448950288680017</v>
      </c>
      <c r="BP19" s="69">
        <f t="shared" si="41"/>
        <v>4.2090284093641985</v>
      </c>
      <c r="BQ19" s="69">
        <f t="shared" si="42"/>
        <v>44.466656947513009</v>
      </c>
      <c r="BR19" s="69">
        <f t="shared" si="43"/>
        <v>48.67568535687721</v>
      </c>
      <c r="BS19" s="69">
        <f t="shared" si="44"/>
        <v>12.384352200943896</v>
      </c>
      <c r="BT19" s="69">
        <f t="shared" si="45"/>
        <v>101.3681896381968</v>
      </c>
      <c r="BU19" s="69">
        <f t="shared" si="46"/>
        <v>113.75254183914069</v>
      </c>
    </row>
    <row r="20" spans="1:73">
      <c r="A20" s="3" t="s">
        <v>308</v>
      </c>
      <c r="B20" s="3">
        <v>1168547</v>
      </c>
      <c r="C20" s="3">
        <v>710250</v>
      </c>
      <c r="D20" s="34">
        <v>41724.58</v>
      </c>
      <c r="E20" s="32">
        <f t="shared" si="5"/>
        <v>29634882945</v>
      </c>
      <c r="F20" s="32">
        <v>65881</v>
      </c>
      <c r="G20" s="37">
        <f t="shared" si="6"/>
        <v>5.6378562436940921E-2</v>
      </c>
      <c r="H20" s="3">
        <v>12.9</v>
      </c>
      <c r="I20" s="3">
        <f t="shared" si="7"/>
        <v>0.129</v>
      </c>
      <c r="J20" s="16">
        <f>+'Track mile elasticities'!F48</f>
        <v>6.1534396160739025E-4</v>
      </c>
      <c r="K20" s="16">
        <f>+'Track mile elasticities'!G48</f>
        <v>4.1948292408963677E-3</v>
      </c>
      <c r="L20" s="16">
        <f>+'Track mile elasticities'!H48</f>
        <v>1.6883083423163052E-3</v>
      </c>
      <c r="M20" s="16">
        <f>+'Track mile elasticities'!I48</f>
        <v>4.9675609431667515E-3</v>
      </c>
      <c r="N20" s="32">
        <f t="shared" si="0"/>
        <v>182356.46273147585</v>
      </c>
      <c r="O20" s="35">
        <f t="shared" si="1"/>
        <v>6.1534396160739027E-6</v>
      </c>
      <c r="P20" s="36">
        <f t="shared" si="2"/>
        <v>1243132.7352822707</v>
      </c>
      <c r="Q20" s="35">
        <f t="shared" si="3"/>
        <v>4.1948292408963679E-5</v>
      </c>
      <c r="R20" s="36">
        <f t="shared" si="8"/>
        <v>1112274.4190014051</v>
      </c>
      <c r="S20" s="33">
        <f t="shared" si="9"/>
        <v>1.6883083423163055E-5</v>
      </c>
      <c r="T20" s="36">
        <f t="shared" si="10"/>
        <v>3272678.8249676875</v>
      </c>
      <c r="U20" s="33">
        <f t="shared" si="11"/>
        <v>4.967560943166752E-5</v>
      </c>
      <c r="V20" s="13"/>
      <c r="W20" s="11">
        <f>+'Track mile elasticities'!N48</f>
        <v>1.0730882796498858E-3</v>
      </c>
      <c r="X20" s="11">
        <f>+'Track mile elasticities'!O48</f>
        <v>1.0254482202750244E-2</v>
      </c>
      <c r="Y20" s="11">
        <f>+'Track mile elasticities'!P48</f>
        <v>2.9442133304473398E-3</v>
      </c>
      <c r="Z20" s="11">
        <f>+'Track mile elasticities'!Q48</f>
        <v>1.2143465766414762E-2</v>
      </c>
      <c r="AA20" s="32">
        <f t="shared" si="12"/>
        <v>318008.45557075791</v>
      </c>
      <c r="AB20" s="33">
        <f t="shared" si="4"/>
        <v>1.0730882796498858E-5</v>
      </c>
      <c r="AC20" s="40">
        <f t="shared" si="13"/>
        <v>3038903.7974008922</v>
      </c>
      <c r="AD20" s="33">
        <f t="shared" si="14"/>
        <v>1.0254482202750244E-4</v>
      </c>
      <c r="AE20" s="40">
        <f t="shared" si="15"/>
        <v>1939677.1842320121</v>
      </c>
      <c r="AF20" s="41">
        <f t="shared" si="16"/>
        <v>2.94421333044734E-5</v>
      </c>
      <c r="AG20" s="40">
        <f t="shared" si="17"/>
        <v>8000236.6815717099</v>
      </c>
      <c r="AH20" s="41">
        <f t="shared" si="18"/>
        <v>1.2143465766414762E-4</v>
      </c>
      <c r="AJ20" s="11">
        <f>+'Track mile pop elasticities'!H49</f>
        <v>3.1595124751366367E-2</v>
      </c>
      <c r="AK20" s="11">
        <f>+'Track mile pop elasticities'!I49</f>
        <v>5.6848964977614651E-2</v>
      </c>
      <c r="AL20" s="11">
        <f>+'Track mile pop elasticities'!J49</f>
        <v>4.5888157376984477E-2</v>
      </c>
      <c r="AM20" s="11">
        <f>+'Track mile pop elasticities'!K49</f>
        <v>0.10460870590357578</v>
      </c>
      <c r="AN20" s="32">
        <f t="shared" si="19"/>
        <v>9363178.2363941446</v>
      </c>
      <c r="AO20" s="33">
        <f t="shared" si="20"/>
        <v>3.1595124751366367E-4</v>
      </c>
      <c r="AP20" s="40">
        <f t="shared" si="21"/>
        <v>16847124.226560146</v>
      </c>
      <c r="AQ20" s="33">
        <f t="shared" si="22"/>
        <v>5.6848964977614645E-4</v>
      </c>
      <c r="AR20" s="40">
        <f t="shared" si="23"/>
        <v>30231576.961531147</v>
      </c>
      <c r="AS20" s="41">
        <f t="shared" si="24"/>
        <v>4.588815737698448E-4</v>
      </c>
      <c r="AT20" s="40">
        <f t="shared" si="25"/>
        <v>68917261.536334768</v>
      </c>
      <c r="AU20" s="41">
        <f t="shared" si="26"/>
        <v>1.0460870590357579E-3</v>
      </c>
      <c r="AW20" s="11">
        <f>+'Track mile pop elasticities'!P49</f>
        <v>3.2393717772661722E-2</v>
      </c>
      <c r="AX20" s="11">
        <f>+'Track mile pop elasticities'!Q49</f>
        <v>4.9619754189902596E-2</v>
      </c>
      <c r="AY20" s="11">
        <f>+'Track mile pop elasticities'!R49</f>
        <v>4.7048018669818212E-2</v>
      </c>
      <c r="AZ20" s="11">
        <f>+'Track mile pop elasticities'!S49</f>
        <v>9.1306117448280058E-2</v>
      </c>
      <c r="BA20" s="32">
        <f t="shared" si="27"/>
        <v>9599840.3434619624</v>
      </c>
      <c r="BB20" s="33">
        <f t="shared" si="28"/>
        <v>3.2393717772661722E-4</v>
      </c>
      <c r="BC20" s="40">
        <f t="shared" si="29"/>
        <v>14704756.071774367</v>
      </c>
      <c r="BD20" s="33">
        <f t="shared" si="30"/>
        <v>4.9619754189902596E-4</v>
      </c>
      <c r="BE20" s="40">
        <f t="shared" si="31"/>
        <v>30995705.179862939</v>
      </c>
      <c r="BF20" s="41">
        <f t="shared" si="32"/>
        <v>4.7048018669818215E-4</v>
      </c>
      <c r="BG20" s="40">
        <f t="shared" si="33"/>
        <v>60153383.236101381</v>
      </c>
      <c r="BH20" s="41">
        <f t="shared" si="34"/>
        <v>9.1306117448280055E-4</v>
      </c>
      <c r="BJ20" s="70">
        <f t="shared" si="35"/>
        <v>0.25674968353604483</v>
      </c>
      <c r="BK20" s="70">
        <f t="shared" si="36"/>
        <v>13.182933102983661</v>
      </c>
      <c r="BL20" s="70">
        <f t="shared" si="37"/>
        <v>13.439682786519704</v>
      </c>
      <c r="BM20" s="70">
        <f t="shared" si="38"/>
        <v>1.7502748824811978</v>
      </c>
      <c r="BN20" s="70">
        <f t="shared" si="39"/>
        <v>23.719991871256806</v>
      </c>
      <c r="BO20" s="71">
        <f t="shared" si="40"/>
        <v>25.470266753738006</v>
      </c>
      <c r="BP20" s="69">
        <f t="shared" si="41"/>
        <v>1.566032268921373</v>
      </c>
      <c r="BQ20" s="69">
        <f t="shared" si="42"/>
        <v>42.564698291490529</v>
      </c>
      <c r="BR20" s="69">
        <f t="shared" si="43"/>
        <v>44.130730560411898</v>
      </c>
      <c r="BS20" s="69">
        <f t="shared" si="44"/>
        <v>4.6077843364557376</v>
      </c>
      <c r="BT20" s="69">
        <f t="shared" si="45"/>
        <v>97.032399206384753</v>
      </c>
      <c r="BU20" s="69">
        <f t="shared" si="46"/>
        <v>101.64018354284048</v>
      </c>
    </row>
    <row r="21" spans="1:73">
      <c r="A21" s="3" t="s">
        <v>310</v>
      </c>
      <c r="B21" s="3">
        <v>18968501</v>
      </c>
      <c r="C21" s="3">
        <v>11166752</v>
      </c>
      <c r="D21" s="34">
        <v>63346.31</v>
      </c>
      <c r="E21" s="32">
        <f t="shared" si="5"/>
        <v>707372533885.12</v>
      </c>
      <c r="F21" s="32">
        <v>1157843</v>
      </c>
      <c r="G21" s="37">
        <f t="shared" si="6"/>
        <v>6.1040300443350792E-2</v>
      </c>
      <c r="H21" s="3">
        <v>1243.2</v>
      </c>
      <c r="I21" s="3">
        <f t="shared" si="7"/>
        <v>12.432</v>
      </c>
      <c r="J21" s="16">
        <f>+'Track mile elasticities'!F49</f>
        <v>1.4112632448522167E-2</v>
      </c>
      <c r="K21" s="16">
        <f>+'Track mile elasticities'!G49</f>
        <v>9.6206490929792041E-2</v>
      </c>
      <c r="L21" s="16">
        <f>+'Track mile elasticities'!H49</f>
        <v>3.8720580003165514E-2</v>
      </c>
      <c r="M21" s="16">
        <f>+'Track mile elasticities'!I49</f>
        <v>0.11392873925896427</v>
      </c>
      <c r="N21" s="32">
        <f t="shared" si="0"/>
        <v>99828885.7490049</v>
      </c>
      <c r="O21" s="35">
        <f t="shared" si="1"/>
        <v>1.4112632448522167E-4</v>
      </c>
      <c r="P21" s="36">
        <f t="shared" si="2"/>
        <v>680538292.65202808</v>
      </c>
      <c r="Q21" s="35">
        <f t="shared" si="3"/>
        <v>9.6206490929792038E-4</v>
      </c>
      <c r="R21" s="36">
        <f t="shared" si="8"/>
        <v>448323525.12605166</v>
      </c>
      <c r="S21" s="33">
        <f t="shared" si="9"/>
        <v>3.8720580003165513E-4</v>
      </c>
      <c r="T21" s="36">
        <f t="shared" si="10"/>
        <v>1319115932.4981697</v>
      </c>
      <c r="U21" s="33">
        <f t="shared" si="11"/>
        <v>1.1392873925896425E-3</v>
      </c>
      <c r="V21" s="13"/>
      <c r="W21" s="11">
        <f>+'Track mile elasticities'!N49</f>
        <v>1.1538490444502307E-2</v>
      </c>
      <c r="X21" s="11">
        <f>+'Track mile elasticities'!O49</f>
        <v>0.11026235879526806</v>
      </c>
      <c r="Y21" s="11">
        <f>+'Track mile elasticities'!P49</f>
        <v>3.1657952122100187E-2</v>
      </c>
      <c r="Z21" s="11">
        <f>+'Track mile elasticities'!Q49</f>
        <v>0.13057384594176483</v>
      </c>
      <c r="AA21" s="32">
        <f t="shared" si="12"/>
        <v>81620112.229368418</v>
      </c>
      <c r="AB21" s="33">
        <f t="shared" si="4"/>
        <v>1.1538490444502307E-4</v>
      </c>
      <c r="AC21" s="40">
        <f t="shared" si="13"/>
        <v>779965641.33159018</v>
      </c>
      <c r="AD21" s="33">
        <f t="shared" si="14"/>
        <v>1.1026235879526807E-3</v>
      </c>
      <c r="AE21" s="40">
        <f t="shared" si="15"/>
        <v>366549382.5890885</v>
      </c>
      <c r="AF21" s="41">
        <f t="shared" si="16"/>
        <v>3.1657952122100184E-4</v>
      </c>
      <c r="AG21" s="40">
        <f t="shared" si="17"/>
        <v>1511840135.067508</v>
      </c>
      <c r="AH21" s="41">
        <f t="shared" si="18"/>
        <v>1.3057384594176481E-3</v>
      </c>
      <c r="AJ21" s="11">
        <f>+'Track mile pop elasticities'!H50</f>
        <v>1.1555738664736651E-2</v>
      </c>
      <c r="AK21" s="11">
        <f>+'Track mile pop elasticities'!I50</f>
        <v>2.0792188282582166E-2</v>
      </c>
      <c r="AL21" s="11">
        <f>+'Track mile pop elasticities'!J50</f>
        <v>1.678333472735561E-2</v>
      </c>
      <c r="AM21" s="11">
        <f>+'Track mile pop elasticities'!K50</f>
        <v>3.8260044136263112E-2</v>
      </c>
      <c r="AN21" s="32">
        <f t="shared" si="19"/>
        <v>81742121.401890174</v>
      </c>
      <c r="AO21" s="33">
        <f t="shared" si="20"/>
        <v>1.155573866473665E-4</v>
      </c>
      <c r="AP21" s="40">
        <f t="shared" si="21"/>
        <v>147078229.10466647</v>
      </c>
      <c r="AQ21" s="33">
        <f t="shared" si="22"/>
        <v>2.0792188282582163E-4</v>
      </c>
      <c r="AR21" s="40">
        <f t="shared" si="23"/>
        <v>194324666.30725598</v>
      </c>
      <c r="AS21" s="41">
        <f t="shared" si="24"/>
        <v>1.6783334727355609E-4</v>
      </c>
      <c r="AT21" s="40">
        <f t="shared" si="25"/>
        <v>442991242.82863289</v>
      </c>
      <c r="AU21" s="41">
        <f t="shared" si="26"/>
        <v>3.826004413626311E-4</v>
      </c>
      <c r="AW21" s="11">
        <f>+'Track mile pop elasticities'!P50</f>
        <v>1.9765718187657353E-2</v>
      </c>
      <c r="AX21" s="11">
        <f>+'Track mile pop elasticities'!Q50</f>
        <v>3.0276551914833118E-2</v>
      </c>
      <c r="AY21" s="11">
        <f>+'Track mile pop elasticities'!R50</f>
        <v>2.8707352605883297E-2</v>
      </c>
      <c r="AZ21" s="11">
        <f>+'Track mile pop elasticities'!S50</f>
        <v>5.5712376052585354E-2</v>
      </c>
      <c r="BA21" s="32">
        <f t="shared" si="27"/>
        <v>139817261.58462384</v>
      </c>
      <c r="BB21" s="33">
        <f t="shared" si="28"/>
        <v>1.9765718187657354E-4</v>
      </c>
      <c r="BC21" s="40">
        <f t="shared" si="29"/>
        <v>214168012.45299885</v>
      </c>
      <c r="BD21" s="33">
        <f t="shared" si="30"/>
        <v>3.0276551914833118E-4</v>
      </c>
      <c r="BE21" s="40">
        <f t="shared" si="31"/>
        <v>332386072.63253736</v>
      </c>
      <c r="BF21" s="41">
        <f t="shared" si="32"/>
        <v>2.8707352605883299E-4</v>
      </c>
      <c r="BG21" s="40">
        <f t="shared" si="33"/>
        <v>645061846.25853586</v>
      </c>
      <c r="BH21" s="41">
        <f t="shared" si="34"/>
        <v>5.5712376052585353E-4</v>
      </c>
      <c r="BJ21" s="70">
        <f t="shared" si="35"/>
        <v>8.9398319000014421</v>
      </c>
      <c r="BK21" s="70">
        <f t="shared" si="36"/>
        <v>7.320134037353939</v>
      </c>
      <c r="BL21" s="70">
        <f t="shared" si="37"/>
        <v>16.259965937355378</v>
      </c>
      <c r="BM21" s="70">
        <f t="shared" si="38"/>
        <v>60.943261984507949</v>
      </c>
      <c r="BN21" s="70">
        <f t="shared" si="39"/>
        <v>13.171084045268174</v>
      </c>
      <c r="BO21" s="71">
        <f t="shared" si="40"/>
        <v>74.114346029776115</v>
      </c>
      <c r="BP21" s="69">
        <f t="shared" si="41"/>
        <v>40.148068581271588</v>
      </c>
      <c r="BQ21" s="69">
        <f t="shared" si="42"/>
        <v>17.40207594000977</v>
      </c>
      <c r="BR21" s="69">
        <f t="shared" si="43"/>
        <v>57.550144521281361</v>
      </c>
      <c r="BS21" s="69">
        <f t="shared" si="44"/>
        <v>118.12888228360133</v>
      </c>
      <c r="BT21" s="69">
        <f t="shared" si="45"/>
        <v>39.67055441265579</v>
      </c>
      <c r="BU21" s="69">
        <f t="shared" si="46"/>
        <v>157.79943669625712</v>
      </c>
    </row>
    <row r="22" spans="1:73">
      <c r="A22" s="3" t="s">
        <v>312</v>
      </c>
      <c r="B22" s="3">
        <v>5940496</v>
      </c>
      <c r="C22" s="3">
        <v>3532815</v>
      </c>
      <c r="D22" s="34">
        <v>48715.18</v>
      </c>
      <c r="E22" s="32">
        <f t="shared" si="5"/>
        <v>172101718631.70001</v>
      </c>
      <c r="F22" s="32">
        <v>303279</v>
      </c>
      <c r="G22" s="37">
        <f t="shared" si="6"/>
        <v>5.1052807711679297E-2</v>
      </c>
      <c r="H22" s="3">
        <v>336.2</v>
      </c>
      <c r="I22" s="3">
        <f t="shared" si="7"/>
        <v>3.3620000000000001</v>
      </c>
      <c r="J22" s="16">
        <f>+'Track mile elasticities'!F50</f>
        <v>7.9243339471750593E-3</v>
      </c>
      <c r="K22" s="16">
        <f>+'Track mile elasticities'!G50</f>
        <v>5.402056383133353E-2</v>
      </c>
      <c r="L22" s="16">
        <f>+'Track mile elasticities'!H50</f>
        <v>2.1741854873115685E-2</v>
      </c>
      <c r="M22" s="16">
        <f>+'Track mile elasticities'!I50</f>
        <v>6.397172032657919E-2</v>
      </c>
      <c r="N22" s="32">
        <f t="shared" si="0"/>
        <v>13637914.913203508</v>
      </c>
      <c r="O22" s="35">
        <f t="shared" si="1"/>
        <v>7.9243339471750596E-5</v>
      </c>
      <c r="P22" s="36">
        <f t="shared" si="2"/>
        <v>92970318.76825954</v>
      </c>
      <c r="Q22" s="35">
        <f t="shared" si="3"/>
        <v>5.4020563831333533E-4</v>
      </c>
      <c r="R22" s="36">
        <f t="shared" si="8"/>
        <v>65938480.040636525</v>
      </c>
      <c r="S22" s="33">
        <f t="shared" si="9"/>
        <v>2.1741854873115688E-4</v>
      </c>
      <c r="T22" s="36">
        <f t="shared" si="10"/>
        <v>194012793.68924615</v>
      </c>
      <c r="U22" s="33">
        <f t="shared" si="11"/>
        <v>6.3971720326579204E-4</v>
      </c>
      <c r="V22" s="13"/>
      <c r="W22" s="11">
        <f>+'Track mile elasticities'!N50</f>
        <v>9.412484574318862E-3</v>
      </c>
      <c r="X22" s="11">
        <f>+'Track mile elasticities'!O50</f>
        <v>8.9946146446129693E-2</v>
      </c>
      <c r="Y22" s="11">
        <f>+'Track mile elasticities'!P50</f>
        <v>2.5824867424123953E-2</v>
      </c>
      <c r="Z22" s="11">
        <f>+'Track mile elasticities'!Q50</f>
        <v>0.10651517342304832</v>
      </c>
      <c r="AA22" s="32">
        <f t="shared" si="12"/>
        <v>16199047.718346415</v>
      </c>
      <c r="AB22" s="33">
        <f t="shared" si="4"/>
        <v>9.4124845743188626E-5</v>
      </c>
      <c r="AC22" s="40">
        <f t="shared" si="13"/>
        <v>154798863.87677497</v>
      </c>
      <c r="AD22" s="33">
        <f t="shared" si="14"/>
        <v>8.9946146446129695E-4</v>
      </c>
      <c r="AE22" s="40">
        <f t="shared" si="15"/>
        <v>78321399.675208896</v>
      </c>
      <c r="AF22" s="41">
        <f t="shared" si="16"/>
        <v>2.5824867424123959E-4</v>
      </c>
      <c r="AG22" s="40">
        <f t="shared" si="17"/>
        <v>323038152.80568677</v>
      </c>
      <c r="AH22" s="41">
        <f t="shared" si="18"/>
        <v>1.0651517342304836E-3</v>
      </c>
      <c r="AJ22" s="11">
        <f>+'Track mile pop elasticities'!H51</f>
        <v>3.1862146290674062E-2</v>
      </c>
      <c r="AK22" s="11">
        <f>+'Track mile pop elasticities'!I51</f>
        <v>5.732941562485306E-2</v>
      </c>
      <c r="AL22" s="11">
        <f>+'Track mile pop elasticities'!J51</f>
        <v>4.6275974374550423E-2</v>
      </c>
      <c r="AM22" s="11">
        <f>+'Track mile pop elasticities'!K51</f>
        <v>0.10549279096084879</v>
      </c>
      <c r="AN22" s="32">
        <f t="shared" si="19"/>
        <v>54835301.359196514</v>
      </c>
      <c r="AO22" s="33">
        <f t="shared" si="20"/>
        <v>3.1862146290674061E-4</v>
      </c>
      <c r="AP22" s="40">
        <f t="shared" si="21"/>
        <v>98664909.571882471</v>
      </c>
      <c r="AQ22" s="33">
        <f t="shared" si="22"/>
        <v>5.7329415624853052E-4</v>
      </c>
      <c r="AR22" s="40">
        <f t="shared" si="23"/>
        <v>140345312.32339278</v>
      </c>
      <c r="AS22" s="41">
        <f t="shared" si="24"/>
        <v>4.6275974374550424E-4</v>
      </c>
      <c r="AT22" s="40">
        <f t="shared" si="25"/>
        <v>319937481.49815261</v>
      </c>
      <c r="AU22" s="41">
        <f t="shared" si="26"/>
        <v>1.0549279096084879E-3</v>
      </c>
      <c r="AW22" s="11">
        <f>+'Track mile pop elasticities'!P51</f>
        <v>3.0203966683617699E-2</v>
      </c>
      <c r="AX22" s="11">
        <f>+'Track mile pop elasticities'!Q51</f>
        <v>4.6265557195967741E-2</v>
      </c>
      <c r="AY22" s="11">
        <f>+'Track mile pop elasticities'!R51</f>
        <v>4.386766589763523E-2</v>
      </c>
      <c r="AZ22" s="11">
        <f>+'Track mile pop elasticities'!S51</f>
        <v>8.5134004956533657E-2</v>
      </c>
      <c r="BA22" s="32">
        <f t="shared" si="27"/>
        <v>51981545.757452145</v>
      </c>
      <c r="BB22" s="33">
        <f t="shared" si="28"/>
        <v>3.0203966683617697E-4</v>
      </c>
      <c r="BC22" s="40">
        <f t="shared" si="29"/>
        <v>79623819.068792641</v>
      </c>
      <c r="BD22" s="33">
        <f t="shared" si="30"/>
        <v>4.626555719596774E-4</v>
      </c>
      <c r="BE22" s="40">
        <f t="shared" si="31"/>
        <v>133041418.45768917</v>
      </c>
      <c r="BF22" s="41">
        <f t="shared" si="32"/>
        <v>4.3867665897635237E-4</v>
      </c>
      <c r="BG22" s="40">
        <f t="shared" si="33"/>
        <v>258193558.89212579</v>
      </c>
      <c r="BH22" s="41">
        <f t="shared" si="34"/>
        <v>8.5134004956533677E-4</v>
      </c>
      <c r="BJ22" s="70">
        <f t="shared" si="35"/>
        <v>3.8603535461674352</v>
      </c>
      <c r="BK22" s="70">
        <f t="shared" si="36"/>
        <v>15.521701917365192</v>
      </c>
      <c r="BL22" s="70">
        <f t="shared" si="37"/>
        <v>19.382055463532627</v>
      </c>
      <c r="BM22" s="70">
        <f t="shared" si="38"/>
        <v>26.31621490744903</v>
      </c>
      <c r="BN22" s="70">
        <f t="shared" si="39"/>
        <v>27.928128014595295</v>
      </c>
      <c r="BO22" s="71">
        <f t="shared" si="40"/>
        <v>54.244342922044325</v>
      </c>
      <c r="BP22" s="69">
        <f t="shared" si="41"/>
        <v>18.664572031265866</v>
      </c>
      <c r="BQ22" s="69">
        <f t="shared" si="42"/>
        <v>39.726199170744231</v>
      </c>
      <c r="BR22" s="69">
        <f t="shared" si="43"/>
        <v>58.390771202010093</v>
      </c>
      <c r="BS22" s="69">
        <f t="shared" si="44"/>
        <v>54.91733750259953</v>
      </c>
      <c r="BT22" s="69">
        <f t="shared" si="45"/>
        <v>90.561629040341089</v>
      </c>
      <c r="BU22" s="69">
        <f t="shared" si="46"/>
        <v>145.47896654294064</v>
      </c>
    </row>
    <row r="23" spans="1:73">
      <c r="A23" s="3" t="s">
        <v>313</v>
      </c>
      <c r="B23" s="3">
        <v>2355391</v>
      </c>
      <c r="C23" s="3">
        <v>1452482</v>
      </c>
      <c r="D23" s="34">
        <v>40947</v>
      </c>
      <c r="E23" s="32">
        <f t="shared" si="5"/>
        <v>59474780454</v>
      </c>
      <c r="F23" s="32">
        <v>105749</v>
      </c>
      <c r="G23" s="37">
        <f t="shared" si="6"/>
        <v>4.4896579803523066E-2</v>
      </c>
      <c r="H23" s="3">
        <v>22</v>
      </c>
      <c r="I23" s="3">
        <f t="shared" si="7"/>
        <v>0.22</v>
      </c>
      <c r="J23" s="16">
        <f>+'Track mile elasticities'!F51</f>
        <v>5.4856734424111567E-4</v>
      </c>
      <c r="K23" s="16">
        <f>+'Track mile elasticities'!G51</f>
        <v>3.7396098439196244E-3</v>
      </c>
      <c r="L23" s="16">
        <f>+'Track mile elasticities'!H51</f>
        <v>1.5050945184954796E-3</v>
      </c>
      <c r="M23" s="16">
        <f>+'Track mile elasticities'!I51</f>
        <v>4.428485341483766E-3</v>
      </c>
      <c r="N23" s="32">
        <f t="shared" si="0"/>
        <v>326259.22362974193</v>
      </c>
      <c r="O23" s="35">
        <f t="shared" si="1"/>
        <v>5.4856734424111564E-6</v>
      </c>
      <c r="P23" s="36">
        <f t="shared" si="2"/>
        <v>2224124.7445073687</v>
      </c>
      <c r="Q23" s="35">
        <f t="shared" si="3"/>
        <v>3.7396098439196247E-5</v>
      </c>
      <c r="R23" s="36">
        <f t="shared" si="8"/>
        <v>1591622.4023637848</v>
      </c>
      <c r="S23" s="33">
        <f t="shared" si="9"/>
        <v>1.5050945184954797E-5</v>
      </c>
      <c r="T23" s="36">
        <f t="shared" si="10"/>
        <v>4683078.9637656687</v>
      </c>
      <c r="U23" s="33">
        <f t="shared" si="11"/>
        <v>4.4284853414837671E-5</v>
      </c>
      <c r="V23" s="13"/>
      <c r="W23" s="11">
        <f>+'Track mile elasticities'!N51</f>
        <v>5.7137222566309477E-4</v>
      </c>
      <c r="X23" s="11">
        <f>+'Track mile elasticities'!O51</f>
        <v>5.4600599319933373E-3</v>
      </c>
      <c r="Y23" s="11">
        <f>+'Track mile elasticities'!P51</f>
        <v>1.5676638682453144E-3</v>
      </c>
      <c r="Z23" s="11">
        <f>+'Track mile elasticities'!Q51</f>
        <v>6.4658604457815839E-3</v>
      </c>
      <c r="AA23" s="32">
        <f t="shared" si="12"/>
        <v>339822.37678825902</v>
      </c>
      <c r="AB23" s="33">
        <f t="shared" si="4"/>
        <v>5.7137222566309467E-6</v>
      </c>
      <c r="AC23" s="40">
        <f t="shared" si="13"/>
        <v>3247358.6572098588</v>
      </c>
      <c r="AD23" s="33">
        <f t="shared" si="14"/>
        <v>5.4600599319933368E-5</v>
      </c>
      <c r="AE23" s="40">
        <f t="shared" si="15"/>
        <v>1657788.8640307374</v>
      </c>
      <c r="AF23" s="41">
        <f t="shared" si="16"/>
        <v>1.5676638682453143E-5</v>
      </c>
      <c r="AG23" s="40">
        <f t="shared" si="17"/>
        <v>6837582.7628095672</v>
      </c>
      <c r="AH23" s="41">
        <f t="shared" si="18"/>
        <v>6.4658604457815835E-5</v>
      </c>
      <c r="AJ23" s="11">
        <f>+'Track mile pop elasticities'!H52</f>
        <v>1.3262316624523849E-2</v>
      </c>
      <c r="AK23" s="11">
        <f>+'Track mile pop elasticities'!I52</f>
        <v>2.3862826282304444E-2</v>
      </c>
      <c r="AL23" s="11">
        <f>+'Track mile pop elasticities'!J52</f>
        <v>1.9261936049903686E-2</v>
      </c>
      <c r="AM23" s="11">
        <f>+'Track mile pop elasticities'!K52</f>
        <v>4.3910375106682303E-2</v>
      </c>
      <c r="AN23" s="32">
        <f t="shared" si="19"/>
        <v>7887733.6955499025</v>
      </c>
      <c r="AO23" s="33">
        <f t="shared" si="20"/>
        <v>1.3262316624523848E-4</v>
      </c>
      <c r="AP23" s="40">
        <f t="shared" si="21"/>
        <v>14192363.541519977</v>
      </c>
      <c r="AQ23" s="33">
        <f t="shared" si="22"/>
        <v>2.3862826282304442E-4</v>
      </c>
      <c r="AR23" s="40">
        <f t="shared" si="23"/>
        <v>20369304.753412649</v>
      </c>
      <c r="AS23" s="41">
        <f t="shared" si="24"/>
        <v>1.9261936049903687E-4</v>
      </c>
      <c r="AT23" s="40">
        <f t="shared" si="25"/>
        <v>46434782.571565464</v>
      </c>
      <c r="AU23" s="41">
        <f t="shared" si="26"/>
        <v>4.3910375106682303E-4</v>
      </c>
      <c r="AW23" s="11">
        <f>+'Track mile pop elasticities'!P52</f>
        <v>9.5080342638367722E-3</v>
      </c>
      <c r="AX23" s="11">
        <f>+'Track mile pop elasticities'!Q52</f>
        <v>1.4564130190666484E-2</v>
      </c>
      <c r="AY23" s="11">
        <f>+'Track mile pop elasticities'!R52</f>
        <v>1.3809287859381977E-2</v>
      </c>
      <c r="AZ23" s="11">
        <f>+'Track mile pop elasticities'!S52</f>
        <v>2.6799693054336871E-2</v>
      </c>
      <c r="BA23" s="32">
        <f t="shared" si="27"/>
        <v>5654882.5039080149</v>
      </c>
      <c r="BB23" s="33">
        <f t="shared" si="28"/>
        <v>9.5080342638367716E-5</v>
      </c>
      <c r="BC23" s="40">
        <f t="shared" si="29"/>
        <v>8661984.455933623</v>
      </c>
      <c r="BD23" s="33">
        <f t="shared" si="30"/>
        <v>1.4564130190666485E-4</v>
      </c>
      <c r="BE23" s="40">
        <f t="shared" si="31"/>
        <v>14603183.818417847</v>
      </c>
      <c r="BF23" s="41">
        <f t="shared" si="32"/>
        <v>1.3809287859381977E-4</v>
      </c>
      <c r="BG23" s="40">
        <f t="shared" si="33"/>
        <v>28340407.408030696</v>
      </c>
      <c r="BH23" s="41">
        <f t="shared" si="34"/>
        <v>2.6799693054336871E-4</v>
      </c>
      <c r="BJ23" s="70">
        <f t="shared" si="35"/>
        <v>0.2246218704464096</v>
      </c>
      <c r="BK23" s="70">
        <f t="shared" si="36"/>
        <v>5.43052078824378</v>
      </c>
      <c r="BL23" s="70">
        <f t="shared" si="37"/>
        <v>5.6551426586901901</v>
      </c>
      <c r="BM23" s="70">
        <f t="shared" si="38"/>
        <v>1.5312580427897686</v>
      </c>
      <c r="BN23" s="70">
        <f t="shared" si="39"/>
        <v>9.7711114778152002</v>
      </c>
      <c r="BO23" s="71">
        <f t="shared" si="40"/>
        <v>11.302369520604968</v>
      </c>
      <c r="BP23" s="69">
        <f t="shared" si="41"/>
        <v>1.0957949236987341</v>
      </c>
      <c r="BQ23" s="69">
        <f t="shared" si="42"/>
        <v>14.023791519215143</v>
      </c>
      <c r="BR23" s="69">
        <f t="shared" si="43"/>
        <v>15.119586442913876</v>
      </c>
      <c r="BS23" s="69">
        <f t="shared" si="44"/>
        <v>3.2241907051279592</v>
      </c>
      <c r="BT23" s="69">
        <f t="shared" si="45"/>
        <v>31.969265417103596</v>
      </c>
      <c r="BU23" s="69">
        <f t="shared" si="46"/>
        <v>35.193456122231552</v>
      </c>
    </row>
    <row r="24" spans="1:73">
      <c r="A24" s="3" t="s">
        <v>315</v>
      </c>
      <c r="B24" s="3">
        <v>2203745</v>
      </c>
      <c r="C24" s="3">
        <v>1388060</v>
      </c>
      <c r="D24" s="34">
        <v>43022.45</v>
      </c>
      <c r="E24" s="32">
        <f t="shared" si="5"/>
        <v>59717741946.999992</v>
      </c>
      <c r="F24" s="32">
        <v>101230</v>
      </c>
      <c r="G24" s="37">
        <f t="shared" si="6"/>
        <v>4.5935441713991408E-2</v>
      </c>
      <c r="H24" s="3">
        <v>48.4</v>
      </c>
      <c r="I24" s="3">
        <f t="shared" si="7"/>
        <v>0.48399999999999999</v>
      </c>
      <c r="J24" s="16">
        <f>+'Track mile elasticities'!F52</f>
        <v>1.8652816987668624E-3</v>
      </c>
      <c r="K24" s="16">
        <f>+'Track mile elasticities'!G52</f>
        <v>1.2715714625779329E-2</v>
      </c>
      <c r="L24" s="16">
        <f>+'Track mile elasticities'!H52</f>
        <v>5.1177404009487924E-3</v>
      </c>
      <c r="M24" s="16">
        <f>+'Track mile elasticities'!I52</f>
        <v>1.5058083109475521E-2</v>
      </c>
      <c r="N24" s="32">
        <f t="shared" si="0"/>
        <v>1113904.1114542128</v>
      </c>
      <c r="O24" s="35">
        <f t="shared" si="1"/>
        <v>1.8652816987668629E-5</v>
      </c>
      <c r="P24" s="36">
        <f t="shared" si="2"/>
        <v>7593537.6469398355</v>
      </c>
      <c r="Q24" s="35">
        <f t="shared" si="3"/>
        <v>1.2715714625779329E-4</v>
      </c>
      <c r="R24" s="36">
        <f t="shared" si="8"/>
        <v>5180688.6078804638</v>
      </c>
      <c r="S24" s="33">
        <f t="shared" si="9"/>
        <v>5.1177404009487934E-5</v>
      </c>
      <c r="T24" s="36">
        <f t="shared" si="10"/>
        <v>15243297.531722069</v>
      </c>
      <c r="U24" s="33">
        <f t="shared" si="11"/>
        <v>1.505808310947552E-4</v>
      </c>
      <c r="V24" s="13"/>
      <c r="W24" s="11">
        <f>+'Track mile elasticities'!N52</f>
        <v>1.5345886004009027E-3</v>
      </c>
      <c r="X24" s="11">
        <f>+'Track mile elasticities'!O52</f>
        <v>1.4664601030298036E-2</v>
      </c>
      <c r="Y24" s="11">
        <f>+'Track mile elasticities'!P52</f>
        <v>4.2104235967678197E-3</v>
      </c>
      <c r="Z24" s="11">
        <f>+'Track mile elasticities'!Q52</f>
        <v>1.7365974904300304E-2</v>
      </c>
      <c r="AA24" s="32">
        <f t="shared" si="12"/>
        <v>916421.66033549001</v>
      </c>
      <c r="AB24" s="33">
        <f t="shared" si="4"/>
        <v>1.5345886004009027E-5</v>
      </c>
      <c r="AC24" s="40">
        <f t="shared" si="13"/>
        <v>8757368.6008304823</v>
      </c>
      <c r="AD24" s="33">
        <f t="shared" si="14"/>
        <v>1.4664601030298034E-4</v>
      </c>
      <c r="AE24" s="40">
        <f t="shared" si="15"/>
        <v>4262211.8070080644</v>
      </c>
      <c r="AF24" s="41">
        <f t="shared" si="16"/>
        <v>4.21042359676782E-5</v>
      </c>
      <c r="AG24" s="40">
        <f t="shared" si="17"/>
        <v>17579576.395623196</v>
      </c>
      <c r="AH24" s="41">
        <f t="shared" si="18"/>
        <v>1.7365974904300302E-4</v>
      </c>
      <c r="AJ24" s="11">
        <f>+'Track mile pop elasticities'!H53</f>
        <v>3.3330775276865968E-2</v>
      </c>
      <c r="AK24" s="11">
        <f>+'Track mile pop elasticities'!I53</f>
        <v>5.9971913113251889E-2</v>
      </c>
      <c r="AL24" s="11">
        <f>+'Track mile pop elasticities'!J53</f>
        <v>4.8408983140210089E-2</v>
      </c>
      <c r="AM24" s="11">
        <f>+'Track mile pop elasticities'!K53</f>
        <v>0.11035529360665244</v>
      </c>
      <c r="AN24" s="32">
        <f t="shared" si="19"/>
        <v>19904386.368773289</v>
      </c>
      <c r="AO24" s="33">
        <f t="shared" si="20"/>
        <v>3.3330775276865966E-4</v>
      </c>
      <c r="AP24" s="40">
        <f t="shared" si="21"/>
        <v>35813872.313650809</v>
      </c>
      <c r="AQ24" s="33">
        <f t="shared" si="22"/>
        <v>5.9971913113251887E-4</v>
      </c>
      <c r="AR24" s="40">
        <f t="shared" si="23"/>
        <v>49004413.632834673</v>
      </c>
      <c r="AS24" s="41">
        <f t="shared" si="24"/>
        <v>4.8408983140210091E-4</v>
      </c>
      <c r="AT24" s="40">
        <f t="shared" si="25"/>
        <v>111712663.71801427</v>
      </c>
      <c r="AU24" s="41">
        <f t="shared" si="26"/>
        <v>1.1035529360665243E-3</v>
      </c>
      <c r="AW24" s="11">
        <f>+'Track mile pop elasticities'!P53</f>
        <v>4.3292649199593296E-2</v>
      </c>
      <c r="AX24" s="11">
        <f>+'Track mile pop elasticities'!Q53</f>
        <v>6.6314420178298417E-2</v>
      </c>
      <c r="AY24" s="11">
        <f>+'Track mile pop elasticities'!R53</f>
        <v>6.287741907559978E-2</v>
      </c>
      <c r="AZ24" s="11">
        <f>+'Track mile pop elasticities'!S53</f>
        <v>0.12202624410715959</v>
      </c>
      <c r="BA24" s="32">
        <f t="shared" si="27"/>
        <v>25853392.53103308</v>
      </c>
      <c r="BB24" s="33">
        <f t="shared" si="28"/>
        <v>4.3292649199593291E-4</v>
      </c>
      <c r="BC24" s="40">
        <f t="shared" si="29"/>
        <v>39601474.315725543</v>
      </c>
      <c r="BD24" s="33">
        <f t="shared" si="30"/>
        <v>6.6314420178298415E-4</v>
      </c>
      <c r="BE24" s="40">
        <f t="shared" si="31"/>
        <v>63650811.330229655</v>
      </c>
      <c r="BF24" s="41">
        <f t="shared" si="32"/>
        <v>6.2877419075599782E-4</v>
      </c>
      <c r="BG24" s="40">
        <f t="shared" si="33"/>
        <v>123527166.90967765</v>
      </c>
      <c r="BH24" s="41">
        <f t="shared" si="34"/>
        <v>1.2202624410715959E-3</v>
      </c>
      <c r="BJ24" s="70">
        <f t="shared" si="35"/>
        <v>0.80248988621112405</v>
      </c>
      <c r="BK24" s="70">
        <f t="shared" si="36"/>
        <v>14.339716128102019</v>
      </c>
      <c r="BL24" s="70">
        <f t="shared" si="37"/>
        <v>15.142206014313143</v>
      </c>
      <c r="BM24" s="70">
        <f t="shared" si="38"/>
        <v>5.4706119670185984</v>
      </c>
      <c r="BN24" s="70">
        <f t="shared" si="39"/>
        <v>25.80138633319223</v>
      </c>
      <c r="BO24" s="71">
        <f t="shared" si="40"/>
        <v>31.271998300210832</v>
      </c>
      <c r="BP24" s="69">
        <f t="shared" si="41"/>
        <v>3.732323248188453</v>
      </c>
      <c r="BQ24" s="69">
        <f t="shared" si="42"/>
        <v>35.304247390483603</v>
      </c>
      <c r="BR24" s="69">
        <f t="shared" si="43"/>
        <v>39.03657063867206</v>
      </c>
      <c r="BS24" s="69">
        <f t="shared" si="44"/>
        <v>10.98172811818082</v>
      </c>
      <c r="BT24" s="69">
        <f t="shared" si="45"/>
        <v>80.481149026709417</v>
      </c>
      <c r="BU24" s="69">
        <f t="shared" si="46"/>
        <v>91.462877144890228</v>
      </c>
    </row>
    <row r="25" spans="1:73">
      <c r="A25" s="3" t="s">
        <v>317</v>
      </c>
      <c r="B25" s="3">
        <v>1599312</v>
      </c>
      <c r="C25" s="3">
        <v>890702</v>
      </c>
      <c r="D25" s="34">
        <v>39287.08</v>
      </c>
      <c r="E25" s="32">
        <f t="shared" si="5"/>
        <v>34993080730.160004</v>
      </c>
      <c r="F25" s="32">
        <v>57032</v>
      </c>
      <c r="G25" s="37">
        <f t="shared" si="6"/>
        <v>3.5660333943595746E-2</v>
      </c>
      <c r="H25" s="3">
        <v>6.8</v>
      </c>
      <c r="I25" s="3">
        <f t="shared" si="7"/>
        <v>6.8000000000000005E-2</v>
      </c>
      <c r="J25" s="16">
        <f>+'Track mile elasticities'!F53</f>
        <v>2.7554819345178662E-4</v>
      </c>
      <c r="K25" s="16">
        <f>+'Track mile elasticities'!G53</f>
        <v>1.8784252244035378E-3</v>
      </c>
      <c r="L25" s="16">
        <f>+'Track mile elasticities'!H53</f>
        <v>7.5601670405544348E-4</v>
      </c>
      <c r="M25" s="16">
        <f>+'Track mile elasticities'!I53</f>
        <v>2.2244509236357683E-3</v>
      </c>
      <c r="N25" s="32">
        <f t="shared" si="0"/>
        <v>96422.801785081159</v>
      </c>
      <c r="O25" s="35">
        <f t="shared" si="1"/>
        <v>2.7554819345178662E-6</v>
      </c>
      <c r="P25" s="36">
        <f t="shared" si="2"/>
        <v>657318.8552312192</v>
      </c>
      <c r="Q25" s="35">
        <f t="shared" si="3"/>
        <v>1.8784252244035377E-5</v>
      </c>
      <c r="R25" s="36">
        <f t="shared" si="8"/>
        <v>431171.44665690057</v>
      </c>
      <c r="S25" s="33">
        <f t="shared" si="9"/>
        <v>7.5601670405544355E-6</v>
      </c>
      <c r="T25" s="36">
        <f t="shared" si="10"/>
        <v>1268648.8507679515</v>
      </c>
      <c r="U25" s="33">
        <f t="shared" si="11"/>
        <v>2.2244509236357684E-5</v>
      </c>
      <c r="V25" s="13"/>
      <c r="W25" s="11">
        <f>+'Track mile elasticities'!N53</f>
        <v>9.464777260832991E-4</v>
      </c>
      <c r="X25" s="11">
        <f>+'Track mile elasticities'!O53</f>
        <v>9.0445857824366042E-3</v>
      </c>
      <c r="Y25" s="11">
        <f>+'Track mile elasticities'!P53</f>
        <v>2.5968341943079687E-3</v>
      </c>
      <c r="Z25" s="11">
        <f>+'Track mile elasticities'!Q53</f>
        <v>1.0710693689727558E-2</v>
      </c>
      <c r="AA25" s="32">
        <f t="shared" si="12"/>
        <v>331201.71478131152</v>
      </c>
      <c r="AB25" s="33">
        <f t="shared" si="4"/>
        <v>9.4647772608329914E-6</v>
      </c>
      <c r="AC25" s="40">
        <f t="shared" si="13"/>
        <v>3164979.2045566146</v>
      </c>
      <c r="AD25" s="33">
        <f t="shared" si="14"/>
        <v>9.0445857824366044E-5</v>
      </c>
      <c r="AE25" s="40">
        <f t="shared" si="15"/>
        <v>1481026.477697721</v>
      </c>
      <c r="AF25" s="41">
        <f t="shared" si="16"/>
        <v>2.5968341943079693E-5</v>
      </c>
      <c r="AG25" s="40">
        <f t="shared" si="17"/>
        <v>6108522.8251254223</v>
      </c>
      <c r="AH25" s="41">
        <f t="shared" si="18"/>
        <v>1.0710693689727561E-4</v>
      </c>
      <c r="AJ25" s="11">
        <f>+'Track mile pop elasticities'!H54</f>
        <v>8.8912998113364148E-3</v>
      </c>
      <c r="AK25" s="11">
        <f>+'Track mile pop elasticities'!I54</f>
        <v>1.5998075511896068E-2</v>
      </c>
      <c r="AL25" s="11">
        <f>+'Track mile pop elasticities'!J54</f>
        <v>1.2913554487893364E-2</v>
      </c>
      <c r="AM25" s="11">
        <f>+'Track mile pop elasticities'!K54</f>
        <v>2.9438319183227354E-2</v>
      </c>
      <c r="AN25" s="32">
        <f t="shared" si="19"/>
        <v>3111339.7209415156</v>
      </c>
      <c r="AO25" s="33">
        <f t="shared" si="20"/>
        <v>8.891299811336414E-5</v>
      </c>
      <c r="AP25" s="40">
        <f t="shared" si="21"/>
        <v>5598219.4791497495</v>
      </c>
      <c r="AQ25" s="33">
        <f t="shared" si="22"/>
        <v>1.5998075511896068E-4</v>
      </c>
      <c r="AR25" s="40">
        <f t="shared" si="23"/>
        <v>7364858.3955353443</v>
      </c>
      <c r="AS25" s="41">
        <f t="shared" si="24"/>
        <v>1.2913554487893364E-4</v>
      </c>
      <c r="AT25" s="40">
        <f t="shared" si="25"/>
        <v>16789262.196578223</v>
      </c>
      <c r="AU25" s="41">
        <f t="shared" si="26"/>
        <v>2.9438319183227349E-4</v>
      </c>
      <c r="AW25" s="11">
        <f>+'Track mile pop elasticities'!P54</f>
        <v>6.7583376764295518E-3</v>
      </c>
      <c r="AX25" s="11">
        <f>+'Track mile pop elasticities'!Q54</f>
        <v>1.0352224977393729E-2</v>
      </c>
      <c r="AY25" s="11">
        <f>+'Track mile pop elasticities'!R54</f>
        <v>9.8156809110048256E-3</v>
      </c>
      <c r="AZ25" s="11">
        <f>+'Track mile pop elasticities'!S54</f>
        <v>1.9049297705494857E-2</v>
      </c>
      <c r="BA25" s="32">
        <f t="shared" si="27"/>
        <v>2364950.5591298128</v>
      </c>
      <c r="BB25" s="33">
        <f t="shared" si="28"/>
        <v>6.7583376764295509E-5</v>
      </c>
      <c r="BC25" s="40">
        <f t="shared" si="29"/>
        <v>3622562.4437071756</v>
      </c>
      <c r="BD25" s="33">
        <f t="shared" si="30"/>
        <v>1.0352224977393728E-4</v>
      </c>
      <c r="BE25" s="40">
        <f t="shared" si="31"/>
        <v>5598079.1371642724</v>
      </c>
      <c r="BF25" s="41">
        <f t="shared" si="32"/>
        <v>9.8156809110048262E-5</v>
      </c>
      <c r="BG25" s="40">
        <f t="shared" si="33"/>
        <v>10864195.467397826</v>
      </c>
      <c r="BH25" s="41">
        <f t="shared" si="34"/>
        <v>1.9049297705494854E-4</v>
      </c>
      <c r="BJ25" s="70">
        <f t="shared" si="35"/>
        <v>0.10825483919995819</v>
      </c>
      <c r="BK25" s="70">
        <f t="shared" si="36"/>
        <v>3.4931320699195867</v>
      </c>
      <c r="BL25" s="70">
        <f t="shared" si="37"/>
        <v>3.6013869091195447</v>
      </c>
      <c r="BM25" s="70">
        <f t="shared" si="38"/>
        <v>0.73797842065159747</v>
      </c>
      <c r="BN25" s="70">
        <f t="shared" si="39"/>
        <v>6.2851767248190189</v>
      </c>
      <c r="BO25" s="71">
        <f t="shared" si="40"/>
        <v>7.023155145470616</v>
      </c>
      <c r="BP25" s="69">
        <f t="shared" si="41"/>
        <v>0.48408047434147511</v>
      </c>
      <c r="BQ25" s="69">
        <f t="shared" si="42"/>
        <v>8.2685998184974814</v>
      </c>
      <c r="BR25" s="69">
        <f t="shared" si="43"/>
        <v>8.7526802928389564</v>
      </c>
      <c r="BS25" s="69">
        <f t="shared" si="44"/>
        <v>1.4243246908258334</v>
      </c>
      <c r="BT25" s="69">
        <f t="shared" si="45"/>
        <v>18.849471761125745</v>
      </c>
      <c r="BU25" s="69">
        <f t="shared" si="46"/>
        <v>20.273796451951579</v>
      </c>
    </row>
    <row r="26" spans="1:73">
      <c r="A26" s="3" t="s">
        <v>319</v>
      </c>
      <c r="B26" s="3">
        <v>2101138</v>
      </c>
      <c r="C26" s="3">
        <v>1227055</v>
      </c>
      <c r="D26" s="34">
        <v>42165.06</v>
      </c>
      <c r="E26" s="32">
        <f t="shared" si="5"/>
        <v>51738847698.299995</v>
      </c>
      <c r="F26" s="32">
        <v>72228</v>
      </c>
      <c r="G26" s="37">
        <f t="shared" si="6"/>
        <v>3.4375657381856876E-2</v>
      </c>
      <c r="H26" s="3">
        <v>36.9</v>
      </c>
      <c r="I26" s="3">
        <f t="shared" si="7"/>
        <v>0.36899999999999999</v>
      </c>
      <c r="J26" s="16">
        <f>+'Track mile elasticities'!F54</f>
        <v>1.7377468567490932E-3</v>
      </c>
      <c r="K26" s="16">
        <f>+'Track mile elasticities'!G54</f>
        <v>1.1846303503044405E-2</v>
      </c>
      <c r="L26" s="16">
        <f>+'Track mile elasticities'!H54</f>
        <v>4.7678253109361404E-3</v>
      </c>
      <c r="M26" s="16">
        <f>+'Track mile elasticities'!I54</f>
        <v>1.4028517306236795E-2</v>
      </c>
      <c r="N26" s="32">
        <f t="shared" si="0"/>
        <v>899090.19959540875</v>
      </c>
      <c r="O26" s="35">
        <f t="shared" si="1"/>
        <v>1.7377468567490933E-5</v>
      </c>
      <c r="P26" s="36">
        <f t="shared" si="2"/>
        <v>6129140.9273185227</v>
      </c>
      <c r="Q26" s="35">
        <f t="shared" si="3"/>
        <v>1.1846303503044406E-4</v>
      </c>
      <c r="R26" s="36">
        <f t="shared" si="8"/>
        <v>3443704.8655829551</v>
      </c>
      <c r="S26" s="33">
        <f t="shared" si="9"/>
        <v>4.7678253109361398E-5</v>
      </c>
      <c r="T26" s="36">
        <f t="shared" si="10"/>
        <v>10132517.479948711</v>
      </c>
      <c r="U26" s="33">
        <f t="shared" si="11"/>
        <v>1.4028517306236793E-4</v>
      </c>
      <c r="V26" s="13"/>
      <c r="W26" s="11">
        <f>+'Track mile elasticities'!N54</f>
        <v>1.8758709616295576E-3</v>
      </c>
      <c r="X26" s="11">
        <f>+'Track mile elasticities'!O54</f>
        <v>1.7925911367667163E-2</v>
      </c>
      <c r="Y26" s="11">
        <f>+'Track mile elasticities'!P54</f>
        <v>5.1467939741460782E-3</v>
      </c>
      <c r="Z26" s="11">
        <f>+'Track mile elasticities'!Q54</f>
        <v>2.1228052935395324E-2</v>
      </c>
      <c r="AA26" s="32">
        <f t="shared" si="12"/>
        <v>970554.01985415246</v>
      </c>
      <c r="AB26" s="33">
        <f t="shared" si="4"/>
        <v>1.8758709616295577E-5</v>
      </c>
      <c r="AC26" s="40">
        <f t="shared" si="13"/>
        <v>9274659.98104956</v>
      </c>
      <c r="AD26" s="33">
        <f t="shared" si="14"/>
        <v>1.7925911367667165E-4</v>
      </c>
      <c r="AE26" s="40">
        <f t="shared" si="15"/>
        <v>3717426.3516462292</v>
      </c>
      <c r="AF26" s="41">
        <f t="shared" si="16"/>
        <v>5.1467939741460782E-5</v>
      </c>
      <c r="AG26" s="40">
        <f t="shared" si="17"/>
        <v>15332598.074177334</v>
      </c>
      <c r="AH26" s="41">
        <f t="shared" si="18"/>
        <v>2.1228052935395322E-4</v>
      </c>
      <c r="AJ26" s="11">
        <f>+'Track mile pop elasticities'!H55</f>
        <v>2.7953741545483884E-2</v>
      </c>
      <c r="AK26" s="11">
        <f>+'Track mile pop elasticities'!I55</f>
        <v>5.0297040654785859E-2</v>
      </c>
      <c r="AL26" s="11">
        <f>+'Track mile pop elasticities'!J55</f>
        <v>4.059948176844088E-2</v>
      </c>
      <c r="AM26" s="11">
        <f>+'Track mile pop elasticities'!K55</f>
        <v>9.2552403297905358E-2</v>
      </c>
      <c r="AN26" s="32">
        <f t="shared" si="19"/>
        <v>14462943.764194319</v>
      </c>
      <c r="AO26" s="33">
        <f t="shared" si="20"/>
        <v>2.7953741545483888E-4</v>
      </c>
      <c r="AP26" s="40">
        <f t="shared" si="21"/>
        <v>26023109.261131689</v>
      </c>
      <c r="AQ26" s="33">
        <f t="shared" si="22"/>
        <v>5.0297040654785868E-4</v>
      </c>
      <c r="AR26" s="40">
        <f t="shared" si="23"/>
        <v>29324193.691709477</v>
      </c>
      <c r="AS26" s="41">
        <f t="shared" si="24"/>
        <v>4.0599481768440875E-4</v>
      </c>
      <c r="AT26" s="40">
        <f t="shared" si="25"/>
        <v>66848749.854011074</v>
      </c>
      <c r="AU26" s="41">
        <f t="shared" si="26"/>
        <v>9.2552403297905346E-4</v>
      </c>
      <c r="AW26" s="11">
        <f>+'Track mile pop elasticities'!P55</f>
        <v>3.8689365831896819E-2</v>
      </c>
      <c r="AX26" s="11">
        <f>+'Track mile pop elasticities'!Q55</f>
        <v>5.9263244676475244E-2</v>
      </c>
      <c r="AY26" s="11">
        <f>+'Track mile pop elasticities'!R55</f>
        <v>5.6191697993945376E-2</v>
      </c>
      <c r="AZ26" s="11">
        <f>+'Track mile pop elasticities'!S55</f>
        <v>0.10905126127967682</v>
      </c>
      <c r="BA26" s="32">
        <f t="shared" si="27"/>
        <v>20017432.063203212</v>
      </c>
      <c r="BB26" s="33">
        <f t="shared" si="28"/>
        <v>3.8689365831896821E-4</v>
      </c>
      <c r="BC26" s="40">
        <f t="shared" si="29"/>
        <v>30662119.904232409</v>
      </c>
      <c r="BD26" s="33">
        <f t="shared" si="30"/>
        <v>5.9263244676475253E-4</v>
      </c>
      <c r="BE26" s="40">
        <f t="shared" si="31"/>
        <v>40586139.627066866</v>
      </c>
      <c r="BF26" s="41">
        <f t="shared" si="32"/>
        <v>5.6191697993945378E-4</v>
      </c>
      <c r="BG26" s="40">
        <f t="shared" si="33"/>
        <v>78765544.99708496</v>
      </c>
      <c r="BH26" s="41">
        <f t="shared" si="34"/>
        <v>1.0905126127967681E-3</v>
      </c>
      <c r="BJ26" s="70">
        <f t="shared" si="35"/>
        <v>0.73272200479636918</v>
      </c>
      <c r="BK26" s="70">
        <f t="shared" si="36"/>
        <v>11.786711894898207</v>
      </c>
      <c r="BL26" s="70">
        <f t="shared" si="37"/>
        <v>12.519433899694576</v>
      </c>
      <c r="BM26" s="70">
        <f t="shared" si="38"/>
        <v>4.9950009798407757</v>
      </c>
      <c r="BN26" s="70">
        <f t="shared" si="39"/>
        <v>21.207777370314851</v>
      </c>
      <c r="BO26" s="71">
        <f t="shared" si="40"/>
        <v>26.202778350155626</v>
      </c>
      <c r="BP26" s="69">
        <f t="shared" si="41"/>
        <v>2.806479632602414</v>
      </c>
      <c r="BQ26" s="69">
        <f t="shared" si="42"/>
        <v>23.898027139540996</v>
      </c>
      <c r="BR26" s="69">
        <f t="shared" si="43"/>
        <v>26.704506772143411</v>
      </c>
      <c r="BS26" s="69">
        <f t="shared" si="44"/>
        <v>8.257590311720918</v>
      </c>
      <c r="BT26" s="69">
        <f t="shared" si="45"/>
        <v>54.479016714011252</v>
      </c>
      <c r="BU26" s="69">
        <f t="shared" si="46"/>
        <v>62.73660702573217</v>
      </c>
    </row>
    <row r="27" spans="1:73">
      <c r="A27" s="3" t="s">
        <v>321</v>
      </c>
      <c r="B27" s="3">
        <v>2818688</v>
      </c>
      <c r="C27" s="3">
        <v>1731976</v>
      </c>
      <c r="D27" s="34">
        <v>42578.1</v>
      </c>
      <c r="E27" s="32">
        <f t="shared" si="5"/>
        <v>73744247325.599991</v>
      </c>
      <c r="F27" s="32">
        <v>116061</v>
      </c>
      <c r="G27" s="37">
        <f t="shared" si="6"/>
        <v>4.1175539825620999E-2</v>
      </c>
      <c r="H27" s="3">
        <v>45.9</v>
      </c>
      <c r="I27" s="3">
        <f t="shared" si="7"/>
        <v>0.45900000000000002</v>
      </c>
      <c r="J27" s="16">
        <f>+'Track mile elasticities'!F55</f>
        <v>1.5662987485381193E-3</v>
      </c>
      <c r="K27" s="16">
        <f>+'Track mile elasticities'!G55</f>
        <v>1.0677533542677704E-2</v>
      </c>
      <c r="L27" s="16">
        <f>+'Track mile elasticities'!H55</f>
        <v>4.297426169274263E-3</v>
      </c>
      <c r="M27" s="16">
        <f>+'Track mile elasticities'!I55</f>
        <v>1.2644447616328861E-2</v>
      </c>
      <c r="N27" s="32">
        <f t="shared" si="0"/>
        <v>1155055.2229797281</v>
      </c>
      <c r="O27" s="35">
        <f t="shared" si="1"/>
        <v>1.5662987485381192E-5</v>
      </c>
      <c r="P27" s="36">
        <f t="shared" si="2"/>
        <v>7874066.7439861447</v>
      </c>
      <c r="Q27" s="35">
        <f t="shared" si="3"/>
        <v>1.0677533542677705E-4</v>
      </c>
      <c r="R27" s="36">
        <f t="shared" si="8"/>
        <v>4987635.7863214025</v>
      </c>
      <c r="S27" s="33">
        <f t="shared" si="9"/>
        <v>4.2974261692742629E-5</v>
      </c>
      <c r="T27" s="36">
        <f t="shared" si="10"/>
        <v>14675272.347987439</v>
      </c>
      <c r="U27" s="33">
        <f t="shared" si="11"/>
        <v>1.2644447616328862E-4</v>
      </c>
      <c r="V27" s="13"/>
      <c r="W27" s="11">
        <f>+'Track mile elasticities'!N55</f>
        <v>9.9582492198562692E-4</v>
      </c>
      <c r="X27" s="11">
        <f>+'Track mile elasticities'!O55</f>
        <v>9.5161499134894124E-3</v>
      </c>
      <c r="Y27" s="11">
        <f>+'Track mile elasticities'!P55</f>
        <v>2.732227222776449E-3</v>
      </c>
      <c r="Z27" s="11">
        <f>+'Track mile elasticities'!Q55</f>
        <v>1.1269124897553251E-2</v>
      </c>
      <c r="AA27" s="32">
        <f t="shared" si="12"/>
        <v>734363.59339904389</v>
      </c>
      <c r="AB27" s="33">
        <f t="shared" si="4"/>
        <v>9.9582492198562696E-6</v>
      </c>
      <c r="AC27" s="40">
        <f t="shared" si="13"/>
        <v>7017613.1280785017</v>
      </c>
      <c r="AD27" s="33">
        <f t="shared" si="14"/>
        <v>9.5161499134894121E-5</v>
      </c>
      <c r="AE27" s="40">
        <f t="shared" si="15"/>
        <v>3171050.2370265746</v>
      </c>
      <c r="AF27" s="41">
        <f t="shared" si="16"/>
        <v>2.7322272227764491E-5</v>
      </c>
      <c r="AG27" s="40">
        <f t="shared" si="17"/>
        <v>13079059.04734928</v>
      </c>
      <c r="AH27" s="41">
        <f t="shared" si="18"/>
        <v>1.1269124897553251E-4</v>
      </c>
      <c r="AJ27" s="11">
        <f>+'Track mile pop elasticities'!H56</f>
        <v>1.9321525220657072E-2</v>
      </c>
      <c r="AK27" s="11">
        <f>+'Track mile pop elasticities'!I56</f>
        <v>3.4765132887653184E-2</v>
      </c>
      <c r="AL27" s="11">
        <f>+'Track mile pop elasticities'!J56</f>
        <v>2.8062215201430506E-2</v>
      </c>
      <c r="AM27" s="11">
        <f>+'Track mile pop elasticities'!K56</f>
        <v>6.3971886970594374E-2</v>
      </c>
      <c r="AN27" s="32">
        <f t="shared" si="19"/>
        <v>14248513.34579953</v>
      </c>
      <c r="AO27" s="33">
        <f t="shared" si="20"/>
        <v>1.932152522065707E-4</v>
      </c>
      <c r="AP27" s="40">
        <f t="shared" si="21"/>
        <v>25637285.579744466</v>
      </c>
      <c r="AQ27" s="33">
        <f t="shared" si="22"/>
        <v>3.4765132887653184E-4</v>
      </c>
      <c r="AR27" s="40">
        <f t="shared" si="23"/>
        <v>32569287.58493226</v>
      </c>
      <c r="AS27" s="41">
        <f t="shared" si="24"/>
        <v>2.8062215201430507E-4</v>
      </c>
      <c r="AT27" s="40">
        <f t="shared" si="25"/>
        <v>74246411.736941546</v>
      </c>
      <c r="AU27" s="41">
        <f t="shared" si="26"/>
        <v>6.3971886970594382E-4</v>
      </c>
      <c r="AW27" s="11">
        <f>+'Track mile pop elasticities'!P56</f>
        <v>1.6939764177806897E-2</v>
      </c>
      <c r="AX27" s="11">
        <f>+'Track mile pop elasticities'!Q56</f>
        <v>2.5947837801040072E-2</v>
      </c>
      <c r="AY27" s="11">
        <f>+'Track mile pop elasticities'!R56</f>
        <v>2.460299082967192E-2</v>
      </c>
      <c r="AZ27" s="11">
        <f>+'Track mile pop elasticities'!S56</f>
        <v>4.7747038744355708E-2</v>
      </c>
      <c r="BA27" s="32">
        <f t="shared" si="27"/>
        <v>12492101.591655308</v>
      </c>
      <c r="BB27" s="33">
        <f t="shared" si="28"/>
        <v>1.6939764177806898E-4</v>
      </c>
      <c r="BC27" s="40">
        <f t="shared" si="29"/>
        <v>19135037.683644518</v>
      </c>
      <c r="BD27" s="33">
        <f t="shared" si="30"/>
        <v>2.5947837801040076E-4</v>
      </c>
      <c r="BE27" s="40">
        <f t="shared" si="31"/>
        <v>28554477.186825525</v>
      </c>
      <c r="BF27" s="41">
        <f t="shared" si="32"/>
        <v>2.4602990829671918E-4</v>
      </c>
      <c r="BG27" s="40">
        <f t="shared" si="33"/>
        <v>55415690.637086682</v>
      </c>
      <c r="BH27" s="41">
        <f t="shared" si="34"/>
        <v>4.7747038744355713E-4</v>
      </c>
      <c r="BJ27" s="70">
        <f t="shared" si="35"/>
        <v>0.66690024745130883</v>
      </c>
      <c r="BK27" s="70">
        <f t="shared" si="36"/>
        <v>8.2267383299765875</v>
      </c>
      <c r="BL27" s="70">
        <f t="shared" si="37"/>
        <v>8.8936385774278968</v>
      </c>
      <c r="BM27" s="70">
        <f t="shared" si="38"/>
        <v>4.5462909093348545</v>
      </c>
      <c r="BN27" s="70">
        <f t="shared" si="39"/>
        <v>14.802333046037859</v>
      </c>
      <c r="BO27" s="71">
        <f t="shared" si="40"/>
        <v>19.348623955372712</v>
      </c>
      <c r="BP27" s="69">
        <f t="shared" si="41"/>
        <v>2.8797372401935144</v>
      </c>
      <c r="BQ27" s="69">
        <f t="shared" si="42"/>
        <v>18.804699132627853</v>
      </c>
      <c r="BR27" s="69">
        <f t="shared" si="43"/>
        <v>21.684436372821366</v>
      </c>
      <c r="BS27" s="69">
        <f t="shared" si="44"/>
        <v>8.4731383968296559</v>
      </c>
      <c r="BT27" s="69">
        <f t="shared" si="45"/>
        <v>42.868037280505938</v>
      </c>
      <c r="BU27" s="69">
        <f t="shared" si="46"/>
        <v>51.341175677335592</v>
      </c>
    </row>
    <row r="28" spans="1:73">
      <c r="A28" s="3" t="s">
        <v>323</v>
      </c>
      <c r="B28" s="3">
        <v>1111600</v>
      </c>
      <c r="C28" s="3">
        <v>834207</v>
      </c>
      <c r="D28" s="34">
        <v>39217.54</v>
      </c>
      <c r="E28" s="32">
        <f t="shared" si="5"/>
        <v>32715546390.780003</v>
      </c>
      <c r="F28" s="32">
        <v>55270</v>
      </c>
      <c r="G28" s="37">
        <f t="shared" si="6"/>
        <v>4.9721122706009355E-2</v>
      </c>
      <c r="H28" s="3">
        <v>19</v>
      </c>
      <c r="I28" s="3">
        <f t="shared" si="7"/>
        <v>0.19</v>
      </c>
      <c r="J28" s="16">
        <f>+'Track mile elasticities'!F56</f>
        <v>5.6075011489356932E-4</v>
      </c>
      <c r="K28" s="16">
        <f>+'Track mile elasticities'!G56</f>
        <v>3.8226603746090819E-3</v>
      </c>
      <c r="L28" s="16">
        <f>+'Track mile elasticities'!H56</f>
        <v>1.5385201708271216E-3</v>
      </c>
      <c r="M28" s="16">
        <f>+'Track mile elasticities'!I56</f>
        <v>4.5268346541423345E-3</v>
      </c>
      <c r="N28" s="32">
        <f t="shared" si="0"/>
        <v>183452.46397435784</v>
      </c>
      <c r="O28" s="35">
        <f t="shared" si="1"/>
        <v>5.6075011489356932E-6</v>
      </c>
      <c r="P28" s="36">
        <f t="shared" si="2"/>
        <v>1250604.2282171987</v>
      </c>
      <c r="Q28" s="35">
        <f t="shared" si="3"/>
        <v>3.8226603746090817E-5</v>
      </c>
      <c r="R28" s="36">
        <f t="shared" si="8"/>
        <v>850340.09841615008</v>
      </c>
      <c r="S28" s="33">
        <f t="shared" si="9"/>
        <v>1.5385201708271216E-5</v>
      </c>
      <c r="T28" s="36">
        <f t="shared" si="10"/>
        <v>2501981.5133444681</v>
      </c>
      <c r="U28" s="33">
        <f t="shared" si="11"/>
        <v>4.5268346541423339E-5</v>
      </c>
      <c r="V28" s="13"/>
      <c r="W28" s="11">
        <f>+'Track mile elasticities'!N56</f>
        <v>3.2327465505027294E-4</v>
      </c>
      <c r="X28" s="11">
        <f>+'Track mile elasticities'!O56</f>
        <v>3.0892278479593784E-3</v>
      </c>
      <c r="Y28" s="11">
        <f>+'Track mile elasticities'!P56</f>
        <v>8.8696295248450331E-4</v>
      </c>
      <c r="Z28" s="11">
        <f>+'Track mile elasticities'!Q56</f>
        <v>3.6582961357413692E-3</v>
      </c>
      <c r="AA28" s="32">
        <f t="shared" si="12"/>
        <v>105761.06974260607</v>
      </c>
      <c r="AB28" s="33">
        <f t="shared" si="4"/>
        <v>3.2327465505027294E-6</v>
      </c>
      <c r="AC28" s="40">
        <f t="shared" si="13"/>
        <v>1010657.7697160451</v>
      </c>
      <c r="AD28" s="33">
        <f t="shared" si="14"/>
        <v>3.0892278479593784E-5</v>
      </c>
      <c r="AE28" s="40">
        <f t="shared" si="15"/>
        <v>490224.42383818491</v>
      </c>
      <c r="AF28" s="41">
        <f t="shared" si="16"/>
        <v>8.8696295248450311E-6</v>
      </c>
      <c r="AG28" s="40">
        <f t="shared" si="17"/>
        <v>2021940.2742242548</v>
      </c>
      <c r="AH28" s="41">
        <f t="shared" si="18"/>
        <v>3.6582961357413696E-5</v>
      </c>
      <c r="AJ28" s="11">
        <f>+'Track mile pop elasticities'!H57</f>
        <v>5.1425587099358912E-2</v>
      </c>
      <c r="AK28" s="11">
        <f>+'Track mile pop elasticities'!I57</f>
        <v>9.2529826135226673E-2</v>
      </c>
      <c r="AL28" s="11">
        <f>+'Track mile pop elasticities'!J57</f>
        <v>7.4689543168116504E-2</v>
      </c>
      <c r="AM28" s="11">
        <f>+'Track mile pop elasticities'!K57</f>
        <v>0.17026563937092581</v>
      </c>
      <c r="AN28" s="32">
        <f t="shared" si="19"/>
        <v>16824161.804221742</v>
      </c>
      <c r="AO28" s="33">
        <f t="shared" si="20"/>
        <v>5.1425587099358913E-4</v>
      </c>
      <c r="AP28" s="40">
        <f t="shared" si="21"/>
        <v>30271638.19457816</v>
      </c>
      <c r="AQ28" s="33">
        <f t="shared" si="22"/>
        <v>9.2529826135226672E-4</v>
      </c>
      <c r="AR28" s="40">
        <f t="shared" si="23"/>
        <v>41280910.509017989</v>
      </c>
      <c r="AS28" s="41">
        <f t="shared" si="24"/>
        <v>7.4689543168116491E-4</v>
      </c>
      <c r="AT28" s="40">
        <f t="shared" si="25"/>
        <v>94105818.880310699</v>
      </c>
      <c r="AU28" s="41">
        <f t="shared" si="26"/>
        <v>1.7026563937092582E-3</v>
      </c>
      <c r="AW28" s="11">
        <f>+'Track mile pop elasticities'!P57</f>
        <v>6.982741265095202E-2</v>
      </c>
      <c r="AX28" s="11">
        <f>+'Track mile pop elasticities'!Q57</f>
        <v>0.10695959864110517</v>
      </c>
      <c r="AY28" s="11">
        <f>+'Track mile pop elasticities'!R57</f>
        <v>0.10141600408828744</v>
      </c>
      <c r="AZ28" s="11">
        <f>+'Track mile pop elasticities'!S57</f>
        <v>0.19681809866226621</v>
      </c>
      <c r="BA28" s="32">
        <f t="shared" si="27"/>
        <v>22844419.579303592</v>
      </c>
      <c r="BB28" s="33">
        <f t="shared" si="28"/>
        <v>6.9827412650952023E-4</v>
      </c>
      <c r="BC28" s="40">
        <f t="shared" si="29"/>
        <v>34992417.11282286</v>
      </c>
      <c r="BD28" s="33">
        <f t="shared" si="30"/>
        <v>1.0695959864110518E-3</v>
      </c>
      <c r="BE28" s="40">
        <f t="shared" si="31"/>
        <v>56052625.45959647</v>
      </c>
      <c r="BF28" s="41">
        <f t="shared" si="32"/>
        <v>1.0141600408828744E-3</v>
      </c>
      <c r="BG28" s="40">
        <f t="shared" si="33"/>
        <v>108781363.13063453</v>
      </c>
      <c r="BH28" s="41">
        <f t="shared" si="34"/>
        <v>1.968180986622662E-3</v>
      </c>
      <c r="BJ28" s="70">
        <f t="shared" si="35"/>
        <v>0.21991240060843154</v>
      </c>
      <c r="BK28" s="70">
        <f t="shared" si="36"/>
        <v>20.167850190925922</v>
      </c>
      <c r="BL28" s="70">
        <f t="shared" si="37"/>
        <v>20.387762591534354</v>
      </c>
      <c r="BM28" s="70">
        <f t="shared" si="38"/>
        <v>1.4991533614764665</v>
      </c>
      <c r="BN28" s="70">
        <f t="shared" si="39"/>
        <v>36.287921576512979</v>
      </c>
      <c r="BO28" s="71">
        <f t="shared" si="40"/>
        <v>37.787074937989445</v>
      </c>
      <c r="BP28" s="69">
        <f t="shared" si="41"/>
        <v>1.0193394426277291</v>
      </c>
      <c r="BQ28" s="69">
        <f t="shared" si="42"/>
        <v>49.485212314231347</v>
      </c>
      <c r="BR28" s="69">
        <f t="shared" si="43"/>
        <v>50.504551756859072</v>
      </c>
      <c r="BS28" s="69">
        <f t="shared" si="44"/>
        <v>2.9992334196961523</v>
      </c>
      <c r="BT28" s="69">
        <f t="shared" si="45"/>
        <v>112.8087140006146</v>
      </c>
      <c r="BU28" s="69">
        <f t="shared" si="46"/>
        <v>115.80794742031074</v>
      </c>
    </row>
    <row r="29" spans="1:73">
      <c r="A29" s="3" t="s">
        <v>325</v>
      </c>
      <c r="B29" s="3">
        <v>3019274</v>
      </c>
      <c r="C29" s="3">
        <v>1920205</v>
      </c>
      <c r="D29" s="34">
        <v>44562.98</v>
      </c>
      <c r="E29" s="32">
        <f t="shared" si="5"/>
        <v>85570057010.900009</v>
      </c>
      <c r="F29" s="32">
        <v>140538</v>
      </c>
      <c r="G29" s="37">
        <f t="shared" si="6"/>
        <v>4.6546951353206099E-2</v>
      </c>
      <c r="H29" s="3">
        <v>92.899990000000003</v>
      </c>
      <c r="I29" s="3">
        <f t="shared" si="7"/>
        <v>0.92899989999999999</v>
      </c>
      <c r="J29" s="16">
        <f>+'Track mile elasticities'!F57</f>
        <v>3.8785902341066285E-3</v>
      </c>
      <c r="K29" s="16">
        <f>+'Track mile elasticities'!G57</f>
        <v>2.644053528206455E-2</v>
      </c>
      <c r="L29" s="16">
        <f>+'Track mile elasticities'!H57</f>
        <v>1.0641619414877393E-2</v>
      </c>
      <c r="M29" s="16">
        <f>+'Track mile elasticities'!I57</f>
        <v>3.1311160202444864E-2</v>
      </c>
      <c r="N29" s="32">
        <f t="shared" si="0"/>
        <v>3318911.8745442419</v>
      </c>
      <c r="O29" s="35">
        <f t="shared" si="1"/>
        <v>3.8785902341066283E-5</v>
      </c>
      <c r="P29" s="36">
        <f t="shared" si="2"/>
        <v>22625181.114849769</v>
      </c>
      <c r="Q29" s="35">
        <f t="shared" si="3"/>
        <v>2.6440535282064553E-4</v>
      </c>
      <c r="R29" s="36">
        <f t="shared" si="8"/>
        <v>14955519.09328039</v>
      </c>
      <c r="S29" s="33">
        <f t="shared" si="9"/>
        <v>1.0641619414877393E-4</v>
      </c>
      <c r="T29" s="36">
        <f t="shared" si="10"/>
        <v>44004078.325311966</v>
      </c>
      <c r="U29" s="33">
        <f t="shared" si="11"/>
        <v>3.1311160202444866E-4</v>
      </c>
      <c r="V29" s="13"/>
      <c r="W29" s="11">
        <f>+'Track mile elasticities'!N57</f>
        <v>5.0783643526759311E-3</v>
      </c>
      <c r="X29" s="11">
        <f>+'Track mile elasticities'!O57</f>
        <v>4.8529089228881828E-2</v>
      </c>
      <c r="Y29" s="11">
        <f>+'Track mile elasticities'!P57</f>
        <v>1.3933418440554903E-2</v>
      </c>
      <c r="Z29" s="11">
        <f>+'Track mile elasticities'!Q57</f>
        <v>5.7468658297360066E-2</v>
      </c>
      <c r="AA29" s="32">
        <f t="shared" si="12"/>
        <v>4345559.2718060175</v>
      </c>
      <c r="AB29" s="33">
        <f t="shared" si="4"/>
        <v>5.0783643526759311E-5</v>
      </c>
      <c r="AC29" s="40">
        <f t="shared" si="13"/>
        <v>41526369.320024714</v>
      </c>
      <c r="AD29" s="33">
        <f t="shared" si="14"/>
        <v>4.8529089228881828E-4</v>
      </c>
      <c r="AE29" s="40">
        <f t="shared" si="15"/>
        <v>19581747.607987046</v>
      </c>
      <c r="AF29" s="41">
        <f t="shared" si="16"/>
        <v>1.3933418440554901E-4</v>
      </c>
      <c r="AG29" s="40">
        <f t="shared" si="17"/>
        <v>80765302.997943893</v>
      </c>
      <c r="AH29" s="41">
        <f t="shared" si="18"/>
        <v>5.7468658297360074E-4</v>
      </c>
      <c r="AJ29" s="11">
        <f>+'Track mile pop elasticities'!H58</f>
        <v>3.4082649367603218E-2</v>
      </c>
      <c r="AK29" s="11">
        <f>+'Track mile pop elasticities'!I58</f>
        <v>6.1324756762019234E-2</v>
      </c>
      <c r="AL29" s="11">
        <f>+'Track mile pop elasticities'!J58</f>
        <v>4.9500990748185626E-2</v>
      </c>
      <c r="AM29" s="11">
        <f>+'Track mile pop elasticities'!K58</f>
        <v>0.11284468322778538</v>
      </c>
      <c r="AN29" s="32">
        <f t="shared" si="19"/>
        <v>29164542.494683225</v>
      </c>
      <c r="AO29" s="33">
        <f t="shared" si="20"/>
        <v>3.408264936760322E-4</v>
      </c>
      <c r="AP29" s="40">
        <f t="shared" si="21"/>
        <v>52475629.323055618</v>
      </c>
      <c r="AQ29" s="33">
        <f t="shared" si="22"/>
        <v>6.1324756762019231E-4</v>
      </c>
      <c r="AR29" s="40">
        <f t="shared" si="23"/>
        <v>69567702.37768513</v>
      </c>
      <c r="AS29" s="41">
        <f t="shared" si="24"/>
        <v>4.950099074818564E-4</v>
      </c>
      <c r="AT29" s="40">
        <f t="shared" si="25"/>
        <v>158589660.91466501</v>
      </c>
      <c r="AU29" s="41">
        <f t="shared" si="26"/>
        <v>1.1284468322778536E-3</v>
      </c>
      <c r="AW29" s="11">
        <f>+'Track mile pop elasticities'!P58</f>
        <v>3.9661526114713692E-2</v>
      </c>
      <c r="AX29" s="11">
        <f>+'Track mile pop elasticities'!Q58</f>
        <v>6.07523715067173E-2</v>
      </c>
      <c r="AY29" s="11">
        <f>+'Track mile pop elasticities'!R58</f>
        <v>5.7603645071369877E-2</v>
      </c>
      <c r="AZ29" s="11">
        <f>+'Track mile pop elasticities'!S58</f>
        <v>0.11179142780160478</v>
      </c>
      <c r="BA29" s="32">
        <f t="shared" si="27"/>
        <v>33938390.507753499</v>
      </c>
      <c r="BB29" s="33">
        <f t="shared" si="28"/>
        <v>3.9661526114713691E-4</v>
      </c>
      <c r="BC29" s="40">
        <f t="shared" si="29"/>
        <v>51985838.933771767</v>
      </c>
      <c r="BD29" s="33">
        <f t="shared" si="30"/>
        <v>6.0752371506717301E-4</v>
      </c>
      <c r="BE29" s="40">
        <f t="shared" si="31"/>
        <v>80955010.710401788</v>
      </c>
      <c r="BF29" s="41">
        <f t="shared" si="32"/>
        <v>5.7603645071369872E-4</v>
      </c>
      <c r="BG29" s="40">
        <f t="shared" si="33"/>
        <v>157109436.8038193</v>
      </c>
      <c r="BH29" s="41">
        <f t="shared" si="34"/>
        <v>1.1179142780160475E-3</v>
      </c>
      <c r="BJ29" s="70">
        <f t="shared" si="35"/>
        <v>1.7284153903068902</v>
      </c>
      <c r="BK29" s="70">
        <f t="shared" si="36"/>
        <v>15.18824422115515</v>
      </c>
      <c r="BL29" s="70">
        <f t="shared" si="37"/>
        <v>16.916659611462038</v>
      </c>
      <c r="BM29" s="70">
        <f t="shared" si="38"/>
        <v>11.782690449639372</v>
      </c>
      <c r="BN29" s="70">
        <f t="shared" si="39"/>
        <v>27.328139090907282</v>
      </c>
      <c r="BO29" s="71">
        <f t="shared" si="40"/>
        <v>39.110829540546654</v>
      </c>
      <c r="BP29" s="69">
        <f t="shared" si="41"/>
        <v>7.7885012763118473</v>
      </c>
      <c r="BQ29" s="69">
        <f t="shared" si="42"/>
        <v>36.22931008808181</v>
      </c>
      <c r="BR29" s="69">
        <f t="shared" si="43"/>
        <v>44.017811364393658</v>
      </c>
      <c r="BS29" s="69">
        <f t="shared" si="44"/>
        <v>22.916343997287772</v>
      </c>
      <c r="BT29" s="69">
        <f t="shared" si="45"/>
        <v>82.589963527157266</v>
      </c>
      <c r="BU29" s="69">
        <f t="shared" si="46"/>
        <v>105.50630752444503</v>
      </c>
    </row>
    <row r="30" spans="1:73">
      <c r="A30" s="3" t="s">
        <v>327</v>
      </c>
      <c r="B30" s="3">
        <v>4260236</v>
      </c>
      <c r="C30" s="3">
        <v>2849527</v>
      </c>
      <c r="D30" s="34">
        <v>61146.07</v>
      </c>
      <c r="E30" s="32">
        <f t="shared" si="5"/>
        <v>174237377408.88998</v>
      </c>
      <c r="F30" s="32">
        <v>283010</v>
      </c>
      <c r="G30" s="37">
        <f t="shared" si="6"/>
        <v>6.6430592108042835E-2</v>
      </c>
      <c r="H30" s="3">
        <v>186.5</v>
      </c>
      <c r="I30" s="3">
        <f t="shared" si="7"/>
        <v>1.865</v>
      </c>
      <c r="J30" s="16">
        <f>+'Track mile elasticities'!F58</f>
        <v>4.5392579074301212E-3</v>
      </c>
      <c r="K30" s="16">
        <f>+'Track mile elasticities'!G58</f>
        <v>3.0944338435235971E-2</v>
      </c>
      <c r="L30" s="16">
        <f>+'Track mile elasticities'!H58</f>
        <v>1.2454281623273979E-2</v>
      </c>
      <c r="M30" s="16">
        <f>+'Track mile elasticities'!I58</f>
        <v>3.6644611304884701E-2</v>
      </c>
      <c r="N30" s="32">
        <f t="shared" si="0"/>
        <v>7909083.931731903</v>
      </c>
      <c r="O30" s="35">
        <f t="shared" si="1"/>
        <v>4.5392579074301214E-5</v>
      </c>
      <c r="P30" s="36">
        <f t="shared" si="2"/>
        <v>53916603.746086307</v>
      </c>
      <c r="Q30" s="35">
        <f t="shared" si="3"/>
        <v>3.0944338435235974E-4</v>
      </c>
      <c r="R30" s="36">
        <f t="shared" si="8"/>
        <v>35246862.422027677</v>
      </c>
      <c r="S30" s="33">
        <f t="shared" si="9"/>
        <v>1.2454281623273976E-4</v>
      </c>
      <c r="T30" s="36">
        <f t="shared" si="10"/>
        <v>103707914.45395418</v>
      </c>
      <c r="U30" s="33">
        <f t="shared" si="11"/>
        <v>3.6644611304884696E-4</v>
      </c>
      <c r="V30" s="13"/>
      <c r="W30" s="11">
        <f>+'Track mile elasticities'!N58</f>
        <v>1.0093338457188145E-2</v>
      </c>
      <c r="X30" s="11">
        <f>+'Track mile elasticities'!O58</f>
        <v>9.6452418257088612E-2</v>
      </c>
      <c r="Y30" s="11">
        <f>+'Track mile elasticities'!P58</f>
        <v>2.7692914178566754E-2</v>
      </c>
      <c r="Z30" s="11">
        <f>+'Track mile elasticities'!Q58</f>
        <v>0.11421996898865758</v>
      </c>
      <c r="AA30" s="32">
        <f t="shared" si="12"/>
        <v>17586368.220807541</v>
      </c>
      <c r="AB30" s="33">
        <f t="shared" si="4"/>
        <v>1.0093338457188145E-4</v>
      </c>
      <c r="AC30" s="40">
        <f t="shared" si="13"/>
        <v>168056164.01860461</v>
      </c>
      <c r="AD30" s="33">
        <f t="shared" si="14"/>
        <v>9.6452418257088617E-4</v>
      </c>
      <c r="AE30" s="40">
        <f t="shared" si="15"/>
        <v>78373716.416761771</v>
      </c>
      <c r="AF30" s="41">
        <f t="shared" si="16"/>
        <v>2.7692914178566755E-4</v>
      </c>
      <c r="AG30" s="40">
        <f t="shared" si="17"/>
        <v>323253934.23479974</v>
      </c>
      <c r="AH30" s="41">
        <f t="shared" si="18"/>
        <v>1.1421996898865754E-3</v>
      </c>
      <c r="AJ30" s="11">
        <f>+'Track mile pop elasticities'!H59</f>
        <v>3.4366416884005109E-2</v>
      </c>
      <c r="AK30" s="11">
        <f>+'Track mile pop elasticities'!I59</f>
        <v>6.183533837005728E-2</v>
      </c>
      <c r="AL30" s="11">
        <f>+'Track mile pop elasticities'!J59</f>
        <v>4.9913129283912179E-2</v>
      </c>
      <c r="AM30" s="11">
        <f>+'Track mile pop elasticities'!K59</f>
        <v>0.11378421275652981</v>
      </c>
      <c r="AN30" s="32">
        <f t="shared" si="19"/>
        <v>59879143.488096468</v>
      </c>
      <c r="AO30" s="33">
        <f t="shared" si="20"/>
        <v>3.4366416884005108E-4</v>
      </c>
      <c r="AP30" s="40">
        <f t="shared" si="21"/>
        <v>107740271.88790086</v>
      </c>
      <c r="AQ30" s="33">
        <f t="shared" si="22"/>
        <v>6.1835338370057281E-4</v>
      </c>
      <c r="AR30" s="40">
        <f t="shared" si="23"/>
        <v>141259147.18639985</v>
      </c>
      <c r="AS30" s="41">
        <f t="shared" si="24"/>
        <v>4.9913129283912176E-4</v>
      </c>
      <c r="AT30" s="40">
        <f t="shared" si="25"/>
        <v>322020700.52225494</v>
      </c>
      <c r="AU30" s="41">
        <f t="shared" si="26"/>
        <v>1.137842127565298E-3</v>
      </c>
      <c r="AW30" s="11">
        <f>+'Track mile pop elasticities'!P59</f>
        <v>5.6830550903518955E-2</v>
      </c>
      <c r="AX30" s="11">
        <f>+'Track mile pop elasticities'!Q59</f>
        <v>8.7051384039938506E-2</v>
      </c>
      <c r="AY30" s="11">
        <f>+'Track mile pop elasticities'!R59</f>
        <v>8.2539609645587042E-2</v>
      </c>
      <c r="AZ30" s="11">
        <f>+'Track mile pop elasticities'!S59</f>
        <v>0.16018466888744498</v>
      </c>
      <c r="BA30" s="32">
        <f t="shared" si="27"/>
        <v>99020061.461315662</v>
      </c>
      <c r="BB30" s="33">
        <f t="shared" si="28"/>
        <v>5.6830550903518961E-4</v>
      </c>
      <c r="BC30" s="40">
        <f t="shared" si="29"/>
        <v>151676048.54932988</v>
      </c>
      <c r="BD30" s="33">
        <f t="shared" si="30"/>
        <v>8.7051384039938502E-4</v>
      </c>
      <c r="BE30" s="40">
        <f t="shared" si="31"/>
        <v>233595349.25797591</v>
      </c>
      <c r="BF30" s="41">
        <f t="shared" si="32"/>
        <v>8.2539609645587047E-4</v>
      </c>
      <c r="BG30" s="40">
        <f t="shared" si="33"/>
        <v>453338631.41835797</v>
      </c>
      <c r="BH30" s="41">
        <f t="shared" si="34"/>
        <v>1.6018466888744495E-3</v>
      </c>
      <c r="BJ30" s="70">
        <f t="shared" si="35"/>
        <v>2.7755778175577572</v>
      </c>
      <c r="BK30" s="70">
        <f t="shared" si="36"/>
        <v>21.013713324385581</v>
      </c>
      <c r="BL30" s="70">
        <f t="shared" si="37"/>
        <v>23.789291141943337</v>
      </c>
      <c r="BM30" s="70">
        <f t="shared" si="38"/>
        <v>18.92124684064629</v>
      </c>
      <c r="BN30" s="70">
        <f t="shared" si="39"/>
        <v>37.809879284492077</v>
      </c>
      <c r="BO30" s="71">
        <f t="shared" si="40"/>
        <v>56.731126125138367</v>
      </c>
      <c r="BP30" s="69">
        <f t="shared" si="41"/>
        <v>12.369373029989776</v>
      </c>
      <c r="BQ30" s="69">
        <f t="shared" si="42"/>
        <v>49.572840399968079</v>
      </c>
      <c r="BR30" s="69">
        <f t="shared" si="43"/>
        <v>61.94221342995786</v>
      </c>
      <c r="BS30" s="69">
        <f t="shared" si="44"/>
        <v>36.39478217049853</v>
      </c>
      <c r="BT30" s="69">
        <f t="shared" si="45"/>
        <v>113.00847492312056</v>
      </c>
      <c r="BU30" s="69">
        <f t="shared" si="46"/>
        <v>149.40325709361909</v>
      </c>
    </row>
    <row r="31" spans="1:73">
      <c r="A31" s="3" t="s">
        <v>329</v>
      </c>
      <c r="B31" s="3">
        <v>1810646</v>
      </c>
      <c r="C31">
        <v>1208681</v>
      </c>
      <c r="D31" s="34">
        <v>76360.73</v>
      </c>
      <c r="E31" s="32">
        <f t="shared" si="5"/>
        <v>92295763497.12999</v>
      </c>
      <c r="F31" s="32">
        <v>138071</v>
      </c>
      <c r="G31" s="37">
        <f t="shared" si="6"/>
        <v>7.6255104531752757E-2</v>
      </c>
      <c r="H31" s="3">
        <v>158.4</v>
      </c>
      <c r="I31" s="3">
        <f t="shared" si="7"/>
        <v>1.5840000000000001</v>
      </c>
      <c r="J31" s="16">
        <f>+'Track mile elasticities'!F59</f>
        <v>5.2298079415149063E-3</v>
      </c>
      <c r="K31" s="16">
        <f>+'Track mile elasticities'!G59</f>
        <v>3.5651851072093628E-2</v>
      </c>
      <c r="L31" s="16">
        <f>+'Track mile elasticities'!H59</f>
        <v>1.4348931536286386E-2</v>
      </c>
      <c r="M31" s="16">
        <f>+'Track mile elasticities'!I59</f>
        <v>4.2219297322216139E-2</v>
      </c>
      <c r="N31" s="32">
        <f t="shared" si="0"/>
        <v>4826891.1690547206</v>
      </c>
      <c r="O31" s="35">
        <f t="shared" si="1"/>
        <v>5.2298079415149065E-5</v>
      </c>
      <c r="P31" s="36">
        <f t="shared" si="2"/>
        <v>32905148.147848539</v>
      </c>
      <c r="Q31" s="35">
        <f t="shared" si="3"/>
        <v>3.565185107209363E-4</v>
      </c>
      <c r="R31" s="36">
        <f t="shared" si="8"/>
        <v>19811713.261465978</v>
      </c>
      <c r="S31" s="33">
        <f t="shared" si="9"/>
        <v>1.4348931536286387E-4</v>
      </c>
      <c r="T31" s="36">
        <f t="shared" si="10"/>
        <v>58292606.005757049</v>
      </c>
      <c r="U31" s="33">
        <f t="shared" si="11"/>
        <v>4.2219297322216139E-4</v>
      </c>
      <c r="V31" s="13"/>
      <c r="W31" s="11">
        <f>+'Track mile elasticities'!N59</f>
        <v>1.0731998717520811E-2</v>
      </c>
      <c r="X31" s="11">
        <f>+'Track mile elasticities'!O59</f>
        <v>0.10255548582141047</v>
      </c>
      <c r="Y31" s="11">
        <f>+'Track mile elasticities'!P59</f>
        <v>2.9445195037241214E-2</v>
      </c>
      <c r="Z31" s="11">
        <f>+'Track mile elasticities'!Q59</f>
        <v>0.12144728584114398</v>
      </c>
      <c r="AA31" s="32">
        <f t="shared" si="12"/>
        <v>9905180.1548380312</v>
      </c>
      <c r="AB31" s="33">
        <f t="shared" si="4"/>
        <v>1.0731998717520811E-4</v>
      </c>
      <c r="AC31" s="40">
        <f t="shared" si="13"/>
        <v>94654368.647061691</v>
      </c>
      <c r="AD31" s="33">
        <f t="shared" si="14"/>
        <v>1.0255548582141047E-3</v>
      </c>
      <c r="AE31" s="40">
        <f t="shared" si="15"/>
        <v>40655275.239869319</v>
      </c>
      <c r="AF31" s="41">
        <f t="shared" si="16"/>
        <v>2.9445195037241216E-4</v>
      </c>
      <c r="AG31" s="40">
        <f t="shared" si="17"/>
        <v>167683482.03372595</v>
      </c>
      <c r="AH31" s="41">
        <f t="shared" si="18"/>
        <v>1.2144728584114401E-3</v>
      </c>
      <c r="AJ31" s="11">
        <f>+'Track mile pop elasticities'!H60</f>
        <v>0.16158863485000699</v>
      </c>
      <c r="AK31" s="11">
        <f>+'Track mile pop elasticities'!I60</f>
        <v>0.2907456993969092</v>
      </c>
      <c r="AL31" s="11">
        <f>+'Track mile pop elasticities'!J60</f>
        <v>0.2346882553773911</v>
      </c>
      <c r="AM31" s="11">
        <f>+'Track mile pop elasticities'!K60</f>
        <v>0.53500589452977765</v>
      </c>
      <c r="AN31" s="32">
        <f t="shared" si="19"/>
        <v>149139464.25940341</v>
      </c>
      <c r="AO31" s="33">
        <f t="shared" si="20"/>
        <v>1.6158863485000697E-3</v>
      </c>
      <c r="AP31" s="40">
        <f t="shared" si="21"/>
        <v>268345963.0934478</v>
      </c>
      <c r="AQ31" s="33">
        <f t="shared" si="22"/>
        <v>2.907456993969092E-3</v>
      </c>
      <c r="AR31" s="40">
        <f t="shared" si="23"/>
        <v>324036421.08211768</v>
      </c>
      <c r="AS31" s="41">
        <f t="shared" si="24"/>
        <v>2.3468825537739111E-3</v>
      </c>
      <c r="AT31" s="40">
        <f t="shared" si="25"/>
        <v>738687988.63620925</v>
      </c>
      <c r="AU31" s="41">
        <f t="shared" si="26"/>
        <v>5.3500589452977762E-3</v>
      </c>
      <c r="AW31" s="11">
        <f>+'Track mile pop elasticities'!P60</f>
        <v>0.28614727711465499</v>
      </c>
      <c r="AX31" s="11">
        <f>+'Track mile pop elasticities'!Q60</f>
        <v>0.43831207187097909</v>
      </c>
      <c r="AY31" s="11">
        <f>+'Track mile pop elasticities'!R60</f>
        <v>0.41559485485699887</v>
      </c>
      <c r="AZ31" s="11">
        <f>+'Track mile pop elasticities'!S60</f>
        <v>0.80654517876258647</v>
      </c>
      <c r="BA31" s="32">
        <f t="shared" si="27"/>
        <v>264101814.13921914</v>
      </c>
      <c r="BB31" s="33">
        <f t="shared" si="28"/>
        <v>2.8614727711465497E-3</v>
      </c>
      <c r="BC31" s="40">
        <f t="shared" si="29"/>
        <v>404543473.23340929</v>
      </c>
      <c r="BD31" s="33">
        <f t="shared" si="30"/>
        <v>4.3831207187097912E-3</v>
      </c>
      <c r="BE31" s="40">
        <f t="shared" si="31"/>
        <v>573815972.04960692</v>
      </c>
      <c r="BF31" s="41">
        <f t="shared" si="32"/>
        <v>4.1559485485699885E-3</v>
      </c>
      <c r="BG31" s="40">
        <f t="shared" si="33"/>
        <v>1113604993.7692907</v>
      </c>
      <c r="BH31" s="41">
        <f t="shared" si="34"/>
        <v>8.0654517876258634E-3</v>
      </c>
      <c r="BJ31" s="70">
        <f t="shared" si="35"/>
        <v>3.9935195217387554</v>
      </c>
      <c r="BK31" s="70">
        <f t="shared" si="36"/>
        <v>123.39026116849972</v>
      </c>
      <c r="BL31" s="70">
        <f t="shared" si="37"/>
        <v>127.38378069023847</v>
      </c>
      <c r="BM31" s="70">
        <f t="shared" si="38"/>
        <v>27.224013737163517</v>
      </c>
      <c r="BN31" s="70">
        <f t="shared" si="39"/>
        <v>222.01553850308542</v>
      </c>
      <c r="BO31" s="71">
        <f t="shared" si="40"/>
        <v>249.23955224024897</v>
      </c>
      <c r="BP31" s="69">
        <f t="shared" si="41"/>
        <v>16.391184490751471</v>
      </c>
      <c r="BQ31" s="69">
        <f t="shared" si="42"/>
        <v>268.09093638612478</v>
      </c>
      <c r="BR31" s="69">
        <f t="shared" si="43"/>
        <v>284.48212087687625</v>
      </c>
      <c r="BS31" s="69">
        <f t="shared" si="44"/>
        <v>48.228280254059634</v>
      </c>
      <c r="BT31" s="69">
        <f t="shared" si="45"/>
        <v>611.15214737073654</v>
      </c>
      <c r="BU31" s="69">
        <f t="shared" si="46"/>
        <v>659.3804276247962</v>
      </c>
    </row>
    <row r="32" spans="1:73">
      <c r="A32" s="3" t="s">
        <v>331</v>
      </c>
      <c r="B32" s="3">
        <v>3356637</v>
      </c>
      <c r="C32">
        <v>2306396</v>
      </c>
      <c r="D32" s="34">
        <v>51606.48</v>
      </c>
      <c r="E32" s="32">
        <f t="shared" si="5"/>
        <v>119024979046.08</v>
      </c>
      <c r="F32" s="32">
        <v>194038</v>
      </c>
      <c r="G32" s="37">
        <f t="shared" si="6"/>
        <v>5.7807263639172185E-2</v>
      </c>
      <c r="H32" s="3">
        <v>86.8</v>
      </c>
      <c r="I32" s="3">
        <f t="shared" si="7"/>
        <v>0.86799999999999999</v>
      </c>
      <c r="J32" s="16">
        <f>+'Track mile elasticities'!F60</f>
        <v>2.5178654001207826E-3</v>
      </c>
      <c r="K32" s="16">
        <f>+'Track mile elasticities'!G60</f>
        <v>1.7164408955079351E-2</v>
      </c>
      <c r="L32" s="16">
        <f>+'Track mile elasticities'!H60</f>
        <v>6.9082227584541332E-3</v>
      </c>
      <c r="M32" s="16">
        <f>+'Track mile elasticities'!I60</f>
        <v>2.0326273762593969E-2</v>
      </c>
      <c r="N32" s="32">
        <f t="shared" si="0"/>
        <v>2996888.7649022597</v>
      </c>
      <c r="O32" s="35">
        <f t="shared" si="1"/>
        <v>2.5178654001207826E-5</v>
      </c>
      <c r="P32" s="36">
        <f t="shared" si="2"/>
        <v>20429934.162166677</v>
      </c>
      <c r="Q32" s="35">
        <f t="shared" si="3"/>
        <v>1.7164408955079352E-4</v>
      </c>
      <c r="R32" s="36">
        <f t="shared" si="8"/>
        <v>13404577.27604923</v>
      </c>
      <c r="S32" s="33">
        <f t="shared" si="9"/>
        <v>6.9082227584541328E-5</v>
      </c>
      <c r="T32" s="36">
        <f t="shared" si="10"/>
        <v>39440695.083462082</v>
      </c>
      <c r="U32" s="33">
        <f t="shared" si="11"/>
        <v>2.0326273762593969E-4</v>
      </c>
      <c r="V32" s="13"/>
      <c r="W32" s="11">
        <f>+'Track mile elasticities'!N60</f>
        <v>2.3491434010479619E-3</v>
      </c>
      <c r="X32" s="11">
        <f>+'Track mile elasticities'!O60</f>
        <v>2.2448525116325054E-2</v>
      </c>
      <c r="Y32" s="11">
        <f>+'Track mile elasticities'!P60</f>
        <v>6.4453031942110139E-3</v>
      </c>
      <c r="Z32" s="11">
        <f>+'Track mile elasticities'!Q60</f>
        <v>2.6583779743016511E-2</v>
      </c>
      <c r="AA32" s="32">
        <f t="shared" si="12"/>
        <v>2796067.4408597075</v>
      </c>
      <c r="AB32" s="33">
        <f t="shared" si="4"/>
        <v>2.3491434010479617E-5</v>
      </c>
      <c r="AC32" s="40">
        <f t="shared" si="13"/>
        <v>26719352.315859899</v>
      </c>
      <c r="AD32" s="33">
        <f t="shared" si="14"/>
        <v>2.2448525116325051E-4</v>
      </c>
      <c r="AE32" s="40">
        <f t="shared" si="15"/>
        <v>12506337.411983168</v>
      </c>
      <c r="AF32" s="41">
        <f t="shared" si="16"/>
        <v>6.4453031942110145E-5</v>
      </c>
      <c r="AG32" s="40">
        <f t="shared" si="17"/>
        <v>51582634.537754372</v>
      </c>
      <c r="AH32" s="41">
        <f t="shared" si="18"/>
        <v>2.6583779743016508E-4</v>
      </c>
      <c r="AJ32" s="11">
        <f>+'Track mile pop elasticities'!H61</f>
        <v>2.5765211036804819E-2</v>
      </c>
      <c r="AK32" s="11">
        <f>+'Track mile pop elasticities'!I61</f>
        <v>4.6359227614976392E-2</v>
      </c>
      <c r="AL32" s="11">
        <f>+'Track mile pop elasticities'!J61</f>
        <v>3.7420901743930805E-2</v>
      </c>
      <c r="AM32" s="11">
        <f>+'Track mile pop elasticities'!K61</f>
        <v>8.5306369419418757E-2</v>
      </c>
      <c r="AN32" s="32">
        <f t="shared" si="19"/>
        <v>30667037.037735227</v>
      </c>
      <c r="AO32" s="33">
        <f t="shared" si="20"/>
        <v>2.5765211036804818E-4</v>
      </c>
      <c r="AP32" s="40">
        <f t="shared" si="21"/>
        <v>55179060.954650179</v>
      </c>
      <c r="AQ32" s="33">
        <f t="shared" si="22"/>
        <v>4.6359227614976389E-4</v>
      </c>
      <c r="AR32" s="40">
        <f t="shared" si="23"/>
        <v>72610769.325888455</v>
      </c>
      <c r="AS32" s="41">
        <f t="shared" si="24"/>
        <v>3.7420901743930805E-4</v>
      </c>
      <c r="AT32" s="40">
        <f t="shared" si="25"/>
        <v>165526773.09405178</v>
      </c>
      <c r="AU32" s="41">
        <f t="shared" si="26"/>
        <v>8.5306369419418764E-4</v>
      </c>
      <c r="AW32" s="11">
        <f>+'Track mile pop elasticities'!P61</f>
        <v>2.5529084846712347E-2</v>
      </c>
      <c r="AX32" s="11">
        <f>+'Track mile pop elasticities'!Q61</f>
        <v>3.9104709242607803E-2</v>
      </c>
      <c r="AY32" s="11">
        <f>+'Track mile pop elasticities'!R61</f>
        <v>3.7077956563082215E-2</v>
      </c>
      <c r="AZ32" s="11">
        <f>+'Track mile pop elasticities'!S61</f>
        <v>7.1957212065612619E-2</v>
      </c>
      <c r="BA32" s="32">
        <f t="shared" si="27"/>
        <v>30385987.889455352</v>
      </c>
      <c r="BB32" s="33">
        <f t="shared" si="28"/>
        <v>2.5529084846712341E-4</v>
      </c>
      <c r="BC32" s="40">
        <f t="shared" si="29"/>
        <v>46544371.982044443</v>
      </c>
      <c r="BD32" s="33">
        <f t="shared" si="30"/>
        <v>3.9104709242607802E-4</v>
      </c>
      <c r="BE32" s="40">
        <f t="shared" si="31"/>
        <v>71945325.355873466</v>
      </c>
      <c r="BF32" s="41">
        <f t="shared" si="32"/>
        <v>3.7077956563082214E-4</v>
      </c>
      <c r="BG32" s="40">
        <f t="shared" si="33"/>
        <v>139624335.1478734</v>
      </c>
      <c r="BH32" s="41">
        <f t="shared" si="34"/>
        <v>7.1957212065612607E-4</v>
      </c>
      <c r="BJ32" s="70">
        <f t="shared" si="35"/>
        <v>1.2993817041402516</v>
      </c>
      <c r="BK32" s="70">
        <f t="shared" si="36"/>
        <v>13.296518480666471</v>
      </c>
      <c r="BL32" s="70">
        <f t="shared" si="37"/>
        <v>14.595900184806723</v>
      </c>
      <c r="BM32" s="70">
        <f t="shared" si="38"/>
        <v>8.8579472745212353</v>
      </c>
      <c r="BN32" s="70">
        <f t="shared" si="39"/>
        <v>23.924365527277267</v>
      </c>
      <c r="BO32" s="71">
        <f t="shared" si="40"/>
        <v>32.782312801798497</v>
      </c>
      <c r="BP32" s="69">
        <f t="shared" si="41"/>
        <v>5.8119148992840906</v>
      </c>
      <c r="BQ32" s="69">
        <f t="shared" si="42"/>
        <v>31.482351394074762</v>
      </c>
      <c r="BR32" s="69">
        <f t="shared" si="43"/>
        <v>37.294266293358852</v>
      </c>
      <c r="BS32" s="69">
        <f t="shared" si="44"/>
        <v>17.100573831840709</v>
      </c>
      <c r="BT32" s="69">
        <f t="shared" si="45"/>
        <v>71.768583146195098</v>
      </c>
      <c r="BU32" s="69">
        <f t="shared" si="46"/>
        <v>88.869156978035804</v>
      </c>
    </row>
    <row r="33" spans="1:73">
      <c r="A33" s="3" t="s">
        <v>333</v>
      </c>
      <c r="B33">
        <v>2730007</v>
      </c>
      <c r="C33">
        <v>1576110</v>
      </c>
      <c r="D33" s="34">
        <v>38033.29</v>
      </c>
      <c r="E33" s="32">
        <f t="shared" si="5"/>
        <v>59944648701.900002</v>
      </c>
      <c r="F33" s="1">
        <v>98666</v>
      </c>
      <c r="G33" s="37">
        <f t="shared" si="6"/>
        <v>3.6141299271393812E-2</v>
      </c>
      <c r="H33">
        <v>2.4</v>
      </c>
      <c r="I33" s="3">
        <f t="shared" si="7"/>
        <v>2.4E-2</v>
      </c>
      <c r="J33" s="16">
        <f>+'Track mile elasticities'!F61</f>
        <v>9.7266839818983982E-5</v>
      </c>
      <c r="K33" s="16">
        <f>+'Track mile elasticities'!G61</f>
        <v>6.6307270290983376E-4</v>
      </c>
      <c r="L33" s="16">
        <f>+'Track mile elasticities'!H61</f>
        <v>2.6686930780659866E-4</v>
      </c>
      <c r="M33" s="16">
        <f>+'Track mile elasticities'!I61</f>
        <v>7.8521767449848739E-4</v>
      </c>
      <c r="N33" s="32">
        <f t="shared" si="0"/>
        <v>58306.265432929744</v>
      </c>
      <c r="O33" s="35">
        <f t="shared" si="1"/>
        <v>9.7266839818983994E-7</v>
      </c>
      <c r="P33" s="36">
        <f t="shared" si="2"/>
        <v>397476.60239749291</v>
      </c>
      <c r="Q33" s="35">
        <f t="shared" si="3"/>
        <v>6.6307270290983376E-6</v>
      </c>
      <c r="R33" s="36">
        <f t="shared" si="8"/>
        <v>263309.27124045865</v>
      </c>
      <c r="S33" s="33">
        <f t="shared" si="9"/>
        <v>2.6686930780659869E-6</v>
      </c>
      <c r="T33" s="36">
        <f t="shared" si="10"/>
        <v>774742.87072067766</v>
      </c>
      <c r="U33" s="33">
        <f t="shared" si="11"/>
        <v>7.8521767449848743E-6</v>
      </c>
      <c r="V33" s="13"/>
      <c r="W33" s="11">
        <f>+'Track mile elasticities'!N61</f>
        <v>2.0942626441185189E-4</v>
      </c>
      <c r="X33" s="11">
        <f>+'Track mile elasticities'!O61</f>
        <v>2.0012872583982386E-3</v>
      </c>
      <c r="Y33" s="11">
        <f>+'Track mile elasticities'!P61</f>
        <v>5.7459913701446734E-4</v>
      </c>
      <c r="Z33" s="11">
        <f>+'Track mile elasticities'!Q61</f>
        <v>2.3699454375768619E-3</v>
      </c>
      <c r="AA33" s="32">
        <f t="shared" si="12"/>
        <v>125539.83849119685</v>
      </c>
      <c r="AB33" s="33">
        <f t="shared" si="4"/>
        <v>2.094262644118519E-6</v>
      </c>
      <c r="AC33" s="40">
        <f t="shared" si="13"/>
        <v>1199664.6165627099</v>
      </c>
      <c r="AD33" s="33">
        <f t="shared" si="14"/>
        <v>2.0012872583982386E-5</v>
      </c>
      <c r="AE33" s="40">
        <f t="shared" si="15"/>
        <v>566933.9845266944</v>
      </c>
      <c r="AF33" s="41">
        <f t="shared" si="16"/>
        <v>5.7459913701446744E-6</v>
      </c>
      <c r="AG33" s="40">
        <f t="shared" si="17"/>
        <v>2338330.3654395873</v>
      </c>
      <c r="AH33" s="41">
        <f t="shared" si="18"/>
        <v>2.3699454375768623E-5</v>
      </c>
      <c r="AJ33" s="11">
        <f>+'Track mile pop elasticities'!H62</f>
        <v>1.0769770636777434E-3</v>
      </c>
      <c r="AK33" s="11">
        <f>+'Track mile pop elasticities'!I62</f>
        <v>1.9377999566867531E-3</v>
      </c>
      <c r="AL33" s="11">
        <f>+'Track mile pop elasticities'!J62</f>
        <v>1.5641809734367224E-3</v>
      </c>
      <c r="AM33" s="11">
        <f>+'Track mile pop elasticities'!K62</f>
        <v>3.5657772458799844E-3</v>
      </c>
      <c r="AN33" s="32">
        <f t="shared" si="19"/>
        <v>645590.11742166127</v>
      </c>
      <c r="AO33" s="33">
        <f t="shared" si="20"/>
        <v>1.0769770636777436E-5</v>
      </c>
      <c r="AP33" s="40">
        <f t="shared" si="21"/>
        <v>1161607.3765814446</v>
      </c>
      <c r="AQ33" s="33">
        <f t="shared" si="22"/>
        <v>1.9377999566867534E-5</v>
      </c>
      <c r="AR33" s="40">
        <f t="shared" si="23"/>
        <v>1543314.7992510765</v>
      </c>
      <c r="AS33" s="41">
        <f t="shared" si="24"/>
        <v>1.5641809734367223E-5</v>
      </c>
      <c r="AT33" s="40">
        <f t="shared" si="25"/>
        <v>3518209.7774199457</v>
      </c>
      <c r="AU33" s="41">
        <f t="shared" si="26"/>
        <v>3.5657772458799847E-5</v>
      </c>
      <c r="AW33" s="11">
        <f>+'Track mile pop elasticities'!P62</f>
        <v>9.6849623251786521E-4</v>
      </c>
      <c r="AX33" s="11">
        <f>+'Track mile pop elasticities'!Q62</f>
        <v>1.4835143446220904E-3</v>
      </c>
      <c r="AY33" s="11">
        <f>+'Track mile pop elasticities'!R62</f>
        <v>1.4066254805616613E-3</v>
      </c>
      <c r="AZ33" s="11">
        <f>+'Track mile pop elasticities'!S62</f>
        <v>2.7298388957726258E-3</v>
      </c>
      <c r="BA33" s="32">
        <f t="shared" si="27"/>
        <v>580561.66427397099</v>
      </c>
      <c r="BB33" s="33">
        <f t="shared" si="28"/>
        <v>9.6849623251786528E-6</v>
      </c>
      <c r="BC33" s="40">
        <f t="shared" si="29"/>
        <v>889287.46232600627</v>
      </c>
      <c r="BD33" s="33">
        <f t="shared" si="30"/>
        <v>1.4835143446220904E-5</v>
      </c>
      <c r="BE33" s="40">
        <f t="shared" si="31"/>
        <v>1387861.0966509688</v>
      </c>
      <c r="BF33" s="41">
        <f t="shared" si="32"/>
        <v>1.4066254805616614E-5</v>
      </c>
      <c r="BG33" s="40">
        <f t="shared" si="33"/>
        <v>2693422.8449030193</v>
      </c>
      <c r="BH33" s="41">
        <f t="shared" si="34"/>
        <v>2.7298388957726259E-5</v>
      </c>
      <c r="BJ33" s="70">
        <f t="shared" si="35"/>
        <v>3.6993779262189656E-2</v>
      </c>
      <c r="BK33" s="70">
        <f t="shared" si="36"/>
        <v>0.40960980986204087</v>
      </c>
      <c r="BL33" s="70">
        <f t="shared" si="37"/>
        <v>0.44660358912423054</v>
      </c>
      <c r="BM33" s="70">
        <f t="shared" si="38"/>
        <v>0.2521883640085355</v>
      </c>
      <c r="BN33" s="70">
        <f t="shared" si="39"/>
        <v>0.73700907714654729</v>
      </c>
      <c r="BO33" s="71">
        <f t="shared" si="40"/>
        <v>0.98919744115508279</v>
      </c>
      <c r="BP33" s="69">
        <f t="shared" si="41"/>
        <v>0.16706275021442579</v>
      </c>
      <c r="BQ33" s="69">
        <f t="shared" si="42"/>
        <v>0.97919231478201174</v>
      </c>
      <c r="BR33" s="69">
        <f t="shared" si="43"/>
        <v>1.1462550649964376</v>
      </c>
      <c r="BS33" s="69">
        <f t="shared" si="44"/>
        <v>0.49155380698090723</v>
      </c>
      <c r="BT33" s="69">
        <f t="shared" si="45"/>
        <v>2.2322108085222134</v>
      </c>
      <c r="BU33" s="69">
        <f t="shared" si="46"/>
        <v>2.7237646155031205</v>
      </c>
    </row>
    <row r="34" spans="1:73">
      <c r="A34" s="3" t="s">
        <v>335</v>
      </c>
      <c r="B34">
        <v>364571</v>
      </c>
      <c r="C34">
        <v>273317</v>
      </c>
      <c r="D34" s="34">
        <v>54212.63</v>
      </c>
      <c r="E34" s="32">
        <f t="shared" si="5"/>
        <v>14817233393.709999</v>
      </c>
      <c r="F34" s="1">
        <v>20072</v>
      </c>
      <c r="G34" s="37">
        <f t="shared" si="6"/>
        <v>5.505649105386879E-2</v>
      </c>
      <c r="H34">
        <v>6.9</v>
      </c>
      <c r="I34" s="3">
        <f t="shared" si="7"/>
        <v>6.9000000000000006E-2</v>
      </c>
      <c r="J34" s="16">
        <f>+'Track mile elasticities'!F62</f>
        <v>2.4528231953922444E-4</v>
      </c>
      <c r="K34" s="16">
        <f>+'Track mile elasticities'!G62</f>
        <v>1.6721013132075043E-3</v>
      </c>
      <c r="L34" s="16">
        <f>+'Track mile elasticities'!H62</f>
        <v>6.7297676119065189E-4</v>
      </c>
      <c r="M34" s="16">
        <f>+'Track mile elasticities'!I62</f>
        <v>1.9801199761667813E-3</v>
      </c>
      <c r="N34" s="32">
        <f t="shared" si="0"/>
        <v>36344.053759632428</v>
      </c>
      <c r="O34" s="35">
        <f t="shared" si="1"/>
        <v>2.4528231953922445E-6</v>
      </c>
      <c r="P34" s="36">
        <f t="shared" si="2"/>
        <v>247759.15415724574</v>
      </c>
      <c r="Q34" s="35">
        <f t="shared" si="3"/>
        <v>1.6721013132075042E-5</v>
      </c>
      <c r="R34" s="36">
        <f t="shared" si="8"/>
        <v>135079.89550618766</v>
      </c>
      <c r="S34" s="33">
        <f t="shared" si="9"/>
        <v>6.7297676119065199E-6</v>
      </c>
      <c r="T34" s="36">
        <f t="shared" si="10"/>
        <v>397449.68161619635</v>
      </c>
      <c r="U34" s="33">
        <f t="shared" si="11"/>
        <v>1.9801199761667815E-5</v>
      </c>
      <c r="V34" s="13"/>
      <c r="W34" s="11">
        <f>+'Track mile elasticities'!N62</f>
        <v>5.9701201812475766E-3</v>
      </c>
      <c r="X34" s="11">
        <f>+'Track mile elasticities'!O62</f>
        <v>5.7050749978238162E-2</v>
      </c>
      <c r="Y34" s="11">
        <f>+'Track mile elasticities'!P62</f>
        <v>1.6380113132664832E-2</v>
      </c>
      <c r="Z34" s="11">
        <f>+'Track mile elasticities'!Q62</f>
        <v>6.7560098658439927E-2</v>
      </c>
      <c r="AA34" s="32">
        <f t="shared" si="12"/>
        <v>884606.64114043582</v>
      </c>
      <c r="AB34" s="33">
        <f t="shared" si="4"/>
        <v>5.9701201812475764E-5</v>
      </c>
      <c r="AC34" s="40">
        <f t="shared" si="13"/>
        <v>8453342.7771375049</v>
      </c>
      <c r="AD34" s="33">
        <f t="shared" si="14"/>
        <v>5.7050749978238165E-4</v>
      </c>
      <c r="AE34" s="40">
        <f t="shared" si="15"/>
        <v>3287816.3079884853</v>
      </c>
      <c r="AF34" s="41">
        <f t="shared" si="16"/>
        <v>1.6380113132664835E-4</v>
      </c>
      <c r="AG34" s="40">
        <f t="shared" si="17"/>
        <v>13560663.002722062</v>
      </c>
      <c r="AH34" s="41">
        <f t="shared" si="18"/>
        <v>6.756009865843993E-4</v>
      </c>
      <c r="AJ34" s="11">
        <f>+'Track mile pop elasticities'!H63</f>
        <v>0.17362313171239324</v>
      </c>
      <c r="AK34" s="11">
        <f>+'Track mile pop elasticities'!I63</f>
        <v>0.31239931513784475</v>
      </c>
      <c r="AL34" s="11">
        <f>+'Track mile pop elasticities'!J63</f>
        <v>0.25216692939180918</v>
      </c>
      <c r="AM34" s="11">
        <f>+'Track mile pop elasticities'!K63</f>
        <v>0.57485106535539454</v>
      </c>
      <c r="AN34" s="32">
        <f t="shared" si="19"/>
        <v>25726144.651293825</v>
      </c>
      <c r="AO34" s="33">
        <f t="shared" si="20"/>
        <v>1.7362313171239323E-3</v>
      </c>
      <c r="AP34" s="40">
        <f t="shared" si="21"/>
        <v>46288935.644326068</v>
      </c>
      <c r="AQ34" s="33">
        <f t="shared" si="22"/>
        <v>3.1239931513784474E-3</v>
      </c>
      <c r="AR34" s="40">
        <f t="shared" si="23"/>
        <v>50614946.067523941</v>
      </c>
      <c r="AS34" s="41">
        <f t="shared" si="24"/>
        <v>2.5216692939180919E-3</v>
      </c>
      <c r="AT34" s="40">
        <f t="shared" si="25"/>
        <v>115384105.83813478</v>
      </c>
      <c r="AU34" s="41">
        <f t="shared" si="26"/>
        <v>5.7485106535539445E-3</v>
      </c>
      <c r="AW34" s="11">
        <f>+'Track mile pop elasticities'!P63</f>
        <v>0.15520427947048718</v>
      </c>
      <c r="AX34" s="11">
        <f>+'Track mile pop elasticities'!Q63</f>
        <v>0.2377373986707339</v>
      </c>
      <c r="AY34" s="11">
        <f>+'Track mile pop elasticities'!R63</f>
        <v>0.22541573923094563</v>
      </c>
      <c r="AZ34" s="11">
        <f>+'Track mile pop elasticities'!S63</f>
        <v>0.43746445743771672</v>
      </c>
      <c r="BA34" s="32">
        <f t="shared" si="27"/>
        <v>22996980.326168019</v>
      </c>
      <c r="BB34" s="33">
        <f t="shared" si="28"/>
        <v>1.5520427947048718E-3</v>
      </c>
      <c r="BC34" s="40">
        <f t="shared" si="29"/>
        <v>35226105.225177459</v>
      </c>
      <c r="BD34" s="33">
        <f t="shared" si="30"/>
        <v>2.3773739867073394E-3</v>
      </c>
      <c r="BE34" s="40">
        <f t="shared" si="31"/>
        <v>45245447.178435408</v>
      </c>
      <c r="BF34" s="41">
        <f t="shared" si="32"/>
        <v>2.2541573923094567E-3</v>
      </c>
      <c r="BG34" s="40">
        <f t="shared" si="33"/>
        <v>87807865.896898493</v>
      </c>
      <c r="BH34" s="41">
        <f t="shared" si="34"/>
        <v>4.3746445743771661E-3</v>
      </c>
      <c r="BJ34" s="70">
        <f t="shared" si="35"/>
        <v>0.13297399634721743</v>
      </c>
      <c r="BK34" s="70">
        <f t="shared" si="36"/>
        <v>94.125665989652404</v>
      </c>
      <c r="BL34" s="70">
        <f t="shared" si="37"/>
        <v>94.258639985999608</v>
      </c>
      <c r="BM34" s="70">
        <f t="shared" si="38"/>
        <v>0.90649009815432535</v>
      </c>
      <c r="BN34" s="70">
        <f t="shared" si="39"/>
        <v>169.35988483821376</v>
      </c>
      <c r="BO34" s="71">
        <f t="shared" si="40"/>
        <v>170.26637493636807</v>
      </c>
      <c r="BP34" s="69">
        <f t="shared" si="41"/>
        <v>0.49422427257063284</v>
      </c>
      <c r="BQ34" s="69">
        <f t="shared" si="42"/>
        <v>185.18769804850757</v>
      </c>
      <c r="BR34" s="69">
        <f t="shared" si="43"/>
        <v>185.68192232107819</v>
      </c>
      <c r="BS34" s="69">
        <f t="shared" si="44"/>
        <v>1.4541710966247849</v>
      </c>
      <c r="BT34" s="69">
        <f t="shared" si="45"/>
        <v>422.16219934411242</v>
      </c>
      <c r="BU34" s="69">
        <f t="shared" si="46"/>
        <v>423.61637044073723</v>
      </c>
    </row>
    <row r="35" spans="1:73">
      <c r="A35" s="3" t="s">
        <v>337</v>
      </c>
      <c r="B35">
        <v>5377936</v>
      </c>
      <c r="C35">
        <v>3904006</v>
      </c>
      <c r="D35" s="34">
        <v>55048.91</v>
      </c>
      <c r="E35" s="32">
        <f t="shared" si="5"/>
        <v>214911274933.46002</v>
      </c>
      <c r="F35" s="1">
        <v>312626</v>
      </c>
      <c r="G35" s="37">
        <f t="shared" si="6"/>
        <v>5.8131223577223681E-2</v>
      </c>
      <c r="H35">
        <v>327</v>
      </c>
      <c r="I35" s="3">
        <f t="shared" si="7"/>
        <v>3.27</v>
      </c>
      <c r="J35" s="16">
        <f>+'Track mile elasticities'!F63</f>
        <v>6.2468096952408769E-3</v>
      </c>
      <c r="K35" s="16">
        <f>+'Track mile elasticities'!G63</f>
        <v>4.2584800707982845E-2</v>
      </c>
      <c r="L35" s="16">
        <f>+'Track mile elasticities'!H63</f>
        <v>1.71392612577006E-2</v>
      </c>
      <c r="M35" s="16">
        <f>+'Track mile elasticities'!I63</f>
        <v>5.042936925945337E-2</v>
      </c>
      <c r="N35" s="32">
        <f t="shared" si="0"/>
        <v>13425098.358709158</v>
      </c>
      <c r="O35" s="35">
        <f t="shared" si="1"/>
        <v>6.2468096952408774E-5</v>
      </c>
      <c r="P35" s="36">
        <f t="shared" si="2"/>
        <v>91519538.129399046</v>
      </c>
      <c r="Q35" s="35">
        <f t="shared" si="3"/>
        <v>4.2584800707982847E-4</v>
      </c>
      <c r="R35" s="36">
        <f t="shared" si="8"/>
        <v>53581786.899499081</v>
      </c>
      <c r="S35" s="33">
        <f t="shared" si="9"/>
        <v>1.7139261257700602E-4</v>
      </c>
      <c r="T35" s="36">
        <f t="shared" si="10"/>
        <v>157655319.9410587</v>
      </c>
      <c r="U35" s="33">
        <f t="shared" si="11"/>
        <v>5.0429369259453365E-4</v>
      </c>
      <c r="V35" s="13"/>
      <c r="W35" s="11">
        <f>+'Track mile elasticities'!N63</f>
        <v>7.6983451211034455E-3</v>
      </c>
      <c r="X35" s="11">
        <f>+'Track mile elasticities'!O63</f>
        <v>7.356574899945871E-2</v>
      </c>
      <c r="Y35" s="11">
        <f>+'Track mile elasticities'!P63</f>
        <v>2.1121813328659273E-2</v>
      </c>
      <c r="Z35" s="11">
        <f>+'Track mile elasticities'!Q63</f>
        <v>8.7117334341464264E-2</v>
      </c>
      <c r="AA35" s="32">
        <f t="shared" si="12"/>
        <v>16544611.648541233</v>
      </c>
      <c r="AB35" s="33">
        <f t="shared" si="4"/>
        <v>7.6983451211034456E-5</v>
      </c>
      <c r="AC35" s="40">
        <f t="shared" si="13"/>
        <v>158101089.08908585</v>
      </c>
      <c r="AD35" s="33">
        <f t="shared" si="14"/>
        <v>7.3565748999458724E-4</v>
      </c>
      <c r="AE35" s="40">
        <f t="shared" si="15"/>
        <v>66032280.136854343</v>
      </c>
      <c r="AF35" s="41">
        <f t="shared" si="16"/>
        <v>2.1121813328659275E-4</v>
      </c>
      <c r="AG35" s="40">
        <f t="shared" si="17"/>
        <v>272351437.65834606</v>
      </c>
      <c r="AH35" s="41">
        <f t="shared" si="18"/>
        <v>8.7117334341464258E-4</v>
      </c>
      <c r="AJ35" s="11">
        <f>+'Track mile pop elasticities'!H64</f>
        <v>3.7812833920537949E-2</v>
      </c>
      <c r="AK35" s="11">
        <f>+'Track mile pop elasticities'!I64</f>
        <v>6.8036460946718003E-2</v>
      </c>
      <c r="AL35" s="11">
        <f>+'Track mile pop elasticities'!J64</f>
        <v>5.4918639741733687E-2</v>
      </c>
      <c r="AM35" s="11">
        <f>+'Track mile pop elasticities'!K64</f>
        <v>0.12519499935835027</v>
      </c>
      <c r="AN35" s="32">
        <f t="shared" si="19"/>
        <v>81264043.46709995</v>
      </c>
      <c r="AO35" s="33">
        <f t="shared" si="20"/>
        <v>3.7812833920537953E-4</v>
      </c>
      <c r="AP35" s="40">
        <f t="shared" si="21"/>
        <v>146218025.64019731</v>
      </c>
      <c r="AQ35" s="33">
        <f t="shared" si="22"/>
        <v>6.803646094671801E-4</v>
      </c>
      <c r="AR35" s="40">
        <f t="shared" si="23"/>
        <v>171689946.67899236</v>
      </c>
      <c r="AS35" s="41">
        <f t="shared" si="24"/>
        <v>5.491863974173369E-4</v>
      </c>
      <c r="AT35" s="40">
        <f t="shared" si="25"/>
        <v>391392118.69403613</v>
      </c>
      <c r="AU35" s="41">
        <f t="shared" si="26"/>
        <v>1.2519499935835026E-3</v>
      </c>
      <c r="AW35" s="11">
        <f>+'Track mile pop elasticities'!P64</f>
        <v>4.3136950498783168E-2</v>
      </c>
      <c r="AX35" s="11">
        <f>+'Track mile pop elasticities'!Q64</f>
        <v>6.6075925439407851E-2</v>
      </c>
      <c r="AY35" s="11">
        <f>+'Track mile pop elasticities'!R64</f>
        <v>6.2651285248232699E-2</v>
      </c>
      <c r="AZ35" s="11">
        <f>+'Track mile pop elasticities'!S64</f>
        <v>0.12158738605565457</v>
      </c>
      <c r="BA35" s="32">
        <f t="shared" si="27"/>
        <v>92706170.284350455</v>
      </c>
      <c r="BB35" s="33">
        <f t="shared" si="28"/>
        <v>4.3136950498783168E-4</v>
      </c>
      <c r="BC35" s="40">
        <f t="shared" si="29"/>
        <v>142004613.78591388</v>
      </c>
      <c r="BD35" s="33">
        <f t="shared" si="30"/>
        <v>6.6075925439407863E-4</v>
      </c>
      <c r="BE35" s="40">
        <f t="shared" si="31"/>
        <v>195864207.02013996</v>
      </c>
      <c r="BF35" s="41">
        <f t="shared" si="32"/>
        <v>6.265128524823271E-4</v>
      </c>
      <c r="BG35" s="40">
        <f t="shared" si="33"/>
        <v>380113781.53035069</v>
      </c>
      <c r="BH35" s="41">
        <f t="shared" si="34"/>
        <v>1.2158738605565459E-3</v>
      </c>
      <c r="BJ35" s="70">
        <f t="shared" si="35"/>
        <v>3.4388006470044252</v>
      </c>
      <c r="BK35" s="70">
        <f t="shared" si="36"/>
        <v>20.81555291336641</v>
      </c>
      <c r="BL35" s="70">
        <f t="shared" si="37"/>
        <v>24.254353560370838</v>
      </c>
      <c r="BM35" s="70">
        <f t="shared" si="38"/>
        <v>23.442468615416843</v>
      </c>
      <c r="BN35" s="70">
        <f t="shared" si="39"/>
        <v>37.453330153743948</v>
      </c>
      <c r="BO35" s="71">
        <f t="shared" si="40"/>
        <v>60.895798769160791</v>
      </c>
      <c r="BP35" s="69">
        <f t="shared" si="41"/>
        <v>13.724821862338091</v>
      </c>
      <c r="BQ35" s="69">
        <f t="shared" si="42"/>
        <v>43.977890064460034</v>
      </c>
      <c r="BR35" s="69">
        <f t="shared" si="43"/>
        <v>57.702711926798131</v>
      </c>
      <c r="BS35" s="69">
        <f t="shared" si="44"/>
        <v>40.382960461909818</v>
      </c>
      <c r="BT35" s="69">
        <f t="shared" si="45"/>
        <v>100.25397468498669</v>
      </c>
      <c r="BU35" s="69">
        <f t="shared" si="46"/>
        <v>140.63693514689652</v>
      </c>
    </row>
  </sheetData>
  <mergeCells count="5">
    <mergeCell ref="W2:Z2"/>
    <mergeCell ref="AJ2:AM2"/>
    <mergeCell ref="AW2:AZ2"/>
    <mergeCell ref="BJ2:BO2"/>
    <mergeCell ref="BP2:BU2"/>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dimension ref="A1:I32"/>
  <sheetViews>
    <sheetView workbookViewId="0"/>
  </sheetViews>
  <sheetFormatPr defaultRowHeight="15"/>
  <cols>
    <col min="1" max="1" width="21.7109375" customWidth="1"/>
    <col min="2" max="9" width="10.7109375" customWidth="1"/>
  </cols>
  <sheetData>
    <row r="1" spans="1:9">
      <c r="A1" t="s">
        <v>784</v>
      </c>
    </row>
    <row r="2" spans="1:9">
      <c r="A2" t="s">
        <v>4</v>
      </c>
      <c r="B2" t="s">
        <v>754</v>
      </c>
      <c r="C2" t="s">
        <v>755</v>
      </c>
      <c r="D2" t="s">
        <v>756</v>
      </c>
      <c r="E2" t="s">
        <v>757</v>
      </c>
      <c r="F2" t="s">
        <v>116</v>
      </c>
      <c r="G2" t="s">
        <v>117</v>
      </c>
      <c r="H2" t="s">
        <v>118</v>
      </c>
      <c r="I2" t="s">
        <v>119</v>
      </c>
    </row>
    <row r="3" spans="1:9">
      <c r="A3" t="s">
        <v>4</v>
      </c>
      <c r="B3" t="s">
        <v>130</v>
      </c>
      <c r="C3" t="s">
        <v>130</v>
      </c>
      <c r="D3" t="s">
        <v>130</v>
      </c>
      <c r="E3" t="s">
        <v>130</v>
      </c>
      <c r="F3" t="s">
        <v>130</v>
      </c>
      <c r="G3" t="s">
        <v>130</v>
      </c>
      <c r="H3" t="s">
        <v>130</v>
      </c>
      <c r="I3" t="s">
        <v>130</v>
      </c>
    </row>
    <row r="5" spans="1:9">
      <c r="A5" t="s">
        <v>758</v>
      </c>
      <c r="B5" t="s">
        <v>785</v>
      </c>
      <c r="C5" t="s">
        <v>4</v>
      </c>
      <c r="D5" t="s">
        <v>786</v>
      </c>
      <c r="E5" t="s">
        <v>4</v>
      </c>
      <c r="F5" t="s">
        <v>4</v>
      </c>
      <c r="G5" t="s">
        <v>4</v>
      </c>
      <c r="H5" t="s">
        <v>4</v>
      </c>
      <c r="I5" t="s">
        <v>4</v>
      </c>
    </row>
    <row r="6" spans="1:9">
      <c r="A6" t="s">
        <v>4</v>
      </c>
      <c r="B6" t="s">
        <v>787</v>
      </c>
      <c r="C6" t="s">
        <v>4</v>
      </c>
      <c r="D6" t="s">
        <v>788</v>
      </c>
      <c r="E6" t="s">
        <v>4</v>
      </c>
      <c r="F6" t="s">
        <v>4</v>
      </c>
      <c r="G6" t="s">
        <v>4</v>
      </c>
      <c r="H6" t="s">
        <v>4</v>
      </c>
      <c r="I6" t="s">
        <v>4</v>
      </c>
    </row>
    <row r="8" spans="1:9">
      <c r="A8" t="s">
        <v>760</v>
      </c>
      <c r="B8" t="s">
        <v>4</v>
      </c>
      <c r="C8" t="s">
        <v>789</v>
      </c>
      <c r="D8" t="s">
        <v>4</v>
      </c>
      <c r="E8" t="s">
        <v>790</v>
      </c>
      <c r="F8" t="s">
        <v>4</v>
      </c>
      <c r="G8" t="s">
        <v>4</v>
      </c>
      <c r="H8" t="s">
        <v>4</v>
      </c>
      <c r="I8" t="s">
        <v>4</v>
      </c>
    </row>
    <row r="9" spans="1:9">
      <c r="A9" t="s">
        <v>4</v>
      </c>
      <c r="B9" t="s">
        <v>4</v>
      </c>
      <c r="C9" t="s">
        <v>791</v>
      </c>
      <c r="D9" t="s">
        <v>4</v>
      </c>
      <c r="E9" t="s">
        <v>792</v>
      </c>
      <c r="F9" t="s">
        <v>4</v>
      </c>
      <c r="G9" t="s">
        <v>4</v>
      </c>
      <c r="H9" t="s">
        <v>4</v>
      </c>
      <c r="I9" t="s">
        <v>4</v>
      </c>
    </row>
    <row r="11" spans="1:9">
      <c r="A11" t="s">
        <v>185</v>
      </c>
      <c r="B11" t="s">
        <v>793</v>
      </c>
      <c r="C11" t="s">
        <v>4</v>
      </c>
      <c r="D11" t="s">
        <v>794</v>
      </c>
      <c r="E11" t="s">
        <v>4</v>
      </c>
      <c r="F11" t="s">
        <v>795</v>
      </c>
      <c r="G11" t="s">
        <v>4</v>
      </c>
      <c r="H11" t="s">
        <v>796</v>
      </c>
      <c r="I11" t="s">
        <v>4</v>
      </c>
    </row>
    <row r="12" spans="1:9">
      <c r="A12" t="s">
        <v>4</v>
      </c>
      <c r="B12" t="s">
        <v>797</v>
      </c>
      <c r="C12" t="s">
        <v>4</v>
      </c>
      <c r="D12" t="s">
        <v>798</v>
      </c>
      <c r="E12" t="s">
        <v>4</v>
      </c>
      <c r="F12" t="s">
        <v>799</v>
      </c>
      <c r="G12" t="s">
        <v>4</v>
      </c>
      <c r="H12" t="s">
        <v>800</v>
      </c>
      <c r="I12" t="s">
        <v>4</v>
      </c>
    </row>
    <row r="14" spans="1:9">
      <c r="A14" t="s">
        <v>186</v>
      </c>
      <c r="B14" t="s">
        <v>4</v>
      </c>
      <c r="C14" t="s">
        <v>801</v>
      </c>
      <c r="D14" t="s">
        <v>4</v>
      </c>
      <c r="E14" t="s">
        <v>802</v>
      </c>
      <c r="F14" t="s">
        <v>4</v>
      </c>
      <c r="G14" t="s">
        <v>803</v>
      </c>
      <c r="H14" t="s">
        <v>4</v>
      </c>
      <c r="I14" t="s">
        <v>804</v>
      </c>
    </row>
    <row r="15" spans="1:9">
      <c r="A15" t="s">
        <v>4</v>
      </c>
      <c r="B15" t="s">
        <v>4</v>
      </c>
      <c r="C15" t="s">
        <v>805</v>
      </c>
      <c r="D15" t="s">
        <v>4</v>
      </c>
      <c r="E15" t="s">
        <v>806</v>
      </c>
      <c r="F15" t="s">
        <v>4</v>
      </c>
      <c r="G15" t="s">
        <v>807</v>
      </c>
      <c r="H15" t="s">
        <v>4</v>
      </c>
      <c r="I15" t="s">
        <v>808</v>
      </c>
    </row>
    <row r="17" spans="1:9">
      <c r="A17" t="s">
        <v>762</v>
      </c>
      <c r="B17" t="s">
        <v>4</v>
      </c>
      <c r="C17" t="s">
        <v>4</v>
      </c>
      <c r="D17" t="s">
        <v>4</v>
      </c>
      <c r="E17" t="s">
        <v>4</v>
      </c>
      <c r="F17" t="s">
        <v>809</v>
      </c>
      <c r="G17" t="s">
        <v>4</v>
      </c>
      <c r="H17" t="s">
        <v>810</v>
      </c>
      <c r="I17" t="s">
        <v>4</v>
      </c>
    </row>
    <row r="18" spans="1:9">
      <c r="A18" t="s">
        <v>4</v>
      </c>
      <c r="B18" t="s">
        <v>4</v>
      </c>
      <c r="C18" t="s">
        <v>4</v>
      </c>
      <c r="D18" t="s">
        <v>4</v>
      </c>
      <c r="E18" t="s">
        <v>4</v>
      </c>
      <c r="F18" t="s">
        <v>811</v>
      </c>
      <c r="G18" t="s">
        <v>4</v>
      </c>
      <c r="H18" t="s">
        <v>812</v>
      </c>
      <c r="I18" t="s">
        <v>4</v>
      </c>
    </row>
    <row r="20" spans="1:9">
      <c r="A20" t="s">
        <v>763</v>
      </c>
      <c r="B20" t="s">
        <v>4</v>
      </c>
      <c r="C20" t="s">
        <v>4</v>
      </c>
      <c r="D20" t="s">
        <v>4</v>
      </c>
      <c r="E20" t="s">
        <v>4</v>
      </c>
      <c r="F20" t="s">
        <v>4</v>
      </c>
      <c r="G20" t="s">
        <v>41</v>
      </c>
      <c r="H20" t="s">
        <v>4</v>
      </c>
      <c r="I20" t="s">
        <v>813</v>
      </c>
    </row>
    <row r="21" spans="1:9">
      <c r="A21" t="s">
        <v>4</v>
      </c>
      <c r="B21" t="s">
        <v>4</v>
      </c>
      <c r="C21" t="s">
        <v>4</v>
      </c>
      <c r="D21" t="s">
        <v>4</v>
      </c>
      <c r="E21" t="s">
        <v>4</v>
      </c>
      <c r="F21" t="s">
        <v>4</v>
      </c>
      <c r="G21" t="s">
        <v>814</v>
      </c>
      <c r="H21" t="s">
        <v>4</v>
      </c>
      <c r="I21" t="s">
        <v>815</v>
      </c>
    </row>
    <row r="23" spans="1:9">
      <c r="A23" t="s">
        <v>131</v>
      </c>
      <c r="B23" t="s">
        <v>816</v>
      </c>
      <c r="C23" t="s">
        <v>817</v>
      </c>
      <c r="D23" t="s">
        <v>818</v>
      </c>
      <c r="E23" t="s">
        <v>819</v>
      </c>
      <c r="F23" t="s">
        <v>820</v>
      </c>
      <c r="G23" t="s">
        <v>821</v>
      </c>
      <c r="H23" t="s">
        <v>822</v>
      </c>
      <c r="I23" t="s">
        <v>823</v>
      </c>
    </row>
    <row r="24" spans="1:9">
      <c r="A24" t="s">
        <v>4</v>
      </c>
      <c r="B24" t="s">
        <v>824</v>
      </c>
      <c r="C24" t="s">
        <v>761</v>
      </c>
      <c r="D24" t="s">
        <v>825</v>
      </c>
      <c r="E24" t="s">
        <v>826</v>
      </c>
      <c r="F24" t="s">
        <v>759</v>
      </c>
      <c r="G24" t="s">
        <v>827</v>
      </c>
      <c r="H24" t="s">
        <v>828</v>
      </c>
      <c r="I24" t="s">
        <v>829</v>
      </c>
    </row>
    <row r="26" spans="1:9">
      <c r="A26" t="s">
        <v>136</v>
      </c>
      <c r="B26" t="s">
        <v>830</v>
      </c>
      <c r="C26" t="s">
        <v>831</v>
      </c>
      <c r="D26" t="s">
        <v>832</v>
      </c>
      <c r="E26" t="s">
        <v>833</v>
      </c>
      <c r="F26" t="s">
        <v>834</v>
      </c>
      <c r="G26" t="s">
        <v>835</v>
      </c>
      <c r="H26" t="s">
        <v>834</v>
      </c>
      <c r="I26" t="s">
        <v>835</v>
      </c>
    </row>
    <row r="27" spans="1:9">
      <c r="A27" t="s">
        <v>132</v>
      </c>
      <c r="B27" t="s">
        <v>836</v>
      </c>
      <c r="C27" t="s">
        <v>836</v>
      </c>
      <c r="D27" t="s">
        <v>836</v>
      </c>
      <c r="E27" t="s">
        <v>836</v>
      </c>
      <c r="F27" t="s">
        <v>837</v>
      </c>
      <c r="G27" t="s">
        <v>838</v>
      </c>
      <c r="H27" t="s">
        <v>837</v>
      </c>
      <c r="I27" t="s">
        <v>838</v>
      </c>
    </row>
    <row r="28" spans="1:9">
      <c r="A28" t="s">
        <v>137</v>
      </c>
      <c r="B28" t="s">
        <v>4</v>
      </c>
      <c r="C28" t="s">
        <v>4</v>
      </c>
      <c r="D28" t="s">
        <v>839</v>
      </c>
      <c r="E28" t="s">
        <v>840</v>
      </c>
      <c r="F28" t="s">
        <v>4</v>
      </c>
      <c r="G28" t="s">
        <v>4</v>
      </c>
      <c r="H28" t="s">
        <v>841</v>
      </c>
      <c r="I28" t="s">
        <v>842</v>
      </c>
    </row>
    <row r="29" spans="1:9">
      <c r="A29" t="s">
        <v>138</v>
      </c>
      <c r="B29" t="s">
        <v>4</v>
      </c>
      <c r="C29" t="s">
        <v>4</v>
      </c>
      <c r="D29" t="s">
        <v>843</v>
      </c>
      <c r="E29" t="s">
        <v>844</v>
      </c>
      <c r="F29" t="s">
        <v>4</v>
      </c>
      <c r="G29" t="s">
        <v>4</v>
      </c>
      <c r="H29" t="s">
        <v>845</v>
      </c>
      <c r="I29" t="s">
        <v>846</v>
      </c>
    </row>
    <row r="30" spans="1:9">
      <c r="A30" t="s">
        <v>139</v>
      </c>
      <c r="B30" t="s">
        <v>4</v>
      </c>
      <c r="C30" t="s">
        <v>4</v>
      </c>
      <c r="D30" t="s">
        <v>847</v>
      </c>
      <c r="E30" t="s">
        <v>848</v>
      </c>
      <c r="F30" t="s">
        <v>4</v>
      </c>
      <c r="G30" t="s">
        <v>4</v>
      </c>
      <c r="H30" t="s">
        <v>849</v>
      </c>
      <c r="I30" t="s">
        <v>850</v>
      </c>
    </row>
    <row r="32" spans="1:9">
      <c r="A32" t="s">
        <v>140</v>
      </c>
    </row>
  </sheetData>
  <pageMargins left="0.7" right="0.7" top="0.75" bottom="0.75" header="0.3" footer="0.3"/>
  <pageSetup orientation="portrait" verticalDpi="0" r:id="rId1"/>
</worksheet>
</file>

<file path=xl/worksheets/sheet16.xml><?xml version="1.0" encoding="utf-8"?>
<worksheet xmlns="http://schemas.openxmlformats.org/spreadsheetml/2006/main" xmlns:r="http://schemas.openxmlformats.org/officeDocument/2006/relationships">
  <dimension ref="A1:S378"/>
  <sheetViews>
    <sheetView topLeftCell="A31" workbookViewId="0"/>
  </sheetViews>
  <sheetFormatPr defaultRowHeight="15"/>
  <cols>
    <col min="1" max="1" width="35.85546875" customWidth="1"/>
    <col min="2" max="2" width="11.85546875" customWidth="1"/>
    <col min="3" max="3" width="15" customWidth="1"/>
    <col min="4" max="4" width="13.7109375" customWidth="1"/>
    <col min="5" max="5" width="14.85546875" customWidth="1"/>
    <col min="11" max="11" width="35.5703125" customWidth="1"/>
    <col min="12" max="12" width="15.42578125" customWidth="1"/>
    <col min="13" max="13" width="15.28515625" customWidth="1"/>
  </cols>
  <sheetData>
    <row r="1" spans="1:13">
      <c r="A1" s="27" t="s">
        <v>764</v>
      </c>
      <c r="B1" s="28"/>
      <c r="C1" s="28"/>
      <c r="D1" s="3"/>
      <c r="E1" s="3"/>
      <c r="F1" s="3"/>
      <c r="G1" s="3"/>
      <c r="H1" s="3"/>
      <c r="I1" s="3"/>
      <c r="J1" s="3"/>
      <c r="K1" s="3"/>
      <c r="L1" s="3"/>
      <c r="M1" s="3"/>
    </row>
    <row r="2" spans="1:13">
      <c r="A2" s="15"/>
      <c r="B2" s="3"/>
      <c r="C2" s="4"/>
      <c r="D2" s="3"/>
      <c r="E2" s="3"/>
      <c r="F2" s="3"/>
      <c r="G2" s="3"/>
      <c r="H2" s="3"/>
      <c r="I2" s="3"/>
      <c r="J2" s="3"/>
      <c r="K2" s="3"/>
      <c r="L2" s="3"/>
      <c r="M2" s="3"/>
    </row>
    <row r="3" spans="1:13">
      <c r="A3" s="15" t="s">
        <v>542</v>
      </c>
      <c r="B3" s="3"/>
      <c r="C3" s="4"/>
      <c r="D3" s="3"/>
      <c r="E3" s="3"/>
      <c r="F3" s="3"/>
      <c r="G3" s="3"/>
      <c r="H3" s="3"/>
      <c r="I3" s="3"/>
      <c r="J3" s="3"/>
      <c r="K3" s="3"/>
      <c r="L3" s="3"/>
      <c r="M3" s="3"/>
    </row>
    <row r="4" spans="1:13">
      <c r="A4" s="6" t="s">
        <v>268</v>
      </c>
      <c r="B4" s="3">
        <v>1698.6</v>
      </c>
      <c r="D4" s="3"/>
      <c r="E4" s="3"/>
      <c r="F4" s="3"/>
      <c r="G4" s="3"/>
      <c r="H4" s="3"/>
      <c r="I4" s="3"/>
      <c r="J4" s="3"/>
      <c r="K4" s="3"/>
      <c r="L4" s="3"/>
      <c r="M4" s="3"/>
    </row>
    <row r="5" spans="1:13">
      <c r="A5" s="3" t="s">
        <v>271</v>
      </c>
      <c r="B5" s="3">
        <v>894629.7</v>
      </c>
      <c r="D5" s="3"/>
      <c r="E5" s="3"/>
      <c r="F5" s="3"/>
      <c r="G5" s="3"/>
      <c r="H5" s="3"/>
      <c r="I5" s="3"/>
      <c r="J5" s="3"/>
      <c r="K5" s="3"/>
      <c r="L5" s="3"/>
      <c r="M5" s="3"/>
    </row>
    <row r="6" spans="1:13">
      <c r="A6" s="3" t="s">
        <v>272</v>
      </c>
      <c r="B6" s="3">
        <v>8081743</v>
      </c>
      <c r="D6" s="3"/>
      <c r="E6" s="3"/>
      <c r="F6" s="3"/>
      <c r="G6" s="3"/>
      <c r="H6" s="3"/>
      <c r="I6" s="3"/>
      <c r="J6" s="3"/>
      <c r="K6" s="3"/>
      <c r="L6" s="3"/>
      <c r="M6" s="3"/>
    </row>
    <row r="7" spans="1:13">
      <c r="B7" s="3"/>
      <c r="D7" s="3"/>
      <c r="E7" s="3"/>
      <c r="F7" s="3"/>
      <c r="G7" s="3"/>
      <c r="H7" s="3"/>
      <c r="I7" s="3"/>
      <c r="J7" s="3"/>
      <c r="K7" s="3"/>
      <c r="L7" s="3"/>
      <c r="M7" s="3"/>
    </row>
    <row r="8" spans="1:13">
      <c r="B8" s="3"/>
      <c r="D8" s="3"/>
      <c r="E8" s="3"/>
      <c r="F8" s="3"/>
      <c r="G8" s="3"/>
      <c r="H8" s="3"/>
      <c r="I8" s="3"/>
      <c r="J8" s="3"/>
      <c r="K8" s="3"/>
      <c r="L8" s="3"/>
      <c r="M8" s="3"/>
    </row>
    <row r="9" spans="1:13">
      <c r="A9" s="3"/>
      <c r="B9" s="3"/>
      <c r="D9" s="3"/>
      <c r="E9" s="3"/>
      <c r="F9" s="3"/>
      <c r="G9" s="3"/>
      <c r="H9" s="3"/>
      <c r="I9" s="3"/>
      <c r="J9" s="3"/>
      <c r="K9" s="3"/>
      <c r="L9" s="3"/>
      <c r="M9" s="3"/>
    </row>
    <row r="10" spans="1:13">
      <c r="B10" t="str">
        <f>"lnwage"</f>
        <v>lnwage</v>
      </c>
      <c r="C10" t="str">
        <f>"lngdppc00"</f>
        <v>lngdppc00</v>
      </c>
      <c r="D10" t="str">
        <f>"lnwage"</f>
        <v>lnwage</v>
      </c>
      <c r="E10" t="str">
        <f>"lngdppc00"</f>
        <v>lngdppc00</v>
      </c>
      <c r="J10" s="3"/>
      <c r="K10" s="3"/>
      <c r="L10" s="3"/>
      <c r="M10" s="3"/>
    </row>
    <row r="11" spans="1:13">
      <c r="A11" s="5" t="s">
        <v>267</v>
      </c>
      <c r="B11" t="s">
        <v>1</v>
      </c>
      <c r="C11" t="s">
        <v>1</v>
      </c>
      <c r="D11" t="s">
        <v>2</v>
      </c>
      <c r="E11" t="s">
        <v>2</v>
      </c>
      <c r="J11" s="3"/>
      <c r="K11" s="3"/>
      <c r="L11" s="3"/>
      <c r="M11" s="3"/>
    </row>
    <row r="12" spans="1:13">
      <c r="A12" t="s">
        <v>541</v>
      </c>
      <c r="B12" s="20" t="str">
        <f>+'Productivity model estimates'!B9</f>
        <v>0.0554</v>
      </c>
      <c r="C12" s="20" t="str">
        <f>+'Productivity model estimates'!D9</f>
        <v>0.152</v>
      </c>
      <c r="D12" s="20" t="str">
        <f>+'Productivity model estimates'!F9</f>
        <v>0.114</v>
      </c>
      <c r="E12" s="20" t="str">
        <f>+'Productivity model estimates'!H9</f>
        <v>0.135</v>
      </c>
      <c r="F12" s="3"/>
      <c r="G12" s="3"/>
      <c r="H12" s="3"/>
      <c r="I12" s="3"/>
      <c r="J12" s="7"/>
      <c r="K12" s="3"/>
      <c r="L12" s="3"/>
      <c r="M12" s="3"/>
    </row>
    <row r="13" spans="1:13">
      <c r="A13" s="3"/>
      <c r="B13" s="3"/>
      <c r="C13" s="3"/>
      <c r="D13" s="3"/>
      <c r="E13" s="3"/>
      <c r="F13" s="3"/>
      <c r="G13" s="3"/>
      <c r="H13" s="3"/>
      <c r="I13" s="3"/>
      <c r="J13" s="7"/>
      <c r="K13" s="3"/>
      <c r="L13" s="3"/>
      <c r="M13" s="3"/>
    </row>
    <row r="14" spans="1:13">
      <c r="A14" s="3"/>
      <c r="B14" t="s">
        <v>544</v>
      </c>
      <c r="C14" t="s">
        <v>544</v>
      </c>
      <c r="G14" s="3"/>
      <c r="H14" s="3"/>
      <c r="I14" s="3"/>
      <c r="J14" s="7"/>
      <c r="K14" s="3"/>
      <c r="L14" s="3"/>
      <c r="M14" s="3"/>
    </row>
    <row r="15" spans="1:13">
      <c r="A15" s="3"/>
      <c r="B15" s="261" t="s">
        <v>765</v>
      </c>
      <c r="C15" s="261"/>
      <c r="D15" s="261"/>
      <c r="E15" s="261"/>
      <c r="G15" s="3"/>
      <c r="H15" s="3"/>
      <c r="I15" s="3"/>
      <c r="J15" s="7"/>
      <c r="K15" s="3"/>
      <c r="L15" s="3"/>
      <c r="M15" s="3"/>
    </row>
    <row r="16" spans="1:13">
      <c r="A16" s="5" t="s">
        <v>767</v>
      </c>
      <c r="B16" t="s">
        <v>1</v>
      </c>
      <c r="C16" t="s">
        <v>2</v>
      </c>
      <c r="G16" s="3"/>
      <c r="H16" s="3"/>
      <c r="I16" s="3"/>
      <c r="J16" s="7"/>
      <c r="K16" s="3"/>
      <c r="L16" s="3"/>
      <c r="M16" s="3"/>
    </row>
    <row r="17" spans="1:19">
      <c r="A17" s="3" t="s">
        <v>543</v>
      </c>
      <c r="B17" s="18" t="str">
        <f>+'Revenue mile models'!C9</f>
        <v>0.0000505</v>
      </c>
      <c r="C17" s="18" t="str">
        <f>+'Revenue mile models'!E9</f>
        <v>0.0000837</v>
      </c>
      <c r="D17" s="20"/>
      <c r="E17" s="3"/>
      <c r="F17" s="3" t="s">
        <v>1254</v>
      </c>
      <c r="G17" s="3"/>
      <c r="H17" s="3"/>
      <c r="I17" s="3"/>
      <c r="J17" s="7"/>
      <c r="K17" s="3"/>
      <c r="L17" s="3"/>
      <c r="M17" s="3"/>
    </row>
    <row r="18" spans="1:19">
      <c r="A18" s="3" t="s">
        <v>766</v>
      </c>
      <c r="B18" s="21">
        <f>+$B$5/$B$4*B17</f>
        <v>2.6597668580007065E-2</v>
      </c>
      <c r="C18" s="21">
        <f t="shared" ref="C18" si="0">+$B$5/$B$4*C17</f>
        <v>4.4083660596962206E-2</v>
      </c>
      <c r="D18" s="21"/>
      <c r="E18" s="16"/>
      <c r="F18" s="3" t="s">
        <v>1</v>
      </c>
      <c r="G18" s="3" t="s">
        <v>2</v>
      </c>
      <c r="H18" s="3"/>
      <c r="I18" s="3"/>
      <c r="J18" s="7"/>
      <c r="K18" s="3"/>
      <c r="L18" s="3"/>
      <c r="M18" s="3"/>
    </row>
    <row r="19" spans="1:19">
      <c r="A19" s="3" t="s">
        <v>549</v>
      </c>
      <c r="B19" s="22">
        <f>+B18*B12</f>
        <v>1.4735108393323913E-3</v>
      </c>
      <c r="C19" s="22">
        <f>+C18*D12</f>
        <v>5.025537308053692E-3</v>
      </c>
      <c r="D19" s="22"/>
      <c r="E19" s="3" t="s">
        <v>1259</v>
      </c>
      <c r="F19" s="34">
        <f>+'all wage calcs'!$D$2*B19*0.01</f>
        <v>0.64691571874336062</v>
      </c>
      <c r="G19" s="34">
        <f>+'all wage calcs'!$D$2*C19*0.01</f>
        <v>2.2063625138883367</v>
      </c>
      <c r="H19" s="3"/>
      <c r="I19" s="3"/>
      <c r="J19" s="7"/>
      <c r="K19" s="3"/>
      <c r="L19" s="3"/>
      <c r="M19" s="3"/>
    </row>
    <row r="20" spans="1:19">
      <c r="A20" s="3" t="s">
        <v>550</v>
      </c>
      <c r="B20" s="22">
        <f>+B18*C12</f>
        <v>4.0428456241610733E-3</v>
      </c>
      <c r="C20" s="22">
        <f>+C18*E12</f>
        <v>5.9512941805898983E-3</v>
      </c>
      <c r="D20" s="22"/>
      <c r="E20" s="3" t="s">
        <v>1260</v>
      </c>
      <c r="F20" s="34">
        <f>+'all wage calcs'!$G$2*B20*0.01</f>
        <v>1.7808293238393078</v>
      </c>
      <c r="G20" s="34">
        <f>+'all wage calcs'!$G$2*C20*0.01</f>
        <v>2.6214800605422437</v>
      </c>
      <c r="H20" s="3"/>
      <c r="I20" s="3"/>
      <c r="J20" s="3"/>
      <c r="K20" s="3"/>
      <c r="L20" s="3"/>
    </row>
    <row r="21" spans="1:19">
      <c r="A21" s="3"/>
      <c r="B21" s="3"/>
      <c r="C21" s="3"/>
      <c r="D21" s="3"/>
      <c r="E21" s="3"/>
      <c r="F21" s="3"/>
      <c r="G21" s="3"/>
      <c r="H21" s="3"/>
      <c r="I21" s="3"/>
      <c r="J21" s="3"/>
      <c r="K21" s="3"/>
      <c r="L21" s="3"/>
    </row>
    <row r="22" spans="1:19">
      <c r="B22" t="s">
        <v>544</v>
      </c>
      <c r="C22" t="s">
        <v>544</v>
      </c>
      <c r="E22" s="3"/>
      <c r="F22" s="3"/>
      <c r="G22" s="3"/>
      <c r="H22" s="3"/>
      <c r="I22" s="3"/>
      <c r="J22" s="3"/>
      <c r="K22" s="3"/>
      <c r="L22" s="3"/>
    </row>
    <row r="23" spans="1:19">
      <c r="A23" s="5" t="s">
        <v>768</v>
      </c>
      <c r="B23" t="s">
        <v>1</v>
      </c>
      <c r="C23" t="s">
        <v>2</v>
      </c>
      <c r="E23" s="3"/>
      <c r="F23" s="3"/>
      <c r="G23" s="3"/>
      <c r="H23" s="3"/>
      <c r="I23" s="3"/>
      <c r="J23" s="3"/>
      <c r="K23" s="3"/>
      <c r="L23" s="3"/>
    </row>
    <row r="24" spans="1:19">
      <c r="A24" s="3" t="s">
        <v>543</v>
      </c>
      <c r="B24" s="20" t="str">
        <f>+'Revenue mile models'!G24</f>
        <v>0.0000211</v>
      </c>
      <c r="C24" s="20" t="str">
        <f>+'Revenue mile models'!I24</f>
        <v>0.0000405</v>
      </c>
      <c r="D24" s="3"/>
      <c r="E24" s="3"/>
      <c r="F24" s="3"/>
      <c r="G24" s="3"/>
      <c r="H24" s="3"/>
      <c r="I24" s="3"/>
      <c r="J24" s="3"/>
      <c r="K24" s="3"/>
      <c r="L24" s="3"/>
    </row>
    <row r="25" spans="1:19" ht="17.25" customHeight="1">
      <c r="A25" s="3" t="s">
        <v>769</v>
      </c>
      <c r="B25" s="21">
        <f>+$B$6/$B$4*B24</f>
        <v>0.1003913677734605</v>
      </c>
      <c r="C25" s="21">
        <f>+$B$6/$B$4*C24</f>
        <v>0.19269433150830098</v>
      </c>
      <c r="D25" s="3"/>
      <c r="E25" s="3"/>
      <c r="F25" s="3"/>
      <c r="G25" s="3"/>
      <c r="H25" s="3"/>
      <c r="I25" s="3"/>
      <c r="J25" s="3"/>
      <c r="K25" s="3"/>
      <c r="L25" s="3"/>
    </row>
    <row r="26" spans="1:19" ht="16.5" customHeight="1">
      <c r="A26" s="3" t="s">
        <v>549</v>
      </c>
      <c r="B26" s="23">
        <f>+B25*B12</f>
        <v>5.5616817746497113E-3</v>
      </c>
      <c r="C26" s="23">
        <f>+C25*D12</f>
        <v>2.1967153791946314E-2</v>
      </c>
      <c r="D26" s="3"/>
      <c r="E26" s="3" t="s">
        <v>1259</v>
      </c>
      <c r="F26" s="34">
        <f>+'all wage calcs'!$D$2*B26*0.01</f>
        <v>2.4417461118233095</v>
      </c>
      <c r="G26" s="34">
        <f>+'all wage calcs'!$D$2*C26*0.01</f>
        <v>9.6442433301009647</v>
      </c>
      <c r="H26" s="3"/>
      <c r="I26" s="3"/>
      <c r="J26" s="3"/>
      <c r="K26" s="8"/>
      <c r="L26" s="3"/>
      <c r="M26" s="3"/>
      <c r="N26" s="8"/>
    </row>
    <row r="27" spans="1:19" ht="15.75" customHeight="1">
      <c r="A27" s="3" t="s">
        <v>550</v>
      </c>
      <c r="B27" s="23">
        <f>+B25*C12</f>
        <v>1.5259487901565996E-2</v>
      </c>
      <c r="C27" s="23">
        <f>+C25*E12</f>
        <v>2.6013734753620635E-2</v>
      </c>
      <c r="D27" s="3"/>
      <c r="E27" s="3" t="s">
        <v>1260</v>
      </c>
      <c r="F27" s="34">
        <f>+'all wage calcs'!$G$2*B27*0.01</f>
        <v>6.7216376899176877</v>
      </c>
      <c r="G27" s="34">
        <f>+'all wage calcs'!$G$2*C27*0.01</f>
        <v>11.458765923430086</v>
      </c>
      <c r="H27" s="3"/>
      <c r="I27" s="3"/>
      <c r="J27" s="11"/>
      <c r="K27" s="11"/>
      <c r="L27" s="3"/>
      <c r="M27" s="3"/>
      <c r="N27" s="12"/>
    </row>
    <row r="30" spans="1:19" ht="86.45" customHeight="1">
      <c r="A30" s="3"/>
      <c r="B30" s="3"/>
      <c r="C30" s="3"/>
      <c r="D30" s="3"/>
      <c r="F30" s="258" t="s">
        <v>552</v>
      </c>
      <c r="G30" s="259"/>
      <c r="H30" s="259"/>
      <c r="I30" s="259"/>
      <c r="N30" s="3"/>
      <c r="P30" s="258" t="s">
        <v>552</v>
      </c>
      <c r="Q30" s="259"/>
      <c r="R30" s="259"/>
      <c r="S30" s="259"/>
    </row>
    <row r="31" spans="1:19" ht="57.6" customHeight="1">
      <c r="A31" s="3" t="s">
        <v>274</v>
      </c>
      <c r="B31" s="10" t="s">
        <v>275</v>
      </c>
      <c r="C31" s="10" t="s">
        <v>770</v>
      </c>
      <c r="D31" s="260" t="s">
        <v>771</v>
      </c>
      <c r="E31" s="261"/>
      <c r="F31" s="260" t="s">
        <v>855</v>
      </c>
      <c r="G31" s="261"/>
      <c r="H31" s="262" t="s">
        <v>856</v>
      </c>
      <c r="I31" s="262"/>
      <c r="K31" s="42" t="s">
        <v>274</v>
      </c>
      <c r="L31" s="42" t="s">
        <v>124</v>
      </c>
      <c r="M31" s="42" t="s">
        <v>272</v>
      </c>
      <c r="N31" s="260" t="s">
        <v>771</v>
      </c>
      <c r="O31" s="261"/>
      <c r="P31" s="260" t="s">
        <v>857</v>
      </c>
      <c r="Q31" s="261"/>
      <c r="R31" s="262" t="s">
        <v>858</v>
      </c>
      <c r="S31" s="262"/>
    </row>
    <row r="32" spans="1:19">
      <c r="A32" s="3"/>
      <c r="B32" s="10"/>
      <c r="C32" s="10"/>
      <c r="D32" s="17" t="s">
        <v>1</v>
      </c>
      <c r="E32" s="18" t="s">
        <v>2</v>
      </c>
      <c r="F32" s="17" t="s">
        <v>1</v>
      </c>
      <c r="G32" s="18" t="s">
        <v>2</v>
      </c>
      <c r="H32" s="17" t="s">
        <v>1</v>
      </c>
      <c r="I32" s="18" t="s">
        <v>2</v>
      </c>
      <c r="N32" s="17" t="s">
        <v>1</v>
      </c>
      <c r="O32" s="18" t="s">
        <v>2</v>
      </c>
      <c r="P32" s="17" t="s">
        <v>1</v>
      </c>
      <c r="Q32" s="18" t="s">
        <v>2</v>
      </c>
      <c r="R32" s="17" t="s">
        <v>1</v>
      </c>
      <c r="S32" s="18" t="s">
        <v>2</v>
      </c>
    </row>
    <row r="33" spans="1:19">
      <c r="A33" s="3" t="s">
        <v>280</v>
      </c>
      <c r="B33" s="3">
        <v>2583.3389999999999</v>
      </c>
      <c r="C33" s="50">
        <v>4349928</v>
      </c>
      <c r="D33" s="13">
        <f>+C33/B33*$B$17</f>
        <v>8.5033889861144824E-2</v>
      </c>
      <c r="E33" s="13">
        <f>+C33/B33*$C$17</f>
        <v>0.14093735804708557</v>
      </c>
      <c r="F33" s="11">
        <f t="shared" ref="F33:F61" si="1">+D33*$B$12</f>
        <v>4.7108774983074227E-3</v>
      </c>
      <c r="G33" s="11">
        <f t="shared" ref="G33:G61" si="2">+E33*$D$12</f>
        <v>1.6066858817367757E-2</v>
      </c>
      <c r="H33" s="11">
        <f t="shared" ref="H33:H61" si="3">+D33*$C$12</f>
        <v>1.2925151258894013E-2</v>
      </c>
      <c r="I33" s="11">
        <f t="shared" ref="I33:I61" si="4">+E33*$E$12</f>
        <v>1.9026543336356554E-2</v>
      </c>
      <c r="K33" s="3" t="s">
        <v>279</v>
      </c>
      <c r="L33" s="3">
        <v>926.17930000000001</v>
      </c>
      <c r="M33" s="3">
        <v>422323</v>
      </c>
      <c r="N33" s="13">
        <f>+M33/L33*$B$24</f>
        <v>9.6212637229098081E-3</v>
      </c>
      <c r="O33" s="13">
        <f>+M33/L33*$C$24</f>
        <v>1.8467354539234468E-2</v>
      </c>
      <c r="P33" s="11">
        <f>+N33*$B$12</f>
        <v>5.330180102492033E-4</v>
      </c>
      <c r="Q33" s="11">
        <f>+O33*$D$12</f>
        <v>2.1052784174727295E-3</v>
      </c>
      <c r="R33" s="11">
        <f>+N33*$C$12</f>
        <v>1.4624320858822907E-3</v>
      </c>
      <c r="S33" s="11">
        <f>+O33*$E$12</f>
        <v>2.4930928627966533E-3</v>
      </c>
    </row>
    <row r="34" spans="1:19">
      <c r="A34" s="3" t="s">
        <v>282</v>
      </c>
      <c r="B34" s="3">
        <v>3706.4470000000001</v>
      </c>
      <c r="C34" s="50">
        <v>3540657</v>
      </c>
      <c r="D34" s="13">
        <f t="shared" ref="D34:D61" si="5">+C34/B34*$B$17</f>
        <v>4.8241126475031211E-2</v>
      </c>
      <c r="E34" s="13">
        <f t="shared" ref="E34:E61" si="6">+C34/B34*$C$17</f>
        <v>7.9956084870497268E-2</v>
      </c>
      <c r="F34" s="11">
        <f t="shared" si="1"/>
        <v>2.6725584067167291E-3</v>
      </c>
      <c r="G34" s="11">
        <f t="shared" si="2"/>
        <v>9.1149936752366895E-3</v>
      </c>
      <c r="H34" s="11">
        <f t="shared" si="3"/>
        <v>7.3326512242047441E-3</v>
      </c>
      <c r="I34" s="11">
        <f t="shared" si="4"/>
        <v>1.0794071457517132E-2</v>
      </c>
      <c r="K34" s="3" t="s">
        <v>281</v>
      </c>
      <c r="L34" s="3">
        <v>757.42729999999995</v>
      </c>
      <c r="M34" s="3">
        <v>532011</v>
      </c>
      <c r="N34" s="13">
        <f t="shared" ref="N34:N97" si="7">+M34/L34*$B$24</f>
        <v>1.4820474651494607E-2</v>
      </c>
      <c r="O34" s="13">
        <f t="shared" ref="O34:O97" si="8">+M34/L34*$C$24</f>
        <v>2.8446882624906709E-2</v>
      </c>
      <c r="P34" s="11">
        <f t="shared" ref="P34:P97" si="9">+N34*$B$12</f>
        <v>8.2105429569280118E-4</v>
      </c>
      <c r="Q34" s="11">
        <f t="shared" ref="Q34:Q97" si="10">+O34*$D$12</f>
        <v>3.2429446192393649E-3</v>
      </c>
      <c r="R34" s="11">
        <f t="shared" ref="R34:R97" si="11">+N34*$C$12</f>
        <v>2.25271214702718E-3</v>
      </c>
      <c r="S34" s="11">
        <f t="shared" ref="S34:S97" si="12">+O34*$E$12</f>
        <v>3.8403291543624061E-3</v>
      </c>
    </row>
    <row r="35" spans="1:19">
      <c r="A35" s="3" t="s">
        <v>284</v>
      </c>
      <c r="B35" s="3">
        <v>2161.3150000000001</v>
      </c>
      <c r="C35" s="50">
        <v>378343</v>
      </c>
      <c r="D35" s="13">
        <f t="shared" si="5"/>
        <v>8.8401373700733119E-3</v>
      </c>
      <c r="E35" s="13">
        <f t="shared" si="6"/>
        <v>1.4651871245052203E-2</v>
      </c>
      <c r="F35" s="11">
        <f t="shared" si="1"/>
        <v>4.8974361030206144E-4</v>
      </c>
      <c r="G35" s="11">
        <f t="shared" si="2"/>
        <v>1.6703133219359511E-3</v>
      </c>
      <c r="H35" s="11">
        <f t="shared" si="3"/>
        <v>1.3437008802511434E-3</v>
      </c>
      <c r="I35" s="11">
        <f t="shared" si="4"/>
        <v>1.9780026180820473E-3</v>
      </c>
      <c r="K35" s="3" t="s">
        <v>283</v>
      </c>
      <c r="L35" s="3">
        <v>3641.2629999999999</v>
      </c>
      <c r="M35" s="3">
        <v>7290739</v>
      </c>
      <c r="N35" s="13">
        <f t="shared" si="7"/>
        <v>4.2247591810863433E-2</v>
      </c>
      <c r="O35" s="13">
        <f t="shared" si="8"/>
        <v>8.1091349210425059E-2</v>
      </c>
      <c r="P35" s="11">
        <f t="shared" si="9"/>
        <v>2.3405165863218339E-3</v>
      </c>
      <c r="Q35" s="11">
        <f t="shared" si="10"/>
        <v>9.2444138099884565E-3</v>
      </c>
      <c r="R35" s="11">
        <f t="shared" si="11"/>
        <v>6.4216339552512413E-3</v>
      </c>
      <c r="S35" s="11">
        <f t="shared" si="12"/>
        <v>1.0947332143407384E-2</v>
      </c>
    </row>
    <row r="36" spans="1:19">
      <c r="A36" s="3" t="s">
        <v>285</v>
      </c>
      <c r="B36" s="3">
        <v>693.90279999999996</v>
      </c>
      <c r="C36" s="50">
        <v>347660</v>
      </c>
      <c r="D36" s="13">
        <f t="shared" si="5"/>
        <v>2.5301569614649199E-2</v>
      </c>
      <c r="E36" s="13">
        <f t="shared" si="6"/>
        <v>4.1935472806854217E-2</v>
      </c>
      <c r="F36" s="11">
        <f t="shared" si="1"/>
        <v>1.4017069566515656E-3</v>
      </c>
      <c r="G36" s="11">
        <f t="shared" si="2"/>
        <v>4.7806438999813813E-3</v>
      </c>
      <c r="H36" s="11">
        <f t="shared" si="3"/>
        <v>3.8458385814266784E-3</v>
      </c>
      <c r="I36" s="11">
        <f t="shared" si="4"/>
        <v>5.6612888289253194E-3</v>
      </c>
      <c r="K36" s="3" t="s">
        <v>278</v>
      </c>
      <c r="L36" s="3">
        <v>2119.08</v>
      </c>
      <c r="M36" s="3">
        <v>5068244</v>
      </c>
      <c r="N36" s="13">
        <f t="shared" si="7"/>
        <v>5.0465271910451706E-2</v>
      </c>
      <c r="O36" s="13">
        <f t="shared" si="8"/>
        <v>9.6864621439492621E-2</v>
      </c>
      <c r="P36" s="11">
        <f t="shared" si="9"/>
        <v>2.7957760638390246E-3</v>
      </c>
      <c r="Q36" s="11">
        <f t="shared" si="10"/>
        <v>1.104256684410216E-2</v>
      </c>
      <c r="R36" s="11">
        <f t="shared" si="11"/>
        <v>7.6707213303886593E-3</v>
      </c>
      <c r="S36" s="11">
        <f t="shared" si="12"/>
        <v>1.3076723894331505E-2</v>
      </c>
    </row>
    <row r="37" spans="1:19">
      <c r="A37" s="3" t="s">
        <v>287</v>
      </c>
      <c r="B37" s="3">
        <v>3391.5</v>
      </c>
      <c r="C37" s="50">
        <v>41200000</v>
      </c>
      <c r="D37" s="13">
        <f t="shared" si="5"/>
        <v>0.6134748636296623</v>
      </c>
      <c r="E37" s="13">
        <f t="shared" si="6"/>
        <v>1.0167890314020345</v>
      </c>
      <c r="F37" s="11">
        <f t="shared" si="1"/>
        <v>3.3986507445083289E-2</v>
      </c>
      <c r="G37" s="11">
        <f t="shared" si="2"/>
        <v>0.11591394957983193</v>
      </c>
      <c r="H37" s="11">
        <f t="shared" si="3"/>
        <v>9.324817927170867E-2</v>
      </c>
      <c r="I37" s="11">
        <f t="shared" si="4"/>
        <v>0.13726651923927466</v>
      </c>
      <c r="K37" s="3" t="s">
        <v>286</v>
      </c>
      <c r="L37" s="3">
        <v>1243.1369999999999</v>
      </c>
      <c r="M37" s="3">
        <v>520402</v>
      </c>
      <c r="N37" s="13">
        <f t="shared" si="7"/>
        <v>8.8328818143133068E-3</v>
      </c>
      <c r="O37" s="13">
        <f t="shared" si="8"/>
        <v>1.6954109643587154E-2</v>
      </c>
      <c r="P37" s="11">
        <f t="shared" si="9"/>
        <v>4.893416525129572E-4</v>
      </c>
      <c r="Q37" s="11">
        <f t="shared" si="10"/>
        <v>1.9327684993689356E-3</v>
      </c>
      <c r="R37" s="11">
        <f t="shared" si="11"/>
        <v>1.3425980357756227E-3</v>
      </c>
      <c r="S37" s="11">
        <f t="shared" si="12"/>
        <v>2.2888048018842658E-3</v>
      </c>
    </row>
    <row r="38" spans="1:19">
      <c r="A38" s="3" t="s">
        <v>289</v>
      </c>
      <c r="B38" s="3">
        <v>2385.5729999999999</v>
      </c>
      <c r="C38" s="50">
        <v>1969967</v>
      </c>
      <c r="D38" s="13">
        <f t="shared" si="5"/>
        <v>4.1702070529805631E-2</v>
      </c>
      <c r="E38" s="13">
        <f t="shared" si="6"/>
        <v>6.911808521474716E-2</v>
      </c>
      <c r="F38" s="11">
        <f t="shared" si="1"/>
        <v>2.3102947073512319E-3</v>
      </c>
      <c r="G38" s="11">
        <f t="shared" si="2"/>
        <v>7.8794617144811764E-3</v>
      </c>
      <c r="H38" s="11">
        <f t="shared" si="3"/>
        <v>6.3387147205304561E-3</v>
      </c>
      <c r="I38" s="11">
        <f t="shared" si="4"/>
        <v>9.330941503990867E-3</v>
      </c>
      <c r="K38" s="3" t="s">
        <v>288</v>
      </c>
      <c r="L38" s="3">
        <v>2332.174</v>
      </c>
      <c r="M38" s="3">
        <v>2369621</v>
      </c>
      <c r="N38" s="13">
        <f t="shared" si="7"/>
        <v>2.1438796204742872E-2</v>
      </c>
      <c r="O38" s="13">
        <f t="shared" si="8"/>
        <v>4.11502960328003E-2</v>
      </c>
      <c r="P38" s="11">
        <f t="shared" si="9"/>
        <v>1.187709309742755E-3</v>
      </c>
      <c r="Q38" s="11">
        <f t="shared" si="10"/>
        <v>4.6911337477392344E-3</v>
      </c>
      <c r="R38" s="11">
        <f t="shared" si="11"/>
        <v>3.2586970231209163E-3</v>
      </c>
      <c r="S38" s="11">
        <f t="shared" si="12"/>
        <v>5.5552899644280406E-3</v>
      </c>
    </row>
    <row r="39" spans="1:19">
      <c r="A39" s="3" t="s">
        <v>291</v>
      </c>
      <c r="B39" s="3">
        <v>1869.365</v>
      </c>
      <c r="C39" s="50">
        <v>3071800</v>
      </c>
      <c r="D39" s="13">
        <f t="shared" si="5"/>
        <v>8.2983205527010509E-2</v>
      </c>
      <c r="E39" s="13">
        <f t="shared" si="6"/>
        <v>0.13753850104179763</v>
      </c>
      <c r="F39" s="11">
        <f t="shared" si="1"/>
        <v>4.5972695861963824E-3</v>
      </c>
      <c r="G39" s="11">
        <f t="shared" si="2"/>
        <v>1.567938911876493E-2</v>
      </c>
      <c r="H39" s="11">
        <f t="shared" si="3"/>
        <v>1.2613447240105597E-2</v>
      </c>
      <c r="I39" s="11">
        <f t="shared" si="4"/>
        <v>1.8567697640642682E-2</v>
      </c>
      <c r="K39" s="3" t="s">
        <v>290</v>
      </c>
      <c r="L39" s="3">
        <v>2469.8020000000001</v>
      </c>
      <c r="M39" s="3">
        <v>445692</v>
      </c>
      <c r="N39" s="13">
        <f t="shared" si="7"/>
        <v>3.8076336483653349E-3</v>
      </c>
      <c r="O39" s="13">
        <f t="shared" si="8"/>
        <v>7.3084911260092918E-3</v>
      </c>
      <c r="P39" s="11">
        <f t="shared" si="9"/>
        <v>2.1094290411943954E-4</v>
      </c>
      <c r="Q39" s="11">
        <f t="shared" si="10"/>
        <v>8.3316798836505928E-4</v>
      </c>
      <c r="R39" s="11">
        <f t="shared" si="11"/>
        <v>5.7876031455153087E-4</v>
      </c>
      <c r="S39" s="11">
        <f t="shared" si="12"/>
        <v>9.8664630201125442E-4</v>
      </c>
    </row>
    <row r="40" spans="1:19">
      <c r="A40" s="3" t="s">
        <v>293</v>
      </c>
      <c r="B40" s="3">
        <v>2612.3159999999998</v>
      </c>
      <c r="C40" s="50">
        <v>3694586</v>
      </c>
      <c r="D40" s="13">
        <f t="shared" si="5"/>
        <v>7.142190799275433E-2</v>
      </c>
      <c r="E40" s="13">
        <f t="shared" si="6"/>
        <v>0.11837650889096113</v>
      </c>
      <c r="F40" s="11">
        <f t="shared" si="1"/>
        <v>3.9567737027985895E-3</v>
      </c>
      <c r="G40" s="11">
        <f t="shared" si="2"/>
        <v>1.3494922013569569E-2</v>
      </c>
      <c r="H40" s="11">
        <f t="shared" si="3"/>
        <v>1.0856130014898657E-2</v>
      </c>
      <c r="I40" s="11">
        <f t="shared" si="4"/>
        <v>1.5980828700279753E-2</v>
      </c>
      <c r="K40" s="3" t="s">
        <v>292</v>
      </c>
      <c r="L40" s="3">
        <v>1137.7270000000001</v>
      </c>
      <c r="M40" s="3">
        <v>655128</v>
      </c>
      <c r="N40" s="13">
        <f t="shared" si="7"/>
        <v>1.214983981218693E-2</v>
      </c>
      <c r="O40" s="13">
        <f t="shared" si="8"/>
        <v>2.3320782577894345E-2</v>
      </c>
      <c r="P40" s="11">
        <f t="shared" si="9"/>
        <v>6.7310112559515586E-4</v>
      </c>
      <c r="Q40" s="11">
        <f t="shared" si="10"/>
        <v>2.6585692138799554E-3</v>
      </c>
      <c r="R40" s="11">
        <f t="shared" si="11"/>
        <v>1.8467756514524132E-3</v>
      </c>
      <c r="S40" s="11">
        <f t="shared" si="12"/>
        <v>3.1483056480157367E-3</v>
      </c>
    </row>
    <row r="41" spans="1:19">
      <c r="A41" s="3" t="s">
        <v>295</v>
      </c>
      <c r="B41" s="3">
        <v>2433.1990000000001</v>
      </c>
      <c r="C41" s="50">
        <v>770505</v>
      </c>
      <c r="D41" s="13">
        <f t="shared" si="5"/>
        <v>1.5991500284193771E-2</v>
      </c>
      <c r="E41" s="13">
        <f t="shared" si="6"/>
        <v>2.6504724233406309E-2</v>
      </c>
      <c r="F41" s="11">
        <f t="shared" si="1"/>
        <v>8.8592911574433494E-4</v>
      </c>
      <c r="G41" s="11">
        <f t="shared" si="2"/>
        <v>3.0215385626083191E-3</v>
      </c>
      <c r="H41" s="11">
        <f t="shared" si="3"/>
        <v>2.4307080431974532E-3</v>
      </c>
      <c r="I41" s="11">
        <f t="shared" si="4"/>
        <v>3.578137771509852E-3</v>
      </c>
      <c r="K41" s="3" t="s">
        <v>294</v>
      </c>
      <c r="L41" s="3">
        <v>1548.825</v>
      </c>
      <c r="M41" s="3">
        <v>1093276</v>
      </c>
      <c r="N41" s="13">
        <f t="shared" si="7"/>
        <v>1.4893950962826658E-2</v>
      </c>
      <c r="O41" s="13">
        <f t="shared" si="8"/>
        <v>2.858791535518861E-2</v>
      </c>
      <c r="P41" s="11">
        <f t="shared" si="9"/>
        <v>8.2512488334059685E-4</v>
      </c>
      <c r="Q41" s="11">
        <f t="shared" si="10"/>
        <v>3.2590223504915016E-3</v>
      </c>
      <c r="R41" s="11">
        <f t="shared" si="11"/>
        <v>2.263880546349652E-3</v>
      </c>
      <c r="S41" s="11">
        <f t="shared" si="12"/>
        <v>3.8593685729504624E-3</v>
      </c>
    </row>
    <row r="42" spans="1:19">
      <c r="A42" s="3" t="s">
        <v>297</v>
      </c>
      <c r="B42" s="3">
        <v>1561.5360000000001</v>
      </c>
      <c r="C42" s="50">
        <v>53000</v>
      </c>
      <c r="D42" s="13">
        <f t="shared" si="5"/>
        <v>1.7140174802245992E-3</v>
      </c>
      <c r="E42" s="13">
        <f t="shared" si="6"/>
        <v>2.8408566949465141E-3</v>
      </c>
      <c r="F42" s="11">
        <f t="shared" si="1"/>
        <v>9.4956568404442793E-5</v>
      </c>
      <c r="G42" s="11">
        <f t="shared" si="2"/>
        <v>3.238576632239026E-4</v>
      </c>
      <c r="H42" s="11">
        <f t="shared" si="3"/>
        <v>2.6053065699413908E-4</v>
      </c>
      <c r="I42" s="11">
        <f t="shared" si="4"/>
        <v>3.8351565381777945E-4</v>
      </c>
      <c r="K42" s="3" t="s">
        <v>296</v>
      </c>
      <c r="L42" s="3">
        <v>1364.231</v>
      </c>
      <c r="M42" s="3">
        <v>2150344</v>
      </c>
      <c r="N42" s="13">
        <f t="shared" si="7"/>
        <v>3.3258486575953781E-2</v>
      </c>
      <c r="O42" s="13">
        <f t="shared" si="8"/>
        <v>6.3837379446735926E-2</v>
      </c>
      <c r="P42" s="11">
        <f t="shared" si="9"/>
        <v>1.8425201563078393E-3</v>
      </c>
      <c r="Q42" s="11">
        <f t="shared" si="10"/>
        <v>7.2774612569278955E-3</v>
      </c>
      <c r="R42" s="11">
        <f t="shared" si="11"/>
        <v>5.0552899595449749E-3</v>
      </c>
      <c r="S42" s="11">
        <f t="shared" si="12"/>
        <v>8.61804622530935E-3</v>
      </c>
    </row>
    <row r="43" spans="1:19">
      <c r="A43" s="3" t="s">
        <v>299</v>
      </c>
      <c r="B43" s="3">
        <v>3572.0419999999999</v>
      </c>
      <c r="C43" s="50">
        <v>31800000</v>
      </c>
      <c r="D43" s="13">
        <f t="shared" si="5"/>
        <v>0.44957478103560938</v>
      </c>
      <c r="E43" s="13">
        <f t="shared" si="6"/>
        <v>0.74513681530060405</v>
      </c>
      <c r="F43" s="11">
        <f t="shared" si="1"/>
        <v>2.4906442869372759E-2</v>
      </c>
      <c r="G43" s="11">
        <f t="shared" si="2"/>
        <v>8.494559694426887E-2</v>
      </c>
      <c r="H43" s="11">
        <f t="shared" si="3"/>
        <v>6.8335366717412624E-2</v>
      </c>
      <c r="I43" s="11">
        <f t="shared" si="4"/>
        <v>0.10059347006558156</v>
      </c>
      <c r="K43" s="3" t="s">
        <v>298</v>
      </c>
      <c r="L43" s="3">
        <v>590.27369999999996</v>
      </c>
      <c r="M43" s="3">
        <v>294900</v>
      </c>
      <c r="N43" s="13">
        <f t="shared" si="7"/>
        <v>1.0541533529276335E-2</v>
      </c>
      <c r="O43" s="13">
        <f t="shared" si="8"/>
        <v>2.0233749191265003E-2</v>
      </c>
      <c r="P43" s="11">
        <f t="shared" si="9"/>
        <v>5.8400095752190898E-4</v>
      </c>
      <c r="Q43" s="11">
        <f t="shared" si="10"/>
        <v>2.3066474078042103E-3</v>
      </c>
      <c r="R43" s="11">
        <f t="shared" si="11"/>
        <v>1.6023130964500029E-3</v>
      </c>
      <c r="S43" s="11">
        <f t="shared" si="12"/>
        <v>2.7315561408207756E-3</v>
      </c>
    </row>
    <row r="44" spans="1:19">
      <c r="A44" s="3" t="s">
        <v>301</v>
      </c>
      <c r="B44" s="3">
        <v>1540.3879999999999</v>
      </c>
      <c r="C44" s="50">
        <v>447557</v>
      </c>
      <c r="D44" s="13">
        <f t="shared" si="5"/>
        <v>1.4672685388356701E-2</v>
      </c>
      <c r="E44" s="13">
        <f t="shared" si="6"/>
        <v>2.4318886475355562E-2</v>
      </c>
      <c r="F44" s="11">
        <f t="shared" si="1"/>
        <v>8.1286677051496117E-4</v>
      </c>
      <c r="G44" s="11">
        <f t="shared" si="2"/>
        <v>2.772353058190534E-3</v>
      </c>
      <c r="H44" s="11">
        <f t="shared" si="3"/>
        <v>2.2302481790302184E-3</v>
      </c>
      <c r="I44" s="11">
        <f t="shared" si="4"/>
        <v>3.283049674173001E-3</v>
      </c>
      <c r="K44" s="3" t="s">
        <v>300</v>
      </c>
      <c r="L44" s="3">
        <v>3474.2750000000001</v>
      </c>
      <c r="M44" s="3">
        <v>3302611</v>
      </c>
      <c r="N44" s="13">
        <f t="shared" si="7"/>
        <v>2.0057448561210615E-2</v>
      </c>
      <c r="O44" s="13">
        <f t="shared" si="8"/>
        <v>3.8498894157773925E-2</v>
      </c>
      <c r="P44" s="11">
        <f t="shared" si="9"/>
        <v>1.111182650291068E-3</v>
      </c>
      <c r="Q44" s="11">
        <f t="shared" si="10"/>
        <v>4.3888739339862275E-3</v>
      </c>
      <c r="R44" s="11">
        <f t="shared" si="11"/>
        <v>3.0487321813040132E-3</v>
      </c>
      <c r="S44" s="11">
        <f t="shared" si="12"/>
        <v>5.1973507112994801E-3</v>
      </c>
    </row>
    <row r="45" spans="1:19">
      <c r="A45" s="3" t="s">
        <v>303</v>
      </c>
      <c r="B45" s="3">
        <v>3174.2339999999999</v>
      </c>
      <c r="C45" s="50">
        <v>2274364</v>
      </c>
      <c r="D45" s="13">
        <f t="shared" si="5"/>
        <v>3.6183653127022139E-2</v>
      </c>
      <c r="E45" s="13">
        <f t="shared" si="6"/>
        <v>5.9971718153104023E-2</v>
      </c>
      <c r="F45" s="11">
        <f t="shared" si="1"/>
        <v>2.0045743832370266E-3</v>
      </c>
      <c r="G45" s="11">
        <f t="shared" si="2"/>
        <v>6.8367758694538585E-3</v>
      </c>
      <c r="H45" s="11">
        <f t="shared" si="3"/>
        <v>5.4999152753073648E-3</v>
      </c>
      <c r="I45" s="11">
        <f t="shared" si="4"/>
        <v>8.0961819506690444E-3</v>
      </c>
      <c r="K45" s="3" t="s">
        <v>302</v>
      </c>
      <c r="L45" s="3">
        <v>2531.6329999999998</v>
      </c>
      <c r="M45" s="3">
        <v>1025222</v>
      </c>
      <c r="N45" s="13">
        <f t="shared" si="7"/>
        <v>8.544755183709488E-3</v>
      </c>
      <c r="O45" s="13">
        <f t="shared" si="8"/>
        <v>1.6401070376314421E-2</v>
      </c>
      <c r="P45" s="11">
        <f t="shared" si="9"/>
        <v>4.7337943717750563E-4</v>
      </c>
      <c r="Q45" s="11">
        <f t="shared" si="10"/>
        <v>1.869722022899844E-3</v>
      </c>
      <c r="R45" s="11">
        <f t="shared" si="11"/>
        <v>1.2988027879238422E-3</v>
      </c>
      <c r="S45" s="11">
        <f t="shared" si="12"/>
        <v>2.2141445008024467E-3</v>
      </c>
    </row>
    <row r="46" spans="1:19">
      <c r="A46" s="3" t="s">
        <v>305</v>
      </c>
      <c r="B46" s="3">
        <v>2774.518</v>
      </c>
      <c r="C46" s="50">
        <v>1046392</v>
      </c>
      <c r="D46" s="13">
        <f t="shared" si="5"/>
        <v>1.9045757136915312E-2</v>
      </c>
      <c r="E46" s="13">
        <f t="shared" si="6"/>
        <v>3.1566928165540825E-2</v>
      </c>
      <c r="F46" s="11">
        <f t="shared" si="1"/>
        <v>1.0551349453851082E-3</v>
      </c>
      <c r="G46" s="11">
        <f t="shared" si="2"/>
        <v>3.598629810871654E-3</v>
      </c>
      <c r="H46" s="11">
        <f t="shared" si="3"/>
        <v>2.8949550848111276E-3</v>
      </c>
      <c r="I46" s="11">
        <f t="shared" si="4"/>
        <v>4.2615353023480115E-3</v>
      </c>
      <c r="K46" s="3" t="s">
        <v>304</v>
      </c>
      <c r="L46" s="3">
        <v>903.04</v>
      </c>
      <c r="M46" s="3">
        <v>771529</v>
      </c>
      <c r="N46" s="13">
        <f t="shared" si="7"/>
        <v>1.8027176979978739E-2</v>
      </c>
      <c r="O46" s="13">
        <f t="shared" si="8"/>
        <v>3.4601927378632179E-2</v>
      </c>
      <c r="P46" s="11">
        <f t="shared" si="9"/>
        <v>9.9870560469082206E-4</v>
      </c>
      <c r="Q46" s="11">
        <f t="shared" si="10"/>
        <v>3.9446197211640685E-3</v>
      </c>
      <c r="R46" s="11">
        <f t="shared" si="11"/>
        <v>2.7401309009567683E-3</v>
      </c>
      <c r="S46" s="11">
        <f t="shared" si="12"/>
        <v>4.6712601961153444E-3</v>
      </c>
    </row>
    <row r="47" spans="1:19">
      <c r="A47" s="3" t="s">
        <v>306</v>
      </c>
      <c r="B47" s="3">
        <v>1446.223</v>
      </c>
      <c r="C47" s="50">
        <v>95750</v>
      </c>
      <c r="D47" s="13">
        <f t="shared" si="5"/>
        <v>3.3434504913834174E-3</v>
      </c>
      <c r="E47" s="13">
        <f t="shared" si="6"/>
        <v>5.5415209134414261E-3</v>
      </c>
      <c r="F47" s="11">
        <f t="shared" si="1"/>
        <v>1.8522715722264131E-4</v>
      </c>
      <c r="G47" s="11">
        <f t="shared" si="2"/>
        <v>6.3173338413232262E-4</v>
      </c>
      <c r="H47" s="11">
        <f t="shared" si="3"/>
        <v>5.0820447469027944E-4</v>
      </c>
      <c r="I47" s="11">
        <f t="shared" si="4"/>
        <v>7.4810532331459254E-4</v>
      </c>
      <c r="K47" s="3" t="s">
        <v>280</v>
      </c>
      <c r="L47" s="3">
        <v>2583.3389999999999</v>
      </c>
      <c r="M47" s="14">
        <v>40400000</v>
      </c>
      <c r="N47" s="13">
        <f t="shared" si="7"/>
        <v>0.32997605037511535</v>
      </c>
      <c r="O47" s="13">
        <f t="shared" si="8"/>
        <v>0.6333663526157427</v>
      </c>
      <c r="P47" s="11">
        <f t="shared" si="9"/>
        <v>1.8280673190781388E-2</v>
      </c>
      <c r="Q47" s="11">
        <f t="shared" si="10"/>
        <v>7.2203764198194673E-2</v>
      </c>
      <c r="R47" s="11">
        <f t="shared" si="11"/>
        <v>5.0156359657017535E-2</v>
      </c>
      <c r="S47" s="11">
        <f t="shared" si="12"/>
        <v>8.5504457603125264E-2</v>
      </c>
    </row>
    <row r="48" spans="1:19">
      <c r="A48" s="3" t="s">
        <v>308</v>
      </c>
      <c r="B48" s="3">
        <v>2097.4870000000001</v>
      </c>
      <c r="C48" s="50">
        <v>756815</v>
      </c>
      <c r="D48" s="13">
        <f t="shared" si="5"/>
        <v>1.8221403756018512E-2</v>
      </c>
      <c r="E48" s="13">
        <f t="shared" si="6"/>
        <v>3.0200623651064344E-2</v>
      </c>
      <c r="F48" s="11">
        <f t="shared" si="1"/>
        <v>1.0094657680834256E-3</v>
      </c>
      <c r="G48" s="11">
        <f t="shared" si="2"/>
        <v>3.4428710962213353E-3</v>
      </c>
      <c r="H48" s="11">
        <f t="shared" si="3"/>
        <v>2.769653370914814E-3</v>
      </c>
      <c r="I48" s="11">
        <f t="shared" si="4"/>
        <v>4.0770841928936871E-3</v>
      </c>
      <c r="K48" t="s">
        <v>307</v>
      </c>
      <c r="L48" s="3">
        <v>826.48789999999997</v>
      </c>
      <c r="M48" s="3">
        <v>79549</v>
      </c>
      <c r="N48" s="13">
        <f t="shared" si="7"/>
        <v>2.0308632467577565E-3</v>
      </c>
      <c r="O48" s="13">
        <f t="shared" si="8"/>
        <v>3.8981024404592013E-3</v>
      </c>
      <c r="P48" s="11">
        <f t="shared" si="9"/>
        <v>1.125098238703797E-4</v>
      </c>
      <c r="Q48" s="11">
        <f t="shared" si="10"/>
        <v>4.4438367821234898E-4</v>
      </c>
      <c r="R48" s="11">
        <f t="shared" si="11"/>
        <v>3.0869121350717899E-4</v>
      </c>
      <c r="S48" s="11">
        <f t="shared" si="12"/>
        <v>5.2624382946199217E-4</v>
      </c>
    </row>
    <row r="49" spans="1:19">
      <c r="A49" s="3" t="s">
        <v>310</v>
      </c>
      <c r="B49" s="3">
        <v>8813.7450000000008</v>
      </c>
      <c r="C49" s="50">
        <v>70300000</v>
      </c>
      <c r="D49" s="13">
        <f t="shared" si="5"/>
        <v>0.40279699492100118</v>
      </c>
      <c r="E49" s="13">
        <f t="shared" si="6"/>
        <v>0.66760610841361978</v>
      </c>
      <c r="F49" s="11">
        <f t="shared" si="1"/>
        <v>2.2314953518623466E-2</v>
      </c>
      <c r="G49" s="11">
        <f t="shared" si="2"/>
        <v>7.6107096359152651E-2</v>
      </c>
      <c r="H49" s="11">
        <f t="shared" si="3"/>
        <v>6.1225143227992176E-2</v>
      </c>
      <c r="I49" s="11">
        <f t="shared" si="4"/>
        <v>9.0126824635838682E-2</v>
      </c>
      <c r="K49" t="s">
        <v>309</v>
      </c>
      <c r="L49" s="3">
        <v>717.59699999999998</v>
      </c>
      <c r="M49" s="3">
        <v>570128</v>
      </c>
      <c r="N49" s="13">
        <f t="shared" si="7"/>
        <v>1.6763867184506068E-2</v>
      </c>
      <c r="O49" s="13">
        <f t="shared" si="8"/>
        <v>3.2177091041350511E-2</v>
      </c>
      <c r="P49" s="11">
        <f t="shared" si="9"/>
        <v>9.2871824202163617E-4</v>
      </c>
      <c r="Q49" s="11">
        <f t="shared" si="10"/>
        <v>3.6681883787139584E-3</v>
      </c>
      <c r="R49" s="11">
        <f t="shared" si="11"/>
        <v>2.5481078120449222E-3</v>
      </c>
      <c r="S49" s="11">
        <f t="shared" si="12"/>
        <v>4.3439072905823196E-3</v>
      </c>
    </row>
    <row r="50" spans="1:19">
      <c r="A50" s="3" t="s">
        <v>312</v>
      </c>
      <c r="B50" s="3">
        <v>4244.8509999999997</v>
      </c>
      <c r="C50" s="50">
        <v>14600000</v>
      </c>
      <c r="D50" s="13">
        <f t="shared" si="5"/>
        <v>0.17369278686107006</v>
      </c>
      <c r="E50" s="13">
        <f t="shared" si="6"/>
        <v>0.28788289624300128</v>
      </c>
      <c r="F50" s="11">
        <f t="shared" si="1"/>
        <v>9.6225803921032808E-3</v>
      </c>
      <c r="G50" s="11">
        <f t="shared" si="2"/>
        <v>3.281865017170215E-2</v>
      </c>
      <c r="H50" s="11">
        <f t="shared" si="3"/>
        <v>2.6401303602882648E-2</v>
      </c>
      <c r="I50" s="11">
        <f t="shared" si="4"/>
        <v>3.8864190992805178E-2</v>
      </c>
      <c r="K50" t="s">
        <v>311</v>
      </c>
      <c r="L50" s="3">
        <v>1638.9159999999999</v>
      </c>
      <c r="M50" s="3">
        <v>3437792</v>
      </c>
      <c r="N50" s="13">
        <f t="shared" si="7"/>
        <v>4.4259383153254957E-2</v>
      </c>
      <c r="O50" s="13">
        <f t="shared" si="8"/>
        <v>8.4952844441081782E-2</v>
      </c>
      <c r="P50" s="11">
        <f t="shared" si="9"/>
        <v>2.4519698266903243E-3</v>
      </c>
      <c r="Q50" s="11">
        <f t="shared" si="10"/>
        <v>9.6846242662833228E-3</v>
      </c>
      <c r="R50" s="11">
        <f t="shared" si="11"/>
        <v>6.7274262392947532E-3</v>
      </c>
      <c r="S50" s="11">
        <f t="shared" si="12"/>
        <v>1.1468633999546042E-2</v>
      </c>
    </row>
    <row r="51" spans="1:19">
      <c r="A51" s="3" t="s">
        <v>313</v>
      </c>
      <c r="B51" s="3">
        <v>4012.5479999999998</v>
      </c>
      <c r="C51" s="50">
        <v>1217246</v>
      </c>
      <c r="D51" s="13">
        <f t="shared" si="5"/>
        <v>1.531967293599977E-2</v>
      </c>
      <c r="E51" s="13">
        <f t="shared" si="6"/>
        <v>2.5391220291944173E-2</v>
      </c>
      <c r="F51" s="11">
        <f t="shared" si="1"/>
        <v>8.487098806543872E-4</v>
      </c>
      <c r="G51" s="11">
        <f t="shared" si="2"/>
        <v>2.8945991132816357E-3</v>
      </c>
      <c r="H51" s="11">
        <f t="shared" si="3"/>
        <v>2.3285902862719651E-3</v>
      </c>
      <c r="I51" s="11">
        <f t="shared" si="4"/>
        <v>3.4278147394124635E-3</v>
      </c>
      <c r="K51" t="s">
        <v>314</v>
      </c>
      <c r="L51" s="3">
        <v>1603.3030000000001</v>
      </c>
      <c r="M51">
        <v>540855</v>
      </c>
      <c r="N51" s="13">
        <f t="shared" si="7"/>
        <v>7.1178314392226546E-3</v>
      </c>
      <c r="O51" s="13">
        <f t="shared" si="8"/>
        <v>1.3662188307512679E-2</v>
      </c>
      <c r="P51" s="11">
        <f t="shared" si="9"/>
        <v>3.9432786173293504E-4</v>
      </c>
      <c r="Q51" s="11">
        <f t="shared" si="10"/>
        <v>1.5574894670564454E-3</v>
      </c>
      <c r="R51" s="11">
        <f t="shared" si="11"/>
        <v>1.0819103787618435E-3</v>
      </c>
      <c r="S51" s="11">
        <f t="shared" si="12"/>
        <v>1.8443954215142117E-3</v>
      </c>
    </row>
    <row r="52" spans="1:19">
      <c r="A52" s="3" t="s">
        <v>315</v>
      </c>
      <c r="B52" s="3">
        <v>2596.1419999999998</v>
      </c>
      <c r="C52" s="50">
        <v>3838237</v>
      </c>
      <c r="D52" s="13">
        <f t="shared" si="5"/>
        <v>7.4661158172395811E-2</v>
      </c>
      <c r="E52" s="13">
        <f t="shared" si="6"/>
        <v>0.12374532552533722</v>
      </c>
      <c r="F52" s="11">
        <f t="shared" si="1"/>
        <v>4.1362281627507274E-3</v>
      </c>
      <c r="G52" s="11">
        <f t="shared" si="2"/>
        <v>1.4106967109888444E-2</v>
      </c>
      <c r="H52" s="11">
        <f t="shared" si="3"/>
        <v>1.1348496042204163E-2</v>
      </c>
      <c r="I52" s="11">
        <f t="shared" si="4"/>
        <v>1.6705618945920524E-2</v>
      </c>
      <c r="K52" t="s">
        <v>316</v>
      </c>
      <c r="L52" s="3">
        <v>1816.59</v>
      </c>
      <c r="M52">
        <v>2333836</v>
      </c>
      <c r="N52" s="13">
        <f t="shared" si="7"/>
        <v>2.7107899746227824E-2</v>
      </c>
      <c r="O52" s="13">
        <f t="shared" si="8"/>
        <v>5.2031750697735871E-2</v>
      </c>
      <c r="P52" s="11">
        <f t="shared" si="9"/>
        <v>1.5017776459410213E-3</v>
      </c>
      <c r="Q52" s="11">
        <f t="shared" si="10"/>
        <v>5.9316195795418893E-3</v>
      </c>
      <c r="R52" s="11">
        <f t="shared" si="11"/>
        <v>4.120400761426629E-3</v>
      </c>
      <c r="S52" s="11">
        <f t="shared" si="12"/>
        <v>7.0242863441943434E-3</v>
      </c>
    </row>
    <row r="53" spans="1:19">
      <c r="A53" s="3" t="s">
        <v>319</v>
      </c>
      <c r="B53" s="3">
        <v>2124.5520000000001</v>
      </c>
      <c r="C53" s="50">
        <v>1610033</v>
      </c>
      <c r="D53" s="13">
        <f t="shared" si="5"/>
        <v>3.8270028928451737E-2</v>
      </c>
      <c r="E53" s="13">
        <f t="shared" si="6"/>
        <v>6.3429731115077437E-2</v>
      </c>
      <c r="F53" s="11">
        <f t="shared" si="1"/>
        <v>2.120159602636226E-3</v>
      </c>
      <c r="G53" s="11">
        <f t="shared" si="2"/>
        <v>7.2309893471188278E-3</v>
      </c>
      <c r="H53" s="11">
        <f t="shared" si="3"/>
        <v>5.8170443971246643E-3</v>
      </c>
      <c r="I53" s="11">
        <f t="shared" si="4"/>
        <v>8.5630137005354538E-3</v>
      </c>
      <c r="K53" t="s">
        <v>318</v>
      </c>
      <c r="L53" s="3">
        <v>1062.7919999999999</v>
      </c>
      <c r="M53">
        <v>377440</v>
      </c>
      <c r="N53" s="13">
        <f t="shared" si="7"/>
        <v>7.4934549751974056E-3</v>
      </c>
      <c r="O53" s="13">
        <f t="shared" si="8"/>
        <v>1.4383171871824404E-2</v>
      </c>
      <c r="P53" s="11">
        <f t="shared" si="9"/>
        <v>4.1513740562593626E-4</v>
      </c>
      <c r="Q53" s="11">
        <f t="shared" si="10"/>
        <v>1.6396815933879822E-3</v>
      </c>
      <c r="R53" s="11">
        <f t="shared" si="11"/>
        <v>1.1390051562300057E-3</v>
      </c>
      <c r="S53" s="11">
        <f t="shared" si="12"/>
        <v>1.9417282026962946E-3</v>
      </c>
    </row>
    <row r="54" spans="1:19">
      <c r="A54" s="3" t="s">
        <v>321</v>
      </c>
      <c r="B54" s="3">
        <v>2932.011</v>
      </c>
      <c r="C54" s="50">
        <v>3382495</v>
      </c>
      <c r="D54" s="13">
        <f t="shared" si="5"/>
        <v>5.8258989308021016E-2</v>
      </c>
      <c r="E54" s="13">
        <f t="shared" si="6"/>
        <v>9.6559948615472457E-2</v>
      </c>
      <c r="F54" s="11">
        <f t="shared" si="1"/>
        <v>3.2275480076643642E-3</v>
      </c>
      <c r="G54" s="11">
        <f t="shared" si="2"/>
        <v>1.100783414216386E-2</v>
      </c>
      <c r="H54" s="11">
        <f t="shared" si="3"/>
        <v>8.8553663748191947E-3</v>
      </c>
      <c r="I54" s="11">
        <f t="shared" si="4"/>
        <v>1.3035593063088782E-2</v>
      </c>
      <c r="K54" t="s">
        <v>320</v>
      </c>
      <c r="L54" s="3">
        <v>1293.6859999999999</v>
      </c>
      <c r="M54">
        <v>1023787</v>
      </c>
      <c r="N54" s="13">
        <f t="shared" si="7"/>
        <v>1.6697951202996709E-2</v>
      </c>
      <c r="O54" s="13">
        <f t="shared" si="8"/>
        <v>3.2050569844614539E-2</v>
      </c>
      <c r="P54" s="11">
        <f t="shared" si="9"/>
        <v>9.250664966460176E-4</v>
      </c>
      <c r="Q54" s="11">
        <f t="shared" si="10"/>
        <v>3.6537649622860576E-3</v>
      </c>
      <c r="R54" s="11">
        <f t="shared" si="11"/>
        <v>2.5380885828554995E-3</v>
      </c>
      <c r="S54" s="11">
        <f t="shared" si="12"/>
        <v>4.3268269290229634E-3</v>
      </c>
    </row>
    <row r="55" spans="1:19">
      <c r="A55" s="3" t="s">
        <v>323</v>
      </c>
      <c r="B55" s="3">
        <v>3390.0940000000001</v>
      </c>
      <c r="C55" s="50">
        <v>1626254</v>
      </c>
      <c r="D55" s="13">
        <f t="shared" si="5"/>
        <v>2.4225235937410584E-2</v>
      </c>
      <c r="E55" s="13">
        <f t="shared" si="6"/>
        <v>4.0151529662599328E-2</v>
      </c>
      <c r="F55" s="11">
        <f t="shared" si="1"/>
        <v>1.3420780709325463E-3</v>
      </c>
      <c r="G55" s="11">
        <f t="shared" si="2"/>
        <v>4.5772743815363235E-3</v>
      </c>
      <c r="H55" s="11">
        <f t="shared" si="3"/>
        <v>3.6822358624864085E-3</v>
      </c>
      <c r="I55" s="11">
        <f t="shared" si="4"/>
        <v>5.4204565044509096E-3</v>
      </c>
      <c r="K55" t="s">
        <v>322</v>
      </c>
      <c r="L55" s="3">
        <v>1111.5070000000001</v>
      </c>
      <c r="M55">
        <v>911153</v>
      </c>
      <c r="N55" s="13">
        <f t="shared" si="7"/>
        <v>1.7296632679776196E-2</v>
      </c>
      <c r="O55" s="13">
        <f t="shared" si="8"/>
        <v>3.3199697797674683E-2</v>
      </c>
      <c r="P55" s="11">
        <f t="shared" si="9"/>
        <v>9.5823345045960122E-4</v>
      </c>
      <c r="Q55" s="11">
        <f t="shared" si="10"/>
        <v>3.7847655489349138E-3</v>
      </c>
      <c r="R55" s="11">
        <f t="shared" si="11"/>
        <v>2.629088167325982E-3</v>
      </c>
      <c r="S55" s="11">
        <f t="shared" si="12"/>
        <v>4.481959202686083E-3</v>
      </c>
    </row>
    <row r="56" spans="1:19">
      <c r="A56" s="3" t="s">
        <v>325</v>
      </c>
      <c r="B56" s="3">
        <v>2396.4549999999999</v>
      </c>
      <c r="C56" s="50">
        <v>3662095</v>
      </c>
      <c r="D56" s="13">
        <f t="shared" si="5"/>
        <v>7.7170569653926324E-2</v>
      </c>
      <c r="E56" s="13">
        <f t="shared" si="6"/>
        <v>0.1279044887135373</v>
      </c>
      <c r="F56" s="11">
        <f t="shared" si="1"/>
        <v>4.2752495588275182E-3</v>
      </c>
      <c r="G56" s="11">
        <f t="shared" si="2"/>
        <v>1.4581111713343252E-2</v>
      </c>
      <c r="H56" s="11">
        <f t="shared" si="3"/>
        <v>1.1729926587396801E-2</v>
      </c>
      <c r="I56" s="11">
        <f t="shared" si="4"/>
        <v>1.7267105976327538E-2</v>
      </c>
      <c r="K56" t="s">
        <v>324</v>
      </c>
      <c r="L56" s="3">
        <v>1664.125</v>
      </c>
      <c r="M56">
        <v>1902962</v>
      </c>
      <c r="N56" s="13">
        <f t="shared" si="7"/>
        <v>2.412829456921806E-2</v>
      </c>
      <c r="O56" s="13">
        <f t="shared" si="8"/>
        <v>4.6312603320063102E-2</v>
      </c>
      <c r="P56" s="11">
        <f t="shared" si="9"/>
        <v>1.3367075191346805E-3</v>
      </c>
      <c r="Q56" s="11">
        <f t="shared" si="10"/>
        <v>5.2796367784871939E-3</v>
      </c>
      <c r="R56" s="11">
        <f t="shared" si="11"/>
        <v>3.6675007745211449E-3</v>
      </c>
      <c r="S56" s="11">
        <f t="shared" si="12"/>
        <v>6.2522014482085195E-3</v>
      </c>
    </row>
    <row r="57" spans="1:19">
      <c r="A57" s="3" t="s">
        <v>327</v>
      </c>
      <c r="B57" s="3">
        <v>4110.7539999999999</v>
      </c>
      <c r="C57" s="50">
        <v>33300000</v>
      </c>
      <c r="D57" s="13">
        <f t="shared" si="5"/>
        <v>0.40908553515972984</v>
      </c>
      <c r="E57" s="13">
        <f t="shared" si="6"/>
        <v>0.67802889688850276</v>
      </c>
      <c r="F57" s="11">
        <f t="shared" si="1"/>
        <v>2.2663338647849033E-2</v>
      </c>
      <c r="G57" s="11">
        <f t="shared" si="2"/>
        <v>7.7295294245289317E-2</v>
      </c>
      <c r="H57" s="11">
        <f t="shared" si="3"/>
        <v>6.2181001344278931E-2</v>
      </c>
      <c r="I57" s="11">
        <f t="shared" si="4"/>
        <v>9.1533901079947882E-2</v>
      </c>
      <c r="K57" t="s">
        <v>326</v>
      </c>
      <c r="L57" s="3">
        <v>1372.212</v>
      </c>
      <c r="M57">
        <v>196682</v>
      </c>
      <c r="N57" s="13">
        <f t="shared" si="7"/>
        <v>3.0243068855249776E-3</v>
      </c>
      <c r="O57" s="13">
        <f t="shared" si="8"/>
        <v>5.8049492352493645E-3</v>
      </c>
      <c r="P57" s="11">
        <f t="shared" si="9"/>
        <v>1.6754660145808375E-4</v>
      </c>
      <c r="Q57" s="11">
        <f t="shared" si="10"/>
        <v>6.6176421281842761E-4</v>
      </c>
      <c r="R57" s="11">
        <f t="shared" si="11"/>
        <v>4.5969464659979657E-4</v>
      </c>
      <c r="S57" s="11">
        <f t="shared" si="12"/>
        <v>7.8366814675866431E-4</v>
      </c>
    </row>
    <row r="58" spans="1:19">
      <c r="A58" s="3" t="s">
        <v>329</v>
      </c>
      <c r="B58" s="3">
        <v>3030.3789999999999</v>
      </c>
      <c r="C58" s="50">
        <v>2111235</v>
      </c>
      <c r="D58" s="13">
        <f t="shared" si="5"/>
        <v>3.5182849240969531E-2</v>
      </c>
      <c r="E58" s="13">
        <f t="shared" si="6"/>
        <v>5.8312960029092073E-2</v>
      </c>
      <c r="F58" s="11">
        <f t="shared" si="1"/>
        <v>1.9491298479497119E-3</v>
      </c>
      <c r="G58" s="11">
        <f t="shared" si="2"/>
        <v>6.6476774433164966E-3</v>
      </c>
      <c r="H58" s="11">
        <f t="shared" si="3"/>
        <v>5.3477930846273685E-3</v>
      </c>
      <c r="I58" s="11">
        <f t="shared" si="4"/>
        <v>7.8722496039274302E-3</v>
      </c>
      <c r="K58" t="s">
        <v>328</v>
      </c>
      <c r="L58" s="3">
        <v>1367.463</v>
      </c>
      <c r="M58">
        <v>582256</v>
      </c>
      <c r="N58" s="13">
        <f t="shared" si="7"/>
        <v>8.9842296281508176E-3</v>
      </c>
      <c r="O58" s="13">
        <f t="shared" si="8"/>
        <v>1.7244611371569102E-2</v>
      </c>
      <c r="P58" s="11">
        <f t="shared" si="9"/>
        <v>4.9772632139955528E-4</v>
      </c>
      <c r="Q58" s="11">
        <f t="shared" si="10"/>
        <v>1.9658856963588778E-3</v>
      </c>
      <c r="R58" s="11">
        <f t="shared" si="11"/>
        <v>1.3656029034789243E-3</v>
      </c>
      <c r="S58" s="11">
        <f t="shared" si="12"/>
        <v>2.3280225351618288E-3</v>
      </c>
    </row>
    <row r="59" spans="1:19">
      <c r="A59" s="3" t="s">
        <v>331</v>
      </c>
      <c r="B59" s="3">
        <v>3449.1709999999998</v>
      </c>
      <c r="C59" s="50">
        <v>342785</v>
      </c>
      <c r="D59" s="13">
        <f t="shared" si="5"/>
        <v>5.0187834989914972E-3</v>
      </c>
      <c r="E59" s="13">
        <f t="shared" si="6"/>
        <v>8.318260967635412E-3</v>
      </c>
      <c r="F59" s="11">
        <f t="shared" si="1"/>
        <v>2.7804060584412895E-4</v>
      </c>
      <c r="G59" s="11">
        <f t="shared" si="2"/>
        <v>9.4828175031043697E-4</v>
      </c>
      <c r="H59" s="11">
        <f t="shared" si="3"/>
        <v>7.6285509184670754E-4</v>
      </c>
      <c r="I59" s="11">
        <f t="shared" si="4"/>
        <v>1.1229652306307806E-3</v>
      </c>
      <c r="K59" t="s">
        <v>330</v>
      </c>
      <c r="L59" s="3">
        <v>2853.44</v>
      </c>
      <c r="M59">
        <v>1834049</v>
      </c>
      <c r="N59" s="13">
        <f t="shared" si="7"/>
        <v>1.3562028253616689E-2</v>
      </c>
      <c r="O59" s="13">
        <f t="shared" si="8"/>
        <v>2.6031381245093643E-2</v>
      </c>
      <c r="P59" s="11">
        <f t="shared" si="9"/>
        <v>7.5133636525036448E-4</v>
      </c>
      <c r="Q59" s="11">
        <f t="shared" si="10"/>
        <v>2.9675774619406753E-3</v>
      </c>
      <c r="R59" s="11">
        <f t="shared" si="11"/>
        <v>2.0614282945497367E-3</v>
      </c>
      <c r="S59" s="11">
        <f t="shared" si="12"/>
        <v>3.514236468087642E-3</v>
      </c>
    </row>
    <row r="60" spans="1:19">
      <c r="A60" s="3" t="s">
        <v>333</v>
      </c>
      <c r="B60" s="3">
        <v>2468.732</v>
      </c>
      <c r="C60" s="50">
        <v>81856</v>
      </c>
      <c r="D60" s="13">
        <f t="shared" si="5"/>
        <v>1.6744336768835177E-3</v>
      </c>
      <c r="E60" s="13">
        <f t="shared" si="6"/>
        <v>2.7752494803000086E-3</v>
      </c>
      <c r="F60" s="11">
        <f t="shared" si="1"/>
        <v>9.2763625699346874E-5</v>
      </c>
      <c r="G60" s="11">
        <f t="shared" si="2"/>
        <v>3.1637844075420101E-4</v>
      </c>
      <c r="H60" s="11">
        <f t="shared" si="3"/>
        <v>2.5451391888629468E-4</v>
      </c>
      <c r="I60" s="11">
        <f t="shared" si="4"/>
        <v>3.7465867984050116E-4</v>
      </c>
      <c r="K60" t="s">
        <v>332</v>
      </c>
      <c r="L60" s="3">
        <v>1431.8989999999999</v>
      </c>
      <c r="M60" s="14">
        <v>2791997</v>
      </c>
      <c r="N60" s="13">
        <f t="shared" si="7"/>
        <v>4.1141963713921169E-2</v>
      </c>
      <c r="O60" s="13">
        <f t="shared" si="8"/>
        <v>7.8969172057526418E-2</v>
      </c>
      <c r="P60" s="11">
        <f t="shared" si="9"/>
        <v>2.2792647897512328E-3</v>
      </c>
      <c r="Q60" s="11">
        <f t="shared" si="10"/>
        <v>9.0024856145580114E-3</v>
      </c>
      <c r="R60" s="11">
        <f t="shared" si="11"/>
        <v>6.2535784845160177E-3</v>
      </c>
      <c r="S60" s="11">
        <f t="shared" si="12"/>
        <v>1.0660838227766067E-2</v>
      </c>
    </row>
    <row r="61" spans="1:19">
      <c r="A61" s="3" t="s">
        <v>337</v>
      </c>
      <c r="B61" s="3">
        <v>5237.415</v>
      </c>
      <c r="C61" s="50">
        <v>16300000</v>
      </c>
      <c r="D61" s="13">
        <f t="shared" si="5"/>
        <v>0.15716722848962705</v>
      </c>
      <c r="E61" s="13">
        <f t="shared" si="6"/>
        <v>0.26049301038775813</v>
      </c>
      <c r="F61" s="11">
        <f t="shared" si="1"/>
        <v>8.7070644583253382E-3</v>
      </c>
      <c r="G61" s="11">
        <f t="shared" si="2"/>
        <v>2.9696203184204427E-2</v>
      </c>
      <c r="H61" s="11">
        <f t="shared" si="3"/>
        <v>2.3889418730423311E-2</v>
      </c>
      <c r="I61" s="11">
        <f t="shared" si="4"/>
        <v>3.5166556402347351E-2</v>
      </c>
      <c r="K61" t="s">
        <v>334</v>
      </c>
      <c r="L61" s="3">
        <v>1848.9110000000001</v>
      </c>
      <c r="M61">
        <v>305000</v>
      </c>
      <c r="N61" s="13">
        <f t="shared" si="7"/>
        <v>3.4806975565616731E-3</v>
      </c>
      <c r="O61" s="13">
        <f t="shared" si="8"/>
        <v>6.680959764964349E-3</v>
      </c>
      <c r="P61" s="11">
        <f t="shared" si="9"/>
        <v>1.9283064463351669E-4</v>
      </c>
      <c r="Q61" s="11">
        <f t="shared" si="10"/>
        <v>7.6162941320593583E-4</v>
      </c>
      <c r="R61" s="11">
        <f t="shared" si="11"/>
        <v>5.2906602859737427E-4</v>
      </c>
      <c r="S61" s="11">
        <f t="shared" si="12"/>
        <v>9.0192956827018719E-4</v>
      </c>
    </row>
    <row r="62" spans="1:19">
      <c r="A62" s="3"/>
      <c r="B62" s="3"/>
      <c r="C62" s="3"/>
      <c r="D62" s="3"/>
      <c r="G62" s="3"/>
      <c r="H62" s="3"/>
      <c r="I62" s="3"/>
      <c r="K62" t="s">
        <v>336</v>
      </c>
      <c r="L62" s="3">
        <v>1019.025</v>
      </c>
      <c r="M62">
        <v>710852</v>
      </c>
      <c r="N62" s="13">
        <f t="shared" si="7"/>
        <v>1.4718949191629254E-2</v>
      </c>
      <c r="O62" s="13">
        <f t="shared" si="8"/>
        <v>2.8252011481563262E-2</v>
      </c>
      <c r="P62" s="11">
        <f t="shared" si="9"/>
        <v>8.1542978521626061E-4</v>
      </c>
      <c r="Q62" s="11">
        <f t="shared" si="10"/>
        <v>3.220729308898212E-3</v>
      </c>
      <c r="R62" s="11">
        <f t="shared" si="11"/>
        <v>2.2372802771276467E-3</v>
      </c>
      <c r="S62" s="11">
        <f t="shared" si="12"/>
        <v>3.8140215500110405E-3</v>
      </c>
    </row>
    <row r="63" spans="1:19">
      <c r="D63" s="13">
        <f t="shared" ref="D63:I63" si="13">AVERAGE(D33:D61)</f>
        <v>0.1037334581546322</v>
      </c>
      <c r="E63" s="13">
        <f t="shared" si="13"/>
        <v>0.17193050391173689</v>
      </c>
      <c r="F63" s="13">
        <f t="shared" si="13"/>
        <v>5.7468335817666217E-3</v>
      </c>
      <c r="G63" s="13">
        <f t="shared" si="13"/>
        <v>1.9600077445938009E-2</v>
      </c>
      <c r="H63" s="13">
        <f t="shared" si="13"/>
        <v>1.5767485639504093E-2</v>
      </c>
      <c r="I63" s="13">
        <f t="shared" si="13"/>
        <v>2.3210618028084481E-2</v>
      </c>
      <c r="K63" t="s">
        <v>338</v>
      </c>
      <c r="L63" s="3">
        <v>1805.9380000000001</v>
      </c>
      <c r="M63">
        <v>976332</v>
      </c>
      <c r="N63" s="13">
        <f t="shared" si="7"/>
        <v>1.1407149747112029E-2</v>
      </c>
      <c r="O63" s="13">
        <f t="shared" si="8"/>
        <v>2.1895240035925932E-2</v>
      </c>
      <c r="P63" s="11">
        <f t="shared" si="9"/>
        <v>6.3195609599000634E-4</v>
      </c>
      <c r="Q63" s="11">
        <f t="shared" si="10"/>
        <v>2.4960573640955565E-3</v>
      </c>
      <c r="R63" s="11">
        <f t="shared" si="11"/>
        <v>1.7338867615610282E-3</v>
      </c>
      <c r="S63" s="11">
        <f t="shared" si="12"/>
        <v>2.9558574048500008E-3</v>
      </c>
    </row>
    <row r="64" spans="1:19">
      <c r="K64" t="s">
        <v>339</v>
      </c>
      <c r="L64" s="3">
        <v>1700.175</v>
      </c>
      <c r="M64">
        <v>1083044</v>
      </c>
      <c r="N64" s="13">
        <f t="shared" si="7"/>
        <v>1.3441103651094742E-2</v>
      </c>
      <c r="O64" s="13">
        <f t="shared" si="8"/>
        <v>2.5799274780537302E-2</v>
      </c>
      <c r="P64" s="11">
        <f t="shared" si="9"/>
        <v>7.4463714227064864E-4</v>
      </c>
      <c r="Q64" s="11">
        <f t="shared" si="10"/>
        <v>2.9411173249812524E-3</v>
      </c>
      <c r="R64" s="11">
        <f t="shared" si="11"/>
        <v>2.0430477549664007E-3</v>
      </c>
      <c r="S64" s="11">
        <f t="shared" si="12"/>
        <v>3.4829020953725358E-3</v>
      </c>
    </row>
    <row r="65" spans="11:19">
      <c r="K65" t="s">
        <v>340</v>
      </c>
      <c r="L65" s="3">
        <v>1782.8309999999999</v>
      </c>
      <c r="M65">
        <v>1375651</v>
      </c>
      <c r="N65" s="13">
        <f t="shared" si="7"/>
        <v>1.628098013776965E-2</v>
      </c>
      <c r="O65" s="13">
        <f t="shared" si="8"/>
        <v>3.1250222539320895E-2</v>
      </c>
      <c r="P65" s="11">
        <f t="shared" si="9"/>
        <v>9.0196629963243857E-4</v>
      </c>
      <c r="Q65" s="11">
        <f t="shared" si="10"/>
        <v>3.5625253694825821E-3</v>
      </c>
      <c r="R65" s="11">
        <f t="shared" si="11"/>
        <v>2.4747089809409868E-3</v>
      </c>
      <c r="S65" s="11">
        <f t="shared" si="12"/>
        <v>4.2187800428083212E-3</v>
      </c>
    </row>
    <row r="66" spans="11:19">
      <c r="K66" t="s">
        <v>341</v>
      </c>
      <c r="L66" s="3">
        <v>2132.3310000000001</v>
      </c>
      <c r="M66" s="14">
        <v>3677745</v>
      </c>
      <c r="N66" s="13">
        <f t="shared" si="7"/>
        <v>3.6392295333135427E-2</v>
      </c>
      <c r="O66" s="13">
        <f t="shared" si="8"/>
        <v>6.985250999962013E-2</v>
      </c>
      <c r="P66" s="11">
        <f t="shared" si="9"/>
        <v>2.0161331614557028E-3</v>
      </c>
      <c r="Q66" s="11">
        <f t="shared" si="10"/>
        <v>7.9631861399566944E-3</v>
      </c>
      <c r="R66" s="11">
        <f t="shared" si="11"/>
        <v>5.5316288906365847E-3</v>
      </c>
      <c r="S66" s="11">
        <f t="shared" si="12"/>
        <v>9.4300888499487187E-3</v>
      </c>
    </row>
    <row r="67" spans="11:19">
      <c r="K67" t="s">
        <v>342</v>
      </c>
      <c r="L67" s="3">
        <v>1507.731</v>
      </c>
      <c r="M67">
        <v>2375439</v>
      </c>
      <c r="N67" s="13">
        <f t="shared" si="7"/>
        <v>3.3243173284889682E-2</v>
      </c>
      <c r="O67" s="13">
        <f t="shared" si="8"/>
        <v>6.3807986636873551E-2</v>
      </c>
      <c r="P67" s="11">
        <f t="shared" si="9"/>
        <v>1.8416717999828883E-3</v>
      </c>
      <c r="Q67" s="11">
        <f t="shared" si="10"/>
        <v>7.274110476603585E-3</v>
      </c>
      <c r="R67" s="11">
        <f t="shared" si="11"/>
        <v>5.0529623393032316E-3</v>
      </c>
      <c r="S67" s="11">
        <f t="shared" si="12"/>
        <v>8.6140781959779308E-3</v>
      </c>
    </row>
    <row r="68" spans="11:19">
      <c r="K68" t="s">
        <v>343</v>
      </c>
      <c r="L68" s="3">
        <v>1183.57</v>
      </c>
      <c r="M68" s="14">
        <v>791934</v>
      </c>
      <c r="N68" s="13">
        <f t="shared" si="7"/>
        <v>1.4118140371925615E-2</v>
      </c>
      <c r="O68" s="13">
        <f t="shared" si="8"/>
        <v>2.7098800239952012E-2</v>
      </c>
      <c r="P68" s="11">
        <f t="shared" si="9"/>
        <v>7.8214497660467899E-4</v>
      </c>
      <c r="Q68" s="11">
        <f t="shared" si="10"/>
        <v>3.0892632273545294E-3</v>
      </c>
      <c r="R68" s="11">
        <f t="shared" si="11"/>
        <v>2.1459573365326932E-3</v>
      </c>
      <c r="S68" s="11">
        <f t="shared" si="12"/>
        <v>3.658338032393522E-3</v>
      </c>
    </row>
    <row r="69" spans="11:19">
      <c r="K69" t="s">
        <v>344</v>
      </c>
      <c r="L69" s="3">
        <v>1515.432</v>
      </c>
      <c r="M69" s="14">
        <v>10200000</v>
      </c>
      <c r="N69" s="13">
        <f t="shared" si="7"/>
        <v>0.14201890945948087</v>
      </c>
      <c r="O69" s="13">
        <f t="shared" si="8"/>
        <v>0.27259553711416945</v>
      </c>
      <c r="P69" s="11">
        <f t="shared" si="9"/>
        <v>7.8678475840552407E-3</v>
      </c>
      <c r="Q69" s="11">
        <f t="shared" si="10"/>
        <v>3.1075891231015319E-2</v>
      </c>
      <c r="R69" s="11">
        <f t="shared" si="11"/>
        <v>2.1586874237841093E-2</v>
      </c>
      <c r="S69" s="11">
        <f t="shared" si="12"/>
        <v>3.6800397510412877E-2</v>
      </c>
    </row>
    <row r="70" spans="11:19">
      <c r="K70" t="s">
        <v>345</v>
      </c>
      <c r="L70" s="3">
        <v>1264.4580000000001</v>
      </c>
      <c r="M70">
        <v>2518231</v>
      </c>
      <c r="N70" s="13">
        <f t="shared" si="7"/>
        <v>4.2021699494961477E-2</v>
      </c>
      <c r="O70" s="13">
        <f t="shared" si="8"/>
        <v>8.0657764433456861E-2</v>
      </c>
      <c r="P70" s="11">
        <f t="shared" si="9"/>
        <v>2.3280021520208655E-3</v>
      </c>
      <c r="Q70" s="11">
        <f t="shared" si="10"/>
        <v>9.1949851454140828E-3</v>
      </c>
      <c r="R70" s="11">
        <f t="shared" si="11"/>
        <v>6.3872983232341448E-3</v>
      </c>
      <c r="S70" s="11">
        <f t="shared" si="12"/>
        <v>1.0888798198516677E-2</v>
      </c>
    </row>
    <row r="71" spans="11:19">
      <c r="K71" t="s">
        <v>346</v>
      </c>
      <c r="L71" s="3">
        <v>977.17349999999999</v>
      </c>
      <c r="M71">
        <v>3006028</v>
      </c>
      <c r="N71" s="13">
        <f t="shared" si="7"/>
        <v>6.490883225957314E-2</v>
      </c>
      <c r="O71" s="13">
        <f t="shared" si="8"/>
        <v>0.12458804296268779</v>
      </c>
      <c r="P71" s="11">
        <f t="shared" si="9"/>
        <v>3.5959493071803517E-3</v>
      </c>
      <c r="Q71" s="11">
        <f t="shared" si="10"/>
        <v>1.4203036897746409E-2</v>
      </c>
      <c r="R71" s="11">
        <f t="shared" si="11"/>
        <v>9.8661425034551175E-3</v>
      </c>
      <c r="S71" s="11">
        <f t="shared" si="12"/>
        <v>1.6819385799962852E-2</v>
      </c>
    </row>
    <row r="72" spans="11:19">
      <c r="K72" t="s">
        <v>347</v>
      </c>
      <c r="L72" s="3">
        <v>1048.7370000000001</v>
      </c>
      <c r="M72">
        <v>209197</v>
      </c>
      <c r="N72" s="13">
        <f t="shared" si="7"/>
        <v>4.2089262608261176E-3</v>
      </c>
      <c r="O72" s="13">
        <f t="shared" si="8"/>
        <v>8.0787447186472881E-3</v>
      </c>
      <c r="P72" s="11">
        <f t="shared" si="9"/>
        <v>2.3317451484976691E-4</v>
      </c>
      <c r="Q72" s="11">
        <f t="shared" si="10"/>
        <v>9.209768979257909E-4</v>
      </c>
      <c r="R72" s="11">
        <f t="shared" si="11"/>
        <v>6.3975679164556985E-4</v>
      </c>
      <c r="S72" s="11">
        <f t="shared" si="12"/>
        <v>1.0906305370173839E-3</v>
      </c>
    </row>
    <row r="73" spans="11:19">
      <c r="K73" t="s">
        <v>348</v>
      </c>
      <c r="L73" s="3">
        <v>1628.3489999999999</v>
      </c>
      <c r="M73">
        <v>1041326</v>
      </c>
      <c r="N73" s="13">
        <f t="shared" si="7"/>
        <v>1.3493408722577286E-2</v>
      </c>
      <c r="O73" s="13">
        <f t="shared" si="8"/>
        <v>2.58996707708237E-2</v>
      </c>
      <c r="P73" s="11">
        <f t="shared" si="9"/>
        <v>7.4753484323078164E-4</v>
      </c>
      <c r="Q73" s="11">
        <f t="shared" si="10"/>
        <v>2.9525624678739017E-3</v>
      </c>
      <c r="R73" s="11">
        <f t="shared" si="11"/>
        <v>2.0509981258317474E-3</v>
      </c>
      <c r="S73" s="11">
        <f t="shared" si="12"/>
        <v>3.4964555540611996E-3</v>
      </c>
    </row>
    <row r="74" spans="11:19">
      <c r="K74" t="s">
        <v>349</v>
      </c>
      <c r="L74" s="3">
        <v>2018</v>
      </c>
      <c r="M74">
        <v>3578700</v>
      </c>
      <c r="N74" s="13">
        <f t="shared" si="7"/>
        <v>3.7418518334985135E-2</v>
      </c>
      <c r="O74" s="13">
        <f t="shared" si="8"/>
        <v>7.1822274529236868E-2</v>
      </c>
      <c r="P74" s="11">
        <f t="shared" si="9"/>
        <v>2.0729859157581762E-3</v>
      </c>
      <c r="Q74" s="11">
        <f t="shared" si="10"/>
        <v>8.1877392963330027E-3</v>
      </c>
      <c r="R74" s="11">
        <f t="shared" si="11"/>
        <v>5.6876147869177407E-3</v>
      </c>
      <c r="S74" s="11">
        <f t="shared" si="12"/>
        <v>9.6960070614469773E-3</v>
      </c>
    </row>
    <row r="75" spans="11:19">
      <c r="K75" t="s">
        <v>350</v>
      </c>
      <c r="L75" s="3">
        <v>2169.2669999999998</v>
      </c>
      <c r="M75" s="14">
        <v>2319541</v>
      </c>
      <c r="N75" s="13">
        <f t="shared" si="7"/>
        <v>2.2561683324367175E-2</v>
      </c>
      <c r="O75" s="13">
        <f t="shared" si="8"/>
        <v>4.3305600693690549E-2</v>
      </c>
      <c r="P75" s="11">
        <f t="shared" si="9"/>
        <v>1.2499172561699415E-3</v>
      </c>
      <c r="Q75" s="11">
        <f t="shared" si="10"/>
        <v>4.9368384790807228E-3</v>
      </c>
      <c r="R75" s="11">
        <f t="shared" si="11"/>
        <v>3.4293758653038105E-3</v>
      </c>
      <c r="S75" s="11">
        <f t="shared" si="12"/>
        <v>5.8462560936482248E-3</v>
      </c>
    </row>
    <row r="76" spans="11:19">
      <c r="K76" t="s">
        <v>351</v>
      </c>
      <c r="L76" s="3">
        <v>1300.019</v>
      </c>
      <c r="M76">
        <v>2720358</v>
      </c>
      <c r="N76" s="13">
        <f t="shared" si="7"/>
        <v>4.4152857612081049E-2</v>
      </c>
      <c r="O76" s="13">
        <f t="shared" si="8"/>
        <v>8.4748375985274058E-2</v>
      </c>
      <c r="P76" s="11">
        <f t="shared" si="9"/>
        <v>2.4460683117092899E-3</v>
      </c>
      <c r="Q76" s="11">
        <f t="shared" si="10"/>
        <v>9.6613148623212429E-3</v>
      </c>
      <c r="R76" s="11">
        <f t="shared" si="11"/>
        <v>6.7112343570363197E-3</v>
      </c>
      <c r="S76" s="11">
        <f t="shared" si="12"/>
        <v>1.1441030758011998E-2</v>
      </c>
    </row>
    <row r="77" spans="11:19">
      <c r="K77" t="s">
        <v>285</v>
      </c>
      <c r="L77" s="3">
        <v>693.90279999999996</v>
      </c>
      <c r="M77" s="14">
        <v>12100000</v>
      </c>
      <c r="N77" s="13">
        <f t="shared" si="7"/>
        <v>0.36793337625961453</v>
      </c>
      <c r="O77" s="13">
        <f t="shared" si="8"/>
        <v>0.7062228312092127</v>
      </c>
      <c r="P77" s="11">
        <f t="shared" si="9"/>
        <v>2.0383509044782644E-2</v>
      </c>
      <c r="Q77" s="11">
        <f t="shared" si="10"/>
        <v>8.0509402757850249E-2</v>
      </c>
      <c r="R77" s="11">
        <f t="shared" si="11"/>
        <v>5.592587319146141E-2</v>
      </c>
      <c r="S77" s="11">
        <f t="shared" si="12"/>
        <v>9.5340082213243721E-2</v>
      </c>
    </row>
    <row r="78" spans="11:19">
      <c r="K78" t="s">
        <v>352</v>
      </c>
      <c r="L78" s="3">
        <v>1235.894</v>
      </c>
      <c r="M78">
        <v>1972586</v>
      </c>
      <c r="N78" s="13">
        <f t="shared" si="7"/>
        <v>3.3677293198283997E-2</v>
      </c>
      <c r="O78" s="13">
        <f t="shared" si="8"/>
        <v>6.4641249977748894E-2</v>
      </c>
      <c r="P78" s="11">
        <f t="shared" si="9"/>
        <v>1.8657220431849333E-3</v>
      </c>
      <c r="Q78" s="11">
        <f t="shared" si="10"/>
        <v>7.3691024974633741E-3</v>
      </c>
      <c r="R78" s="11">
        <f t="shared" si="11"/>
        <v>5.1189485661391676E-3</v>
      </c>
      <c r="S78" s="11">
        <f t="shared" si="12"/>
        <v>8.7265687469961009E-3</v>
      </c>
    </row>
    <row r="79" spans="11:19">
      <c r="K79" t="s">
        <v>353</v>
      </c>
      <c r="L79" s="3">
        <v>1527.097</v>
      </c>
      <c r="M79" s="14">
        <v>382479</v>
      </c>
      <c r="N79" s="13">
        <f t="shared" si="7"/>
        <v>5.2847375772462398E-3</v>
      </c>
      <c r="O79" s="13">
        <f t="shared" si="8"/>
        <v>1.0143690610354156E-2</v>
      </c>
      <c r="P79" s="11">
        <f t="shared" si="9"/>
        <v>2.9277446177944166E-4</v>
      </c>
      <c r="Q79" s="11">
        <f t="shared" si="10"/>
        <v>1.1563807295803738E-3</v>
      </c>
      <c r="R79" s="11">
        <f t="shared" si="11"/>
        <v>8.0328011174142847E-4</v>
      </c>
      <c r="S79" s="11">
        <f t="shared" si="12"/>
        <v>1.3693982323978113E-3</v>
      </c>
    </row>
    <row r="80" spans="11:19">
      <c r="K80" t="s">
        <v>287</v>
      </c>
      <c r="L80" s="3">
        <v>3391.5</v>
      </c>
      <c r="M80" s="14">
        <v>133000000</v>
      </c>
      <c r="N80" s="13">
        <f t="shared" si="7"/>
        <v>0.82745098039215692</v>
      </c>
      <c r="O80" s="13">
        <f t="shared" si="8"/>
        <v>1.5882352941176472</v>
      </c>
      <c r="P80" s="11">
        <f t="shared" si="9"/>
        <v>4.5840784313725493E-2</v>
      </c>
      <c r="Q80" s="11">
        <f t="shared" si="10"/>
        <v>0.1810588235294118</v>
      </c>
      <c r="R80" s="11">
        <f t="shared" si="11"/>
        <v>0.12577254901960785</v>
      </c>
      <c r="S80" s="11">
        <f t="shared" si="12"/>
        <v>0.21441176470588239</v>
      </c>
    </row>
    <row r="81" spans="11:19">
      <c r="K81" t="s">
        <v>354</v>
      </c>
      <c r="L81" s="3">
        <v>1384.23</v>
      </c>
      <c r="M81" s="14">
        <v>1009113</v>
      </c>
      <c r="N81" s="13">
        <f t="shared" si="7"/>
        <v>1.538204221841746E-2</v>
      </c>
      <c r="O81" s="13">
        <f t="shared" si="8"/>
        <v>2.9524772978479007E-2</v>
      </c>
      <c r="P81" s="11">
        <f t="shared" si="9"/>
        <v>8.5216513890032722E-4</v>
      </c>
      <c r="Q81" s="11">
        <f t="shared" si="10"/>
        <v>3.3658241195466069E-3</v>
      </c>
      <c r="R81" s="11">
        <f t="shared" si="11"/>
        <v>2.3380704171994536E-3</v>
      </c>
      <c r="S81" s="11">
        <f t="shared" si="12"/>
        <v>3.9858443520946665E-3</v>
      </c>
    </row>
    <row r="82" spans="11:19">
      <c r="K82" t="s">
        <v>355</v>
      </c>
      <c r="L82" s="3">
        <v>2331.203</v>
      </c>
      <c r="M82" s="14">
        <v>14000000</v>
      </c>
      <c r="N82" s="13">
        <f t="shared" si="7"/>
        <v>0.12671569142627218</v>
      </c>
      <c r="O82" s="13">
        <f t="shared" si="8"/>
        <v>0.24322206174237079</v>
      </c>
      <c r="P82" s="11">
        <f t="shared" si="9"/>
        <v>7.0200493050154786E-3</v>
      </c>
      <c r="Q82" s="11">
        <f t="shared" si="10"/>
        <v>2.7727315038630271E-2</v>
      </c>
      <c r="R82" s="11">
        <f t="shared" si="11"/>
        <v>1.9260785096793371E-2</v>
      </c>
      <c r="S82" s="11">
        <f t="shared" si="12"/>
        <v>3.2834978335220061E-2</v>
      </c>
    </row>
    <row r="83" spans="11:19">
      <c r="K83" t="s">
        <v>356</v>
      </c>
      <c r="L83" s="3">
        <v>472.75170000000003</v>
      </c>
      <c r="M83">
        <v>843433</v>
      </c>
      <c r="N83" s="13">
        <f t="shared" si="7"/>
        <v>3.7644362357660478E-2</v>
      </c>
      <c r="O83" s="13">
        <f t="shared" si="8"/>
        <v>7.2255766610675329E-2</v>
      </c>
      <c r="P83" s="11">
        <f t="shared" si="9"/>
        <v>2.0854976746143904E-3</v>
      </c>
      <c r="Q83" s="11">
        <f t="shared" si="10"/>
        <v>8.2371573936169881E-3</v>
      </c>
      <c r="R83" s="11">
        <f t="shared" si="11"/>
        <v>5.7219430783643924E-3</v>
      </c>
      <c r="S83" s="11">
        <f t="shared" si="12"/>
        <v>9.7545284924411696E-3</v>
      </c>
    </row>
    <row r="84" spans="11:19">
      <c r="K84" t="s">
        <v>289</v>
      </c>
      <c r="L84" s="3">
        <v>2385.5729999999999</v>
      </c>
      <c r="M84" s="14">
        <v>27000000</v>
      </c>
      <c r="N84" s="13">
        <f t="shared" si="7"/>
        <v>0.23881054991819578</v>
      </c>
      <c r="O84" s="13">
        <f t="shared" si="8"/>
        <v>0.45838043941644213</v>
      </c>
      <c r="P84" s="11">
        <f t="shared" si="9"/>
        <v>1.3230104465468046E-2</v>
      </c>
      <c r="Q84" s="11">
        <f t="shared" si="10"/>
        <v>5.2255370093474404E-2</v>
      </c>
      <c r="R84" s="11">
        <f t="shared" si="11"/>
        <v>3.6299203587565755E-2</v>
      </c>
      <c r="S84" s="11">
        <f t="shared" si="12"/>
        <v>6.1881359321219694E-2</v>
      </c>
    </row>
    <row r="85" spans="11:19">
      <c r="K85" t="s">
        <v>357</v>
      </c>
      <c r="L85" s="3">
        <v>924.31309999999996</v>
      </c>
      <c r="M85">
        <v>1879986</v>
      </c>
      <c r="N85" s="13">
        <f t="shared" si="7"/>
        <v>4.2915874069078978E-2</v>
      </c>
      <c r="O85" s="13">
        <f t="shared" si="8"/>
        <v>8.2374071080459646E-2</v>
      </c>
      <c r="P85" s="11">
        <f t="shared" si="9"/>
        <v>2.3775394234269755E-3</v>
      </c>
      <c r="Q85" s="11">
        <f t="shared" si="10"/>
        <v>9.3906441031723995E-3</v>
      </c>
      <c r="R85" s="11">
        <f t="shared" si="11"/>
        <v>6.5232128585000042E-3</v>
      </c>
      <c r="S85" s="11">
        <f t="shared" si="12"/>
        <v>1.1120499595862053E-2</v>
      </c>
    </row>
    <row r="86" spans="11:19">
      <c r="K86" t="s">
        <v>358</v>
      </c>
      <c r="L86" s="3">
        <v>1305.1859999999999</v>
      </c>
      <c r="M86">
        <v>606134</v>
      </c>
      <c r="N86" s="13">
        <f t="shared" si="7"/>
        <v>9.7989308803496222E-3</v>
      </c>
      <c r="O86" s="13">
        <f t="shared" si="8"/>
        <v>1.8808374438585768E-2</v>
      </c>
      <c r="P86" s="11">
        <f t="shared" si="9"/>
        <v>5.4286077077136908E-4</v>
      </c>
      <c r="Q86" s="11">
        <f t="shared" si="10"/>
        <v>2.1441546859987774E-3</v>
      </c>
      <c r="R86" s="11">
        <f t="shared" si="11"/>
        <v>1.4894374938131424E-3</v>
      </c>
      <c r="S86" s="11">
        <f t="shared" si="12"/>
        <v>2.5391305492090789E-3</v>
      </c>
    </row>
    <row r="87" spans="11:19">
      <c r="K87" t="s">
        <v>359</v>
      </c>
      <c r="L87" s="3">
        <v>2062.9459999999999</v>
      </c>
      <c r="M87">
        <v>1567272</v>
      </c>
      <c r="N87" s="13">
        <f t="shared" si="7"/>
        <v>1.6030201081366165E-2</v>
      </c>
      <c r="O87" s="13">
        <f t="shared" si="8"/>
        <v>3.0768869374186242E-2</v>
      </c>
      <c r="P87" s="11">
        <f t="shared" si="9"/>
        <v>8.8807313990768545E-4</v>
      </c>
      <c r="Q87" s="11">
        <f t="shared" si="10"/>
        <v>3.5076511086572317E-3</v>
      </c>
      <c r="R87" s="11">
        <f t="shared" si="11"/>
        <v>2.436590564367657E-3</v>
      </c>
      <c r="S87" s="11">
        <f t="shared" si="12"/>
        <v>4.1537973655151432E-3</v>
      </c>
    </row>
    <row r="88" spans="11:19">
      <c r="K88" t="s">
        <v>360</v>
      </c>
      <c r="L88" s="3">
        <v>974.16110000000003</v>
      </c>
      <c r="M88">
        <v>919775</v>
      </c>
      <c r="N88" s="13">
        <f t="shared" si="7"/>
        <v>1.9922015465409164E-2</v>
      </c>
      <c r="O88" s="13">
        <f t="shared" si="8"/>
        <v>3.8238939637396732E-2</v>
      </c>
      <c r="P88" s="11">
        <f t="shared" si="9"/>
        <v>1.1036796567836676E-3</v>
      </c>
      <c r="Q88" s="11">
        <f t="shared" si="10"/>
        <v>4.3592391186632277E-3</v>
      </c>
      <c r="R88" s="11">
        <f t="shared" si="11"/>
        <v>3.0281463507421929E-3</v>
      </c>
      <c r="S88" s="11">
        <f t="shared" si="12"/>
        <v>5.1622568510485594E-3</v>
      </c>
    </row>
    <row r="89" spans="11:19">
      <c r="K89" t="s">
        <v>361</v>
      </c>
      <c r="L89" s="3">
        <v>1968.134</v>
      </c>
      <c r="M89">
        <v>7628914</v>
      </c>
      <c r="N89" s="13">
        <f t="shared" si="7"/>
        <v>8.1788173671101666E-2</v>
      </c>
      <c r="O89" s="13">
        <f t="shared" si="8"/>
        <v>0.15698677884737525</v>
      </c>
      <c r="P89" s="11">
        <f t="shared" si="9"/>
        <v>4.5310648213790321E-3</v>
      </c>
      <c r="Q89" s="11">
        <f t="shared" si="10"/>
        <v>1.7896492788600778E-2</v>
      </c>
      <c r="R89" s="11">
        <f t="shared" si="11"/>
        <v>1.2431802398007452E-2</v>
      </c>
      <c r="S89" s="11">
        <f t="shared" si="12"/>
        <v>2.119321514439566E-2</v>
      </c>
    </row>
    <row r="90" spans="11:19">
      <c r="K90" t="s">
        <v>362</v>
      </c>
      <c r="L90" s="3">
        <v>1186.5429999999999</v>
      </c>
      <c r="M90">
        <v>2778104</v>
      </c>
      <c r="N90" s="13">
        <f t="shared" si="7"/>
        <v>4.9402334681507551E-2</v>
      </c>
      <c r="O90" s="13">
        <f t="shared" si="8"/>
        <v>9.4824386473983682E-2</v>
      </c>
      <c r="P90" s="11">
        <f t="shared" si="9"/>
        <v>2.7368893413555182E-3</v>
      </c>
      <c r="Q90" s="11">
        <f t="shared" si="10"/>
        <v>1.080998005803414E-2</v>
      </c>
      <c r="R90" s="11">
        <f t="shared" si="11"/>
        <v>7.5091548715891477E-3</v>
      </c>
      <c r="S90" s="11">
        <f t="shared" si="12"/>
        <v>1.2801292173987799E-2</v>
      </c>
    </row>
    <row r="91" spans="11:19">
      <c r="K91" t="s">
        <v>363</v>
      </c>
      <c r="L91" s="3">
        <v>1338.175</v>
      </c>
      <c r="M91">
        <v>267128</v>
      </c>
      <c r="N91" s="13">
        <f t="shared" si="7"/>
        <v>4.2120057541054053E-3</v>
      </c>
      <c r="O91" s="13">
        <f t="shared" si="8"/>
        <v>8.0846555943729342E-3</v>
      </c>
      <c r="P91" s="11">
        <f t="shared" si="9"/>
        <v>2.3334511877743945E-4</v>
      </c>
      <c r="Q91" s="11">
        <f t="shared" si="10"/>
        <v>9.2165073775851453E-4</v>
      </c>
      <c r="R91" s="11">
        <f t="shared" si="11"/>
        <v>6.4022487462402154E-4</v>
      </c>
      <c r="S91" s="11">
        <f t="shared" si="12"/>
        <v>1.0914285052403463E-3</v>
      </c>
    </row>
    <row r="92" spans="11:19">
      <c r="K92" t="s">
        <v>291</v>
      </c>
      <c r="L92" s="3">
        <v>1869.365</v>
      </c>
      <c r="M92" s="14">
        <v>36500000</v>
      </c>
      <c r="N92" s="13">
        <f t="shared" si="7"/>
        <v>0.41198481837415379</v>
      </c>
      <c r="O92" s="13">
        <f t="shared" si="8"/>
        <v>0.79077654711626677</v>
      </c>
      <c r="P92" s="11">
        <f t="shared" si="9"/>
        <v>2.2823958937928119E-2</v>
      </c>
      <c r="Q92" s="11">
        <f t="shared" si="10"/>
        <v>9.0148526371254409E-2</v>
      </c>
      <c r="R92" s="11">
        <f t="shared" si="11"/>
        <v>6.2621692392871381E-2</v>
      </c>
      <c r="S92" s="11">
        <f t="shared" si="12"/>
        <v>0.10675483386069602</v>
      </c>
    </row>
    <row r="93" spans="11:19">
      <c r="K93" t="s">
        <v>364</v>
      </c>
      <c r="L93" s="3">
        <v>1376.5519999999999</v>
      </c>
      <c r="M93">
        <v>3234926</v>
      </c>
      <c r="N93" s="13">
        <f t="shared" si="7"/>
        <v>4.9585441450813346E-2</v>
      </c>
      <c r="O93" s="13">
        <f t="shared" si="8"/>
        <v>9.5175847334499547E-2</v>
      </c>
      <c r="P93" s="11">
        <f t="shared" si="9"/>
        <v>2.7470334563750591E-3</v>
      </c>
      <c r="Q93" s="11">
        <f t="shared" si="10"/>
        <v>1.0850046596132949E-2</v>
      </c>
      <c r="R93" s="11">
        <f t="shared" si="11"/>
        <v>7.5369871005236287E-3</v>
      </c>
      <c r="S93" s="11">
        <f t="shared" si="12"/>
        <v>1.2848739390157439E-2</v>
      </c>
    </row>
    <row r="94" spans="11:19">
      <c r="K94" t="s">
        <v>365</v>
      </c>
      <c r="L94" s="3">
        <v>1697.1859999999999</v>
      </c>
      <c r="M94">
        <v>5706803</v>
      </c>
      <c r="N94" s="13">
        <f t="shared" si="7"/>
        <v>7.0948937417584165E-2</v>
      </c>
      <c r="O94" s="13">
        <f t="shared" si="8"/>
        <v>0.1361816097351734</v>
      </c>
      <c r="P94" s="11">
        <f t="shared" si="9"/>
        <v>3.9305711329341627E-3</v>
      </c>
      <c r="Q94" s="11">
        <f t="shared" si="10"/>
        <v>1.5524703509809768E-2</v>
      </c>
      <c r="R94" s="11">
        <f t="shared" si="11"/>
        <v>1.0784238487472793E-2</v>
      </c>
      <c r="S94" s="11">
        <f t="shared" si="12"/>
        <v>1.8384517314248412E-2</v>
      </c>
    </row>
    <row r="95" spans="11:19">
      <c r="K95" t="s">
        <v>772</v>
      </c>
      <c r="L95" s="3">
        <v>1193.6120000000001</v>
      </c>
      <c r="M95">
        <v>0</v>
      </c>
      <c r="N95" s="13">
        <f t="shared" si="7"/>
        <v>0</v>
      </c>
      <c r="O95" s="13">
        <f t="shared" si="8"/>
        <v>0</v>
      </c>
      <c r="P95" s="11">
        <f t="shared" si="9"/>
        <v>0</v>
      </c>
      <c r="Q95" s="11">
        <f t="shared" si="10"/>
        <v>0</v>
      </c>
      <c r="R95" s="11">
        <f t="shared" si="11"/>
        <v>0</v>
      </c>
      <c r="S95" s="11">
        <f t="shared" si="12"/>
        <v>0</v>
      </c>
    </row>
    <row r="96" spans="11:19">
      <c r="K96" t="s">
        <v>366</v>
      </c>
      <c r="L96" s="3">
        <v>1054.04</v>
      </c>
      <c r="M96">
        <v>932091</v>
      </c>
      <c r="N96" s="13">
        <f t="shared" si="7"/>
        <v>1.8658798622443171E-2</v>
      </c>
      <c r="O96" s="13">
        <f t="shared" si="8"/>
        <v>3.5814281716063906E-2</v>
      </c>
      <c r="P96" s="11">
        <f t="shared" si="9"/>
        <v>1.0336974436833516E-3</v>
      </c>
      <c r="Q96" s="11">
        <f t="shared" si="10"/>
        <v>4.0828281156312851E-3</v>
      </c>
      <c r="R96" s="11">
        <f t="shared" si="11"/>
        <v>2.8361373906113617E-3</v>
      </c>
      <c r="S96" s="11">
        <f t="shared" si="12"/>
        <v>4.8349280316686274E-3</v>
      </c>
    </row>
    <row r="97" spans="11:19">
      <c r="K97" t="s">
        <v>367</v>
      </c>
      <c r="L97" s="3">
        <v>814.45870000000002</v>
      </c>
      <c r="M97">
        <v>2480335</v>
      </c>
      <c r="N97" s="13">
        <f t="shared" si="7"/>
        <v>6.4257485984249421E-2</v>
      </c>
      <c r="O97" s="13">
        <f t="shared" si="8"/>
        <v>0.12333782854796689</v>
      </c>
      <c r="P97" s="11">
        <f t="shared" si="9"/>
        <v>3.5598647235274179E-3</v>
      </c>
      <c r="Q97" s="11">
        <f t="shared" si="10"/>
        <v>1.4060512454468226E-2</v>
      </c>
      <c r="R97" s="11">
        <f t="shared" si="11"/>
        <v>9.767137869605912E-3</v>
      </c>
      <c r="S97" s="11">
        <f t="shared" si="12"/>
        <v>1.6650606853975531E-2</v>
      </c>
    </row>
    <row r="98" spans="11:19">
      <c r="K98" t="s">
        <v>293</v>
      </c>
      <c r="L98" s="3">
        <v>2612.3159999999998</v>
      </c>
      <c r="M98" s="14">
        <v>45900000</v>
      </c>
      <c r="N98" s="13">
        <f t="shared" ref="N98:N161" si="14">+M98/L98*$B$24</f>
        <v>0.37073998704597766</v>
      </c>
      <c r="O98" s="13">
        <f t="shared" ref="O98:O161" si="15">+M98/L98*$C$24</f>
        <v>0.71160992774227938</v>
      </c>
      <c r="P98" s="11">
        <f t="shared" ref="P98:P161" si="16">+N98*$B$12</f>
        <v>2.053899528234716E-2</v>
      </c>
      <c r="Q98" s="11">
        <f t="shared" ref="Q98:Q161" si="17">+O98*$D$12</f>
        <v>8.1123531762619855E-2</v>
      </c>
      <c r="R98" s="11">
        <f t="shared" ref="R98:R161" si="18">+N98*$C$12</f>
        <v>5.6352478030988605E-2</v>
      </c>
      <c r="S98" s="11">
        <f t="shared" ref="S98:S161" si="19">+O98*$E$12</f>
        <v>9.6067340245207716E-2</v>
      </c>
    </row>
    <row r="99" spans="11:19">
      <c r="K99" t="s">
        <v>368</v>
      </c>
      <c r="L99" s="3">
        <v>2096.8420000000001</v>
      </c>
      <c r="M99">
        <v>2318224</v>
      </c>
      <c r="N99" s="13">
        <f t="shared" si="14"/>
        <v>2.332771205460402E-2</v>
      </c>
      <c r="O99" s="13">
        <f t="shared" si="15"/>
        <v>4.4775940199595396E-2</v>
      </c>
      <c r="P99" s="11">
        <f t="shared" si="16"/>
        <v>1.2923552478250626E-3</v>
      </c>
      <c r="Q99" s="11">
        <f t="shared" si="17"/>
        <v>5.1044571827538751E-3</v>
      </c>
      <c r="R99" s="11">
        <f t="shared" si="18"/>
        <v>3.5458122322998111E-3</v>
      </c>
      <c r="S99" s="11">
        <f t="shared" si="19"/>
        <v>6.0447519269453791E-3</v>
      </c>
    </row>
    <row r="100" spans="11:19">
      <c r="K100" t="s">
        <v>369</v>
      </c>
      <c r="L100" s="3">
        <v>2075.527</v>
      </c>
      <c r="M100" s="14">
        <v>26600000</v>
      </c>
      <c r="N100" s="13">
        <f t="shared" si="14"/>
        <v>0.27041806731495183</v>
      </c>
      <c r="O100" s="13">
        <f t="shared" si="15"/>
        <v>0.51904889697893597</v>
      </c>
      <c r="P100" s="11">
        <f t="shared" si="16"/>
        <v>1.4981160929248331E-2</v>
      </c>
      <c r="Q100" s="11">
        <f t="shared" si="17"/>
        <v>5.91715742555987E-2</v>
      </c>
      <c r="R100" s="11">
        <f t="shared" si="18"/>
        <v>4.1103546231872679E-2</v>
      </c>
      <c r="S100" s="11">
        <f t="shared" si="19"/>
        <v>7.0071601092156363E-2</v>
      </c>
    </row>
    <row r="101" spans="11:19">
      <c r="K101" t="s">
        <v>773</v>
      </c>
      <c r="L101" s="3">
        <v>801.93340000000001</v>
      </c>
      <c r="M101">
        <v>0</v>
      </c>
      <c r="N101" s="13">
        <f t="shared" si="14"/>
        <v>0</v>
      </c>
      <c r="O101" s="13">
        <f t="shared" si="15"/>
        <v>0</v>
      </c>
      <c r="P101" s="11">
        <f t="shared" si="16"/>
        <v>0</v>
      </c>
      <c r="Q101" s="11">
        <f t="shared" si="17"/>
        <v>0</v>
      </c>
      <c r="R101" s="11">
        <f t="shared" si="18"/>
        <v>0</v>
      </c>
      <c r="S101" s="11">
        <f t="shared" si="19"/>
        <v>0</v>
      </c>
    </row>
    <row r="102" spans="11:19">
      <c r="K102" t="s">
        <v>370</v>
      </c>
      <c r="L102" s="3">
        <v>1498.338</v>
      </c>
      <c r="M102">
        <v>301395</v>
      </c>
      <c r="N102" s="13">
        <f t="shared" si="14"/>
        <v>4.2443257128898819E-3</v>
      </c>
      <c r="O102" s="13">
        <f t="shared" si="15"/>
        <v>8.1466915342199159E-3</v>
      </c>
      <c r="P102" s="11">
        <f t="shared" si="16"/>
        <v>2.3513564449409945E-4</v>
      </c>
      <c r="Q102" s="11">
        <f t="shared" si="17"/>
        <v>9.2872283490107047E-4</v>
      </c>
      <c r="R102" s="11">
        <f t="shared" si="18"/>
        <v>6.4513750835926208E-4</v>
      </c>
      <c r="S102" s="11">
        <f t="shared" si="19"/>
        <v>1.0998033571196887E-3</v>
      </c>
    </row>
    <row r="103" spans="11:19">
      <c r="K103" t="s">
        <v>371</v>
      </c>
      <c r="L103" s="3">
        <v>1200.8399999999999</v>
      </c>
      <c r="M103">
        <v>1766017</v>
      </c>
      <c r="N103" s="13">
        <f t="shared" si="14"/>
        <v>3.1030744062489592E-2</v>
      </c>
      <c r="O103" s="13">
        <f t="shared" si="15"/>
        <v>5.9561380783451585E-2</v>
      </c>
      <c r="P103" s="11">
        <f t="shared" si="16"/>
        <v>1.7191032210619234E-3</v>
      </c>
      <c r="Q103" s="11">
        <f t="shared" si="17"/>
        <v>6.7899974093134806E-3</v>
      </c>
      <c r="R103" s="11">
        <f t="shared" si="18"/>
        <v>4.7166730974984175E-3</v>
      </c>
      <c r="S103" s="11">
        <f t="shared" si="19"/>
        <v>8.0407864057659654E-3</v>
      </c>
    </row>
    <row r="104" spans="11:19">
      <c r="K104" t="s">
        <v>372</v>
      </c>
      <c r="L104" s="3">
        <v>1538.739</v>
      </c>
      <c r="M104">
        <v>678151</v>
      </c>
      <c r="N104" s="13">
        <f t="shared" si="14"/>
        <v>9.2991638607977049E-3</v>
      </c>
      <c r="O104" s="13">
        <f t="shared" si="15"/>
        <v>1.7849105988734931E-2</v>
      </c>
      <c r="P104" s="11">
        <f t="shared" si="16"/>
        <v>5.151736778881928E-4</v>
      </c>
      <c r="Q104" s="11">
        <f t="shared" si="17"/>
        <v>2.0347980827157821E-3</v>
      </c>
      <c r="R104" s="11">
        <f t="shared" si="18"/>
        <v>1.413472906841251E-3</v>
      </c>
      <c r="S104" s="11">
        <f t="shared" si="19"/>
        <v>2.4096293084792161E-3</v>
      </c>
    </row>
    <row r="105" spans="11:19">
      <c r="K105" t="s">
        <v>373</v>
      </c>
      <c r="L105" s="3">
        <v>1750.269</v>
      </c>
      <c r="M105">
        <v>651072</v>
      </c>
      <c r="N105" s="13">
        <f t="shared" si="14"/>
        <v>7.8488616321262632E-3</v>
      </c>
      <c r="O105" s="13">
        <f t="shared" si="15"/>
        <v>1.5065350526119129E-2</v>
      </c>
      <c r="P105" s="11">
        <f t="shared" si="16"/>
        <v>4.3482693441979499E-4</v>
      </c>
      <c r="Q105" s="11">
        <f t="shared" si="17"/>
        <v>1.7174499599775807E-3</v>
      </c>
      <c r="R105" s="11">
        <f t="shared" si="18"/>
        <v>1.193026968083192E-3</v>
      </c>
      <c r="S105" s="11">
        <f t="shared" si="19"/>
        <v>2.0338223210260827E-3</v>
      </c>
    </row>
    <row r="106" spans="11:19">
      <c r="K106" t="s">
        <v>374</v>
      </c>
      <c r="L106" s="3">
        <v>1708.8130000000001</v>
      </c>
      <c r="M106">
        <v>6523543</v>
      </c>
      <c r="N106" s="13">
        <f t="shared" si="14"/>
        <v>8.0551094414660934E-2</v>
      </c>
      <c r="O106" s="13">
        <f t="shared" si="15"/>
        <v>0.15461229022719281</v>
      </c>
      <c r="P106" s="11">
        <f t="shared" si="16"/>
        <v>4.4625306305722152E-3</v>
      </c>
      <c r="Q106" s="11">
        <f t="shared" si="17"/>
        <v>1.7625801085899982E-2</v>
      </c>
      <c r="R106" s="11">
        <f t="shared" si="18"/>
        <v>1.2243766351028461E-2</v>
      </c>
      <c r="S106" s="11">
        <f t="shared" si="19"/>
        <v>2.0872659180671028E-2</v>
      </c>
    </row>
    <row r="107" spans="11:19">
      <c r="K107" t="s">
        <v>375</v>
      </c>
      <c r="L107" s="3">
        <v>1497.375</v>
      </c>
      <c r="M107" s="14">
        <v>431264</v>
      </c>
      <c r="N107" s="13">
        <f t="shared" si="14"/>
        <v>6.0770818265297602E-3</v>
      </c>
      <c r="O107" s="13">
        <f t="shared" si="15"/>
        <v>1.166454094665665E-2</v>
      </c>
      <c r="P107" s="11">
        <f t="shared" si="16"/>
        <v>3.366703331897487E-4</v>
      </c>
      <c r="Q107" s="11">
        <f t="shared" si="17"/>
        <v>1.3297576679188582E-3</v>
      </c>
      <c r="R107" s="11">
        <f t="shared" si="18"/>
        <v>9.2371643763252353E-4</v>
      </c>
      <c r="S107" s="11">
        <f t="shared" si="19"/>
        <v>1.5747130277986479E-3</v>
      </c>
    </row>
    <row r="108" spans="11:19">
      <c r="K108" t="s">
        <v>376</v>
      </c>
      <c r="L108" s="3">
        <v>2393.732</v>
      </c>
      <c r="M108" s="14">
        <v>729407</v>
      </c>
      <c r="N108" s="13">
        <f t="shared" si="14"/>
        <v>6.4294949058624779E-3</v>
      </c>
      <c r="O108" s="13">
        <f t="shared" si="15"/>
        <v>1.2340973634475371E-2</v>
      </c>
      <c r="P108" s="11">
        <f t="shared" si="16"/>
        <v>3.5619401778478124E-4</v>
      </c>
      <c r="Q108" s="11">
        <f t="shared" si="17"/>
        <v>1.4068709943301924E-3</v>
      </c>
      <c r="R108" s="11">
        <f t="shared" si="18"/>
        <v>9.7728322569109669E-4</v>
      </c>
      <c r="S108" s="11">
        <f t="shared" si="19"/>
        <v>1.6660314406541752E-3</v>
      </c>
    </row>
    <row r="109" spans="11:19">
      <c r="K109" t="s">
        <v>377</v>
      </c>
      <c r="L109" s="3">
        <v>2502.913</v>
      </c>
      <c r="M109">
        <v>1660161</v>
      </c>
      <c r="N109" s="13">
        <f t="shared" si="14"/>
        <v>1.3995451340098518E-2</v>
      </c>
      <c r="O109" s="13">
        <f t="shared" si="15"/>
        <v>2.6863307074596679E-2</v>
      </c>
      <c r="P109" s="11">
        <f t="shared" si="16"/>
        <v>7.7534800424145791E-4</v>
      </c>
      <c r="Q109" s="11">
        <f t="shared" si="17"/>
        <v>3.0624170065040217E-3</v>
      </c>
      <c r="R109" s="11">
        <f t="shared" si="18"/>
        <v>2.1273086036949747E-3</v>
      </c>
      <c r="S109" s="11">
        <f t="shared" si="19"/>
        <v>3.626546455070552E-3</v>
      </c>
    </row>
    <row r="110" spans="11:19">
      <c r="K110" t="s">
        <v>378</v>
      </c>
      <c r="L110" s="3">
        <v>1668.12</v>
      </c>
      <c r="M110">
        <v>3334041</v>
      </c>
      <c r="N110" s="13">
        <f t="shared" si="14"/>
        <v>4.2172184914754336E-2</v>
      </c>
      <c r="O110" s="13">
        <f t="shared" si="15"/>
        <v>8.0946610855334153E-2</v>
      </c>
      <c r="P110" s="11">
        <f t="shared" si="16"/>
        <v>2.3363390442773901E-3</v>
      </c>
      <c r="Q110" s="11">
        <f t="shared" si="17"/>
        <v>9.227913637508094E-3</v>
      </c>
      <c r="R110" s="11">
        <f t="shared" si="18"/>
        <v>6.410172107042659E-3</v>
      </c>
      <c r="S110" s="11">
        <f t="shared" si="19"/>
        <v>1.0927792465470111E-2</v>
      </c>
    </row>
    <row r="111" spans="11:19">
      <c r="K111" t="s">
        <v>379</v>
      </c>
      <c r="L111" s="3">
        <v>1904.1220000000001</v>
      </c>
      <c r="M111">
        <v>1191468</v>
      </c>
      <c r="N111" s="13">
        <f t="shared" si="14"/>
        <v>1.3202922291743911E-2</v>
      </c>
      <c r="O111" s="13">
        <f t="shared" si="15"/>
        <v>2.5342102029176701E-2</v>
      </c>
      <c r="P111" s="11">
        <f t="shared" si="16"/>
        <v>7.3144189496261258E-4</v>
      </c>
      <c r="Q111" s="11">
        <f t="shared" si="17"/>
        <v>2.8889996313261439E-3</v>
      </c>
      <c r="R111" s="11">
        <f t="shared" si="18"/>
        <v>2.0068441883450746E-3</v>
      </c>
      <c r="S111" s="11">
        <f t="shared" si="19"/>
        <v>3.4211837739388548E-3</v>
      </c>
    </row>
    <row r="112" spans="11:19">
      <c r="K112" t="s">
        <v>380</v>
      </c>
      <c r="L112" s="3">
        <v>1021.287</v>
      </c>
      <c r="M112">
        <v>375675</v>
      </c>
      <c r="N112" s="13">
        <f t="shared" si="14"/>
        <v>7.761522960734837E-3</v>
      </c>
      <c r="O112" s="13">
        <f t="shared" si="15"/>
        <v>1.4897709948329901E-2</v>
      </c>
      <c r="P112" s="11">
        <f t="shared" si="16"/>
        <v>4.2998837202470994E-4</v>
      </c>
      <c r="Q112" s="11">
        <f t="shared" si="17"/>
        <v>1.6983389341096089E-3</v>
      </c>
      <c r="R112" s="11">
        <f t="shared" si="18"/>
        <v>1.1797514900316953E-3</v>
      </c>
      <c r="S112" s="11">
        <f t="shared" si="19"/>
        <v>2.0111908430245368E-3</v>
      </c>
    </row>
    <row r="113" spans="11:19">
      <c r="K113" t="s">
        <v>381</v>
      </c>
      <c r="L113" s="3">
        <v>1158.72</v>
      </c>
      <c r="M113">
        <v>617528</v>
      </c>
      <c r="N113" s="13">
        <f t="shared" si="14"/>
        <v>1.1245029687931511E-2</v>
      </c>
      <c r="O113" s="13">
        <f t="shared" si="15"/>
        <v>2.158406172328086E-2</v>
      </c>
      <c r="P113" s="11">
        <f t="shared" si="16"/>
        <v>6.2297464471140567E-4</v>
      </c>
      <c r="Q113" s="11">
        <f t="shared" si="17"/>
        <v>2.4605830364540183E-3</v>
      </c>
      <c r="R113" s="11">
        <f t="shared" si="18"/>
        <v>1.7092445125655895E-3</v>
      </c>
      <c r="S113" s="11">
        <f t="shared" si="19"/>
        <v>2.9138483326429164E-3</v>
      </c>
    </row>
    <row r="114" spans="11:19">
      <c r="K114" t="s">
        <v>382</v>
      </c>
      <c r="L114" s="3">
        <v>1323.4010000000001</v>
      </c>
      <c r="M114">
        <v>650082</v>
      </c>
      <c r="N114" s="13">
        <f t="shared" si="14"/>
        <v>1.0364757318454498E-2</v>
      </c>
      <c r="O114" s="13">
        <f t="shared" si="15"/>
        <v>1.9894439402720718E-2</v>
      </c>
      <c r="P114" s="11">
        <f t="shared" si="16"/>
        <v>5.7420755544237913E-4</v>
      </c>
      <c r="Q114" s="11">
        <f t="shared" si="17"/>
        <v>2.2679660919101619E-3</v>
      </c>
      <c r="R114" s="11">
        <f t="shared" si="18"/>
        <v>1.5754431124050837E-3</v>
      </c>
      <c r="S114" s="11">
        <f t="shared" si="19"/>
        <v>2.6857493193672972E-3</v>
      </c>
    </row>
    <row r="115" spans="11:19">
      <c r="K115" t="s">
        <v>383</v>
      </c>
      <c r="L115" s="3">
        <v>1379.944</v>
      </c>
      <c r="M115">
        <v>3208478</v>
      </c>
      <c r="N115" s="13">
        <f t="shared" si="14"/>
        <v>4.9059154429455118E-2</v>
      </c>
      <c r="O115" s="13">
        <f t="shared" si="15"/>
        <v>9.4165675563646078E-2</v>
      </c>
      <c r="P115" s="11">
        <f t="shared" si="16"/>
        <v>2.7178771553918136E-3</v>
      </c>
      <c r="Q115" s="11">
        <f t="shared" si="17"/>
        <v>1.0734887014255654E-2</v>
      </c>
      <c r="R115" s="11">
        <f t="shared" si="18"/>
        <v>7.4569914732771775E-3</v>
      </c>
      <c r="S115" s="11">
        <f t="shared" si="19"/>
        <v>1.2712366201092222E-2</v>
      </c>
    </row>
    <row r="116" spans="11:19">
      <c r="K116" t="s">
        <v>384</v>
      </c>
      <c r="L116" s="3">
        <v>1000.03</v>
      </c>
      <c r="M116">
        <v>144738</v>
      </c>
      <c r="N116" s="13">
        <f t="shared" si="14"/>
        <v>3.0538801835944926E-3</v>
      </c>
      <c r="O116" s="13">
        <f t="shared" si="15"/>
        <v>5.8617131486055421E-3</v>
      </c>
      <c r="P116" s="11">
        <f t="shared" si="16"/>
        <v>1.6918496217113488E-4</v>
      </c>
      <c r="Q116" s="11">
        <f t="shared" si="17"/>
        <v>6.6823529894103186E-4</v>
      </c>
      <c r="R116" s="11">
        <f t="shared" si="18"/>
        <v>4.6418978790636287E-4</v>
      </c>
      <c r="S116" s="11">
        <f t="shared" si="19"/>
        <v>7.9133127506174827E-4</v>
      </c>
    </row>
    <row r="117" spans="11:19">
      <c r="K117" t="s">
        <v>385</v>
      </c>
      <c r="L117" s="3">
        <v>1949.22</v>
      </c>
      <c r="M117">
        <v>169083</v>
      </c>
      <c r="N117" s="13">
        <f t="shared" si="14"/>
        <v>1.8302968879859638E-3</v>
      </c>
      <c r="O117" s="13">
        <f t="shared" si="15"/>
        <v>3.5131290977929636E-3</v>
      </c>
      <c r="P117" s="11">
        <f t="shared" si="16"/>
        <v>1.0139844759442239E-4</v>
      </c>
      <c r="Q117" s="11">
        <f t="shared" si="17"/>
        <v>4.0049671714839787E-4</v>
      </c>
      <c r="R117" s="11">
        <f t="shared" si="18"/>
        <v>2.7820512697386649E-4</v>
      </c>
      <c r="S117" s="11">
        <f t="shared" si="19"/>
        <v>4.7427242820205013E-4</v>
      </c>
    </row>
    <row r="118" spans="11:19">
      <c r="K118" t="s">
        <v>386</v>
      </c>
      <c r="L118" s="3">
        <v>1318.1120000000001</v>
      </c>
      <c r="M118">
        <v>935763</v>
      </c>
      <c r="N118" s="13">
        <f t="shared" si="14"/>
        <v>1.4979454932509529E-2</v>
      </c>
      <c r="O118" s="13">
        <f t="shared" si="15"/>
        <v>2.8752034349129665E-2</v>
      </c>
      <c r="P118" s="11">
        <f t="shared" si="16"/>
        <v>8.2986180326102789E-4</v>
      </c>
      <c r="Q118" s="11">
        <f t="shared" si="17"/>
        <v>3.2777319158007819E-3</v>
      </c>
      <c r="R118" s="11">
        <f t="shared" si="18"/>
        <v>2.2768771497414485E-3</v>
      </c>
      <c r="S118" s="11">
        <f t="shared" si="19"/>
        <v>3.8815246371325051E-3</v>
      </c>
    </row>
    <row r="119" spans="11:19">
      <c r="K119" t="s">
        <v>387</v>
      </c>
      <c r="L119" s="3">
        <v>1438.577</v>
      </c>
      <c r="M119">
        <v>281454</v>
      </c>
      <c r="N119" s="13">
        <f t="shared" si="14"/>
        <v>4.128162343760536E-3</v>
      </c>
      <c r="O119" s="13">
        <f t="shared" si="15"/>
        <v>7.9237239299669044E-3</v>
      </c>
      <c r="P119" s="11">
        <f t="shared" si="16"/>
        <v>2.2870019384433368E-4</v>
      </c>
      <c r="Q119" s="11">
        <f t="shared" si="17"/>
        <v>9.0330452801622716E-4</v>
      </c>
      <c r="R119" s="11">
        <f t="shared" si="18"/>
        <v>6.274806762516014E-4</v>
      </c>
      <c r="S119" s="11">
        <f t="shared" si="19"/>
        <v>1.0697027305455321E-3</v>
      </c>
    </row>
    <row r="120" spans="11:19">
      <c r="K120" t="s">
        <v>388</v>
      </c>
      <c r="L120" s="3">
        <v>1503.9069999999999</v>
      </c>
      <c r="M120">
        <v>442358</v>
      </c>
      <c r="N120" s="13">
        <f t="shared" si="14"/>
        <v>6.2063370939825415E-3</v>
      </c>
      <c r="O120" s="13">
        <f t="shared" si="15"/>
        <v>1.1912637550061276E-2</v>
      </c>
      <c r="P120" s="11">
        <f t="shared" si="16"/>
        <v>3.438310750066328E-4</v>
      </c>
      <c r="Q120" s="11">
        <f t="shared" si="17"/>
        <v>1.3580406807069856E-3</v>
      </c>
      <c r="R120" s="11">
        <f t="shared" si="18"/>
        <v>9.4336323828534633E-4</v>
      </c>
      <c r="S120" s="11">
        <f t="shared" si="19"/>
        <v>1.6082060692582723E-3</v>
      </c>
    </row>
    <row r="121" spans="11:19">
      <c r="K121" t="s">
        <v>389</v>
      </c>
      <c r="L121" s="3">
        <v>1156.4639999999999</v>
      </c>
      <c r="M121">
        <v>1526520</v>
      </c>
      <c r="N121" s="13">
        <f t="shared" si="14"/>
        <v>2.7851772299008013E-2</v>
      </c>
      <c r="O121" s="13">
        <f t="shared" si="15"/>
        <v>5.345956294359358E-2</v>
      </c>
      <c r="P121" s="11">
        <f t="shared" si="16"/>
        <v>1.542988185365044E-3</v>
      </c>
      <c r="Q121" s="11">
        <f t="shared" si="17"/>
        <v>6.0943901755696681E-3</v>
      </c>
      <c r="R121" s="11">
        <f t="shared" si="18"/>
        <v>4.2334693894492178E-3</v>
      </c>
      <c r="S121" s="11">
        <f t="shared" si="19"/>
        <v>7.2170409973851338E-3</v>
      </c>
    </row>
    <row r="122" spans="11:19">
      <c r="K122" t="s">
        <v>390</v>
      </c>
      <c r="L122" s="3">
        <v>1780.261</v>
      </c>
      <c r="M122">
        <v>4661278</v>
      </c>
      <c r="N122" s="13">
        <f t="shared" si="14"/>
        <v>5.524637443610797E-2</v>
      </c>
      <c r="O122" s="13">
        <f t="shared" si="15"/>
        <v>0.10604161917831151</v>
      </c>
      <c r="P122" s="11">
        <f t="shared" si="16"/>
        <v>3.0606491437603816E-3</v>
      </c>
      <c r="Q122" s="11">
        <f t="shared" si="17"/>
        <v>1.2088744586327513E-2</v>
      </c>
      <c r="R122" s="11">
        <f t="shared" si="18"/>
        <v>8.3974489142884107E-3</v>
      </c>
      <c r="S122" s="11">
        <f t="shared" si="19"/>
        <v>1.4315618589072054E-2</v>
      </c>
    </row>
    <row r="123" spans="11:19">
      <c r="K123" t="s">
        <v>391</v>
      </c>
      <c r="L123" s="3">
        <v>1163.8689999999999</v>
      </c>
      <c r="M123">
        <v>2846734</v>
      </c>
      <c r="N123" s="13">
        <f t="shared" si="14"/>
        <v>5.1608976096107047E-2</v>
      </c>
      <c r="O123" s="13">
        <f t="shared" si="15"/>
        <v>9.9059883028072754E-2</v>
      </c>
      <c r="P123" s="11">
        <f t="shared" si="16"/>
        <v>2.8591372757243304E-3</v>
      </c>
      <c r="Q123" s="11">
        <f t="shared" si="17"/>
        <v>1.1292826665200295E-2</v>
      </c>
      <c r="R123" s="11">
        <f t="shared" si="18"/>
        <v>7.8445643666082716E-3</v>
      </c>
      <c r="S123" s="11">
        <f t="shared" si="19"/>
        <v>1.3373084208789823E-2</v>
      </c>
    </row>
    <row r="124" spans="11:19">
      <c r="K124" t="s">
        <v>392</v>
      </c>
      <c r="L124" s="3">
        <v>3310.0369999999998</v>
      </c>
      <c r="M124">
        <v>305687</v>
      </c>
      <c r="N124" s="13">
        <f t="shared" si="14"/>
        <v>1.9486174021619701E-3</v>
      </c>
      <c r="O124" s="13">
        <f t="shared" si="15"/>
        <v>3.7402371937232128E-3</v>
      </c>
      <c r="P124" s="11">
        <f t="shared" si="16"/>
        <v>1.0795340407977314E-4</v>
      </c>
      <c r="Q124" s="11">
        <f t="shared" si="17"/>
        <v>4.2638704008444626E-4</v>
      </c>
      <c r="R124" s="11">
        <f t="shared" si="18"/>
        <v>2.9618984512861946E-4</v>
      </c>
      <c r="S124" s="11">
        <f t="shared" si="19"/>
        <v>5.0493202115263372E-4</v>
      </c>
    </row>
    <row r="125" spans="11:19">
      <c r="K125" t="s">
        <v>393</v>
      </c>
      <c r="L125" s="3">
        <v>1567.973</v>
      </c>
      <c r="M125">
        <v>374692</v>
      </c>
      <c r="N125" s="13">
        <f t="shared" si="14"/>
        <v>5.0421794252834716E-3</v>
      </c>
      <c r="O125" s="13">
        <f t="shared" si="15"/>
        <v>9.6781169063497909E-3</v>
      </c>
      <c r="P125" s="11">
        <f t="shared" si="16"/>
        <v>2.793367401607043E-4</v>
      </c>
      <c r="Q125" s="11">
        <f t="shared" si="17"/>
        <v>1.1033053273238763E-3</v>
      </c>
      <c r="R125" s="11">
        <f t="shared" si="18"/>
        <v>7.6641127264308762E-4</v>
      </c>
      <c r="S125" s="11">
        <f t="shared" si="19"/>
        <v>1.3065457823572219E-3</v>
      </c>
    </row>
    <row r="126" spans="11:19">
      <c r="K126" t="s">
        <v>394</v>
      </c>
      <c r="L126" s="3">
        <v>1053.1420000000001</v>
      </c>
      <c r="M126">
        <v>743668</v>
      </c>
      <c r="N126" s="13">
        <f t="shared" si="14"/>
        <v>1.4899600243841762E-2</v>
      </c>
      <c r="O126" s="13">
        <f t="shared" si="15"/>
        <v>2.8598758761876366E-2</v>
      </c>
      <c r="P126" s="11">
        <f t="shared" si="16"/>
        <v>8.2543785350883353E-4</v>
      </c>
      <c r="Q126" s="11">
        <f t="shared" si="17"/>
        <v>3.2602584988539059E-3</v>
      </c>
      <c r="R126" s="11">
        <f t="shared" si="18"/>
        <v>2.2647392370639479E-3</v>
      </c>
      <c r="S126" s="11">
        <f t="shared" si="19"/>
        <v>3.8608324328533099E-3</v>
      </c>
    </row>
    <row r="127" spans="11:19">
      <c r="K127" t="s">
        <v>395</v>
      </c>
      <c r="L127" s="3">
        <v>2347.4259999999999</v>
      </c>
      <c r="M127">
        <v>4114157</v>
      </c>
      <c r="N127" s="13">
        <f t="shared" si="14"/>
        <v>3.6980383066388463E-2</v>
      </c>
      <c r="O127" s="13">
        <f t="shared" si="15"/>
        <v>7.0981303989987338E-2</v>
      </c>
      <c r="P127" s="11">
        <f t="shared" si="16"/>
        <v>2.0487132218779207E-3</v>
      </c>
      <c r="Q127" s="11">
        <f t="shared" si="17"/>
        <v>8.0918686548585566E-3</v>
      </c>
      <c r="R127" s="11">
        <f t="shared" si="18"/>
        <v>5.6210182260910463E-3</v>
      </c>
      <c r="S127" s="11">
        <f t="shared" si="19"/>
        <v>9.5824760386482907E-3</v>
      </c>
    </row>
    <row r="128" spans="11:19">
      <c r="K128" t="s">
        <v>396</v>
      </c>
      <c r="L128" s="3">
        <v>1306.837</v>
      </c>
      <c r="M128" s="14">
        <v>440808</v>
      </c>
      <c r="N128" s="13">
        <f t="shared" si="14"/>
        <v>7.1172218111363551E-3</v>
      </c>
      <c r="O128" s="13">
        <f t="shared" si="15"/>
        <v>1.3661018168294899E-2</v>
      </c>
      <c r="P128" s="11">
        <f t="shared" si="16"/>
        <v>3.9429408833695407E-4</v>
      </c>
      <c r="Q128" s="11">
        <f t="shared" si="17"/>
        <v>1.5573560711856186E-3</v>
      </c>
      <c r="R128" s="11">
        <f t="shared" si="18"/>
        <v>1.081817715292726E-3</v>
      </c>
      <c r="S128" s="11">
        <f t="shared" si="19"/>
        <v>1.8442374527198116E-3</v>
      </c>
    </row>
    <row r="129" spans="11:19">
      <c r="K129" t="s">
        <v>397</v>
      </c>
      <c r="L129" s="3">
        <v>1545.8150000000001</v>
      </c>
      <c r="M129">
        <v>392470</v>
      </c>
      <c r="N129" s="13">
        <f t="shared" si="14"/>
        <v>5.3571203539880263E-3</v>
      </c>
      <c r="O129" s="13">
        <f t="shared" si="15"/>
        <v>1.0282624376138154E-2</v>
      </c>
      <c r="P129" s="11">
        <f t="shared" si="16"/>
        <v>2.9678446761093665E-4</v>
      </c>
      <c r="Q129" s="11">
        <f t="shared" si="17"/>
        <v>1.1722191788797497E-3</v>
      </c>
      <c r="R129" s="11">
        <f t="shared" si="18"/>
        <v>8.1428229380617995E-4</v>
      </c>
      <c r="S129" s="11">
        <f t="shared" si="19"/>
        <v>1.3881542907786509E-3</v>
      </c>
    </row>
    <row r="130" spans="11:19">
      <c r="K130" t="s">
        <v>398</v>
      </c>
      <c r="L130" s="3">
        <v>1408.1980000000001</v>
      </c>
      <c r="M130">
        <v>1296480</v>
      </c>
      <c r="N130" s="13">
        <f t="shared" si="14"/>
        <v>1.9426052302304077E-2</v>
      </c>
      <c r="O130" s="13">
        <f t="shared" si="15"/>
        <v>3.7286972428593135E-2</v>
      </c>
      <c r="P130" s="11">
        <f t="shared" si="16"/>
        <v>1.0762032975476458E-3</v>
      </c>
      <c r="Q130" s="11">
        <f t="shared" si="17"/>
        <v>4.2507148568596172E-3</v>
      </c>
      <c r="R130" s="11">
        <f t="shared" si="18"/>
        <v>2.9527599499502197E-3</v>
      </c>
      <c r="S130" s="11">
        <f t="shared" si="19"/>
        <v>5.0337412778600739E-3</v>
      </c>
    </row>
    <row r="131" spans="11:19">
      <c r="K131" t="s">
        <v>399</v>
      </c>
      <c r="L131" s="3">
        <v>1868.9480000000001</v>
      </c>
      <c r="M131">
        <v>577666</v>
      </c>
      <c r="N131" s="13">
        <f t="shared" si="14"/>
        <v>6.521718421272288E-3</v>
      </c>
      <c r="O131" s="13">
        <f t="shared" si="15"/>
        <v>1.2517990334669557E-2</v>
      </c>
      <c r="P131" s="11">
        <f t="shared" si="16"/>
        <v>3.6130320053848474E-4</v>
      </c>
      <c r="Q131" s="11">
        <f t="shared" si="17"/>
        <v>1.4270508981523297E-3</v>
      </c>
      <c r="R131" s="11">
        <f t="shared" si="18"/>
        <v>9.9130120003338784E-4</v>
      </c>
      <c r="S131" s="11">
        <f t="shared" si="19"/>
        <v>1.6899286951803903E-3</v>
      </c>
    </row>
    <row r="132" spans="11:19">
      <c r="K132" t="s">
        <v>400</v>
      </c>
      <c r="L132" s="3">
        <v>1962.164</v>
      </c>
      <c r="M132">
        <v>410144</v>
      </c>
      <c r="N132" s="13">
        <f t="shared" si="14"/>
        <v>4.4104562105919788E-3</v>
      </c>
      <c r="O132" s="13">
        <f t="shared" si="15"/>
        <v>8.4655676080083019E-3</v>
      </c>
      <c r="P132" s="11">
        <f t="shared" si="16"/>
        <v>2.4433927406679562E-4</v>
      </c>
      <c r="Q132" s="11">
        <f t="shared" si="17"/>
        <v>9.650747073129465E-4</v>
      </c>
      <c r="R132" s="11">
        <f t="shared" si="18"/>
        <v>6.7038934400998073E-4</v>
      </c>
      <c r="S132" s="11">
        <f t="shared" si="19"/>
        <v>1.1428516270811208E-3</v>
      </c>
    </row>
    <row r="133" spans="11:19">
      <c r="K133" t="s">
        <v>401</v>
      </c>
      <c r="L133" s="3">
        <v>975.38170000000002</v>
      </c>
      <c r="M133">
        <v>767251</v>
      </c>
      <c r="N133" s="13">
        <f t="shared" si="14"/>
        <v>1.6597600816172786E-2</v>
      </c>
      <c r="O133" s="13">
        <f t="shared" si="15"/>
        <v>3.1857954173222652E-2</v>
      </c>
      <c r="P133" s="11">
        <f t="shared" si="16"/>
        <v>9.1950708521597237E-4</v>
      </c>
      <c r="Q133" s="11">
        <f t="shared" si="17"/>
        <v>3.6318067757473826E-3</v>
      </c>
      <c r="R133" s="11">
        <f t="shared" si="18"/>
        <v>2.5228353240582635E-3</v>
      </c>
      <c r="S133" s="11">
        <f t="shared" si="19"/>
        <v>4.3008238133850586E-3</v>
      </c>
    </row>
    <row r="134" spans="11:19">
      <c r="K134" t="s">
        <v>402</v>
      </c>
      <c r="L134" s="3">
        <v>5786.2340000000004</v>
      </c>
      <c r="M134">
        <v>1739043</v>
      </c>
      <c r="N134" s="13">
        <f t="shared" si="14"/>
        <v>6.3415698881172109E-3</v>
      </c>
      <c r="O134" s="13">
        <f t="shared" si="15"/>
        <v>1.2172207605153888E-2</v>
      </c>
      <c r="P134" s="11">
        <f t="shared" si="16"/>
        <v>3.5132297180169347E-4</v>
      </c>
      <c r="Q134" s="11">
        <f t="shared" si="17"/>
        <v>1.3876316669875432E-3</v>
      </c>
      <c r="R134" s="11">
        <f t="shared" si="18"/>
        <v>9.6391862299381606E-4</v>
      </c>
      <c r="S134" s="11">
        <f t="shared" si="19"/>
        <v>1.6432480266957751E-3</v>
      </c>
    </row>
    <row r="135" spans="11:19">
      <c r="K135" t="s">
        <v>403</v>
      </c>
      <c r="L135" s="3">
        <v>1716.001</v>
      </c>
      <c r="M135">
        <v>314845</v>
      </c>
      <c r="N135" s="13">
        <f t="shared" si="14"/>
        <v>3.8713436064431203E-3</v>
      </c>
      <c r="O135" s="13">
        <f t="shared" si="15"/>
        <v>7.4307780123671263E-3</v>
      </c>
      <c r="P135" s="11">
        <f t="shared" si="16"/>
        <v>2.1447243579694885E-4</v>
      </c>
      <c r="Q135" s="11">
        <f t="shared" si="17"/>
        <v>8.4710869340985239E-4</v>
      </c>
      <c r="R135" s="11">
        <f t="shared" si="18"/>
        <v>5.8844422817935424E-4</v>
      </c>
      <c r="S135" s="11">
        <f t="shared" si="19"/>
        <v>1.0031550316695621E-3</v>
      </c>
    </row>
    <row r="136" spans="11:19">
      <c r="K136" t="s">
        <v>404</v>
      </c>
      <c r="L136" s="3">
        <v>3361.6480000000001</v>
      </c>
      <c r="M136" s="14">
        <v>18300000</v>
      </c>
      <c r="N136" s="13">
        <f t="shared" si="14"/>
        <v>0.11486330514081189</v>
      </c>
      <c r="O136" s="13">
        <f t="shared" si="15"/>
        <v>0.22047222076790907</v>
      </c>
      <c r="P136" s="11">
        <f t="shared" si="16"/>
        <v>6.3634271048009783E-3</v>
      </c>
      <c r="Q136" s="11">
        <f t="shared" si="17"/>
        <v>2.5133833167541635E-2</v>
      </c>
      <c r="R136" s="11">
        <f t="shared" si="18"/>
        <v>1.7459222381403405E-2</v>
      </c>
      <c r="S136" s="11">
        <f t="shared" si="19"/>
        <v>2.9763749803667725E-2</v>
      </c>
    </row>
    <row r="137" spans="11:19">
      <c r="K137" t="s">
        <v>295</v>
      </c>
      <c r="L137" s="3">
        <v>2433.1990000000001</v>
      </c>
      <c r="M137" s="14">
        <v>40700000</v>
      </c>
      <c r="N137" s="13">
        <f t="shared" si="14"/>
        <v>0.35293866223025738</v>
      </c>
      <c r="O137" s="13">
        <f t="shared" si="15"/>
        <v>0.67744150807229497</v>
      </c>
      <c r="P137" s="11">
        <f t="shared" si="16"/>
        <v>1.9552801887556259E-2</v>
      </c>
      <c r="Q137" s="11">
        <f t="shared" si="17"/>
        <v>7.722833192024163E-2</v>
      </c>
      <c r="R137" s="11">
        <f t="shared" si="18"/>
        <v>5.3646676658999123E-2</v>
      </c>
      <c r="S137" s="11">
        <f t="shared" si="19"/>
        <v>9.1454603589759834E-2</v>
      </c>
    </row>
    <row r="138" spans="11:19">
      <c r="K138" t="s">
        <v>405</v>
      </c>
      <c r="L138" s="3">
        <v>1891.548</v>
      </c>
      <c r="M138">
        <v>782021</v>
      </c>
      <c r="N138" s="13">
        <f t="shared" si="14"/>
        <v>8.7233541522604777E-3</v>
      </c>
      <c r="O138" s="13">
        <f t="shared" si="15"/>
        <v>1.6743878823059211E-2</v>
      </c>
      <c r="P138" s="11">
        <f t="shared" si="16"/>
        <v>4.8327382003523047E-4</v>
      </c>
      <c r="Q138" s="11">
        <f t="shared" si="17"/>
        <v>1.9088021858287502E-3</v>
      </c>
      <c r="R138" s="11">
        <f t="shared" si="18"/>
        <v>1.3259498311435926E-3</v>
      </c>
      <c r="S138" s="11">
        <f t="shared" si="19"/>
        <v>2.2604236411129935E-3</v>
      </c>
    </row>
    <row r="139" spans="11:19">
      <c r="K139" t="s">
        <v>406</v>
      </c>
      <c r="L139" s="3">
        <v>908.50930000000005</v>
      </c>
      <c r="M139">
        <v>612046</v>
      </c>
      <c r="N139" s="13">
        <f t="shared" si="14"/>
        <v>1.4214681786966847E-2</v>
      </c>
      <c r="O139" s="13">
        <f t="shared" si="15"/>
        <v>2.7284104851761009E-2</v>
      </c>
      <c r="P139" s="11">
        <f t="shared" si="16"/>
        <v>7.8749337099796337E-4</v>
      </c>
      <c r="Q139" s="11">
        <f t="shared" si="17"/>
        <v>3.1103879531007551E-3</v>
      </c>
      <c r="R139" s="11">
        <f t="shared" si="18"/>
        <v>2.1606316316189608E-3</v>
      </c>
      <c r="S139" s="11">
        <f t="shared" si="19"/>
        <v>3.6833541549877364E-3</v>
      </c>
    </row>
    <row r="140" spans="11:19">
      <c r="K140" t="s">
        <v>407</v>
      </c>
      <c r="L140" s="3">
        <v>1638.0930000000001</v>
      </c>
      <c r="M140" s="14">
        <v>6798132</v>
      </c>
      <c r="N140" s="13">
        <f t="shared" si="14"/>
        <v>8.7565593162292996E-2</v>
      </c>
      <c r="O140" s="13">
        <f t="shared" si="15"/>
        <v>0.16807613853425907</v>
      </c>
      <c r="P140" s="11">
        <f t="shared" si="16"/>
        <v>4.8511338611910313E-3</v>
      </c>
      <c r="Q140" s="11">
        <f t="shared" si="17"/>
        <v>1.9160679792905533E-2</v>
      </c>
      <c r="R140" s="11">
        <f t="shared" si="18"/>
        <v>1.3309970160668535E-2</v>
      </c>
      <c r="S140" s="11">
        <f t="shared" si="19"/>
        <v>2.2690278702124974E-2</v>
      </c>
    </row>
    <row r="141" spans="11:19">
      <c r="K141" t="s">
        <v>408</v>
      </c>
      <c r="L141" s="3">
        <v>2062.9119999999998</v>
      </c>
      <c r="M141" s="14">
        <v>1544697</v>
      </c>
      <c r="N141" s="13">
        <f t="shared" si="14"/>
        <v>1.5799562317733381E-2</v>
      </c>
      <c r="O141" s="13">
        <f t="shared" si="15"/>
        <v>3.0326174116976395E-2</v>
      </c>
      <c r="P141" s="11">
        <f t="shared" si="16"/>
        <v>8.7529575240242932E-4</v>
      </c>
      <c r="Q141" s="11">
        <f t="shared" si="17"/>
        <v>3.4571838493353091E-3</v>
      </c>
      <c r="R141" s="11">
        <f t="shared" si="18"/>
        <v>2.401533472295474E-3</v>
      </c>
      <c r="S141" s="11">
        <f t="shared" si="19"/>
        <v>4.0940335057918133E-3</v>
      </c>
    </row>
    <row r="142" spans="11:19">
      <c r="K142" t="s">
        <v>409</v>
      </c>
      <c r="L142" s="3">
        <v>2967.9769999999999</v>
      </c>
      <c r="M142">
        <v>1625848</v>
      </c>
      <c r="N142" s="13">
        <f t="shared" si="14"/>
        <v>1.1558510325383251E-2</v>
      </c>
      <c r="O142" s="13">
        <f t="shared" si="15"/>
        <v>2.2185766264361216E-2</v>
      </c>
      <c r="P142" s="11">
        <f t="shared" si="16"/>
        <v>6.4034147202623212E-4</v>
      </c>
      <c r="Q142" s="11">
        <f t="shared" si="17"/>
        <v>2.5291773541371789E-3</v>
      </c>
      <c r="R142" s="11">
        <f t="shared" si="18"/>
        <v>1.756893569458254E-3</v>
      </c>
      <c r="S142" s="11">
        <f t="shared" si="19"/>
        <v>2.9950784456887645E-3</v>
      </c>
    </row>
    <row r="143" spans="11:19">
      <c r="K143" t="s">
        <v>410</v>
      </c>
      <c r="L143" s="3">
        <v>2693.7779999999998</v>
      </c>
      <c r="M143">
        <v>351738</v>
      </c>
      <c r="N143" s="13">
        <f t="shared" si="14"/>
        <v>2.7551163458904189E-3</v>
      </c>
      <c r="O143" s="13">
        <f t="shared" si="15"/>
        <v>5.2882564932967757E-3</v>
      </c>
      <c r="P143" s="11">
        <f t="shared" si="16"/>
        <v>1.5263344556232919E-4</v>
      </c>
      <c r="Q143" s="11">
        <f t="shared" si="17"/>
        <v>6.0286124023583242E-4</v>
      </c>
      <c r="R143" s="11">
        <f t="shared" si="18"/>
        <v>4.1877768457534368E-4</v>
      </c>
      <c r="S143" s="11">
        <f t="shared" si="19"/>
        <v>7.1391462659506474E-4</v>
      </c>
    </row>
    <row r="144" spans="11:19">
      <c r="K144" t="s">
        <v>411</v>
      </c>
      <c r="L144" s="3">
        <v>1217.98</v>
      </c>
      <c r="M144">
        <v>953368</v>
      </c>
      <c r="N144" s="13">
        <f t="shared" si="14"/>
        <v>1.6515923742590193E-2</v>
      </c>
      <c r="O144" s="13">
        <f t="shared" si="15"/>
        <v>3.1701180643360319E-2</v>
      </c>
      <c r="P144" s="11">
        <f t="shared" si="16"/>
        <v>9.1498217533949667E-4</v>
      </c>
      <c r="Q144" s="11">
        <f t="shared" si="17"/>
        <v>3.6139345933430766E-3</v>
      </c>
      <c r="R144" s="11">
        <f t="shared" si="18"/>
        <v>2.5104204088737094E-3</v>
      </c>
      <c r="S144" s="11">
        <f t="shared" si="19"/>
        <v>4.2796593868536436E-3</v>
      </c>
    </row>
    <row r="145" spans="11:19">
      <c r="K145" t="s">
        <v>412</v>
      </c>
      <c r="L145" s="3">
        <v>1201.502</v>
      </c>
      <c r="M145">
        <v>555425</v>
      </c>
      <c r="N145" s="13">
        <f t="shared" si="14"/>
        <v>9.7540141422985567E-3</v>
      </c>
      <c r="O145" s="13">
        <f t="shared" si="15"/>
        <v>1.8722159846592017E-2</v>
      </c>
      <c r="P145" s="11">
        <f t="shared" si="16"/>
        <v>5.4037238348334004E-4</v>
      </c>
      <c r="Q145" s="11">
        <f t="shared" si="17"/>
        <v>2.1343262225114899E-3</v>
      </c>
      <c r="R145" s="11">
        <f t="shared" si="18"/>
        <v>1.4826101496293806E-3</v>
      </c>
      <c r="S145" s="11">
        <f t="shared" si="19"/>
        <v>2.5274915792899227E-3</v>
      </c>
    </row>
    <row r="146" spans="11:19">
      <c r="K146" t="s">
        <v>413</v>
      </c>
      <c r="L146" s="3">
        <v>1297.6099999999999</v>
      </c>
      <c r="M146">
        <v>9935161</v>
      </c>
      <c r="N146" s="13">
        <f t="shared" si="14"/>
        <v>0.16155231317576163</v>
      </c>
      <c r="O146" s="13">
        <f t="shared" si="15"/>
        <v>0.31008856320466094</v>
      </c>
      <c r="P146" s="11">
        <f t="shared" si="16"/>
        <v>8.9499981499371935E-3</v>
      </c>
      <c r="Q146" s="11">
        <f t="shared" si="17"/>
        <v>3.5350096205331347E-2</v>
      </c>
      <c r="R146" s="11">
        <f t="shared" si="18"/>
        <v>2.4555951602715766E-2</v>
      </c>
      <c r="S146" s="11">
        <f t="shared" si="19"/>
        <v>4.1861956032629231E-2</v>
      </c>
    </row>
    <row r="147" spans="11:19">
      <c r="K147" t="s">
        <v>414</v>
      </c>
      <c r="L147" s="3">
        <v>1243.299</v>
      </c>
      <c r="M147">
        <v>1239799</v>
      </c>
      <c r="N147" s="13">
        <f t="shared" si="14"/>
        <v>2.1040601576933628E-2</v>
      </c>
      <c r="O147" s="13">
        <f t="shared" si="15"/>
        <v>4.0385988808806249E-2</v>
      </c>
      <c r="P147" s="11">
        <f t="shared" si="16"/>
        <v>1.165649327362123E-3</v>
      </c>
      <c r="Q147" s="11">
        <f t="shared" si="17"/>
        <v>4.6040027242039124E-3</v>
      </c>
      <c r="R147" s="11">
        <f t="shared" si="18"/>
        <v>3.1981714396939116E-3</v>
      </c>
      <c r="S147" s="11">
        <f t="shared" si="19"/>
        <v>5.4521084891888437E-3</v>
      </c>
    </row>
    <row r="148" spans="11:19">
      <c r="K148" t="s">
        <v>415</v>
      </c>
      <c r="L148" s="3">
        <v>1740.777</v>
      </c>
      <c r="M148">
        <v>376210</v>
      </c>
      <c r="N148" s="13">
        <f t="shared" si="14"/>
        <v>4.5600504832037647E-3</v>
      </c>
      <c r="O148" s="13">
        <f t="shared" si="15"/>
        <v>8.7527035341114917E-3</v>
      </c>
      <c r="P148" s="11">
        <f t="shared" si="16"/>
        <v>2.5262679676948854E-4</v>
      </c>
      <c r="Q148" s="11">
        <f t="shared" si="17"/>
        <v>9.9780820288871016E-4</v>
      </c>
      <c r="R148" s="11">
        <f t="shared" si="18"/>
        <v>6.9312767344697221E-4</v>
      </c>
      <c r="S148" s="11">
        <f t="shared" si="19"/>
        <v>1.1816149771050515E-3</v>
      </c>
    </row>
    <row r="149" spans="11:19">
      <c r="K149" t="s">
        <v>416</v>
      </c>
      <c r="L149" s="3">
        <v>987.721</v>
      </c>
      <c r="M149">
        <v>417281</v>
      </c>
      <c r="N149" s="13">
        <f t="shared" si="14"/>
        <v>8.9140851515762051E-3</v>
      </c>
      <c r="O149" s="13">
        <f t="shared" si="15"/>
        <v>1.710997386913916E-2</v>
      </c>
      <c r="P149" s="11">
        <f t="shared" si="16"/>
        <v>4.938403173973217E-4</v>
      </c>
      <c r="Q149" s="11">
        <f t="shared" si="17"/>
        <v>1.9505370210818644E-3</v>
      </c>
      <c r="R149" s="11">
        <f t="shared" si="18"/>
        <v>1.3549409430395831E-3</v>
      </c>
      <c r="S149" s="11">
        <f t="shared" si="19"/>
        <v>2.3098464723337866E-3</v>
      </c>
    </row>
    <row r="150" spans="11:19">
      <c r="K150" t="s">
        <v>417</v>
      </c>
      <c r="L150" s="3">
        <v>2334.0369999999998</v>
      </c>
      <c r="M150">
        <v>677186</v>
      </c>
      <c r="N150" s="13">
        <f t="shared" si="14"/>
        <v>6.1218500820681082E-3</v>
      </c>
      <c r="O150" s="13">
        <f t="shared" si="15"/>
        <v>1.1750470536671012E-2</v>
      </c>
      <c r="P150" s="11">
        <f t="shared" si="16"/>
        <v>3.3915049454657316E-4</v>
      </c>
      <c r="Q150" s="11">
        <f t="shared" si="17"/>
        <v>1.3395536411804955E-3</v>
      </c>
      <c r="R150" s="11">
        <f t="shared" si="18"/>
        <v>9.3052121247435247E-4</v>
      </c>
      <c r="S150" s="11">
        <f t="shared" si="19"/>
        <v>1.5863135224505867E-3</v>
      </c>
    </row>
    <row r="151" spans="11:19">
      <c r="K151" t="s">
        <v>418</v>
      </c>
      <c r="L151" s="3">
        <v>1326.579</v>
      </c>
      <c r="M151" s="14">
        <v>1515208</v>
      </c>
      <c r="N151" s="13">
        <f t="shared" si="14"/>
        <v>2.4100252453868182E-2</v>
      </c>
      <c r="O151" s="13">
        <f t="shared" si="15"/>
        <v>4.6258778406713809E-2</v>
      </c>
      <c r="P151" s="11">
        <f t="shared" si="16"/>
        <v>1.3351539859442973E-3</v>
      </c>
      <c r="Q151" s="11">
        <f t="shared" si="17"/>
        <v>5.2735007383653745E-3</v>
      </c>
      <c r="R151" s="11">
        <f t="shared" si="18"/>
        <v>3.6632383729879635E-3</v>
      </c>
      <c r="S151" s="11">
        <f t="shared" si="19"/>
        <v>6.244935084906365E-3</v>
      </c>
    </row>
    <row r="152" spans="11:19">
      <c r="K152" t="s">
        <v>419</v>
      </c>
      <c r="L152" s="3">
        <v>1350.7739999999999</v>
      </c>
      <c r="M152">
        <v>643503</v>
      </c>
      <c r="N152" s="13">
        <f t="shared" si="14"/>
        <v>1.0051950437304835E-2</v>
      </c>
      <c r="O152" s="13">
        <f t="shared" si="15"/>
        <v>1.9294028090561414E-2</v>
      </c>
      <c r="P152" s="11">
        <f t="shared" si="16"/>
        <v>5.5687805422668783E-4</v>
      </c>
      <c r="Q152" s="11">
        <f t="shared" si="17"/>
        <v>2.1995192023240013E-3</v>
      </c>
      <c r="R152" s="11">
        <f t="shared" si="18"/>
        <v>1.527896466470335E-3</v>
      </c>
      <c r="S152" s="11">
        <f t="shared" si="19"/>
        <v>2.604693792225791E-3</v>
      </c>
    </row>
    <row r="153" spans="11:19">
      <c r="K153" t="s">
        <v>420</v>
      </c>
      <c r="L153" s="3">
        <v>1381.691</v>
      </c>
      <c r="M153">
        <v>9688815</v>
      </c>
      <c r="N153" s="13">
        <f t="shared" si="14"/>
        <v>0.14795927345549764</v>
      </c>
      <c r="O153" s="13">
        <f t="shared" si="15"/>
        <v>0.28399765758045759</v>
      </c>
      <c r="P153" s="11">
        <f t="shared" si="16"/>
        <v>8.1969437494345699E-3</v>
      </c>
      <c r="Q153" s="11">
        <f t="shared" si="17"/>
        <v>3.2375732964172163E-2</v>
      </c>
      <c r="R153" s="11">
        <f t="shared" si="18"/>
        <v>2.2489809565235643E-2</v>
      </c>
      <c r="S153" s="11">
        <f t="shared" si="19"/>
        <v>3.8339683773361777E-2</v>
      </c>
    </row>
    <row r="154" spans="11:19">
      <c r="K154" t="s">
        <v>421</v>
      </c>
      <c r="L154" s="3">
        <v>853.30119999999999</v>
      </c>
      <c r="M154">
        <v>2537360</v>
      </c>
      <c r="N154" s="13">
        <f t="shared" si="14"/>
        <v>6.2742553274271737E-2</v>
      </c>
      <c r="O154" s="13">
        <f t="shared" si="15"/>
        <v>0.12043001931791494</v>
      </c>
      <c r="P154" s="11">
        <f t="shared" si="16"/>
        <v>3.475937451394654E-3</v>
      </c>
      <c r="Q154" s="11">
        <f t="shared" si="17"/>
        <v>1.3729022202242303E-2</v>
      </c>
      <c r="R154" s="11">
        <f t="shared" si="18"/>
        <v>9.5368680976893033E-3</v>
      </c>
      <c r="S154" s="11">
        <f t="shared" si="19"/>
        <v>1.625805260791852E-2</v>
      </c>
    </row>
    <row r="155" spans="11:19">
      <c r="K155" t="s">
        <v>422</v>
      </c>
      <c r="L155" s="3">
        <v>871.27760000000001</v>
      </c>
      <c r="M155">
        <v>795480</v>
      </c>
      <c r="N155" s="13">
        <f t="shared" si="14"/>
        <v>1.9264386000512352E-2</v>
      </c>
      <c r="O155" s="13">
        <f t="shared" si="15"/>
        <v>3.6976665072073471E-2</v>
      </c>
      <c r="P155" s="11">
        <f t="shared" si="16"/>
        <v>1.0672469844283843E-3</v>
      </c>
      <c r="Q155" s="11">
        <f t="shared" si="17"/>
        <v>4.215339818216376E-3</v>
      </c>
      <c r="R155" s="11">
        <f t="shared" si="18"/>
        <v>2.9281866720778774E-3</v>
      </c>
      <c r="S155" s="11">
        <f t="shared" si="19"/>
        <v>4.9918497847299187E-3</v>
      </c>
    </row>
    <row r="156" spans="11:19">
      <c r="K156" t="s">
        <v>423</v>
      </c>
      <c r="L156" s="3">
        <v>1482.0360000000001</v>
      </c>
      <c r="M156">
        <v>2672176</v>
      </c>
      <c r="N156" s="13">
        <f t="shared" si="14"/>
        <v>3.8044226725936485E-2</v>
      </c>
      <c r="O156" s="13">
        <f t="shared" si="15"/>
        <v>7.302327878675012E-2</v>
      </c>
      <c r="P156" s="11">
        <f t="shared" si="16"/>
        <v>2.1076501606168813E-3</v>
      </c>
      <c r="Q156" s="11">
        <f t="shared" si="17"/>
        <v>8.3246537816895148E-3</v>
      </c>
      <c r="R156" s="11">
        <f t="shared" si="18"/>
        <v>5.7827224623423455E-3</v>
      </c>
      <c r="S156" s="11">
        <f t="shared" si="19"/>
        <v>9.8581426362112663E-3</v>
      </c>
    </row>
    <row r="157" spans="11:19">
      <c r="K157" t="s">
        <v>774</v>
      </c>
      <c r="L157" s="3">
        <v>1702.6369999999999</v>
      </c>
      <c r="M157">
        <v>0</v>
      </c>
      <c r="N157" s="13">
        <f t="shared" si="14"/>
        <v>0</v>
      </c>
      <c r="O157" s="13">
        <f t="shared" si="15"/>
        <v>0</v>
      </c>
      <c r="P157" s="11">
        <f t="shared" si="16"/>
        <v>0</v>
      </c>
      <c r="Q157" s="11">
        <f t="shared" si="17"/>
        <v>0</v>
      </c>
      <c r="R157" s="11">
        <f t="shared" si="18"/>
        <v>0</v>
      </c>
      <c r="S157" s="11">
        <f t="shared" si="19"/>
        <v>0</v>
      </c>
    </row>
    <row r="158" spans="11:19">
      <c r="K158" t="s">
        <v>424</v>
      </c>
      <c r="L158" s="3">
        <v>2048.1930000000002</v>
      </c>
      <c r="M158">
        <v>750397</v>
      </c>
      <c r="N158" s="13">
        <f t="shared" si="14"/>
        <v>7.7304124660127239E-3</v>
      </c>
      <c r="O158" s="13">
        <f t="shared" si="15"/>
        <v>1.4837995491635798E-2</v>
      </c>
      <c r="P158" s="11">
        <f t="shared" si="16"/>
        <v>4.2826485061710489E-4</v>
      </c>
      <c r="Q158" s="11">
        <f t="shared" si="17"/>
        <v>1.6915314860464811E-3</v>
      </c>
      <c r="R158" s="11">
        <f t="shared" si="18"/>
        <v>1.1750226948339341E-3</v>
      </c>
      <c r="S158" s="11">
        <f t="shared" si="19"/>
        <v>2.0031293913708326E-3</v>
      </c>
    </row>
    <row r="159" spans="11:19">
      <c r="K159" t="s">
        <v>425</v>
      </c>
      <c r="L159" s="3">
        <v>1866.655</v>
      </c>
      <c r="M159">
        <v>1494773</v>
      </c>
      <c r="N159" s="13">
        <f t="shared" si="14"/>
        <v>1.689637897736861E-2</v>
      </c>
      <c r="O159" s="13">
        <f t="shared" si="15"/>
        <v>3.2431438321489515E-2</v>
      </c>
      <c r="P159" s="11">
        <f t="shared" si="16"/>
        <v>9.3605939534622097E-4</v>
      </c>
      <c r="Q159" s="11">
        <f t="shared" si="17"/>
        <v>3.6971839686498051E-3</v>
      </c>
      <c r="R159" s="11">
        <f t="shared" si="18"/>
        <v>2.5682496045600287E-3</v>
      </c>
      <c r="S159" s="11">
        <f t="shared" si="19"/>
        <v>4.378244173401085E-3</v>
      </c>
    </row>
    <row r="160" spans="11:19">
      <c r="K160" t="s">
        <v>426</v>
      </c>
      <c r="L160" s="3">
        <v>1756.8679999999999</v>
      </c>
      <c r="M160">
        <v>625395</v>
      </c>
      <c r="N160" s="13">
        <f t="shared" si="14"/>
        <v>7.5109994034839268E-3</v>
      </c>
      <c r="O160" s="13">
        <f t="shared" si="15"/>
        <v>1.4416847196260619E-2</v>
      </c>
      <c r="P160" s="11">
        <f t="shared" si="16"/>
        <v>4.1610936695300955E-4</v>
      </c>
      <c r="Q160" s="11">
        <f t="shared" si="17"/>
        <v>1.6435205803737106E-3</v>
      </c>
      <c r="R160" s="11">
        <f t="shared" si="18"/>
        <v>1.1416719093295569E-3</v>
      </c>
      <c r="S160" s="11">
        <f t="shared" si="19"/>
        <v>1.9462743714951836E-3</v>
      </c>
    </row>
    <row r="161" spans="11:19">
      <c r="K161" t="s">
        <v>427</v>
      </c>
      <c r="L161" s="3">
        <v>1403.7729999999999</v>
      </c>
      <c r="M161" s="14">
        <v>2092492</v>
      </c>
      <c r="N161" s="13">
        <f t="shared" si="14"/>
        <v>3.1452080357721658E-2</v>
      </c>
      <c r="O161" s="13">
        <f t="shared" si="15"/>
        <v>6.0370106847759578E-2</v>
      </c>
      <c r="P161" s="11">
        <f t="shared" si="16"/>
        <v>1.7424452518177798E-3</v>
      </c>
      <c r="Q161" s="11">
        <f t="shared" si="17"/>
        <v>6.8821921806445918E-3</v>
      </c>
      <c r="R161" s="11">
        <f t="shared" si="18"/>
        <v>4.7807162143736915E-3</v>
      </c>
      <c r="S161" s="11">
        <f t="shared" si="19"/>
        <v>8.1499644244475439E-3</v>
      </c>
    </row>
    <row r="162" spans="11:19">
      <c r="K162" t="s">
        <v>428</v>
      </c>
      <c r="L162" s="3">
        <v>5133.7650000000003</v>
      </c>
      <c r="M162" s="14">
        <v>1479889</v>
      </c>
      <c r="N162" s="13">
        <f t="shared" ref="N162:N225" si="20">+M162/L162*$B$24</f>
        <v>6.0824088948364403E-3</v>
      </c>
      <c r="O162" s="13">
        <f t="shared" ref="O162:O225" si="21">+M162/L162*$C$24</f>
        <v>1.1674765888193167E-2</v>
      </c>
      <c r="P162" s="11">
        <f t="shared" ref="P162:P225" si="22">+N162*$B$12</f>
        <v>3.3696545277393878E-4</v>
      </c>
      <c r="Q162" s="11">
        <f t="shared" ref="Q162:Q225" si="23">+O162*$D$12</f>
        <v>1.330923311254021E-3</v>
      </c>
      <c r="R162" s="11">
        <f t="shared" ref="R162:R225" si="24">+N162*$C$12</f>
        <v>9.2452615201513893E-4</v>
      </c>
      <c r="S162" s="11">
        <f t="shared" ref="S162:S225" si="25">+O162*$E$12</f>
        <v>1.5760933949060777E-3</v>
      </c>
    </row>
    <row r="163" spans="11:19">
      <c r="K163" t="s">
        <v>429</v>
      </c>
      <c r="L163" s="3">
        <v>2926.3119999999999</v>
      </c>
      <c r="M163">
        <v>3149047</v>
      </c>
      <c r="N163" s="13">
        <f t="shared" si="20"/>
        <v>2.2706017574339307E-2</v>
      </c>
      <c r="O163" s="13">
        <f t="shared" si="21"/>
        <v>4.3582640367807672E-2</v>
      </c>
      <c r="P163" s="11">
        <f t="shared" si="22"/>
        <v>1.2579133736183975E-3</v>
      </c>
      <c r="Q163" s="11">
        <f t="shared" si="23"/>
        <v>4.9684210019300748E-3</v>
      </c>
      <c r="R163" s="11">
        <f t="shared" si="24"/>
        <v>3.4513146712995746E-3</v>
      </c>
      <c r="S163" s="11">
        <f t="shared" si="25"/>
        <v>5.8836564496540364E-3</v>
      </c>
    </row>
    <row r="164" spans="11:19">
      <c r="K164" t="s">
        <v>430</v>
      </c>
      <c r="L164" s="3">
        <v>1359.655</v>
      </c>
      <c r="M164">
        <v>1645217</v>
      </c>
      <c r="N164" s="13">
        <f t="shared" si="20"/>
        <v>2.5531534617237464E-2</v>
      </c>
      <c r="O164" s="13">
        <f t="shared" si="21"/>
        <v>4.9006026161048211E-2</v>
      </c>
      <c r="P164" s="11">
        <f t="shared" si="22"/>
        <v>1.4144470177949555E-3</v>
      </c>
      <c r="Q164" s="11">
        <f t="shared" si="23"/>
        <v>5.5866869823594963E-3</v>
      </c>
      <c r="R164" s="11">
        <f t="shared" si="24"/>
        <v>3.8807932618200943E-3</v>
      </c>
      <c r="S164" s="11">
        <f t="shared" si="25"/>
        <v>6.6158135317415092E-3</v>
      </c>
    </row>
    <row r="165" spans="11:19">
      <c r="K165" t="s">
        <v>431</v>
      </c>
      <c r="L165" s="3">
        <v>1199.153</v>
      </c>
      <c r="M165">
        <v>442185</v>
      </c>
      <c r="N165" s="13">
        <f t="shared" si="20"/>
        <v>7.7805780413341755E-3</v>
      </c>
      <c r="O165" s="13">
        <f t="shared" si="21"/>
        <v>1.4934284866067966E-2</v>
      </c>
      <c r="P165" s="11">
        <f t="shared" si="22"/>
        <v>4.310440234899133E-4</v>
      </c>
      <c r="Q165" s="11">
        <f t="shared" si="23"/>
        <v>1.7025084747317482E-3</v>
      </c>
      <c r="R165" s="11">
        <f t="shared" si="24"/>
        <v>1.1826478622827946E-3</v>
      </c>
      <c r="S165" s="11">
        <f t="shared" si="25"/>
        <v>2.0161284569191755E-3</v>
      </c>
    </row>
    <row r="166" spans="11:19">
      <c r="K166" t="s">
        <v>432</v>
      </c>
      <c r="L166" s="3">
        <v>3750.6680000000001</v>
      </c>
      <c r="M166" s="14">
        <v>16600000</v>
      </c>
      <c r="N166" s="13">
        <f t="shared" si="20"/>
        <v>9.3386031501588515E-2</v>
      </c>
      <c r="O166" s="13">
        <f t="shared" si="21"/>
        <v>0.17924806994380735</v>
      </c>
      <c r="P166" s="11">
        <f t="shared" si="22"/>
        <v>5.173586145188004E-3</v>
      </c>
      <c r="Q166" s="11">
        <f t="shared" si="23"/>
        <v>2.0434279973594038E-2</v>
      </c>
      <c r="R166" s="11">
        <f t="shared" si="24"/>
        <v>1.4194676788241455E-2</v>
      </c>
      <c r="S166" s="11">
        <f t="shared" si="25"/>
        <v>2.4198489442413994E-2</v>
      </c>
    </row>
    <row r="167" spans="11:19">
      <c r="K167" t="s">
        <v>433</v>
      </c>
      <c r="L167" s="3">
        <v>1644.049</v>
      </c>
      <c r="M167">
        <v>643502</v>
      </c>
      <c r="N167" s="13">
        <f t="shared" si="20"/>
        <v>8.2588123589990327E-3</v>
      </c>
      <c r="O167" s="13">
        <f t="shared" si="21"/>
        <v>1.585222277438203E-2</v>
      </c>
      <c r="P167" s="11">
        <f t="shared" si="22"/>
        <v>4.575382046885464E-4</v>
      </c>
      <c r="Q167" s="11">
        <f t="shared" si="23"/>
        <v>1.8071533962795514E-3</v>
      </c>
      <c r="R167" s="11">
        <f t="shared" si="24"/>
        <v>1.2553394785678529E-3</v>
      </c>
      <c r="S167" s="11">
        <f t="shared" si="25"/>
        <v>2.140050074541574E-3</v>
      </c>
    </row>
    <row r="168" spans="11:19">
      <c r="K168" t="s">
        <v>434</v>
      </c>
      <c r="L168" s="3">
        <v>412.95429999999999</v>
      </c>
      <c r="M168">
        <v>578246</v>
      </c>
      <c r="N168" s="13">
        <f t="shared" si="20"/>
        <v>2.954561945474354E-2</v>
      </c>
      <c r="O168" s="13">
        <f t="shared" si="21"/>
        <v>5.6710786157209168E-2</v>
      </c>
      <c r="P168" s="11">
        <f t="shared" si="22"/>
        <v>1.6368273177927921E-3</v>
      </c>
      <c r="Q168" s="11">
        <f t="shared" si="23"/>
        <v>6.4650296219218454E-3</v>
      </c>
      <c r="R168" s="11">
        <f t="shared" si="24"/>
        <v>4.4909341571210178E-3</v>
      </c>
      <c r="S168" s="11">
        <f t="shared" si="25"/>
        <v>7.6559561312232382E-3</v>
      </c>
    </row>
    <row r="169" spans="11:19">
      <c r="K169" t="s">
        <v>435</v>
      </c>
      <c r="L169" s="3">
        <v>1975.604</v>
      </c>
      <c r="M169">
        <v>444118</v>
      </c>
      <c r="N169" s="13">
        <f t="shared" si="20"/>
        <v>4.7433037187614522E-3</v>
      </c>
      <c r="O169" s="13">
        <f t="shared" si="21"/>
        <v>9.1044455265326448E-3</v>
      </c>
      <c r="P169" s="11">
        <f t="shared" si="22"/>
        <v>2.6277902601938444E-4</v>
      </c>
      <c r="Q169" s="11">
        <f t="shared" si="23"/>
        <v>1.0379067900247215E-3</v>
      </c>
      <c r="R169" s="11">
        <f t="shared" si="24"/>
        <v>7.2098216525174068E-4</v>
      </c>
      <c r="S169" s="11">
        <f t="shared" si="25"/>
        <v>1.2291001460819071E-3</v>
      </c>
    </row>
    <row r="170" spans="11:19">
      <c r="K170" t="s">
        <v>436</v>
      </c>
      <c r="L170" s="3">
        <v>1523.1949999999999</v>
      </c>
      <c r="M170">
        <v>212736</v>
      </c>
      <c r="N170" s="13">
        <f t="shared" si="20"/>
        <v>2.9469172364667692E-3</v>
      </c>
      <c r="O170" s="13">
        <f t="shared" si="21"/>
        <v>5.6564051221281589E-3</v>
      </c>
      <c r="P170" s="11">
        <f t="shared" si="22"/>
        <v>1.6325921490025901E-4</v>
      </c>
      <c r="Q170" s="11">
        <f t="shared" si="23"/>
        <v>6.448301839226101E-4</v>
      </c>
      <c r="R170" s="11">
        <f t="shared" si="24"/>
        <v>4.479314199429489E-4</v>
      </c>
      <c r="S170" s="11">
        <f t="shared" si="25"/>
        <v>7.6361469148730147E-4</v>
      </c>
    </row>
    <row r="171" spans="11:19">
      <c r="K171" t="s">
        <v>437</v>
      </c>
      <c r="L171" s="3">
        <v>1926.454</v>
      </c>
      <c r="M171">
        <v>2144664</v>
      </c>
      <c r="N171" s="13">
        <f t="shared" si="20"/>
        <v>2.3490003083385332E-2</v>
      </c>
      <c r="O171" s="13">
        <f t="shared" si="21"/>
        <v>4.5087446676640094E-2</v>
      </c>
      <c r="P171" s="11">
        <f t="shared" si="22"/>
        <v>1.3013461708195474E-3</v>
      </c>
      <c r="Q171" s="11">
        <f t="shared" si="23"/>
        <v>5.1399689211369714E-3</v>
      </c>
      <c r="R171" s="11">
        <f t="shared" si="24"/>
        <v>3.5704804686745705E-3</v>
      </c>
      <c r="S171" s="11">
        <f t="shared" si="25"/>
        <v>6.0868053013464129E-3</v>
      </c>
    </row>
    <row r="172" spans="11:19">
      <c r="K172" t="s">
        <v>438</v>
      </c>
      <c r="L172" s="3">
        <v>1645.76</v>
      </c>
      <c r="M172">
        <v>1480332</v>
      </c>
      <c r="N172" s="13">
        <f t="shared" si="20"/>
        <v>1.8979076657592846E-2</v>
      </c>
      <c r="O172" s="13">
        <f t="shared" si="21"/>
        <v>3.6429033394905698E-2</v>
      </c>
      <c r="P172" s="11">
        <f t="shared" si="22"/>
        <v>1.0514408468306436E-3</v>
      </c>
      <c r="Q172" s="11">
        <f t="shared" si="23"/>
        <v>4.1529098070192498E-3</v>
      </c>
      <c r="R172" s="11">
        <f t="shared" si="24"/>
        <v>2.8848196519541125E-3</v>
      </c>
      <c r="S172" s="11">
        <f t="shared" si="25"/>
        <v>4.9179195083122696E-3</v>
      </c>
    </row>
    <row r="173" spans="11:19">
      <c r="K173" t="s">
        <v>297</v>
      </c>
      <c r="L173" s="3">
        <v>1561.5360000000001</v>
      </c>
      <c r="M173">
        <v>2323240</v>
      </c>
      <c r="N173" s="13">
        <f t="shared" si="20"/>
        <v>3.1392400815607194E-2</v>
      </c>
      <c r="O173" s="13">
        <f t="shared" si="21"/>
        <v>6.0255556067871627E-2</v>
      </c>
      <c r="P173" s="11">
        <f t="shared" si="22"/>
        <v>1.7391390051846385E-3</v>
      </c>
      <c r="Q173" s="11">
        <f t="shared" si="23"/>
        <v>6.869133391737366E-3</v>
      </c>
      <c r="R173" s="11">
        <f t="shared" si="24"/>
        <v>4.771644923972293E-3</v>
      </c>
      <c r="S173" s="11">
        <f t="shared" si="25"/>
        <v>8.1345000691626698E-3</v>
      </c>
    </row>
    <row r="174" spans="11:19">
      <c r="K174" t="s">
        <v>439</v>
      </c>
      <c r="L174" s="3">
        <v>1700.5940000000001</v>
      </c>
      <c r="M174" s="14">
        <v>867284</v>
      </c>
      <c r="N174" s="13">
        <f t="shared" si="20"/>
        <v>1.0760765003287086E-2</v>
      </c>
      <c r="O174" s="13">
        <f t="shared" si="21"/>
        <v>2.0654548939958627E-2</v>
      </c>
      <c r="P174" s="11">
        <f t="shared" si="22"/>
        <v>5.9614638118210452E-4</v>
      </c>
      <c r="Q174" s="11">
        <f t="shared" si="23"/>
        <v>2.3546185791552834E-3</v>
      </c>
      <c r="R174" s="11">
        <f t="shared" si="24"/>
        <v>1.635636280499637E-3</v>
      </c>
      <c r="S174" s="11">
        <f t="shared" si="25"/>
        <v>2.788364106894415E-3</v>
      </c>
    </row>
    <row r="175" spans="11:19">
      <c r="K175" t="s">
        <v>440</v>
      </c>
      <c r="L175" s="3">
        <v>1408.8240000000001</v>
      </c>
      <c r="M175">
        <v>214747</v>
      </c>
      <c r="N175" s="13">
        <f t="shared" si="20"/>
        <v>3.2162723661720697E-3</v>
      </c>
      <c r="O175" s="13">
        <f t="shared" si="21"/>
        <v>6.173413783410844E-3</v>
      </c>
      <c r="P175" s="11">
        <f t="shared" si="22"/>
        <v>1.7818148908593266E-4</v>
      </c>
      <c r="Q175" s="11">
        <f t="shared" si="23"/>
        <v>7.0376917130883629E-4</v>
      </c>
      <c r="R175" s="11">
        <f t="shared" si="24"/>
        <v>4.8887339965815457E-4</v>
      </c>
      <c r="S175" s="11">
        <f t="shared" si="25"/>
        <v>8.3341086076046402E-4</v>
      </c>
    </row>
    <row r="176" spans="11:19">
      <c r="K176" t="s">
        <v>299</v>
      </c>
      <c r="L176">
        <v>3572.0419999999999</v>
      </c>
      <c r="M176" s="14">
        <v>221000000</v>
      </c>
      <c r="N176" s="13">
        <f t="shared" si="20"/>
        <v>1.3054437769768665</v>
      </c>
      <c r="O176" s="13">
        <f t="shared" si="21"/>
        <v>2.5057096193157862</v>
      </c>
      <c r="P176" s="11">
        <f t="shared" si="22"/>
        <v>7.2321585244518399E-2</v>
      </c>
      <c r="Q176" s="11">
        <f t="shared" si="23"/>
        <v>0.28565089660199966</v>
      </c>
      <c r="R176" s="11">
        <f t="shared" si="24"/>
        <v>0.19842745410048371</v>
      </c>
      <c r="S176" s="11">
        <f t="shared" si="25"/>
        <v>0.33827079860763115</v>
      </c>
    </row>
    <row r="177" spans="11:19">
      <c r="K177" t="s">
        <v>441</v>
      </c>
      <c r="L177">
        <v>1311.79</v>
      </c>
      <c r="M177">
        <v>7764463</v>
      </c>
      <c r="N177" s="13">
        <f t="shared" si="20"/>
        <v>0.12489054597153509</v>
      </c>
      <c r="O177" s="13">
        <f t="shared" si="21"/>
        <v>0.23971882046669057</v>
      </c>
      <c r="P177" s="11">
        <f t="shared" si="22"/>
        <v>6.9189362468230443E-3</v>
      </c>
      <c r="Q177" s="11">
        <f t="shared" si="23"/>
        <v>2.7327945533202728E-2</v>
      </c>
      <c r="R177" s="11">
        <f t="shared" si="24"/>
        <v>1.8983362987673332E-2</v>
      </c>
      <c r="S177" s="11">
        <f t="shared" si="25"/>
        <v>3.2362040763003232E-2</v>
      </c>
    </row>
    <row r="178" spans="11:19">
      <c r="K178" t="s">
        <v>442</v>
      </c>
      <c r="L178">
        <v>1466.5029999999999</v>
      </c>
      <c r="M178">
        <v>1573797</v>
      </c>
      <c r="N178" s="13">
        <f t="shared" si="20"/>
        <v>2.2643742767658848E-2</v>
      </c>
      <c r="O178" s="13">
        <f t="shared" si="21"/>
        <v>4.3463108155932857E-2</v>
      </c>
      <c r="P178" s="11">
        <f t="shared" si="22"/>
        <v>1.2544633493283002E-3</v>
      </c>
      <c r="Q178" s="11">
        <f t="shared" si="23"/>
        <v>4.9547943297763462E-3</v>
      </c>
      <c r="R178" s="11">
        <f t="shared" si="24"/>
        <v>3.4418489006841448E-3</v>
      </c>
      <c r="S178" s="11">
        <f t="shared" si="25"/>
        <v>5.8675196010509363E-3</v>
      </c>
    </row>
    <row r="179" spans="11:19">
      <c r="K179" t="s">
        <v>443</v>
      </c>
      <c r="L179">
        <v>1047.183</v>
      </c>
      <c r="M179" s="14">
        <v>1095454</v>
      </c>
      <c r="N179" s="13">
        <f t="shared" si="20"/>
        <v>2.2072626656467878E-2</v>
      </c>
      <c r="O179" s="13">
        <f t="shared" si="21"/>
        <v>4.2366890027817489E-2</v>
      </c>
      <c r="P179" s="11">
        <f t="shared" si="22"/>
        <v>1.2228235167683205E-3</v>
      </c>
      <c r="Q179" s="11">
        <f t="shared" si="23"/>
        <v>4.8298254631711935E-3</v>
      </c>
      <c r="R179" s="11">
        <f t="shared" si="24"/>
        <v>3.3550392517831176E-3</v>
      </c>
      <c r="S179" s="11">
        <f t="shared" si="25"/>
        <v>5.7195301537553613E-3</v>
      </c>
    </row>
    <row r="180" spans="11:19">
      <c r="K180" t="s">
        <v>444</v>
      </c>
      <c r="L180">
        <v>1124.9059999999999</v>
      </c>
      <c r="M180">
        <v>1062284</v>
      </c>
      <c r="N180" s="13">
        <f t="shared" si="20"/>
        <v>1.9925391454930459E-2</v>
      </c>
      <c r="O180" s="13">
        <f t="shared" si="21"/>
        <v>3.8245419617283581E-2</v>
      </c>
      <c r="P180" s="11">
        <f t="shared" si="22"/>
        <v>1.1038666866031474E-3</v>
      </c>
      <c r="Q180" s="11">
        <f t="shared" si="23"/>
        <v>4.3599778363703282E-3</v>
      </c>
      <c r="R180" s="11">
        <f t="shared" si="24"/>
        <v>3.0286595011494296E-3</v>
      </c>
      <c r="S180" s="11">
        <f t="shared" si="25"/>
        <v>5.1631316483332834E-3</v>
      </c>
    </row>
    <row r="181" spans="11:19">
      <c r="K181" t="s">
        <v>445</v>
      </c>
      <c r="L181">
        <v>3034.5039999999999</v>
      </c>
      <c r="M181" s="14">
        <v>4706193</v>
      </c>
      <c r="N181" s="13">
        <f t="shared" si="20"/>
        <v>3.2723856122779865E-2</v>
      </c>
      <c r="O181" s="13">
        <f t="shared" si="21"/>
        <v>6.2811193031876045E-2</v>
      </c>
      <c r="P181" s="11">
        <f t="shared" si="22"/>
        <v>1.8129016292020045E-3</v>
      </c>
      <c r="Q181" s="11">
        <f t="shared" si="23"/>
        <v>7.1604760056338691E-3</v>
      </c>
      <c r="R181" s="11">
        <f t="shared" si="24"/>
        <v>4.9740261306625393E-3</v>
      </c>
      <c r="S181" s="11">
        <f t="shared" si="25"/>
        <v>8.4795110593032658E-3</v>
      </c>
    </row>
    <row r="182" spans="11:19">
      <c r="K182" t="s">
        <v>446</v>
      </c>
      <c r="L182">
        <v>1080.6300000000001</v>
      </c>
      <c r="M182" s="14">
        <v>232296</v>
      </c>
      <c r="N182" s="13">
        <f t="shared" si="20"/>
        <v>4.5357297132228424E-3</v>
      </c>
      <c r="O182" s="13">
        <f t="shared" si="21"/>
        <v>8.7060214874656455E-3</v>
      </c>
      <c r="P182" s="11">
        <f t="shared" si="22"/>
        <v>2.5127942611254545E-4</v>
      </c>
      <c r="Q182" s="11">
        <f t="shared" si="23"/>
        <v>9.9248644957108359E-4</v>
      </c>
      <c r="R182" s="11">
        <f t="shared" si="24"/>
        <v>6.8943091640987202E-4</v>
      </c>
      <c r="S182" s="11">
        <f t="shared" si="25"/>
        <v>1.1753129008078623E-3</v>
      </c>
    </row>
    <row r="183" spans="11:19">
      <c r="K183" t="s">
        <v>447</v>
      </c>
      <c r="L183">
        <v>1249.1179999999999</v>
      </c>
      <c r="M183" s="14">
        <v>1133334</v>
      </c>
      <c r="N183" s="13">
        <f t="shared" si="20"/>
        <v>1.9144186057682304E-2</v>
      </c>
      <c r="O183" s="13">
        <f t="shared" si="21"/>
        <v>3.6745949541996836E-2</v>
      </c>
      <c r="P183" s="11">
        <f t="shared" si="22"/>
        <v>1.0605879075955996E-3</v>
      </c>
      <c r="Q183" s="11">
        <f t="shared" si="23"/>
        <v>4.1890382477876393E-3</v>
      </c>
      <c r="R183" s="11">
        <f t="shared" si="24"/>
        <v>2.9099162807677101E-3</v>
      </c>
      <c r="S183" s="11">
        <f t="shared" si="25"/>
        <v>4.9607031881695731E-3</v>
      </c>
    </row>
    <row r="184" spans="11:19">
      <c r="K184" t="s">
        <v>448</v>
      </c>
      <c r="L184">
        <v>1846.7639999999999</v>
      </c>
      <c r="M184">
        <v>587163</v>
      </c>
      <c r="N184" s="13">
        <f t="shared" si="20"/>
        <v>6.7085666062366399E-3</v>
      </c>
      <c r="O184" s="13">
        <f t="shared" si="21"/>
        <v>1.2876632585430516E-2</v>
      </c>
      <c r="P184" s="11">
        <f t="shared" si="22"/>
        <v>3.7165458998550984E-4</v>
      </c>
      <c r="Q184" s="11">
        <f t="shared" si="23"/>
        <v>1.4679361147390789E-3</v>
      </c>
      <c r="R184" s="11">
        <f t="shared" si="24"/>
        <v>1.0197021241479692E-3</v>
      </c>
      <c r="S184" s="11">
        <f t="shared" si="25"/>
        <v>1.7383453990331198E-3</v>
      </c>
    </row>
    <row r="185" spans="11:19">
      <c r="K185" t="s">
        <v>301</v>
      </c>
      <c r="L185">
        <v>1540.3879999999999</v>
      </c>
      <c r="M185">
        <v>6656329</v>
      </c>
      <c r="N185" s="13">
        <f t="shared" si="20"/>
        <v>9.1177379919864354E-2</v>
      </c>
      <c r="O185" s="13">
        <f t="shared" si="21"/>
        <v>0.17500871501206192</v>
      </c>
      <c r="P185" s="11">
        <f t="shared" si="22"/>
        <v>5.0512268475604851E-3</v>
      </c>
      <c r="Q185" s="11">
        <f t="shared" si="23"/>
        <v>1.9950993511375061E-2</v>
      </c>
      <c r="R185" s="11">
        <f t="shared" si="24"/>
        <v>1.3858961747819382E-2</v>
      </c>
      <c r="S185" s="11">
        <f t="shared" si="25"/>
        <v>2.3626176526628361E-2</v>
      </c>
    </row>
    <row r="186" spans="11:19">
      <c r="K186" t="s">
        <v>449</v>
      </c>
      <c r="L186">
        <v>1577.1489999999999</v>
      </c>
      <c r="M186">
        <v>2784936</v>
      </c>
      <c r="N186" s="13">
        <f t="shared" si="20"/>
        <v>3.7258464228807811E-2</v>
      </c>
      <c r="O186" s="13">
        <f t="shared" si="21"/>
        <v>7.151506167140835E-2</v>
      </c>
      <c r="P186" s="11">
        <f t="shared" si="22"/>
        <v>2.0641189182759524E-3</v>
      </c>
      <c r="Q186" s="11">
        <f t="shared" si="23"/>
        <v>8.152717030540553E-3</v>
      </c>
      <c r="R186" s="11">
        <f t="shared" si="24"/>
        <v>5.6632865627787871E-3</v>
      </c>
      <c r="S186" s="11">
        <f t="shared" si="25"/>
        <v>9.6545333256401276E-3</v>
      </c>
    </row>
    <row r="187" spans="11:19">
      <c r="K187" t="s">
        <v>303</v>
      </c>
      <c r="L187">
        <v>3174.2339999999999</v>
      </c>
      <c r="M187" s="14">
        <v>60400000</v>
      </c>
      <c r="N187" s="13">
        <f t="shared" si="20"/>
        <v>0.40149528988726102</v>
      </c>
      <c r="O187" s="13">
        <f t="shared" si="21"/>
        <v>0.77064261803005085</v>
      </c>
      <c r="P187" s="11">
        <f t="shared" si="22"/>
        <v>2.2242839059754261E-2</v>
      </c>
      <c r="Q187" s="11">
        <f t="shared" si="23"/>
        <v>8.7853258455425798E-2</v>
      </c>
      <c r="R187" s="11">
        <f t="shared" si="24"/>
        <v>6.1027284062863674E-2</v>
      </c>
      <c r="S187" s="11">
        <f t="shared" si="25"/>
        <v>0.10403675343405687</v>
      </c>
    </row>
    <row r="188" spans="11:19">
      <c r="K188" t="s">
        <v>450</v>
      </c>
      <c r="L188">
        <v>2762.8359999999998</v>
      </c>
      <c r="M188" s="14">
        <v>17900000</v>
      </c>
      <c r="N188" s="13">
        <f t="shared" si="20"/>
        <v>0.13670373485795034</v>
      </c>
      <c r="O188" s="13">
        <f t="shared" si="21"/>
        <v>0.26239342472734539</v>
      </c>
      <c r="P188" s="11">
        <f t="shared" si="22"/>
        <v>7.5733869111304485E-3</v>
      </c>
      <c r="Q188" s="11">
        <f t="shared" si="23"/>
        <v>2.9912850418917374E-2</v>
      </c>
      <c r="R188" s="11">
        <f t="shared" si="24"/>
        <v>2.0778967698408451E-2</v>
      </c>
      <c r="S188" s="11">
        <f t="shared" si="25"/>
        <v>3.5423112338191627E-2</v>
      </c>
    </row>
    <row r="189" spans="11:19">
      <c r="K189" t="s">
        <v>305</v>
      </c>
      <c r="L189">
        <v>2774.518</v>
      </c>
      <c r="M189" s="14">
        <v>31700000</v>
      </c>
      <c r="N189" s="13">
        <f t="shared" si="20"/>
        <v>0.24107610763383047</v>
      </c>
      <c r="O189" s="13">
        <f t="shared" si="21"/>
        <v>0.46272902176161773</v>
      </c>
      <c r="P189" s="11">
        <f t="shared" si="22"/>
        <v>1.3355616362914208E-2</v>
      </c>
      <c r="Q189" s="11">
        <f t="shared" si="23"/>
        <v>5.275110848082442E-2</v>
      </c>
      <c r="R189" s="11">
        <f t="shared" si="24"/>
        <v>3.664356836034223E-2</v>
      </c>
      <c r="S189" s="11">
        <f t="shared" si="25"/>
        <v>6.2468417937818398E-2</v>
      </c>
    </row>
    <row r="190" spans="11:19">
      <c r="K190" t="s">
        <v>451</v>
      </c>
      <c r="L190">
        <v>1428.7380000000001</v>
      </c>
      <c r="M190">
        <v>622808</v>
      </c>
      <c r="N190" s="13">
        <f t="shared" si="20"/>
        <v>9.1978016963222085E-3</v>
      </c>
      <c r="O190" s="13">
        <f t="shared" si="21"/>
        <v>1.7654548279670588E-2</v>
      </c>
      <c r="P190" s="11">
        <f t="shared" si="22"/>
        <v>5.0955821397625036E-4</v>
      </c>
      <c r="Q190" s="11">
        <f t="shared" si="23"/>
        <v>2.0126185038824469E-3</v>
      </c>
      <c r="R190" s="11">
        <f t="shared" si="24"/>
        <v>1.3980658578409758E-3</v>
      </c>
      <c r="S190" s="11">
        <f t="shared" si="25"/>
        <v>2.3833640177555295E-3</v>
      </c>
    </row>
    <row r="191" spans="11:19">
      <c r="K191" t="s">
        <v>452</v>
      </c>
      <c r="L191">
        <v>1008.193</v>
      </c>
      <c r="M191">
        <v>1255186</v>
      </c>
      <c r="N191" s="13">
        <f t="shared" si="20"/>
        <v>2.6269201035912768E-2</v>
      </c>
      <c r="O191" s="13">
        <f t="shared" si="21"/>
        <v>5.0421926158979481E-2</v>
      </c>
      <c r="P191" s="11">
        <f t="shared" si="22"/>
        <v>1.4553137373895673E-3</v>
      </c>
      <c r="Q191" s="11">
        <f t="shared" si="23"/>
        <v>5.7480995821236613E-3</v>
      </c>
      <c r="R191" s="11">
        <f t="shared" si="24"/>
        <v>3.9929185574587404E-3</v>
      </c>
      <c r="S191" s="11">
        <f t="shared" si="25"/>
        <v>6.8069600314622303E-3</v>
      </c>
    </row>
    <row r="192" spans="11:19">
      <c r="K192" t="s">
        <v>453</v>
      </c>
      <c r="L192">
        <v>1779.4</v>
      </c>
      <c r="M192">
        <v>1943843</v>
      </c>
      <c r="N192" s="13">
        <f t="shared" si="20"/>
        <v>2.3049953523659662E-2</v>
      </c>
      <c r="O192" s="13">
        <f t="shared" si="21"/>
        <v>4.4242801787119257E-2</v>
      </c>
      <c r="P192" s="11">
        <f t="shared" si="22"/>
        <v>1.2769674252107452E-3</v>
      </c>
      <c r="Q192" s="11">
        <f t="shared" si="23"/>
        <v>5.0436794037315956E-3</v>
      </c>
      <c r="R192" s="11">
        <f t="shared" si="24"/>
        <v>3.5035929355962687E-3</v>
      </c>
      <c r="S192" s="11">
        <f t="shared" si="25"/>
        <v>5.9727782412611003E-3</v>
      </c>
    </row>
    <row r="193" spans="11:19">
      <c r="K193" t="s">
        <v>454</v>
      </c>
      <c r="L193">
        <v>1541.53</v>
      </c>
      <c r="M193">
        <v>623726</v>
      </c>
      <c r="N193" s="13">
        <f t="shared" si="20"/>
        <v>8.5373742969647049E-3</v>
      </c>
      <c r="O193" s="13">
        <f t="shared" si="21"/>
        <v>1.6386903271425144E-2</v>
      </c>
      <c r="P193" s="11">
        <f t="shared" si="22"/>
        <v>4.7297053605184464E-4</v>
      </c>
      <c r="Q193" s="11">
        <f t="shared" si="23"/>
        <v>1.8681069729424664E-3</v>
      </c>
      <c r="R193" s="11">
        <f t="shared" si="24"/>
        <v>1.2976808931386352E-3</v>
      </c>
      <c r="S193" s="11">
        <f t="shared" si="25"/>
        <v>2.2122319416423945E-3</v>
      </c>
    </row>
    <row r="194" spans="11:19">
      <c r="K194" t="s">
        <v>455</v>
      </c>
      <c r="L194">
        <v>1198.0440000000001</v>
      </c>
      <c r="M194">
        <v>945902</v>
      </c>
      <c r="N194" s="13">
        <f t="shared" si="20"/>
        <v>1.6659264768238896E-2</v>
      </c>
      <c r="O194" s="13">
        <f t="shared" si="21"/>
        <v>3.1976313891643376E-2</v>
      </c>
      <c r="P194" s="11">
        <f t="shared" si="22"/>
        <v>9.229232681604348E-4</v>
      </c>
      <c r="Q194" s="11">
        <f t="shared" si="23"/>
        <v>3.6452997836473452E-3</v>
      </c>
      <c r="R194" s="11">
        <f t="shared" si="24"/>
        <v>2.532208244772312E-3</v>
      </c>
      <c r="S194" s="11">
        <f t="shared" si="25"/>
        <v>4.3168023753718558E-3</v>
      </c>
    </row>
    <row r="195" spans="11:19">
      <c r="K195" t="s">
        <v>456</v>
      </c>
      <c r="L195">
        <v>1210.3</v>
      </c>
      <c r="M195">
        <v>862554</v>
      </c>
      <c r="N195" s="13">
        <f t="shared" si="20"/>
        <v>1.5037502602660499E-2</v>
      </c>
      <c r="O195" s="13">
        <f t="shared" si="21"/>
        <v>2.8863452862926551E-2</v>
      </c>
      <c r="P195" s="11">
        <f t="shared" si="22"/>
        <v>8.3307764418739157E-4</v>
      </c>
      <c r="Q195" s="11">
        <f t="shared" si="23"/>
        <v>3.2904336263736267E-3</v>
      </c>
      <c r="R195" s="11">
        <f t="shared" si="24"/>
        <v>2.2857003956043959E-3</v>
      </c>
      <c r="S195" s="11">
        <f t="shared" si="25"/>
        <v>3.8965661364950845E-3</v>
      </c>
    </row>
    <row r="196" spans="11:19">
      <c r="K196" t="s">
        <v>457</v>
      </c>
      <c r="L196">
        <v>986.64179999999999</v>
      </c>
      <c r="M196">
        <v>415818</v>
      </c>
      <c r="N196" s="13">
        <f t="shared" si="20"/>
        <v>8.8925482378711309E-3</v>
      </c>
      <c r="O196" s="13">
        <f t="shared" si="21"/>
        <v>1.7068635243307144E-2</v>
      </c>
      <c r="P196" s="11">
        <f t="shared" si="22"/>
        <v>4.9264717237806064E-4</v>
      </c>
      <c r="Q196" s="11">
        <f t="shared" si="23"/>
        <v>1.9458244177370145E-3</v>
      </c>
      <c r="R196" s="11">
        <f t="shared" si="24"/>
        <v>1.3516673321564119E-3</v>
      </c>
      <c r="S196" s="11">
        <f t="shared" si="25"/>
        <v>2.3042657578464646E-3</v>
      </c>
    </row>
    <row r="197" spans="11:19">
      <c r="K197" t="s">
        <v>458</v>
      </c>
      <c r="L197">
        <v>1384.7940000000001</v>
      </c>
      <c r="M197">
        <v>797732</v>
      </c>
      <c r="N197" s="13">
        <f t="shared" si="20"/>
        <v>1.2154981318521021E-2</v>
      </c>
      <c r="O197" s="13">
        <f t="shared" si="21"/>
        <v>2.3330651345976366E-2</v>
      </c>
      <c r="P197" s="11">
        <f t="shared" si="22"/>
        <v>6.7338596504606452E-4</v>
      </c>
      <c r="Q197" s="11">
        <f t="shared" si="23"/>
        <v>2.6596942534413059E-3</v>
      </c>
      <c r="R197" s="11">
        <f t="shared" si="24"/>
        <v>1.8475571604151951E-3</v>
      </c>
      <c r="S197" s="11">
        <f t="shared" si="25"/>
        <v>3.1496379317068096E-3</v>
      </c>
    </row>
    <row r="198" spans="11:19">
      <c r="K198" t="s">
        <v>459</v>
      </c>
      <c r="L198">
        <v>1415.46</v>
      </c>
      <c r="M198">
        <v>1214814</v>
      </c>
      <c r="N198" s="13">
        <f t="shared" si="20"/>
        <v>1.810900724852698E-2</v>
      </c>
      <c r="O198" s="13">
        <f t="shared" si="21"/>
        <v>3.4758994955703448E-2</v>
      </c>
      <c r="P198" s="11">
        <f t="shared" si="22"/>
        <v>1.0032390015683947E-3</v>
      </c>
      <c r="Q198" s="11">
        <f t="shared" si="23"/>
        <v>3.9625254249501937E-3</v>
      </c>
      <c r="R198" s="11">
        <f t="shared" si="24"/>
        <v>2.7525691017761009E-3</v>
      </c>
      <c r="S198" s="11">
        <f t="shared" si="25"/>
        <v>4.6924643190199662E-3</v>
      </c>
    </row>
    <row r="199" spans="11:19">
      <c r="K199" t="s">
        <v>306</v>
      </c>
      <c r="L199">
        <v>1446.223</v>
      </c>
      <c r="M199" s="14">
        <v>4477224</v>
      </c>
      <c r="N199" s="13">
        <f t="shared" si="20"/>
        <v>6.5321479744133507E-2</v>
      </c>
      <c r="O199" s="13">
        <f t="shared" si="21"/>
        <v>0.12538009145200982</v>
      </c>
      <c r="P199" s="11">
        <f t="shared" si="22"/>
        <v>3.6188099778249961E-3</v>
      </c>
      <c r="Q199" s="11">
        <f t="shared" si="23"/>
        <v>1.4293330425529121E-2</v>
      </c>
      <c r="R199" s="11">
        <f t="shared" si="24"/>
        <v>9.9288649211082929E-3</v>
      </c>
      <c r="S199" s="11">
        <f t="shared" si="25"/>
        <v>1.6926312346021325E-2</v>
      </c>
    </row>
    <row r="200" spans="11:19">
      <c r="K200" t="s">
        <v>308</v>
      </c>
      <c r="L200">
        <v>2097.4870000000001</v>
      </c>
      <c r="M200">
        <v>5131601</v>
      </c>
      <c r="N200" s="13">
        <f t="shared" si="20"/>
        <v>5.1622146454304602E-2</v>
      </c>
      <c r="O200" s="13">
        <f t="shared" si="21"/>
        <v>9.9085162625560969E-2</v>
      </c>
      <c r="P200" s="11">
        <f t="shared" si="22"/>
        <v>2.8598669135684747E-3</v>
      </c>
      <c r="Q200" s="11">
        <f t="shared" si="23"/>
        <v>1.1295708539313951E-2</v>
      </c>
      <c r="R200" s="11">
        <f t="shared" si="24"/>
        <v>7.846566261054299E-3</v>
      </c>
      <c r="S200" s="11">
        <f t="shared" si="25"/>
        <v>1.3376496954450732E-2</v>
      </c>
    </row>
    <row r="201" spans="11:19">
      <c r="K201" t="s">
        <v>310</v>
      </c>
      <c r="L201">
        <v>8813.7450000000008</v>
      </c>
      <c r="M201" s="14">
        <v>412000000</v>
      </c>
      <c r="N201" s="13">
        <f t="shared" si="20"/>
        <v>0.98632306698230998</v>
      </c>
      <c r="O201" s="13">
        <f t="shared" si="21"/>
        <v>1.8931793465774196</v>
      </c>
      <c r="P201" s="11">
        <f t="shared" si="22"/>
        <v>5.4642297910819967E-2</v>
      </c>
      <c r="Q201" s="11">
        <f t="shared" si="23"/>
        <v>0.21582244550982585</v>
      </c>
      <c r="R201" s="11">
        <f t="shared" si="24"/>
        <v>0.1499211061813111</v>
      </c>
      <c r="S201" s="11">
        <f t="shared" si="25"/>
        <v>0.25557921178795168</v>
      </c>
    </row>
    <row r="202" spans="11:19">
      <c r="K202" t="s">
        <v>460</v>
      </c>
      <c r="L202">
        <v>931.54859999999996</v>
      </c>
      <c r="M202">
        <v>53620</v>
      </c>
      <c r="N202" s="13">
        <f t="shared" si="20"/>
        <v>1.2145174175560997E-3</v>
      </c>
      <c r="O202" s="13">
        <f t="shared" si="21"/>
        <v>2.3311827209015184E-3</v>
      </c>
      <c r="P202" s="11">
        <f t="shared" si="22"/>
        <v>6.7284264932607917E-5</v>
      </c>
      <c r="Q202" s="11">
        <f t="shared" si="23"/>
        <v>2.657548301827731E-4</v>
      </c>
      <c r="R202" s="11">
        <f t="shared" si="24"/>
        <v>1.8460664746852714E-4</v>
      </c>
      <c r="S202" s="11">
        <f t="shared" si="25"/>
        <v>3.1470966732170499E-4</v>
      </c>
    </row>
    <row r="203" spans="11:19">
      <c r="K203" t="s">
        <v>461</v>
      </c>
      <c r="L203">
        <v>1303.277</v>
      </c>
      <c r="M203">
        <v>737349</v>
      </c>
      <c r="N203" s="13">
        <f t="shared" si="20"/>
        <v>1.193764940223759E-2</v>
      </c>
      <c r="O203" s="13">
        <f t="shared" si="21"/>
        <v>2.291349766780201E-2</v>
      </c>
      <c r="P203" s="11">
        <f t="shared" si="22"/>
        <v>6.6134577688396247E-4</v>
      </c>
      <c r="Q203" s="11">
        <f t="shared" si="23"/>
        <v>2.6121387341294291E-3</v>
      </c>
      <c r="R203" s="11">
        <f t="shared" si="24"/>
        <v>1.8145227091401137E-3</v>
      </c>
      <c r="S203" s="11">
        <f t="shared" si="25"/>
        <v>3.0933221851532715E-3</v>
      </c>
    </row>
    <row r="204" spans="11:19">
      <c r="K204" t="s">
        <v>462</v>
      </c>
      <c r="L204">
        <v>1460.6420000000001</v>
      </c>
      <c r="M204">
        <v>3118661</v>
      </c>
      <c r="N204" s="13">
        <f t="shared" si="20"/>
        <v>4.5051249450584065E-2</v>
      </c>
      <c r="O204" s="13">
        <f t="shared" si="21"/>
        <v>8.6472777381452814E-2</v>
      </c>
      <c r="P204" s="11">
        <f t="shared" si="22"/>
        <v>2.4958392195623571E-3</v>
      </c>
      <c r="Q204" s="11">
        <f t="shared" si="23"/>
        <v>9.8578966214856213E-3</v>
      </c>
      <c r="R204" s="11">
        <f t="shared" si="24"/>
        <v>6.8477899164887781E-3</v>
      </c>
      <c r="S204" s="11">
        <f t="shared" si="25"/>
        <v>1.1673824946496131E-2</v>
      </c>
    </row>
    <row r="205" spans="11:19">
      <c r="K205" t="s">
        <v>463</v>
      </c>
      <c r="L205">
        <v>2489.7579999999998</v>
      </c>
      <c r="M205">
        <v>2579552</v>
      </c>
      <c r="N205" s="13">
        <f t="shared" si="20"/>
        <v>2.1860978938515314E-2</v>
      </c>
      <c r="O205" s="13">
        <f t="shared" si="21"/>
        <v>4.1960646777718963E-2</v>
      </c>
      <c r="P205" s="11">
        <f t="shared" si="22"/>
        <v>1.2110982331937482E-3</v>
      </c>
      <c r="Q205" s="11">
        <f t="shared" si="23"/>
        <v>4.7835137326599619E-3</v>
      </c>
      <c r="R205" s="11">
        <f t="shared" si="24"/>
        <v>3.3228687986543277E-3</v>
      </c>
      <c r="S205" s="11">
        <f t="shared" si="25"/>
        <v>5.6646873149920601E-3</v>
      </c>
    </row>
    <row r="206" spans="11:19">
      <c r="K206" t="s">
        <v>464</v>
      </c>
      <c r="L206">
        <v>1856.673</v>
      </c>
      <c r="M206">
        <v>3996024</v>
      </c>
      <c r="N206" s="13">
        <f t="shared" si="20"/>
        <v>4.541246972407096E-2</v>
      </c>
      <c r="O206" s="13">
        <f t="shared" si="21"/>
        <v>8.7166114873216766E-2</v>
      </c>
      <c r="P206" s="11">
        <f t="shared" si="22"/>
        <v>2.515850822713531E-3</v>
      </c>
      <c r="Q206" s="11">
        <f t="shared" si="23"/>
        <v>9.936937095546711E-3</v>
      </c>
      <c r="R206" s="11">
        <f t="shared" si="24"/>
        <v>6.9026953980587859E-3</v>
      </c>
      <c r="S206" s="11">
        <f t="shared" si="25"/>
        <v>1.1767425507884264E-2</v>
      </c>
    </row>
    <row r="207" spans="11:19">
      <c r="K207" t="s">
        <v>465</v>
      </c>
      <c r="L207">
        <v>2555.8890000000001</v>
      </c>
      <c r="M207" s="14">
        <v>15500000</v>
      </c>
      <c r="N207" s="13">
        <f t="shared" si="20"/>
        <v>0.1279593910377172</v>
      </c>
      <c r="O207" s="13">
        <f t="shared" si="21"/>
        <v>0.24560925767903066</v>
      </c>
      <c r="P207" s="11">
        <f t="shared" si="22"/>
        <v>7.0889502634895324E-3</v>
      </c>
      <c r="Q207" s="11">
        <f t="shared" si="23"/>
        <v>2.7999455375409498E-2</v>
      </c>
      <c r="R207" s="11">
        <f t="shared" si="24"/>
        <v>1.9449827437733012E-2</v>
      </c>
      <c r="S207" s="11">
        <f t="shared" si="25"/>
        <v>3.3157249786669139E-2</v>
      </c>
    </row>
    <row r="208" spans="11:19">
      <c r="K208" t="s">
        <v>466</v>
      </c>
      <c r="L208">
        <v>1909.0530000000001</v>
      </c>
      <c r="M208">
        <v>546381</v>
      </c>
      <c r="N208" s="13">
        <f t="shared" si="20"/>
        <v>6.0389308730559076E-3</v>
      </c>
      <c r="O208" s="13">
        <f t="shared" si="21"/>
        <v>1.1591312813211577E-2</v>
      </c>
      <c r="P208" s="11">
        <f t="shared" si="22"/>
        <v>3.3455677036729726E-4</v>
      </c>
      <c r="Q208" s="11">
        <f t="shared" si="23"/>
        <v>1.32140966070612E-3</v>
      </c>
      <c r="R208" s="11">
        <f t="shared" si="24"/>
        <v>9.1791749270449794E-4</v>
      </c>
      <c r="S208" s="11">
        <f t="shared" si="25"/>
        <v>1.564827229783563E-3</v>
      </c>
    </row>
    <row r="209" spans="11:19">
      <c r="K209" t="s">
        <v>467</v>
      </c>
      <c r="L209">
        <v>1397.7360000000001</v>
      </c>
      <c r="M209">
        <v>3115667</v>
      </c>
      <c r="N209" s="13">
        <f t="shared" si="20"/>
        <v>4.7033612713702731E-2</v>
      </c>
      <c r="O209" s="13">
        <f t="shared" si="21"/>
        <v>9.0277787436254059E-2</v>
      </c>
      <c r="P209" s="11">
        <f t="shared" si="22"/>
        <v>2.6056621443391313E-3</v>
      </c>
      <c r="Q209" s="11">
        <f t="shared" si="23"/>
        <v>1.0291667767732963E-2</v>
      </c>
      <c r="R209" s="11">
        <f t="shared" si="24"/>
        <v>7.1491091324828154E-3</v>
      </c>
      <c r="S209" s="11">
        <f t="shared" si="25"/>
        <v>1.2187501303894299E-2</v>
      </c>
    </row>
    <row r="210" spans="11:19">
      <c r="K210" t="s">
        <v>468</v>
      </c>
      <c r="L210">
        <v>760.06979999999999</v>
      </c>
      <c r="M210">
        <v>1321461</v>
      </c>
      <c r="N210" s="13">
        <f t="shared" si="20"/>
        <v>3.6684561207404903E-2</v>
      </c>
      <c r="O210" s="13">
        <f t="shared" si="21"/>
        <v>7.0413494260658696E-2</v>
      </c>
      <c r="P210" s="11">
        <f t="shared" si="22"/>
        <v>2.0323246908902316E-3</v>
      </c>
      <c r="Q210" s="11">
        <f t="shared" si="23"/>
        <v>8.0271383457150916E-3</v>
      </c>
      <c r="R210" s="11">
        <f t="shared" si="24"/>
        <v>5.5760533035255451E-3</v>
      </c>
      <c r="S210" s="11">
        <f t="shared" si="25"/>
        <v>9.5058217251889239E-3</v>
      </c>
    </row>
    <row r="211" spans="11:19">
      <c r="K211" t="s">
        <v>469</v>
      </c>
      <c r="L211">
        <v>1250.057</v>
      </c>
      <c r="M211">
        <v>970608</v>
      </c>
      <c r="N211" s="13">
        <f t="shared" si="20"/>
        <v>1.6383115969911773E-2</v>
      </c>
      <c r="O211" s="13">
        <f t="shared" si="21"/>
        <v>3.1446265250304591E-2</v>
      </c>
      <c r="P211" s="11">
        <f t="shared" si="22"/>
        <v>9.0762462473311213E-4</v>
      </c>
      <c r="Q211" s="11">
        <f t="shared" si="23"/>
        <v>3.5848742385347233E-3</v>
      </c>
      <c r="R211" s="11">
        <f t="shared" si="24"/>
        <v>2.4902336274265895E-3</v>
      </c>
      <c r="S211" s="11">
        <f t="shared" si="25"/>
        <v>4.2452458087911199E-3</v>
      </c>
    </row>
    <row r="212" spans="11:19">
      <c r="K212" t="s">
        <v>470</v>
      </c>
      <c r="L212">
        <v>2189.5630000000001</v>
      </c>
      <c r="M212">
        <v>2097217</v>
      </c>
      <c r="N212" s="13">
        <f t="shared" si="20"/>
        <v>2.021009612420378E-2</v>
      </c>
      <c r="O212" s="13">
        <f t="shared" si="21"/>
        <v>3.8791890664940903E-2</v>
      </c>
      <c r="P212" s="11">
        <f t="shared" si="22"/>
        <v>1.1196393252808894E-3</v>
      </c>
      <c r="Q212" s="11">
        <f t="shared" si="23"/>
        <v>4.4222755358032636E-3</v>
      </c>
      <c r="R212" s="11">
        <f t="shared" si="24"/>
        <v>3.0719346108789743E-3</v>
      </c>
      <c r="S212" s="11">
        <f t="shared" si="25"/>
        <v>5.2369052397670222E-3</v>
      </c>
    </row>
    <row r="213" spans="11:19">
      <c r="K213" t="s">
        <v>471</v>
      </c>
      <c r="L213">
        <v>1567.3</v>
      </c>
      <c r="M213">
        <v>1835964</v>
      </c>
      <c r="N213" s="13">
        <f t="shared" si="20"/>
        <v>2.4716927454858675E-2</v>
      </c>
      <c r="O213" s="13">
        <f t="shared" si="21"/>
        <v>4.7442443692975185E-2</v>
      </c>
      <c r="P213" s="11">
        <f t="shared" si="22"/>
        <v>1.3693177809991706E-3</v>
      </c>
      <c r="Q213" s="11">
        <f t="shared" si="23"/>
        <v>5.4084385809991713E-3</v>
      </c>
      <c r="R213" s="11">
        <f t="shared" si="24"/>
        <v>3.7569729731385185E-3</v>
      </c>
      <c r="S213" s="11">
        <f t="shared" si="25"/>
        <v>6.4047298985516503E-3</v>
      </c>
    </row>
    <row r="214" spans="11:19">
      <c r="K214" t="s">
        <v>312</v>
      </c>
      <c r="L214">
        <v>4244.8509999999997</v>
      </c>
      <c r="M214" s="14">
        <v>60600000</v>
      </c>
      <c r="N214" s="13">
        <f t="shared" si="20"/>
        <v>0.3012261207754996</v>
      </c>
      <c r="O214" s="13">
        <f t="shared" si="21"/>
        <v>0.5781828384553428</v>
      </c>
      <c r="P214" s="11">
        <f t="shared" si="22"/>
        <v>1.6687927090962677E-2</v>
      </c>
      <c r="Q214" s="11">
        <f t="shared" si="23"/>
        <v>6.5912843583909086E-2</v>
      </c>
      <c r="R214" s="11">
        <f t="shared" si="24"/>
        <v>4.5786370357875937E-2</v>
      </c>
      <c r="S214" s="11">
        <f t="shared" si="25"/>
        <v>7.8054683191471283E-2</v>
      </c>
    </row>
    <row r="215" spans="11:19">
      <c r="K215" t="s">
        <v>472</v>
      </c>
      <c r="L215">
        <v>2221.2820000000002</v>
      </c>
      <c r="M215" s="14">
        <v>38400000</v>
      </c>
      <c r="N215" s="13">
        <f t="shared" si="20"/>
        <v>0.36476233094222166</v>
      </c>
      <c r="O215" s="13">
        <f t="shared" si="21"/>
        <v>0.7001362276379135</v>
      </c>
      <c r="P215" s="11">
        <f t="shared" si="22"/>
        <v>2.020783313419908E-2</v>
      </c>
      <c r="Q215" s="11">
        <f t="shared" si="23"/>
        <v>7.9815529950722136E-2</v>
      </c>
      <c r="R215" s="11">
        <f t="shared" si="24"/>
        <v>5.5443874303217691E-2</v>
      </c>
      <c r="S215" s="11">
        <f t="shared" si="25"/>
        <v>9.4518390731118326E-2</v>
      </c>
    </row>
    <row r="216" spans="11:19">
      <c r="K216" t="s">
        <v>313</v>
      </c>
      <c r="L216">
        <v>4012.5479999999998</v>
      </c>
      <c r="M216" s="14">
        <v>27800000</v>
      </c>
      <c r="N216" s="13">
        <f t="shared" si="20"/>
        <v>0.14618641322172346</v>
      </c>
      <c r="O216" s="13">
        <f t="shared" si="21"/>
        <v>0.28059477419335549</v>
      </c>
      <c r="P216" s="11">
        <f t="shared" si="22"/>
        <v>8.0987272924834802E-3</v>
      </c>
      <c r="Q216" s="11">
        <f t="shared" si="23"/>
        <v>3.1987804258042526E-2</v>
      </c>
      <c r="R216" s="11">
        <f t="shared" si="24"/>
        <v>2.2220334809701967E-2</v>
      </c>
      <c r="S216" s="11">
        <f t="shared" si="25"/>
        <v>3.7880294516102996E-2</v>
      </c>
    </row>
    <row r="217" spans="11:19">
      <c r="K217" t="s">
        <v>473</v>
      </c>
      <c r="L217">
        <v>1072.039</v>
      </c>
      <c r="M217">
        <v>296787</v>
      </c>
      <c r="N217" s="13">
        <f t="shared" si="20"/>
        <v>5.8413972812556272E-3</v>
      </c>
      <c r="O217" s="13">
        <f t="shared" si="21"/>
        <v>1.1212160658334259E-2</v>
      </c>
      <c r="P217" s="11">
        <f t="shared" si="22"/>
        <v>3.2361340938156174E-4</v>
      </c>
      <c r="Q217" s="11">
        <f t="shared" si="23"/>
        <v>1.2781863150501055E-3</v>
      </c>
      <c r="R217" s="11">
        <f t="shared" si="24"/>
        <v>8.8789238675085534E-4</v>
      </c>
      <c r="S217" s="11">
        <f t="shared" si="25"/>
        <v>1.5136416888751252E-3</v>
      </c>
    </row>
    <row r="218" spans="11:19">
      <c r="K218" t="s">
        <v>474</v>
      </c>
      <c r="L218">
        <v>282.39150000000001</v>
      </c>
      <c r="M218">
        <v>247015</v>
      </c>
      <c r="N218" s="13">
        <f t="shared" si="20"/>
        <v>1.8456704610443304E-2</v>
      </c>
      <c r="O218" s="13">
        <f t="shared" si="21"/>
        <v>3.5426376148007289E-2</v>
      </c>
      <c r="P218" s="11">
        <f t="shared" si="22"/>
        <v>1.0225014354185589E-3</v>
      </c>
      <c r="Q218" s="11">
        <f t="shared" si="23"/>
        <v>4.0386068808728314E-3</v>
      </c>
      <c r="R218" s="11">
        <f t="shared" si="24"/>
        <v>2.8054191007873823E-3</v>
      </c>
      <c r="S218" s="11">
        <f t="shared" si="25"/>
        <v>4.7825607799809843E-3</v>
      </c>
    </row>
    <row r="219" spans="11:19">
      <c r="K219" t="s">
        <v>315</v>
      </c>
      <c r="L219">
        <v>2596.1419999999998</v>
      </c>
      <c r="M219" s="14">
        <v>31600000</v>
      </c>
      <c r="N219" s="13">
        <f t="shared" si="20"/>
        <v>0.25682724596728534</v>
      </c>
      <c r="O219" s="13">
        <f t="shared" si="21"/>
        <v>0.49296224936848604</v>
      </c>
      <c r="P219" s="11">
        <f t="shared" si="22"/>
        <v>1.4228229426587607E-2</v>
      </c>
      <c r="Q219" s="11">
        <f t="shared" si="23"/>
        <v>5.6197696428007413E-2</v>
      </c>
      <c r="R219" s="11">
        <f t="shared" si="24"/>
        <v>3.9037741387027369E-2</v>
      </c>
      <c r="S219" s="11">
        <f t="shared" si="25"/>
        <v>6.6549903664745613E-2</v>
      </c>
    </row>
    <row r="220" spans="11:19">
      <c r="K220" t="s">
        <v>475</v>
      </c>
      <c r="L220">
        <v>1962.7149999999999</v>
      </c>
      <c r="M220">
        <v>2750456</v>
      </c>
      <c r="N220" s="13">
        <f t="shared" si="20"/>
        <v>2.9568542350774312E-2</v>
      </c>
      <c r="O220" s="13">
        <f t="shared" si="21"/>
        <v>5.6754785080870125E-2</v>
      </c>
      <c r="P220" s="11">
        <f t="shared" si="22"/>
        <v>1.6380972462328967E-3</v>
      </c>
      <c r="Q220" s="11">
        <f t="shared" si="23"/>
        <v>6.4700454992191944E-3</v>
      </c>
      <c r="R220" s="11">
        <f t="shared" si="24"/>
        <v>4.4944184373176951E-3</v>
      </c>
      <c r="S220" s="11">
        <f t="shared" si="25"/>
        <v>7.6618959859174676E-3</v>
      </c>
    </row>
    <row r="221" spans="11:19">
      <c r="K221" t="s">
        <v>317</v>
      </c>
      <c r="L221">
        <v>2469.1010000000001</v>
      </c>
      <c r="M221">
        <v>9264064</v>
      </c>
      <c r="N221" s="13">
        <f t="shared" si="20"/>
        <v>7.9167174773328436E-2</v>
      </c>
      <c r="O221" s="13">
        <f t="shared" si="21"/>
        <v>0.15195595157913749</v>
      </c>
      <c r="P221" s="11">
        <f t="shared" si="22"/>
        <v>4.3858614824423955E-3</v>
      </c>
      <c r="Q221" s="11">
        <f t="shared" si="23"/>
        <v>1.7322978480021674E-2</v>
      </c>
      <c r="R221" s="11">
        <f t="shared" si="24"/>
        <v>1.2033410565545922E-2</v>
      </c>
      <c r="S221" s="11">
        <f t="shared" si="25"/>
        <v>2.0514053463183562E-2</v>
      </c>
    </row>
    <row r="222" spans="11:19">
      <c r="K222" t="s">
        <v>476</v>
      </c>
      <c r="L222">
        <v>1193.5129999999999</v>
      </c>
      <c r="M222">
        <v>552039</v>
      </c>
      <c r="N222" s="13">
        <f t="shared" si="20"/>
        <v>9.7594436759381783E-3</v>
      </c>
      <c r="O222" s="13">
        <f t="shared" si="21"/>
        <v>1.8732581463293659E-2</v>
      </c>
      <c r="P222" s="11">
        <f t="shared" si="22"/>
        <v>5.4067317964697501E-4</v>
      </c>
      <c r="Q222" s="11">
        <f t="shared" si="23"/>
        <v>2.135514286815477E-3</v>
      </c>
      <c r="R222" s="11">
        <f t="shared" si="24"/>
        <v>1.483435438742603E-3</v>
      </c>
      <c r="S222" s="11">
        <f t="shared" si="25"/>
        <v>2.5288984975446443E-3</v>
      </c>
    </row>
    <row r="223" spans="11:19">
      <c r="K223" t="s">
        <v>775</v>
      </c>
      <c r="L223" s="3">
        <v>733.47670000000005</v>
      </c>
      <c r="M223">
        <v>0</v>
      </c>
      <c r="N223" s="13">
        <f t="shared" si="20"/>
        <v>0</v>
      </c>
      <c r="O223" s="13">
        <f t="shared" si="21"/>
        <v>0</v>
      </c>
      <c r="P223" s="11">
        <f t="shared" si="22"/>
        <v>0</v>
      </c>
      <c r="Q223" s="11">
        <f t="shared" si="23"/>
        <v>0</v>
      </c>
      <c r="R223" s="11">
        <f t="shared" si="24"/>
        <v>0</v>
      </c>
      <c r="S223" s="11">
        <f t="shared" si="25"/>
        <v>0</v>
      </c>
    </row>
    <row r="224" spans="11:19">
      <c r="K224" t="s">
        <v>477</v>
      </c>
      <c r="L224" s="3">
        <v>1965.6610000000001</v>
      </c>
      <c r="M224">
        <v>1160421</v>
      </c>
      <c r="N224" s="13">
        <f t="shared" si="20"/>
        <v>1.2456310167419509E-2</v>
      </c>
      <c r="O224" s="13">
        <f t="shared" si="21"/>
        <v>2.3909031364004268E-2</v>
      </c>
      <c r="P224" s="11">
        <f t="shared" si="22"/>
        <v>6.9007958327504081E-4</v>
      </c>
      <c r="Q224" s="11">
        <f t="shared" si="23"/>
        <v>2.7256295754964866E-3</v>
      </c>
      <c r="R224" s="11">
        <f t="shared" si="24"/>
        <v>1.8933591454477652E-3</v>
      </c>
      <c r="S224" s="11">
        <f t="shared" si="25"/>
        <v>3.2277192341405763E-3</v>
      </c>
    </row>
    <row r="225" spans="11:19">
      <c r="K225" t="s">
        <v>478</v>
      </c>
      <c r="L225" s="3">
        <v>1182.1220000000001</v>
      </c>
      <c r="M225">
        <v>210608</v>
      </c>
      <c r="N225" s="13">
        <f t="shared" si="20"/>
        <v>3.7591964281182481E-3</v>
      </c>
      <c r="O225" s="13">
        <f t="shared" si="21"/>
        <v>7.2155192103691493E-3</v>
      </c>
      <c r="P225" s="11">
        <f t="shared" si="22"/>
        <v>2.0825948211775094E-4</v>
      </c>
      <c r="Q225" s="11">
        <f t="shared" si="23"/>
        <v>8.2256918998208301E-4</v>
      </c>
      <c r="R225" s="11">
        <f t="shared" si="24"/>
        <v>5.7139785707397371E-4</v>
      </c>
      <c r="S225" s="11">
        <f t="shared" si="25"/>
        <v>9.7409509339983519E-4</v>
      </c>
    </row>
    <row r="226" spans="11:19">
      <c r="K226" s="3" t="s">
        <v>479</v>
      </c>
      <c r="L226" s="3">
        <v>3339.4479999999999</v>
      </c>
      <c r="M226" s="3">
        <v>1513281</v>
      </c>
      <c r="N226" s="13">
        <f t="shared" ref="N226:N289" si="26">+M226/L226*$B$24</f>
        <v>9.5615290610903368E-3</v>
      </c>
      <c r="O226" s="13">
        <f t="shared" ref="O226:O289" si="27">+M226/L226*$C$24</f>
        <v>1.8352697960860597E-2</v>
      </c>
      <c r="P226" s="11">
        <f t="shared" ref="P226:P289" si="28">+N226*$B$12</f>
        <v>5.2970870998440465E-4</v>
      </c>
      <c r="Q226" s="11">
        <f t="shared" ref="Q226:Q289" si="29">+O226*$D$12</f>
        <v>2.0922075675381081E-3</v>
      </c>
      <c r="R226" s="11">
        <f t="shared" ref="R226:R289" si="30">+N226*$C$12</f>
        <v>1.4533524172857311E-3</v>
      </c>
      <c r="S226" s="11">
        <f t="shared" ref="S226:S289" si="31">+O226*$E$12</f>
        <v>2.4776142247161809E-3</v>
      </c>
    </row>
    <row r="227" spans="11:19">
      <c r="K227" t="s">
        <v>480</v>
      </c>
      <c r="L227" s="3">
        <v>879.68340000000001</v>
      </c>
      <c r="M227">
        <v>687880</v>
      </c>
      <c r="N227" s="13">
        <f t="shared" si="26"/>
        <v>1.6499422405833734E-2</v>
      </c>
      <c r="O227" s="13">
        <f t="shared" si="27"/>
        <v>3.1669507461434418E-2</v>
      </c>
      <c r="P227" s="11">
        <f t="shared" si="28"/>
        <v>9.1406800128318881E-4</v>
      </c>
      <c r="Q227" s="11">
        <f t="shared" si="29"/>
        <v>3.6103238506035237E-3</v>
      </c>
      <c r="R227" s="11">
        <f t="shared" si="30"/>
        <v>2.5079122056867274E-3</v>
      </c>
      <c r="S227" s="11">
        <f t="shared" si="31"/>
        <v>4.275383507293647E-3</v>
      </c>
    </row>
    <row r="228" spans="11:19">
      <c r="K228" t="s">
        <v>481</v>
      </c>
      <c r="L228">
        <v>1707.673</v>
      </c>
      <c r="M228">
        <v>7219914</v>
      </c>
      <c r="N228" s="13">
        <f t="shared" si="26"/>
        <v>8.9209225302502304E-2</v>
      </c>
      <c r="O228" s="13">
        <f t="shared" si="27"/>
        <v>0.17123097747636698</v>
      </c>
      <c r="P228" s="11">
        <f t="shared" si="28"/>
        <v>4.9421910817586271E-3</v>
      </c>
      <c r="Q228" s="11">
        <f t="shared" si="29"/>
        <v>1.9520331432305835E-2</v>
      </c>
      <c r="R228" s="11">
        <f t="shared" si="30"/>
        <v>1.355980224598035E-2</v>
      </c>
      <c r="S228" s="11">
        <f t="shared" si="31"/>
        <v>2.3116181959309545E-2</v>
      </c>
    </row>
    <row r="229" spans="11:19">
      <c r="K229" t="s">
        <v>482</v>
      </c>
      <c r="L229">
        <v>2448.163</v>
      </c>
      <c r="M229">
        <v>418260</v>
      </c>
      <c r="N229" s="13">
        <f t="shared" si="26"/>
        <v>3.60486046068011E-3</v>
      </c>
      <c r="O229" s="13">
        <f t="shared" si="27"/>
        <v>6.9192819268978417E-3</v>
      </c>
      <c r="P229" s="11">
        <f t="shared" si="28"/>
        <v>1.997092695216781E-4</v>
      </c>
      <c r="Q229" s="11">
        <f t="shared" si="29"/>
        <v>7.8879813966635395E-4</v>
      </c>
      <c r="R229" s="11">
        <f t="shared" si="30"/>
        <v>5.4793879002337667E-4</v>
      </c>
      <c r="S229" s="11">
        <f t="shared" si="31"/>
        <v>9.3410306013120864E-4</v>
      </c>
    </row>
    <row r="230" spans="11:19">
      <c r="K230" t="s">
        <v>483</v>
      </c>
      <c r="L230" s="3">
        <v>1428.6559999999999</v>
      </c>
      <c r="M230" s="14">
        <v>11900000</v>
      </c>
      <c r="N230" s="13">
        <f t="shared" si="26"/>
        <v>0.17575259544634958</v>
      </c>
      <c r="O230" s="13">
        <f t="shared" si="27"/>
        <v>0.33734502917427289</v>
      </c>
      <c r="P230" s="11">
        <f t="shared" si="28"/>
        <v>9.7366937877277661E-3</v>
      </c>
      <c r="Q230" s="11">
        <f t="shared" si="29"/>
        <v>3.8457333325867114E-2</v>
      </c>
      <c r="R230" s="11">
        <f t="shared" si="30"/>
        <v>2.6714394507845136E-2</v>
      </c>
      <c r="S230" s="11">
        <f t="shared" si="31"/>
        <v>4.5541578938526846E-2</v>
      </c>
    </row>
    <row r="231" spans="11:19">
      <c r="K231" t="s">
        <v>484</v>
      </c>
      <c r="L231">
        <v>1640.6189999999999</v>
      </c>
      <c r="M231">
        <v>3015018</v>
      </c>
      <c r="N231" s="13">
        <f t="shared" si="26"/>
        <v>3.877614473561504E-2</v>
      </c>
      <c r="O231" s="13">
        <f t="shared" si="27"/>
        <v>7.4428145108644969E-2</v>
      </c>
      <c r="P231" s="11">
        <f t="shared" si="28"/>
        <v>2.1481984183530731E-3</v>
      </c>
      <c r="Q231" s="11">
        <f t="shared" si="29"/>
        <v>8.484808542385527E-3</v>
      </c>
      <c r="R231" s="11">
        <f t="shared" si="30"/>
        <v>5.8939739998134857E-3</v>
      </c>
      <c r="S231" s="11">
        <f t="shared" si="31"/>
        <v>1.0047799589667072E-2</v>
      </c>
    </row>
    <row r="232" spans="11:19">
      <c r="K232" t="s">
        <v>485</v>
      </c>
      <c r="L232" s="3">
        <v>1719.2180000000001</v>
      </c>
      <c r="M232">
        <v>981866</v>
      </c>
      <c r="N232" s="13">
        <f t="shared" si="26"/>
        <v>1.2050462826703769E-2</v>
      </c>
      <c r="O232" s="13">
        <f t="shared" si="27"/>
        <v>2.3130035283483539E-2</v>
      </c>
      <c r="P232" s="11">
        <f t="shared" si="28"/>
        <v>6.6759564059938874E-4</v>
      </c>
      <c r="Q232" s="11">
        <f t="shared" si="29"/>
        <v>2.6368240223171237E-3</v>
      </c>
      <c r="R232" s="11">
        <f t="shared" si="30"/>
        <v>1.8316703496589729E-3</v>
      </c>
      <c r="S232" s="11">
        <f t="shared" si="31"/>
        <v>3.1225547632702778E-3</v>
      </c>
    </row>
    <row r="233" spans="11:19">
      <c r="K233" t="s">
        <v>486</v>
      </c>
      <c r="L233" s="3">
        <v>3743.2310000000002</v>
      </c>
      <c r="M233">
        <v>5122614</v>
      </c>
      <c r="N233" s="13">
        <f t="shared" si="26"/>
        <v>2.887536339595392E-2</v>
      </c>
      <c r="O233" s="13">
        <f t="shared" si="27"/>
        <v>5.5424275712612978E-2</v>
      </c>
      <c r="P233" s="11">
        <f t="shared" si="28"/>
        <v>1.5996951321358471E-3</v>
      </c>
      <c r="Q233" s="11">
        <f t="shared" si="29"/>
        <v>6.3183674312378797E-3</v>
      </c>
      <c r="R233" s="11">
        <f t="shared" si="30"/>
        <v>4.3890552361849954E-3</v>
      </c>
      <c r="S233" s="11">
        <f t="shared" si="31"/>
        <v>7.4822772212027521E-3</v>
      </c>
    </row>
    <row r="234" spans="11:19">
      <c r="K234" t="s">
        <v>487</v>
      </c>
      <c r="L234" s="3">
        <v>1441.4880000000001</v>
      </c>
      <c r="M234" s="14">
        <v>1286854</v>
      </c>
      <c r="N234" s="13">
        <f t="shared" si="26"/>
        <v>1.8836521289112361E-2</v>
      </c>
      <c r="O234" s="13">
        <f t="shared" si="27"/>
        <v>3.6155408161566378E-2</v>
      </c>
      <c r="P234" s="11">
        <f t="shared" si="28"/>
        <v>1.0435432794168248E-3</v>
      </c>
      <c r="Q234" s="11">
        <f t="shared" si="29"/>
        <v>4.1217165304185677E-3</v>
      </c>
      <c r="R234" s="11">
        <f t="shared" si="30"/>
        <v>2.863151235945079E-3</v>
      </c>
      <c r="S234" s="11">
        <f t="shared" si="31"/>
        <v>4.8809801018114612E-3</v>
      </c>
    </row>
    <row r="235" spans="11:19">
      <c r="K235" t="s">
        <v>488</v>
      </c>
      <c r="L235" s="3">
        <v>974.5521</v>
      </c>
      <c r="M235" s="14">
        <v>472359</v>
      </c>
      <c r="N235" s="13">
        <f t="shared" si="26"/>
        <v>1.0227031371642419E-2</v>
      </c>
      <c r="O235" s="13">
        <f t="shared" si="27"/>
        <v>1.9630083912394215E-2</v>
      </c>
      <c r="P235" s="11">
        <f t="shared" si="28"/>
        <v>5.6657753798899002E-4</v>
      </c>
      <c r="Q235" s="11">
        <f t="shared" si="29"/>
        <v>2.2378295660129407E-3</v>
      </c>
      <c r="R235" s="11">
        <f t="shared" si="30"/>
        <v>1.5545087684896476E-3</v>
      </c>
      <c r="S235" s="11">
        <f t="shared" si="31"/>
        <v>2.6500613281732191E-3</v>
      </c>
    </row>
    <row r="236" spans="11:19">
      <c r="K236" s="3" t="s">
        <v>319</v>
      </c>
      <c r="L236" s="14">
        <v>2124.5520000000001</v>
      </c>
      <c r="M236" s="14">
        <v>18100000</v>
      </c>
      <c r="N236" s="13">
        <f t="shared" si="26"/>
        <v>0.17976025063166259</v>
      </c>
      <c r="O236" s="13">
        <f t="shared" si="27"/>
        <v>0.34503744789489738</v>
      </c>
      <c r="P236" s="11">
        <f t="shared" si="28"/>
        <v>9.9587178849941081E-3</v>
      </c>
      <c r="Q236" s="11">
        <f t="shared" si="29"/>
        <v>3.9334269060018301E-2</v>
      </c>
      <c r="R236" s="11">
        <f t="shared" si="30"/>
        <v>2.7323558096012713E-2</v>
      </c>
      <c r="S236" s="11">
        <f t="shared" si="31"/>
        <v>4.6580055465811149E-2</v>
      </c>
    </row>
    <row r="237" spans="11:19">
      <c r="K237" s="3" t="s">
        <v>489</v>
      </c>
      <c r="L237" s="3">
        <v>1336.4090000000001</v>
      </c>
      <c r="M237" s="3">
        <v>705698</v>
      </c>
      <c r="N237" s="13">
        <f t="shared" si="26"/>
        <v>1.1141969112749164E-2</v>
      </c>
      <c r="O237" s="13">
        <f t="shared" si="27"/>
        <v>2.138624403158015E-2</v>
      </c>
      <c r="P237" s="11">
        <f t="shared" si="28"/>
        <v>6.1726508884630367E-4</v>
      </c>
      <c r="Q237" s="11">
        <f t="shared" si="29"/>
        <v>2.4380318196001371E-3</v>
      </c>
      <c r="R237" s="11">
        <f t="shared" si="30"/>
        <v>1.6935793051378728E-3</v>
      </c>
      <c r="S237" s="11">
        <f t="shared" si="31"/>
        <v>2.8871429442633204E-3</v>
      </c>
    </row>
    <row r="238" spans="11:19">
      <c r="K238" t="s">
        <v>490</v>
      </c>
      <c r="L238" s="3">
        <v>1788.91</v>
      </c>
      <c r="M238">
        <v>2150744</v>
      </c>
      <c r="N238" s="13">
        <f t="shared" si="26"/>
        <v>2.5367792901822894E-2</v>
      </c>
      <c r="O238" s="13">
        <f t="shared" si="27"/>
        <v>4.8691735190702717E-2</v>
      </c>
      <c r="P238" s="11">
        <f t="shared" si="28"/>
        <v>1.4053757267609884E-3</v>
      </c>
      <c r="Q238" s="11">
        <f t="shared" si="29"/>
        <v>5.5508578117401102E-3</v>
      </c>
      <c r="R238" s="11">
        <f t="shared" si="30"/>
        <v>3.8559045210770798E-3</v>
      </c>
      <c r="S238" s="11">
        <f t="shared" si="31"/>
        <v>6.5733842507448674E-3</v>
      </c>
    </row>
    <row r="239" spans="11:19">
      <c r="K239" t="s">
        <v>323</v>
      </c>
      <c r="L239" s="3">
        <v>3390.0940000000001</v>
      </c>
      <c r="M239" s="14">
        <v>18400000</v>
      </c>
      <c r="N239" s="13">
        <f t="shared" si="26"/>
        <v>0.11452189821285191</v>
      </c>
      <c r="O239" s="13">
        <f t="shared" si="27"/>
        <v>0.21981691363130346</v>
      </c>
      <c r="P239" s="11">
        <f t="shared" si="28"/>
        <v>6.3445131609919962E-3</v>
      </c>
      <c r="Q239" s="11">
        <f t="shared" si="29"/>
        <v>2.5059128153968595E-2</v>
      </c>
      <c r="R239" s="11">
        <f t="shared" si="30"/>
        <v>1.7407328528353489E-2</v>
      </c>
      <c r="S239" s="11">
        <f t="shared" si="31"/>
        <v>2.9675283340225969E-2</v>
      </c>
    </row>
    <row r="240" spans="11:19">
      <c r="K240" t="s">
        <v>491</v>
      </c>
      <c r="L240" s="3">
        <v>738.72879999999998</v>
      </c>
      <c r="M240">
        <v>363964</v>
      </c>
      <c r="N240" s="13">
        <f t="shared" si="26"/>
        <v>1.039575064624528E-2</v>
      </c>
      <c r="O240" s="13">
        <f t="shared" si="27"/>
        <v>1.9953928965541889E-2</v>
      </c>
      <c r="P240" s="11">
        <f t="shared" si="28"/>
        <v>5.7592458580198853E-4</v>
      </c>
      <c r="Q240" s="11">
        <f t="shared" si="29"/>
        <v>2.2747479020717755E-3</v>
      </c>
      <c r="R240" s="11">
        <f t="shared" si="30"/>
        <v>1.5801540982292824E-3</v>
      </c>
      <c r="S240" s="11">
        <f t="shared" si="31"/>
        <v>2.693780410348155E-3</v>
      </c>
    </row>
    <row r="241" spans="11:19">
      <c r="K241" t="s">
        <v>492</v>
      </c>
      <c r="L241" s="3">
        <v>1682.1120000000001</v>
      </c>
      <c r="M241" s="14">
        <v>19600000</v>
      </c>
      <c r="N241" s="13">
        <f t="shared" si="26"/>
        <v>0.24585758855533996</v>
      </c>
      <c r="O241" s="13">
        <f t="shared" si="27"/>
        <v>0.47190674580527342</v>
      </c>
      <c r="P241" s="11">
        <f t="shared" si="28"/>
        <v>1.3620510405965833E-2</v>
      </c>
      <c r="Q241" s="11">
        <f t="shared" si="29"/>
        <v>5.379736902180117E-2</v>
      </c>
      <c r="R241" s="11">
        <f t="shared" si="30"/>
        <v>3.7370353460411669E-2</v>
      </c>
      <c r="S241" s="11">
        <f t="shared" si="31"/>
        <v>6.3707410683711913E-2</v>
      </c>
    </row>
    <row r="242" spans="11:19">
      <c r="K242" t="s">
        <v>325</v>
      </c>
      <c r="L242" s="3">
        <v>2396.4549999999999</v>
      </c>
      <c r="M242" s="14">
        <v>30300000</v>
      </c>
      <c r="N242" s="13">
        <f t="shared" si="26"/>
        <v>0.26678155859383967</v>
      </c>
      <c r="O242" s="13">
        <f t="shared" si="27"/>
        <v>0.51206886839101928</v>
      </c>
      <c r="P242" s="11">
        <f t="shared" si="28"/>
        <v>1.4779698346098716E-2</v>
      </c>
      <c r="Q242" s="11">
        <f t="shared" si="29"/>
        <v>5.8375850996576203E-2</v>
      </c>
      <c r="R242" s="11">
        <f t="shared" si="30"/>
        <v>4.0550796906263627E-2</v>
      </c>
      <c r="S242" s="11">
        <f t="shared" si="31"/>
        <v>6.9129297232787601E-2</v>
      </c>
    </row>
    <row r="243" spans="11:19">
      <c r="K243" t="s">
        <v>327</v>
      </c>
      <c r="L243" s="3">
        <v>4110.7539999999999</v>
      </c>
      <c r="M243" s="14">
        <v>106000000</v>
      </c>
      <c r="N243" s="13">
        <f t="shared" si="26"/>
        <v>0.54408509971649976</v>
      </c>
      <c r="O243" s="13">
        <f t="shared" si="27"/>
        <v>1.0443339591714806</v>
      </c>
      <c r="P243" s="11">
        <f t="shared" si="28"/>
        <v>3.0142314524294087E-2</v>
      </c>
      <c r="Q243" s="11">
        <f t="shared" si="29"/>
        <v>0.1190540713455488</v>
      </c>
      <c r="R243" s="11">
        <f t="shared" si="30"/>
        <v>8.2700935156907962E-2</v>
      </c>
      <c r="S243" s="11">
        <f t="shared" si="31"/>
        <v>0.14098508448814989</v>
      </c>
    </row>
    <row r="244" spans="11:19">
      <c r="K244" t="s">
        <v>329</v>
      </c>
      <c r="L244" s="3">
        <v>3030.3789999999999</v>
      </c>
      <c r="M244" s="14">
        <v>23100000</v>
      </c>
      <c r="N244" s="13">
        <f t="shared" si="26"/>
        <v>0.16084126770941853</v>
      </c>
      <c r="O244" s="13">
        <f t="shared" si="27"/>
        <v>0.30872376029532939</v>
      </c>
      <c r="P244" s="11">
        <f t="shared" si="28"/>
        <v>8.9106062311017867E-3</v>
      </c>
      <c r="Q244" s="11">
        <f t="shared" si="29"/>
        <v>3.5194508673667552E-2</v>
      </c>
      <c r="R244" s="11">
        <f t="shared" si="30"/>
        <v>2.4447872691831615E-2</v>
      </c>
      <c r="S244" s="11">
        <f t="shared" si="31"/>
        <v>4.1677707639869471E-2</v>
      </c>
    </row>
    <row r="245" spans="11:19">
      <c r="K245" t="s">
        <v>493</v>
      </c>
      <c r="L245" s="3">
        <v>1614.5719999999999</v>
      </c>
      <c r="M245">
        <v>381608</v>
      </c>
      <c r="N245" s="13">
        <f t="shared" si="26"/>
        <v>4.9870360690015686E-3</v>
      </c>
      <c r="O245" s="13">
        <f t="shared" si="27"/>
        <v>9.5722730234390294E-3</v>
      </c>
      <c r="P245" s="11">
        <f t="shared" si="28"/>
        <v>2.7628179822268692E-4</v>
      </c>
      <c r="Q245" s="11">
        <f t="shared" si="29"/>
        <v>1.0912391246720493E-3</v>
      </c>
      <c r="R245" s="11">
        <f t="shared" si="30"/>
        <v>7.580294824882384E-4</v>
      </c>
      <c r="S245" s="11">
        <f t="shared" si="31"/>
        <v>1.2922568581642691E-3</v>
      </c>
    </row>
    <row r="246" spans="11:19">
      <c r="K246" t="s">
        <v>776</v>
      </c>
      <c r="L246" s="3">
        <v>1200.2719999999999</v>
      </c>
      <c r="M246">
        <v>0</v>
      </c>
      <c r="N246" s="13">
        <f t="shared" si="26"/>
        <v>0</v>
      </c>
      <c r="O246" s="13">
        <f t="shared" si="27"/>
        <v>0</v>
      </c>
      <c r="P246" s="11">
        <f t="shared" si="28"/>
        <v>0</v>
      </c>
      <c r="Q246" s="11">
        <f t="shared" si="29"/>
        <v>0</v>
      </c>
      <c r="R246" s="11">
        <f t="shared" si="30"/>
        <v>0</v>
      </c>
      <c r="S246" s="11">
        <f t="shared" si="31"/>
        <v>0</v>
      </c>
    </row>
    <row r="247" spans="11:19">
      <c r="K247" t="s">
        <v>494</v>
      </c>
      <c r="L247" s="3">
        <v>2062.3240000000001</v>
      </c>
      <c r="M247">
        <v>6794534</v>
      </c>
      <c r="N247" s="13">
        <f t="shared" si="26"/>
        <v>6.9516073807995252E-2</v>
      </c>
      <c r="O247" s="13">
        <f t="shared" si="27"/>
        <v>0.13343132650349801</v>
      </c>
      <c r="P247" s="11">
        <f t="shared" si="28"/>
        <v>3.851190488962937E-3</v>
      </c>
      <c r="Q247" s="11">
        <f t="shared" si="29"/>
        <v>1.5211171221398773E-2</v>
      </c>
      <c r="R247" s="11">
        <f t="shared" si="30"/>
        <v>1.0566443218815278E-2</v>
      </c>
      <c r="S247" s="11">
        <f t="shared" si="31"/>
        <v>1.8013229077972231E-2</v>
      </c>
    </row>
    <row r="248" spans="11:19">
      <c r="K248" t="s">
        <v>495</v>
      </c>
      <c r="L248" s="3">
        <v>2392.5749999999998</v>
      </c>
      <c r="M248">
        <v>6532034</v>
      </c>
      <c r="N248" s="13">
        <f t="shared" si="26"/>
        <v>5.7605683165627003E-2</v>
      </c>
      <c r="O248" s="13">
        <f t="shared" si="27"/>
        <v>0.11057015015203286</v>
      </c>
      <c r="P248" s="11">
        <f t="shared" si="28"/>
        <v>3.191354847375736E-3</v>
      </c>
      <c r="Q248" s="11">
        <f t="shared" si="29"/>
        <v>1.2604997117331746E-2</v>
      </c>
      <c r="R248" s="11">
        <f t="shared" si="30"/>
        <v>8.7560638411753045E-3</v>
      </c>
      <c r="S248" s="11">
        <f t="shared" si="31"/>
        <v>1.4926970270524437E-2</v>
      </c>
    </row>
    <row r="249" spans="11:19">
      <c r="K249" t="s">
        <v>496</v>
      </c>
      <c r="L249" s="3">
        <v>1424.011</v>
      </c>
      <c r="M249">
        <v>868322</v>
      </c>
      <c r="N249" s="13">
        <f t="shared" si="26"/>
        <v>1.2866188674104344E-2</v>
      </c>
      <c r="O249" s="13">
        <f t="shared" si="27"/>
        <v>2.469576499057943E-2</v>
      </c>
      <c r="P249" s="11">
        <f t="shared" si="28"/>
        <v>7.1278685254538062E-4</v>
      </c>
      <c r="Q249" s="11">
        <f t="shared" si="29"/>
        <v>2.8153172089260552E-3</v>
      </c>
      <c r="R249" s="11">
        <f t="shared" si="30"/>
        <v>1.9556606784638603E-3</v>
      </c>
      <c r="S249" s="11">
        <f t="shared" si="31"/>
        <v>3.3339282737282231E-3</v>
      </c>
    </row>
    <row r="250" spans="11:19">
      <c r="K250" t="s">
        <v>497</v>
      </c>
      <c r="L250" s="3">
        <v>1626.4090000000001</v>
      </c>
      <c r="M250">
        <v>5472260</v>
      </c>
      <c r="N250" s="13">
        <f t="shared" si="26"/>
        <v>7.0993634442504922E-2</v>
      </c>
      <c r="O250" s="13">
        <f t="shared" si="27"/>
        <v>0.13626740260291229</v>
      </c>
      <c r="P250" s="11">
        <f t="shared" si="28"/>
        <v>3.9330473481147725E-3</v>
      </c>
      <c r="Q250" s="11">
        <f t="shared" si="29"/>
        <v>1.5534483896732001E-2</v>
      </c>
      <c r="R250" s="11">
        <f t="shared" si="30"/>
        <v>1.0791032435260748E-2</v>
      </c>
      <c r="S250" s="11">
        <f t="shared" si="31"/>
        <v>1.839609935139316E-2</v>
      </c>
    </row>
    <row r="251" spans="11:19">
      <c r="K251" t="s">
        <v>498</v>
      </c>
      <c r="L251" s="3">
        <v>1710.9369999999999</v>
      </c>
      <c r="M251">
        <v>2540001</v>
      </c>
      <c r="N251" s="13">
        <f t="shared" si="26"/>
        <v>3.132436851853692E-2</v>
      </c>
      <c r="O251" s="13">
        <f t="shared" si="27"/>
        <v>6.0124972748850487E-2</v>
      </c>
      <c r="P251" s="11">
        <f t="shared" si="28"/>
        <v>1.7353700159269453E-3</v>
      </c>
      <c r="Q251" s="11">
        <f t="shared" si="29"/>
        <v>6.8542468933689557E-3</v>
      </c>
      <c r="R251" s="11">
        <f t="shared" si="30"/>
        <v>4.7613040148176116E-3</v>
      </c>
      <c r="S251" s="11">
        <f t="shared" si="31"/>
        <v>8.1168713210948169E-3</v>
      </c>
    </row>
    <row r="252" spans="11:19">
      <c r="K252" t="s">
        <v>499</v>
      </c>
      <c r="L252" s="3">
        <v>2501.2950000000001</v>
      </c>
      <c r="M252">
        <v>2073158</v>
      </c>
      <c r="N252" s="13">
        <f t="shared" si="26"/>
        <v>1.7488394531632614E-2</v>
      </c>
      <c r="O252" s="13">
        <f t="shared" si="27"/>
        <v>3.3567771494365919E-2</v>
      </c>
      <c r="P252" s="11">
        <f t="shared" si="28"/>
        <v>9.688570570524468E-4</v>
      </c>
      <c r="Q252" s="11">
        <f t="shared" si="29"/>
        <v>3.8267259503577148E-3</v>
      </c>
      <c r="R252" s="11">
        <f t="shared" si="30"/>
        <v>2.6582359688081571E-3</v>
      </c>
      <c r="S252" s="11">
        <f t="shared" si="31"/>
        <v>4.5316491517393993E-3</v>
      </c>
    </row>
    <row r="253" spans="11:19">
      <c r="K253" t="s">
        <v>331</v>
      </c>
      <c r="L253">
        <v>3449.1709999999998</v>
      </c>
      <c r="M253" s="14">
        <v>60600000</v>
      </c>
      <c r="N253" s="13">
        <f t="shared" si="26"/>
        <v>0.37071516605004512</v>
      </c>
      <c r="O253" s="13">
        <f t="shared" si="27"/>
        <v>0.71156228554629508</v>
      </c>
      <c r="P253" s="11">
        <f t="shared" si="28"/>
        <v>2.0537620199172497E-2</v>
      </c>
      <c r="Q253" s="11">
        <f t="shared" si="29"/>
        <v>8.1118100552277639E-2</v>
      </c>
      <c r="R253" s="11">
        <f t="shared" si="30"/>
        <v>5.6348705239606854E-2</v>
      </c>
      <c r="S253" s="11">
        <f t="shared" si="31"/>
        <v>9.6060908548749838E-2</v>
      </c>
    </row>
    <row r="254" spans="11:19">
      <c r="K254" t="s">
        <v>500</v>
      </c>
      <c r="L254">
        <v>846.12559999999996</v>
      </c>
      <c r="M254">
        <v>296956</v>
      </c>
      <c r="N254" s="13">
        <f t="shared" si="26"/>
        <v>7.4052500007091146E-3</v>
      </c>
      <c r="O254" s="13">
        <f t="shared" si="27"/>
        <v>1.4213868484773419E-2</v>
      </c>
      <c r="P254" s="11">
        <f t="shared" si="28"/>
        <v>4.1025085003928492E-4</v>
      </c>
      <c r="Q254" s="11">
        <f t="shared" si="29"/>
        <v>1.6203810072641697E-3</v>
      </c>
      <c r="R254" s="11">
        <f t="shared" si="30"/>
        <v>1.1255980001077853E-3</v>
      </c>
      <c r="S254" s="11">
        <f t="shared" si="31"/>
        <v>1.9188722454444116E-3</v>
      </c>
    </row>
    <row r="255" spans="11:19">
      <c r="K255" t="s">
        <v>501</v>
      </c>
      <c r="L255">
        <v>1449.5830000000001</v>
      </c>
      <c r="M255">
        <v>589276</v>
      </c>
      <c r="N255" s="13">
        <f t="shared" si="26"/>
        <v>8.5774485489965042E-3</v>
      </c>
      <c r="O255" s="13">
        <f t="shared" si="27"/>
        <v>1.6463823044282389E-2</v>
      </c>
      <c r="P255" s="11">
        <f t="shared" si="28"/>
        <v>4.7519064961440633E-4</v>
      </c>
      <c r="Q255" s="11">
        <f t="shared" si="29"/>
        <v>1.8768758270481924E-3</v>
      </c>
      <c r="R255" s="11">
        <f t="shared" si="30"/>
        <v>1.3037721794474685E-3</v>
      </c>
      <c r="S255" s="11">
        <f t="shared" si="31"/>
        <v>2.2226161109781227E-3</v>
      </c>
    </row>
    <row r="256" spans="11:19">
      <c r="K256" t="s">
        <v>502</v>
      </c>
      <c r="L256">
        <v>747.45309999999995</v>
      </c>
      <c r="M256">
        <v>229376</v>
      </c>
      <c r="N256" s="13">
        <f t="shared" si="26"/>
        <v>6.4751000430662486E-3</v>
      </c>
      <c r="O256" s="13">
        <f t="shared" si="27"/>
        <v>1.2428509561335689E-2</v>
      </c>
      <c r="P256" s="11">
        <f t="shared" si="28"/>
        <v>3.5872054238587014E-4</v>
      </c>
      <c r="Q256" s="11">
        <f t="shared" si="29"/>
        <v>1.4168500899922685E-3</v>
      </c>
      <c r="R256" s="11">
        <f t="shared" si="30"/>
        <v>9.8421520654606983E-4</v>
      </c>
      <c r="S256" s="11">
        <f t="shared" si="31"/>
        <v>1.6778487907803182E-3</v>
      </c>
    </row>
    <row r="257" spans="11:19">
      <c r="K257" t="s">
        <v>503</v>
      </c>
      <c r="L257">
        <v>901.35580000000004</v>
      </c>
      <c r="M257">
        <v>2336216</v>
      </c>
      <c r="N257" s="13">
        <f t="shared" si="26"/>
        <v>5.4688900431993669E-2</v>
      </c>
      <c r="O257" s="13">
        <f t="shared" si="27"/>
        <v>0.10497158613723903</v>
      </c>
      <c r="P257" s="11">
        <f t="shared" si="28"/>
        <v>3.0297650839324493E-3</v>
      </c>
      <c r="Q257" s="11">
        <f t="shared" si="29"/>
        <v>1.1966760819645249E-2</v>
      </c>
      <c r="R257" s="11">
        <f t="shared" si="30"/>
        <v>8.3127128656630377E-3</v>
      </c>
      <c r="S257" s="11">
        <f t="shared" si="31"/>
        <v>1.417116412852727E-2</v>
      </c>
    </row>
    <row r="258" spans="11:19">
      <c r="K258" t="s">
        <v>504</v>
      </c>
      <c r="L258">
        <v>1002.984</v>
      </c>
      <c r="M258">
        <v>507019</v>
      </c>
      <c r="N258" s="13">
        <f t="shared" si="26"/>
        <v>1.0666272742137462E-2</v>
      </c>
      <c r="O258" s="13">
        <f t="shared" si="27"/>
        <v>2.0473177538225935E-2</v>
      </c>
      <c r="P258" s="11">
        <f t="shared" si="28"/>
        <v>5.9091150991441533E-4</v>
      </c>
      <c r="Q258" s="11">
        <f t="shared" si="29"/>
        <v>2.3339422393577566E-3</v>
      </c>
      <c r="R258" s="11">
        <f t="shared" si="30"/>
        <v>1.6212734568048942E-3</v>
      </c>
      <c r="S258" s="11">
        <f t="shared" si="31"/>
        <v>2.7638789676605012E-3</v>
      </c>
    </row>
    <row r="259" spans="11:19">
      <c r="K259" t="s">
        <v>505</v>
      </c>
      <c r="L259">
        <v>1784.328</v>
      </c>
      <c r="M259">
        <v>719079</v>
      </c>
      <c r="N259" s="13">
        <f t="shared" si="26"/>
        <v>8.503238698266238E-3</v>
      </c>
      <c r="O259" s="13">
        <f t="shared" si="27"/>
        <v>1.6321382335534724E-2</v>
      </c>
      <c r="P259" s="11">
        <f t="shared" si="28"/>
        <v>4.7107942388394954E-4</v>
      </c>
      <c r="Q259" s="11">
        <f t="shared" si="29"/>
        <v>1.8606375862509586E-3</v>
      </c>
      <c r="R259" s="11">
        <f t="shared" si="30"/>
        <v>1.2924922821364682E-3</v>
      </c>
      <c r="S259" s="11">
        <f t="shared" si="31"/>
        <v>2.2033866152971877E-3</v>
      </c>
    </row>
    <row r="260" spans="11:19">
      <c r="K260" t="s">
        <v>506</v>
      </c>
      <c r="L260">
        <v>1270.9190000000001</v>
      </c>
      <c r="M260">
        <v>1760451</v>
      </c>
      <c r="N260" s="13">
        <f t="shared" si="26"/>
        <v>2.9227288363774556E-2</v>
      </c>
      <c r="O260" s="13">
        <f t="shared" si="27"/>
        <v>5.6099771503927469E-2</v>
      </c>
      <c r="P260" s="11">
        <f t="shared" si="28"/>
        <v>1.6191917753531104E-3</v>
      </c>
      <c r="Q260" s="11">
        <f t="shared" si="29"/>
        <v>6.3953739514477316E-3</v>
      </c>
      <c r="R260" s="11">
        <f t="shared" si="30"/>
        <v>4.4425478312937325E-3</v>
      </c>
      <c r="S260" s="11">
        <f t="shared" si="31"/>
        <v>7.5734691530302085E-3</v>
      </c>
    </row>
    <row r="261" spans="11:19">
      <c r="K261" t="s">
        <v>507</v>
      </c>
      <c r="L261">
        <v>1300.7360000000001</v>
      </c>
      <c r="M261">
        <v>273089</v>
      </c>
      <c r="N261" s="13">
        <f t="shared" si="26"/>
        <v>4.4299365128665615E-3</v>
      </c>
      <c r="O261" s="13">
        <f t="shared" si="27"/>
        <v>8.5029587095306041E-3</v>
      </c>
      <c r="P261" s="11">
        <f t="shared" si="28"/>
        <v>2.4541848281280749E-4</v>
      </c>
      <c r="Q261" s="11">
        <f t="shared" si="29"/>
        <v>9.6933729288648895E-4</v>
      </c>
      <c r="R261" s="11">
        <f t="shared" si="30"/>
        <v>6.7335034995571737E-4</v>
      </c>
      <c r="S261" s="11">
        <f t="shared" si="31"/>
        <v>1.1478994257866316E-3</v>
      </c>
    </row>
    <row r="262" spans="11:19">
      <c r="K262" t="s">
        <v>508</v>
      </c>
      <c r="L262">
        <v>2071.498</v>
      </c>
      <c r="M262">
        <v>5718006</v>
      </c>
      <c r="N262" s="13">
        <f t="shared" si="26"/>
        <v>5.8242840012396831E-2</v>
      </c>
      <c r="O262" s="13">
        <f t="shared" si="27"/>
        <v>0.11179312893374747</v>
      </c>
      <c r="P262" s="11">
        <f t="shared" si="28"/>
        <v>3.2266533366867843E-3</v>
      </c>
      <c r="Q262" s="11">
        <f t="shared" si="29"/>
        <v>1.2744416698447213E-2</v>
      </c>
      <c r="R262" s="11">
        <f t="shared" si="30"/>
        <v>8.8529116818843179E-3</v>
      </c>
      <c r="S262" s="11">
        <f t="shared" si="31"/>
        <v>1.5092072406055909E-2</v>
      </c>
    </row>
    <row r="263" spans="11:19">
      <c r="K263" t="s">
        <v>509</v>
      </c>
      <c r="L263">
        <v>1755.325</v>
      </c>
      <c r="M263">
        <v>1203481</v>
      </c>
      <c r="N263" s="13">
        <f t="shared" si="26"/>
        <v>1.4466522780681642E-2</v>
      </c>
      <c r="O263" s="13">
        <f t="shared" si="27"/>
        <v>2.7767496332587984E-2</v>
      </c>
      <c r="P263" s="11">
        <f t="shared" si="28"/>
        <v>8.0144536204976291E-4</v>
      </c>
      <c r="Q263" s="11">
        <f t="shared" si="29"/>
        <v>3.1654945819150301E-3</v>
      </c>
      <c r="R263" s="11">
        <f t="shared" si="30"/>
        <v>2.1989114626636093E-3</v>
      </c>
      <c r="S263" s="11">
        <f t="shared" si="31"/>
        <v>3.7486120048993779E-3</v>
      </c>
    </row>
    <row r="264" spans="11:19">
      <c r="K264" t="s">
        <v>510</v>
      </c>
      <c r="L264">
        <v>1673.2919999999999</v>
      </c>
      <c r="M264">
        <v>1066287</v>
      </c>
      <c r="N264" s="13">
        <f t="shared" si="26"/>
        <v>1.344574389885328E-2</v>
      </c>
      <c r="O264" s="13">
        <f t="shared" si="27"/>
        <v>2.5808181417230229E-2</v>
      </c>
      <c r="P264" s="11">
        <f t="shared" si="28"/>
        <v>7.4489421199647166E-4</v>
      </c>
      <c r="Q264" s="11">
        <f t="shared" si="29"/>
        <v>2.9421326815642461E-3</v>
      </c>
      <c r="R264" s="11">
        <f t="shared" si="30"/>
        <v>2.0437530726256986E-3</v>
      </c>
      <c r="S264" s="11">
        <f t="shared" si="31"/>
        <v>3.484104491326081E-3</v>
      </c>
    </row>
    <row r="265" spans="11:19">
      <c r="K265" t="s">
        <v>511</v>
      </c>
      <c r="L265">
        <v>1096.127</v>
      </c>
      <c r="M265">
        <v>233650</v>
      </c>
      <c r="N265" s="13">
        <f t="shared" si="26"/>
        <v>4.4976676972650073E-3</v>
      </c>
      <c r="O265" s="13">
        <f t="shared" si="27"/>
        <v>8.6329640634707477E-3</v>
      </c>
      <c r="P265" s="11">
        <f t="shared" si="28"/>
        <v>2.491707904284814E-4</v>
      </c>
      <c r="Q265" s="11">
        <f t="shared" si="29"/>
        <v>9.8415790323566534E-4</v>
      </c>
      <c r="R265" s="11">
        <f t="shared" si="30"/>
        <v>6.836454899842811E-4</v>
      </c>
      <c r="S265" s="11">
        <f t="shared" si="31"/>
        <v>1.1654501485685511E-3</v>
      </c>
    </row>
    <row r="266" spans="11:19">
      <c r="K266" s="3" t="s">
        <v>512</v>
      </c>
      <c r="L266" s="3">
        <v>1807.9159999999999</v>
      </c>
      <c r="M266" s="3">
        <v>1069852</v>
      </c>
      <c r="N266" s="13">
        <f t="shared" si="26"/>
        <v>1.2486131656559266E-2</v>
      </c>
      <c r="O266" s="13">
        <f t="shared" si="27"/>
        <v>2.3966271663063993E-2</v>
      </c>
      <c r="P266" s="11">
        <f t="shared" si="28"/>
        <v>6.9173169377338337E-4</v>
      </c>
      <c r="Q266" s="11">
        <f t="shared" si="29"/>
        <v>2.7321549695892952E-3</v>
      </c>
      <c r="R266" s="11">
        <f t="shared" si="30"/>
        <v>1.8978920117970084E-3</v>
      </c>
      <c r="S266" s="11">
        <f t="shared" si="31"/>
        <v>3.2354466745136393E-3</v>
      </c>
    </row>
    <row r="267" spans="11:19">
      <c r="K267" s="3" t="s">
        <v>513</v>
      </c>
      <c r="L267" s="3">
        <v>1139.3240000000001</v>
      </c>
      <c r="M267" s="3">
        <v>771112</v>
      </c>
      <c r="N267" s="13">
        <f t="shared" si="26"/>
        <v>1.4280804406823696E-2</v>
      </c>
      <c r="O267" s="13">
        <f t="shared" si="27"/>
        <v>2.7411022676604724E-2</v>
      </c>
      <c r="P267" s="11">
        <f t="shared" si="28"/>
        <v>7.9115656413803273E-4</v>
      </c>
      <c r="Q267" s="11">
        <f t="shared" si="29"/>
        <v>3.1248565851329387E-3</v>
      </c>
      <c r="R267" s="11">
        <f t="shared" si="30"/>
        <v>2.1706822698372018E-3</v>
      </c>
      <c r="S267" s="11">
        <f t="shared" si="31"/>
        <v>3.700488061341638E-3</v>
      </c>
    </row>
    <row r="268" spans="11:19">
      <c r="K268" s="3" t="s">
        <v>321</v>
      </c>
      <c r="L268" s="3">
        <v>2932.011</v>
      </c>
      <c r="M268" s="14">
        <v>24000000</v>
      </c>
      <c r="N268" s="13">
        <f t="shared" si="26"/>
        <v>0.17271422242276718</v>
      </c>
      <c r="O268" s="13">
        <f t="shared" si="27"/>
        <v>0.33151308095365262</v>
      </c>
      <c r="P268" s="11">
        <f t="shared" si="28"/>
        <v>9.5683679222213023E-3</v>
      </c>
      <c r="Q268" s="11">
        <f t="shared" si="29"/>
        <v>3.7792491228716397E-2</v>
      </c>
      <c r="R268" s="11">
        <f t="shared" si="30"/>
        <v>2.6252561808260612E-2</v>
      </c>
      <c r="S268" s="11">
        <f t="shared" si="31"/>
        <v>4.4754265928743105E-2</v>
      </c>
    </row>
    <row r="269" spans="11:19">
      <c r="K269" t="s">
        <v>514</v>
      </c>
      <c r="L269">
        <v>2113.8180000000002</v>
      </c>
      <c r="M269">
        <v>1298380</v>
      </c>
      <c r="N269" s="13">
        <f t="shared" si="26"/>
        <v>1.2960348525748195E-2</v>
      </c>
      <c r="O269" s="13">
        <f t="shared" si="27"/>
        <v>2.4876498355109095E-2</v>
      </c>
      <c r="P269" s="11">
        <f t="shared" si="28"/>
        <v>7.1800330832645003E-4</v>
      </c>
      <c r="Q269" s="11">
        <f t="shared" si="29"/>
        <v>2.8359208124824368E-3</v>
      </c>
      <c r="R269" s="11">
        <f t="shared" si="30"/>
        <v>1.9699729759137257E-3</v>
      </c>
      <c r="S269" s="11">
        <f t="shared" si="31"/>
        <v>3.358327277939728E-3</v>
      </c>
    </row>
    <row r="270" spans="11:19">
      <c r="K270" t="s">
        <v>515</v>
      </c>
      <c r="L270">
        <v>1793.8979999999999</v>
      </c>
      <c r="M270">
        <v>4127514</v>
      </c>
      <c r="N270" s="13">
        <f t="shared" si="26"/>
        <v>4.8548214781442424E-2</v>
      </c>
      <c r="O270" s="13">
        <f t="shared" si="27"/>
        <v>9.3184962021252038E-2</v>
      </c>
      <c r="P270" s="11">
        <f t="shared" si="28"/>
        <v>2.6895710988919103E-3</v>
      </c>
      <c r="Q270" s="11">
        <f t="shared" si="29"/>
        <v>1.0623085670422732E-2</v>
      </c>
      <c r="R270" s="11">
        <f t="shared" si="30"/>
        <v>7.3793286467792483E-3</v>
      </c>
      <c r="S270" s="11">
        <f t="shared" si="31"/>
        <v>1.2579969872869025E-2</v>
      </c>
    </row>
    <row r="271" spans="11:19">
      <c r="K271" t="s">
        <v>516</v>
      </c>
      <c r="L271">
        <v>792.28989999999999</v>
      </c>
      <c r="M271">
        <v>540809</v>
      </c>
      <c r="N271" s="13">
        <f t="shared" si="26"/>
        <v>1.4402644663272875E-2</v>
      </c>
      <c r="O271" s="13">
        <f t="shared" si="27"/>
        <v>2.7644886675950307E-2</v>
      </c>
      <c r="P271" s="11">
        <f t="shared" si="28"/>
        <v>7.9790651434531723E-4</v>
      </c>
      <c r="Q271" s="11">
        <f t="shared" si="29"/>
        <v>3.1515170810583349E-3</v>
      </c>
      <c r="R271" s="11">
        <f t="shared" si="30"/>
        <v>2.1892019888174771E-3</v>
      </c>
      <c r="S271" s="11">
        <f t="shared" si="31"/>
        <v>3.7320597012532918E-3</v>
      </c>
    </row>
    <row r="272" spans="11:19">
      <c r="K272" t="s">
        <v>517</v>
      </c>
      <c r="L272">
        <v>3837.5250000000001</v>
      </c>
      <c r="M272">
        <v>6064361</v>
      </c>
      <c r="N272" s="13">
        <f t="shared" si="26"/>
        <v>3.3343891466505106E-2</v>
      </c>
      <c r="O272" s="13">
        <f t="shared" si="27"/>
        <v>6.4001308265092732E-2</v>
      </c>
      <c r="P272" s="11">
        <f t="shared" si="28"/>
        <v>1.8472515872443827E-3</v>
      </c>
      <c r="Q272" s="11">
        <f t="shared" si="29"/>
        <v>7.2961491422205722E-3</v>
      </c>
      <c r="R272" s="11">
        <f t="shared" si="30"/>
        <v>5.0682715029087763E-3</v>
      </c>
      <c r="S272" s="11">
        <f t="shared" si="31"/>
        <v>8.6401766157875193E-3</v>
      </c>
    </row>
    <row r="273" spans="11:19">
      <c r="K273" t="s">
        <v>518</v>
      </c>
      <c r="L273">
        <v>1784.8910000000001</v>
      </c>
      <c r="M273">
        <v>1865534</v>
      </c>
      <c r="N273" s="13">
        <f t="shared" si="26"/>
        <v>2.205331720536436E-2</v>
      </c>
      <c r="O273" s="13">
        <f t="shared" si="27"/>
        <v>4.2329826863377086E-2</v>
      </c>
      <c r="P273" s="11">
        <f t="shared" si="28"/>
        <v>1.2217537731771856E-3</v>
      </c>
      <c r="Q273" s="11">
        <f t="shared" si="29"/>
        <v>4.8256002624249882E-3</v>
      </c>
      <c r="R273" s="11">
        <f t="shared" si="30"/>
        <v>3.3521042152153827E-3</v>
      </c>
      <c r="S273" s="11">
        <f t="shared" si="31"/>
        <v>5.7145266265559071E-3</v>
      </c>
    </row>
    <row r="274" spans="11:19">
      <c r="K274" t="s">
        <v>333</v>
      </c>
      <c r="L274">
        <v>2468.732</v>
      </c>
      <c r="M274" s="14">
        <v>18000000</v>
      </c>
      <c r="N274" s="13">
        <f t="shared" si="26"/>
        <v>0.15384415967387308</v>
      </c>
      <c r="O274" s="13">
        <f t="shared" si="27"/>
        <v>0.29529329226501705</v>
      </c>
      <c r="P274" s="11">
        <f t="shared" si="28"/>
        <v>8.5229664459325685E-3</v>
      </c>
      <c r="Q274" s="11">
        <f t="shared" si="29"/>
        <v>3.3663435318211941E-2</v>
      </c>
      <c r="R274" s="11">
        <f t="shared" si="30"/>
        <v>2.3384312270428708E-2</v>
      </c>
      <c r="S274" s="11">
        <f t="shared" si="31"/>
        <v>3.9864594455777301E-2</v>
      </c>
    </row>
    <row r="275" spans="11:19">
      <c r="K275" t="s">
        <v>519</v>
      </c>
      <c r="L275">
        <v>1080.779</v>
      </c>
      <c r="M275">
        <v>407824</v>
      </c>
      <c r="N275" s="13">
        <f t="shared" si="26"/>
        <v>7.9619296822014494E-3</v>
      </c>
      <c r="O275" s="13">
        <f t="shared" si="27"/>
        <v>1.5282376878159181E-2</v>
      </c>
      <c r="P275" s="11">
        <f t="shared" si="28"/>
        <v>4.4109090439396027E-4</v>
      </c>
      <c r="Q275" s="11">
        <f t="shared" si="29"/>
        <v>1.7421909641101468E-3</v>
      </c>
      <c r="R275" s="11">
        <f t="shared" si="30"/>
        <v>1.2102133116946203E-3</v>
      </c>
      <c r="S275" s="11">
        <f t="shared" si="31"/>
        <v>2.0631208785514897E-3</v>
      </c>
    </row>
    <row r="276" spans="11:19">
      <c r="K276" t="s">
        <v>520</v>
      </c>
      <c r="L276">
        <v>1447.2639999999999</v>
      </c>
      <c r="M276">
        <v>3567496</v>
      </c>
      <c r="N276" s="13">
        <f t="shared" si="26"/>
        <v>5.201135770667964E-2</v>
      </c>
      <c r="O276" s="13">
        <f t="shared" si="27"/>
        <v>9.9832226877750022E-2</v>
      </c>
      <c r="P276" s="11">
        <f t="shared" si="28"/>
        <v>2.8814292169500521E-3</v>
      </c>
      <c r="Q276" s="11">
        <f t="shared" si="29"/>
        <v>1.1380873864063503E-2</v>
      </c>
      <c r="R276" s="11">
        <f t="shared" si="30"/>
        <v>7.9057263714153048E-3</v>
      </c>
      <c r="S276" s="11">
        <f t="shared" si="31"/>
        <v>1.3477350628496254E-2</v>
      </c>
    </row>
    <row r="277" spans="11:19">
      <c r="K277" t="s">
        <v>521</v>
      </c>
      <c r="L277">
        <v>1452.838</v>
      </c>
      <c r="M277">
        <v>977573</v>
      </c>
      <c r="N277" s="13">
        <f t="shared" si="26"/>
        <v>1.419758452077933E-2</v>
      </c>
      <c r="O277" s="13">
        <f t="shared" si="27"/>
        <v>2.7251287824244685E-2</v>
      </c>
      <c r="P277" s="11">
        <f t="shared" si="28"/>
        <v>7.8654618245117488E-4</v>
      </c>
      <c r="Q277" s="11">
        <f t="shared" si="29"/>
        <v>3.1066468119638944E-3</v>
      </c>
      <c r="R277" s="11">
        <f t="shared" si="30"/>
        <v>2.1580328471584582E-3</v>
      </c>
      <c r="S277" s="11">
        <f t="shared" si="31"/>
        <v>3.6789238562730327E-3</v>
      </c>
    </row>
    <row r="278" spans="11:19">
      <c r="K278" t="s">
        <v>522</v>
      </c>
      <c r="L278">
        <v>1550.8910000000001</v>
      </c>
      <c r="M278">
        <v>7560203</v>
      </c>
      <c r="N278" s="13">
        <f t="shared" si="26"/>
        <v>0.10285718551464933</v>
      </c>
      <c r="O278" s="13">
        <f t="shared" si="27"/>
        <v>0.19742729921058283</v>
      </c>
      <c r="P278" s="11">
        <f t="shared" si="28"/>
        <v>5.6982880775115728E-3</v>
      </c>
      <c r="Q278" s="11">
        <f t="shared" si="29"/>
        <v>2.2506712110006443E-2</v>
      </c>
      <c r="R278" s="11">
        <f t="shared" si="30"/>
        <v>1.5634292198226696E-2</v>
      </c>
      <c r="S278" s="11">
        <f t="shared" si="31"/>
        <v>2.6652685393428684E-2</v>
      </c>
    </row>
    <row r="279" spans="11:19">
      <c r="K279" t="s">
        <v>523</v>
      </c>
      <c r="L279">
        <v>1849.8689999999999</v>
      </c>
      <c r="M279">
        <v>2611001</v>
      </c>
      <c r="N279" s="13">
        <f t="shared" si="26"/>
        <v>2.9781633780554193E-2</v>
      </c>
      <c r="O279" s="13">
        <f t="shared" si="27"/>
        <v>5.7163799436608757E-2</v>
      </c>
      <c r="P279" s="11">
        <f t="shared" si="28"/>
        <v>1.6499025114427022E-3</v>
      </c>
      <c r="Q279" s="11">
        <f t="shared" si="29"/>
        <v>6.5166731357733983E-3</v>
      </c>
      <c r="R279" s="11">
        <f t="shared" si="30"/>
        <v>4.526808334644237E-3</v>
      </c>
      <c r="S279" s="11">
        <f t="shared" si="31"/>
        <v>7.7171129239421831E-3</v>
      </c>
    </row>
    <row r="280" spans="11:19">
      <c r="K280" t="s">
        <v>524</v>
      </c>
      <c r="L280">
        <v>1009.782</v>
      </c>
      <c r="M280">
        <v>236131</v>
      </c>
      <c r="N280" s="13">
        <f t="shared" si="26"/>
        <v>4.9340987460659829E-3</v>
      </c>
      <c r="O280" s="13">
        <f t="shared" si="27"/>
        <v>9.4706634699370761E-3</v>
      </c>
      <c r="P280" s="11">
        <f t="shared" si="28"/>
        <v>2.7334907053205544E-4</v>
      </c>
      <c r="Q280" s="11">
        <f t="shared" si="29"/>
        <v>1.0796556355728267E-3</v>
      </c>
      <c r="R280" s="11">
        <f t="shared" si="30"/>
        <v>7.4998300940202936E-4</v>
      </c>
      <c r="S280" s="11">
        <f t="shared" si="31"/>
        <v>1.2785395684415054E-3</v>
      </c>
    </row>
    <row r="281" spans="11:19">
      <c r="K281" t="s">
        <v>525</v>
      </c>
      <c r="L281">
        <v>1768.36</v>
      </c>
      <c r="M281">
        <v>1066067</v>
      </c>
      <c r="N281" s="13">
        <f t="shared" si="26"/>
        <v>1.2720268327716076E-2</v>
      </c>
      <c r="O281" s="13">
        <f t="shared" si="27"/>
        <v>2.4415680913388676E-2</v>
      </c>
      <c r="P281" s="11">
        <f t="shared" si="28"/>
        <v>7.0470286535547063E-4</v>
      </c>
      <c r="Q281" s="11">
        <f t="shared" si="29"/>
        <v>2.7833876241263092E-3</v>
      </c>
      <c r="R281" s="11">
        <f t="shared" si="30"/>
        <v>1.9334807858128436E-3</v>
      </c>
      <c r="S281" s="11">
        <f t="shared" si="31"/>
        <v>3.2961169233074713E-3</v>
      </c>
    </row>
    <row r="282" spans="11:19">
      <c r="K282" t="s">
        <v>526</v>
      </c>
      <c r="L282">
        <v>535.83839999999998</v>
      </c>
      <c r="M282">
        <v>359433</v>
      </c>
      <c r="N282" s="13">
        <f t="shared" si="26"/>
        <v>1.4153588656580044E-2</v>
      </c>
      <c r="O282" s="13">
        <f t="shared" si="27"/>
        <v>2.7166840786326623E-2</v>
      </c>
      <c r="P282" s="11">
        <f t="shared" si="28"/>
        <v>7.841088115745344E-4</v>
      </c>
      <c r="Q282" s="11">
        <f t="shared" si="29"/>
        <v>3.0970198496412353E-3</v>
      </c>
      <c r="R282" s="11">
        <f t="shared" si="30"/>
        <v>2.1513454758001664E-3</v>
      </c>
      <c r="S282" s="11">
        <f t="shared" si="31"/>
        <v>3.6675235061540946E-3</v>
      </c>
    </row>
    <row r="283" spans="11:19">
      <c r="K283" t="s">
        <v>527</v>
      </c>
      <c r="L283">
        <v>1328.1780000000001</v>
      </c>
      <c r="M283" s="14">
        <v>12100000</v>
      </c>
      <c r="N283" s="13">
        <f t="shared" si="26"/>
        <v>0.19222574082690722</v>
      </c>
      <c r="O283" s="13">
        <f t="shared" si="27"/>
        <v>0.36896409969145699</v>
      </c>
      <c r="P283" s="11">
        <f t="shared" si="28"/>
        <v>1.064930604181066E-2</v>
      </c>
      <c r="Q283" s="11">
        <f t="shared" si="29"/>
        <v>4.2061907364826095E-2</v>
      </c>
      <c r="R283" s="11">
        <f t="shared" si="30"/>
        <v>2.9218312605689897E-2</v>
      </c>
      <c r="S283" s="11">
        <f t="shared" si="31"/>
        <v>4.9810153458346697E-2</v>
      </c>
    </row>
    <row r="284" spans="11:19">
      <c r="K284" t="s">
        <v>528</v>
      </c>
      <c r="L284">
        <v>1425.0530000000001</v>
      </c>
      <c r="M284">
        <v>1484454</v>
      </c>
      <c r="N284" s="13">
        <f t="shared" si="26"/>
        <v>2.1979518937190409E-2</v>
      </c>
      <c r="O284" s="13">
        <f t="shared" si="27"/>
        <v>4.2188176159062153E-2</v>
      </c>
      <c r="P284" s="11">
        <f t="shared" si="28"/>
        <v>1.2176653491203487E-3</v>
      </c>
      <c r="Q284" s="11">
        <f t="shared" si="29"/>
        <v>4.8094520821330856E-3</v>
      </c>
      <c r="R284" s="11">
        <f t="shared" si="30"/>
        <v>3.3408868784529418E-3</v>
      </c>
      <c r="S284" s="11">
        <f t="shared" si="31"/>
        <v>5.6954037814733911E-3</v>
      </c>
    </row>
    <row r="285" spans="11:19">
      <c r="K285" t="s">
        <v>529</v>
      </c>
      <c r="L285">
        <v>1311.4939999999999</v>
      </c>
      <c r="M285">
        <v>774477</v>
      </c>
      <c r="N285" s="13">
        <f t="shared" si="26"/>
        <v>1.2460190210553767E-2</v>
      </c>
      <c r="O285" s="13">
        <f t="shared" si="27"/>
        <v>2.3916478840162445E-2</v>
      </c>
      <c r="P285" s="11">
        <f t="shared" si="28"/>
        <v>6.9029453766467866E-4</v>
      </c>
      <c r="Q285" s="11">
        <f t="shared" si="29"/>
        <v>2.7264785877785186E-3</v>
      </c>
      <c r="R285" s="11">
        <f t="shared" si="30"/>
        <v>1.8939489120041724E-3</v>
      </c>
      <c r="S285" s="11">
        <f t="shared" si="31"/>
        <v>3.2287246434219304E-3</v>
      </c>
    </row>
    <row r="286" spans="11:19">
      <c r="K286" t="s">
        <v>337</v>
      </c>
      <c r="L286">
        <v>5237.415</v>
      </c>
      <c r="M286" s="14">
        <v>120000000</v>
      </c>
      <c r="N286" s="13">
        <f t="shared" si="26"/>
        <v>0.48344460005556178</v>
      </c>
      <c r="O286" s="13">
        <f t="shared" si="27"/>
        <v>0.92793868731043849</v>
      </c>
      <c r="P286" s="11">
        <f t="shared" si="28"/>
        <v>2.6782830843078122E-2</v>
      </c>
      <c r="Q286" s="11">
        <f t="shared" si="29"/>
        <v>0.10578501035339</v>
      </c>
      <c r="R286" s="11">
        <f t="shared" si="30"/>
        <v>7.3483579208445393E-2</v>
      </c>
      <c r="S286" s="11">
        <f t="shared" si="31"/>
        <v>0.12527172278690921</v>
      </c>
    </row>
    <row r="287" spans="11:19">
      <c r="K287" t="s">
        <v>530</v>
      </c>
      <c r="L287">
        <v>1060.7729999999999</v>
      </c>
      <c r="M287">
        <v>621321</v>
      </c>
      <c r="N287" s="13">
        <f t="shared" si="26"/>
        <v>1.2358792220390227E-2</v>
      </c>
      <c r="O287" s="13">
        <f t="shared" si="27"/>
        <v>2.3721852366151857E-2</v>
      </c>
      <c r="P287" s="11">
        <f t="shared" si="28"/>
        <v>6.8467708900961854E-4</v>
      </c>
      <c r="Q287" s="11">
        <f t="shared" si="29"/>
        <v>2.7042911697413119E-3</v>
      </c>
      <c r="R287" s="11">
        <f t="shared" si="30"/>
        <v>1.8785364174993145E-3</v>
      </c>
      <c r="S287" s="11">
        <f t="shared" si="31"/>
        <v>3.2024500694305008E-3</v>
      </c>
    </row>
    <row r="288" spans="11:19">
      <c r="K288" t="s">
        <v>531</v>
      </c>
      <c r="L288">
        <v>1987.549</v>
      </c>
      <c r="M288">
        <v>569706</v>
      </c>
      <c r="N288" s="13">
        <f t="shared" si="26"/>
        <v>6.0480504380017799E-3</v>
      </c>
      <c r="O288" s="13">
        <f t="shared" si="27"/>
        <v>1.1608817191425218E-2</v>
      </c>
      <c r="P288" s="11">
        <f t="shared" si="28"/>
        <v>3.3506199426529862E-4</v>
      </c>
      <c r="Q288" s="11">
        <f t="shared" si="29"/>
        <v>1.3234051598224749E-3</v>
      </c>
      <c r="R288" s="11">
        <f t="shared" si="30"/>
        <v>9.1930366657627053E-4</v>
      </c>
      <c r="S288" s="11">
        <f t="shared" si="31"/>
        <v>1.5671903208424045E-3</v>
      </c>
    </row>
    <row r="289" spans="11:19">
      <c r="K289" t="s">
        <v>532</v>
      </c>
      <c r="L289">
        <v>1561.125</v>
      </c>
      <c r="M289">
        <v>1697195</v>
      </c>
      <c r="N289" s="13">
        <f t="shared" si="26"/>
        <v>2.29391076947714E-2</v>
      </c>
      <c r="O289" s="13">
        <f t="shared" si="27"/>
        <v>4.4030040835935626E-2</v>
      </c>
      <c r="P289" s="11">
        <f t="shared" si="28"/>
        <v>1.2708265662903354E-3</v>
      </c>
      <c r="Q289" s="11">
        <f t="shared" si="29"/>
        <v>5.0194246552966613E-3</v>
      </c>
      <c r="R289" s="11">
        <f t="shared" si="30"/>
        <v>3.4867443696052526E-3</v>
      </c>
      <c r="S289" s="11">
        <f t="shared" si="31"/>
        <v>5.9440555128513102E-3</v>
      </c>
    </row>
    <row r="290" spans="11:19">
      <c r="K290" t="s">
        <v>533</v>
      </c>
      <c r="L290">
        <v>1841.038</v>
      </c>
      <c r="M290">
        <v>672019</v>
      </c>
      <c r="N290" s="13">
        <f t="shared" ref="N290:N297" si="32">+M290/L290*$B$24</f>
        <v>7.7019599269542507E-3</v>
      </c>
      <c r="O290" s="13">
        <f t="shared" ref="O290:O297" si="33">+M290/L290*$C$24</f>
        <v>1.4783382798182329E-2</v>
      </c>
      <c r="P290" s="11">
        <f t="shared" ref="P290:P297" si="34">+N290*$B$12</f>
        <v>4.2668857995326547E-4</v>
      </c>
      <c r="Q290" s="11">
        <f t="shared" ref="Q290:Q297" si="35">+O290*$D$12</f>
        <v>1.6853056389927856E-3</v>
      </c>
      <c r="R290" s="11">
        <f t="shared" ref="R290:R297" si="36">+N290*$C$12</f>
        <v>1.170697908897046E-3</v>
      </c>
      <c r="S290" s="11">
        <f t="shared" ref="S290:S297" si="37">+O290*$E$12</f>
        <v>1.9957566777546146E-3</v>
      </c>
    </row>
    <row r="291" spans="11:19">
      <c r="K291" t="s">
        <v>534</v>
      </c>
      <c r="L291">
        <v>1391.569</v>
      </c>
      <c r="M291">
        <v>1597108</v>
      </c>
      <c r="N291" s="13">
        <f t="shared" si="32"/>
        <v>2.4216534573564086E-2</v>
      </c>
      <c r="O291" s="13">
        <f t="shared" si="33"/>
        <v>4.6481973944518744E-2</v>
      </c>
      <c r="P291" s="11">
        <f t="shared" si="34"/>
        <v>1.3415960153754503E-3</v>
      </c>
      <c r="Q291" s="11">
        <f t="shared" si="35"/>
        <v>5.2989450296751367E-3</v>
      </c>
      <c r="R291" s="11">
        <f t="shared" si="36"/>
        <v>3.6809132551817413E-3</v>
      </c>
      <c r="S291" s="11">
        <f t="shared" si="37"/>
        <v>6.2750664825100312E-3</v>
      </c>
    </row>
    <row r="292" spans="11:19">
      <c r="K292" t="s">
        <v>535</v>
      </c>
      <c r="L292">
        <v>2367.375</v>
      </c>
      <c r="M292">
        <v>818180</v>
      </c>
      <c r="N292" s="13">
        <f t="shared" si="32"/>
        <v>7.2922954749458794E-3</v>
      </c>
      <c r="O292" s="13">
        <f t="shared" si="33"/>
        <v>1.3997060034848727E-2</v>
      </c>
      <c r="P292" s="11">
        <f t="shared" si="34"/>
        <v>4.0399316931200171E-4</v>
      </c>
      <c r="Q292" s="11">
        <f t="shared" si="35"/>
        <v>1.5956648439727549E-3</v>
      </c>
      <c r="R292" s="11">
        <f t="shared" si="36"/>
        <v>1.1084289121917736E-3</v>
      </c>
      <c r="S292" s="11">
        <f t="shared" si="37"/>
        <v>1.8896031047045782E-3</v>
      </c>
    </row>
    <row r="293" spans="11:19">
      <c r="K293" t="s">
        <v>536</v>
      </c>
      <c r="L293">
        <v>1307.9290000000001</v>
      </c>
      <c r="M293">
        <v>830972</v>
      </c>
      <c r="N293" s="13">
        <f t="shared" si="32"/>
        <v>1.3405551218758817E-2</v>
      </c>
      <c r="O293" s="13">
        <f t="shared" si="33"/>
        <v>2.5731034329845123E-2</v>
      </c>
      <c r="P293" s="11">
        <f t="shared" si="34"/>
        <v>7.4266753751923845E-4</v>
      </c>
      <c r="Q293" s="11">
        <f t="shared" si="35"/>
        <v>2.9333379136023442E-3</v>
      </c>
      <c r="R293" s="11">
        <f t="shared" si="36"/>
        <v>2.0376437852513401E-3</v>
      </c>
      <c r="S293" s="11">
        <f t="shared" si="37"/>
        <v>3.4736896345290919E-3</v>
      </c>
    </row>
    <row r="294" spans="11:19">
      <c r="K294" t="s">
        <v>537</v>
      </c>
      <c r="L294">
        <v>4103.1459999999997</v>
      </c>
      <c r="M294">
        <v>1358543</v>
      </c>
      <c r="N294" s="13">
        <f t="shared" si="32"/>
        <v>6.9861655666164464E-3</v>
      </c>
      <c r="O294" s="13">
        <f t="shared" si="33"/>
        <v>1.3409464713173747E-2</v>
      </c>
      <c r="P294" s="11">
        <f t="shared" si="34"/>
        <v>3.8703357239055114E-4</v>
      </c>
      <c r="Q294" s="11">
        <f t="shared" si="35"/>
        <v>1.5286789773018073E-3</v>
      </c>
      <c r="R294" s="11">
        <f t="shared" si="36"/>
        <v>1.0618971661256998E-3</v>
      </c>
      <c r="S294" s="11">
        <f t="shared" si="37"/>
        <v>1.8102777362784558E-3</v>
      </c>
    </row>
    <row r="295" spans="11:19">
      <c r="K295" t="s">
        <v>538</v>
      </c>
      <c r="L295">
        <v>1118.019</v>
      </c>
      <c r="M295">
        <v>690687</v>
      </c>
      <c r="N295" s="13">
        <f t="shared" si="32"/>
        <v>1.3035105575128866E-2</v>
      </c>
      <c r="O295" s="13">
        <f t="shared" si="33"/>
        <v>2.5019989374062516E-2</v>
      </c>
      <c r="P295" s="11">
        <f t="shared" si="34"/>
        <v>7.2214484886213919E-4</v>
      </c>
      <c r="Q295" s="11">
        <f t="shared" si="35"/>
        <v>2.8522787886431271E-3</v>
      </c>
      <c r="R295" s="11">
        <f t="shared" si="36"/>
        <v>1.9813360474195876E-3</v>
      </c>
      <c r="S295" s="11">
        <f t="shared" si="37"/>
        <v>3.3776985654984399E-3</v>
      </c>
    </row>
    <row r="296" spans="11:19">
      <c r="K296" t="s">
        <v>539</v>
      </c>
      <c r="L296">
        <v>1040.1379999999999</v>
      </c>
      <c r="M296">
        <v>818525</v>
      </c>
      <c r="N296" s="13">
        <f t="shared" si="32"/>
        <v>1.6604409703327831E-2</v>
      </c>
      <c r="O296" s="13">
        <f t="shared" si="33"/>
        <v>3.1871023364207447E-2</v>
      </c>
      <c r="P296" s="11">
        <f t="shared" si="34"/>
        <v>9.1988429756436176E-4</v>
      </c>
      <c r="Q296" s="11">
        <f t="shared" si="35"/>
        <v>3.6332966635196492E-3</v>
      </c>
      <c r="R296" s="11">
        <f t="shared" si="36"/>
        <v>2.52387027490583E-3</v>
      </c>
      <c r="S296" s="11">
        <f t="shared" si="37"/>
        <v>4.302588154168006E-3</v>
      </c>
    </row>
    <row r="297" spans="11:19">
      <c r="K297" t="s">
        <v>540</v>
      </c>
      <c r="L297">
        <v>1067.046</v>
      </c>
      <c r="M297">
        <v>544762</v>
      </c>
      <c r="N297" s="13">
        <f t="shared" si="32"/>
        <v>1.0772242433784485E-2</v>
      </c>
      <c r="O297" s="13">
        <f t="shared" si="33"/>
        <v>2.0676579079065008E-2</v>
      </c>
      <c r="P297" s="11">
        <f t="shared" si="34"/>
        <v>5.9678223083166045E-4</v>
      </c>
      <c r="Q297" s="11">
        <f t="shared" si="35"/>
        <v>2.3571300150134109E-3</v>
      </c>
      <c r="R297" s="11">
        <f t="shared" si="36"/>
        <v>1.6373808499352417E-3</v>
      </c>
      <c r="S297" s="11">
        <f t="shared" si="37"/>
        <v>2.7913381756737763E-3</v>
      </c>
    </row>
    <row r="298" spans="11:19">
      <c r="K298" s="3"/>
      <c r="L298" s="3"/>
      <c r="M298" s="14"/>
    </row>
    <row r="299" spans="11:19">
      <c r="K299" s="3"/>
      <c r="L299" s="3"/>
      <c r="M299" s="3"/>
    </row>
    <row r="300" spans="11:19">
      <c r="L300" s="3"/>
      <c r="M300" s="3"/>
    </row>
    <row r="301" spans="11:19">
      <c r="L301" s="3"/>
      <c r="M301" s="3"/>
    </row>
    <row r="302" spans="11:19">
      <c r="L302" s="3"/>
    </row>
    <row r="303" spans="11:19">
      <c r="L303" s="3"/>
    </row>
    <row r="304" spans="11:19">
      <c r="L304" s="3"/>
      <c r="M304" s="14"/>
    </row>
    <row r="305" spans="12:13">
      <c r="L305" s="3"/>
      <c r="M305" s="14"/>
    </row>
    <row r="306" spans="12:13">
      <c r="L306" s="3"/>
    </row>
    <row r="307" spans="12:13">
      <c r="L307" s="3"/>
    </row>
    <row r="308" spans="12:13">
      <c r="L308" s="3"/>
    </row>
    <row r="309" spans="12:13">
      <c r="L309" s="3"/>
    </row>
    <row r="310" spans="12:13">
      <c r="L310" s="3"/>
    </row>
    <row r="311" spans="12:13">
      <c r="L311" s="3"/>
    </row>
    <row r="312" spans="12:13">
      <c r="L312" s="3"/>
    </row>
    <row r="313" spans="12:13">
      <c r="L313" s="3"/>
    </row>
    <row r="314" spans="12:13">
      <c r="L314" s="3"/>
    </row>
    <row r="315" spans="12:13">
      <c r="L315" s="3"/>
    </row>
    <row r="316" spans="12:13">
      <c r="L316" s="3"/>
    </row>
    <row r="317" spans="12:13">
      <c r="L317" s="3"/>
    </row>
    <row r="318" spans="12:13">
      <c r="L318" s="3"/>
    </row>
    <row r="319" spans="12:13">
      <c r="L319" s="3"/>
    </row>
    <row r="320" spans="12:13">
      <c r="L320" s="3"/>
    </row>
    <row r="321" spans="12:13">
      <c r="L321" s="3"/>
    </row>
    <row r="322" spans="12:13">
      <c r="L322" s="3"/>
    </row>
    <row r="323" spans="12:13">
      <c r="L323" s="3"/>
    </row>
    <row r="324" spans="12:13">
      <c r="L324" s="3"/>
      <c r="M324" s="14"/>
    </row>
    <row r="325" spans="12:13">
      <c r="L325" s="3"/>
    </row>
    <row r="326" spans="12:13">
      <c r="L326" s="3"/>
    </row>
    <row r="327" spans="12:13">
      <c r="L327" s="3"/>
    </row>
    <row r="328" spans="12:13">
      <c r="L328" s="3"/>
      <c r="M328" s="14"/>
    </row>
    <row r="329" spans="12:13">
      <c r="L329" s="3"/>
    </row>
    <row r="330" spans="12:13">
      <c r="L330" s="3"/>
    </row>
    <row r="331" spans="12:13">
      <c r="L331" s="3"/>
    </row>
    <row r="332" spans="12:13">
      <c r="L332" s="3"/>
      <c r="M332" s="14"/>
    </row>
    <row r="333" spans="12:13">
      <c r="L333" s="3"/>
    </row>
    <row r="334" spans="12:13">
      <c r="L334" s="3"/>
      <c r="M334" s="14"/>
    </row>
    <row r="335" spans="12:13">
      <c r="L335" s="3"/>
    </row>
    <row r="336" spans="12:13">
      <c r="L336" s="3"/>
    </row>
    <row r="337" spans="2:13">
      <c r="L337" s="3"/>
    </row>
    <row r="339" spans="2:13">
      <c r="B339" s="3"/>
      <c r="M339" s="14"/>
    </row>
    <row r="340" spans="2:13">
      <c r="B340" s="3"/>
      <c r="M340" s="14"/>
    </row>
    <row r="341" spans="2:13">
      <c r="B341" s="3"/>
    </row>
    <row r="342" spans="2:13">
      <c r="B342" s="3"/>
    </row>
    <row r="343" spans="2:13">
      <c r="B343" s="3"/>
    </row>
    <row r="344" spans="2:13">
      <c r="B344" s="3"/>
    </row>
    <row r="345" spans="2:13">
      <c r="B345" s="3"/>
    </row>
    <row r="346" spans="2:13">
      <c r="B346" s="3"/>
    </row>
    <row r="347" spans="2:13">
      <c r="B347" s="3"/>
    </row>
    <row r="348" spans="2:13">
      <c r="B348" s="3"/>
      <c r="M348" s="14"/>
    </row>
    <row r="349" spans="2:13">
      <c r="B349" s="3"/>
    </row>
    <row r="350" spans="2:13">
      <c r="B350" s="3"/>
    </row>
    <row r="351" spans="2:13">
      <c r="B351" s="3"/>
      <c r="M351" s="14"/>
    </row>
    <row r="352" spans="2:13">
      <c r="B352" s="3"/>
      <c r="M352" s="14"/>
    </row>
    <row r="353" spans="2:13">
      <c r="B353" s="3"/>
    </row>
    <row r="354" spans="2:13">
      <c r="B354" s="3"/>
    </row>
    <row r="355" spans="2:13">
      <c r="B355" s="3"/>
    </row>
    <row r="356" spans="2:13">
      <c r="B356" s="3"/>
    </row>
    <row r="357" spans="2:13">
      <c r="B357" s="3"/>
    </row>
    <row r="358" spans="2:13">
      <c r="B358" s="3"/>
      <c r="L358" s="3"/>
    </row>
    <row r="359" spans="2:13">
      <c r="B359" s="3"/>
      <c r="K359" s="3"/>
      <c r="L359" s="3"/>
      <c r="M359" s="3"/>
    </row>
    <row r="360" spans="2:13">
      <c r="B360" s="3"/>
      <c r="L360" s="3"/>
    </row>
    <row r="361" spans="2:13">
      <c r="B361" s="3"/>
      <c r="L361" s="3"/>
    </row>
    <row r="362" spans="2:13">
      <c r="B362" s="3"/>
    </row>
    <row r="363" spans="2:13">
      <c r="B363" s="3"/>
    </row>
    <row r="364" spans="2:13">
      <c r="B364" s="3"/>
    </row>
    <row r="365" spans="2:13">
      <c r="B365" s="3"/>
    </row>
    <row r="366" spans="2:13">
      <c r="B366" s="3"/>
    </row>
    <row r="367" spans="2:13">
      <c r="B367" s="3"/>
    </row>
    <row r="368" spans="2:13">
      <c r="B368" s="3"/>
    </row>
    <row r="369" spans="2:2">
      <c r="B369" s="3"/>
    </row>
    <row r="370" spans="2:2">
      <c r="B370" s="3"/>
    </row>
    <row r="371" spans="2:2">
      <c r="B371" s="3"/>
    </row>
    <row r="372" spans="2:2">
      <c r="B372" s="3"/>
    </row>
    <row r="373" spans="2:2">
      <c r="B373" s="3"/>
    </row>
    <row r="374" spans="2:2">
      <c r="B374" s="3"/>
    </row>
    <row r="375" spans="2:2">
      <c r="B375" s="3"/>
    </row>
    <row r="376" spans="2:2">
      <c r="B376" s="3"/>
    </row>
    <row r="377" spans="2:2">
      <c r="B377" s="3"/>
    </row>
    <row r="378" spans="2:2">
      <c r="B378" s="3"/>
    </row>
  </sheetData>
  <sortState ref="K33:M297">
    <sortCondition ref="K31:K295"/>
  </sortState>
  <mergeCells count="10">
    <mergeCell ref="P30:S30"/>
    <mergeCell ref="N31:O31"/>
    <mergeCell ref="P31:Q31"/>
    <mergeCell ref="R31:S31"/>
    <mergeCell ref="B15:C15"/>
    <mergeCell ref="D15:E15"/>
    <mergeCell ref="F30:I30"/>
    <mergeCell ref="D31:E31"/>
    <mergeCell ref="F31:G31"/>
    <mergeCell ref="H31:I31"/>
  </mergeCells>
  <pageMargins left="0.7" right="0.7" top="0.75" bottom="0.75" header="0.3" footer="0.3"/>
  <pageSetup orientation="portrait" horizontalDpi="0" verticalDpi="0" r:id="rId1"/>
</worksheet>
</file>

<file path=xl/worksheets/sheet17.xml><?xml version="1.0" encoding="utf-8"?>
<worksheet xmlns="http://schemas.openxmlformats.org/spreadsheetml/2006/main" xmlns:r="http://schemas.openxmlformats.org/officeDocument/2006/relationships">
  <dimension ref="A1:S379"/>
  <sheetViews>
    <sheetView topLeftCell="A32" workbookViewId="0"/>
  </sheetViews>
  <sheetFormatPr defaultRowHeight="15"/>
  <cols>
    <col min="1" max="1" width="42.28515625" customWidth="1"/>
    <col min="2" max="2" width="11.85546875" customWidth="1"/>
    <col min="3" max="3" width="15" customWidth="1"/>
    <col min="4" max="4" width="13.7109375" customWidth="1"/>
    <col min="5" max="5" width="14.85546875" customWidth="1"/>
    <col min="11" max="11" width="35.5703125" customWidth="1"/>
    <col min="12" max="12" width="15.42578125" customWidth="1"/>
    <col min="13" max="13" width="15.28515625" customWidth="1"/>
  </cols>
  <sheetData>
    <row r="1" spans="1:13">
      <c r="A1" s="27" t="s">
        <v>863</v>
      </c>
      <c r="B1" s="28"/>
      <c r="C1" s="28"/>
      <c r="D1" s="3"/>
      <c r="E1" s="3"/>
      <c r="F1" s="3"/>
      <c r="G1" s="3"/>
      <c r="H1" s="3"/>
      <c r="I1" s="3"/>
      <c r="J1" s="3"/>
      <c r="K1" s="3"/>
      <c r="L1" s="3"/>
      <c r="M1" s="3"/>
    </row>
    <row r="2" spans="1:13">
      <c r="A2" s="15"/>
      <c r="B2" s="3"/>
      <c r="C2" s="4"/>
      <c r="D2" s="3"/>
      <c r="E2" s="3"/>
      <c r="F2" s="3"/>
      <c r="G2" s="3"/>
      <c r="H2" s="3"/>
      <c r="I2" s="3"/>
      <c r="J2" s="3"/>
      <c r="K2" s="3"/>
      <c r="L2" s="3"/>
      <c r="M2" s="3"/>
    </row>
    <row r="3" spans="1:13">
      <c r="A3" s="15" t="s">
        <v>542</v>
      </c>
      <c r="B3" s="3"/>
      <c r="C3" s="4"/>
      <c r="D3" s="3"/>
      <c r="E3" s="3"/>
      <c r="F3" s="3"/>
      <c r="G3" s="3"/>
      <c r="H3" s="3"/>
      <c r="I3" s="3"/>
      <c r="J3" s="3"/>
      <c r="K3" s="3"/>
      <c r="L3" s="3"/>
      <c r="M3" s="3"/>
    </row>
    <row r="4" spans="1:13">
      <c r="A4" s="6" t="s">
        <v>740</v>
      </c>
      <c r="B4" s="3">
        <f>699416.2</f>
        <v>699416.2</v>
      </c>
      <c r="D4" s="3"/>
      <c r="E4" s="3"/>
      <c r="F4" s="3"/>
      <c r="G4" s="3"/>
      <c r="H4" s="3"/>
      <c r="I4" s="3"/>
      <c r="J4" s="3"/>
      <c r="K4" s="3"/>
      <c r="L4" s="3"/>
      <c r="M4" s="3"/>
    </row>
    <row r="5" spans="1:13">
      <c r="A5" s="3" t="s">
        <v>271</v>
      </c>
      <c r="B5" s="3">
        <v>894629.7</v>
      </c>
      <c r="D5" s="3"/>
      <c r="E5" s="3"/>
      <c r="F5" s="3"/>
      <c r="G5" s="3"/>
      <c r="H5" s="3"/>
      <c r="I5" s="3"/>
      <c r="J5" s="3"/>
      <c r="K5" s="3"/>
      <c r="L5" s="3"/>
      <c r="M5" s="3"/>
    </row>
    <row r="6" spans="1:13">
      <c r="A6" s="3" t="s">
        <v>272</v>
      </c>
      <c r="B6" s="3">
        <v>8081743</v>
      </c>
      <c r="D6" s="3"/>
      <c r="E6" s="3"/>
      <c r="F6" s="3"/>
      <c r="G6" s="3"/>
      <c r="H6" s="3"/>
      <c r="I6" s="3"/>
      <c r="J6" s="3"/>
      <c r="K6" s="3"/>
      <c r="L6" s="3"/>
      <c r="M6" s="3"/>
    </row>
    <row r="7" spans="1:13">
      <c r="B7" s="3"/>
      <c r="D7" s="3"/>
      <c r="E7" s="3"/>
      <c r="F7" s="3"/>
      <c r="G7" s="3"/>
      <c r="H7" s="3"/>
      <c r="I7" s="3"/>
      <c r="J7" s="3"/>
      <c r="K7" s="3"/>
      <c r="L7" s="3"/>
      <c r="M7" s="3"/>
    </row>
    <row r="8" spans="1:13">
      <c r="B8" s="3"/>
      <c r="D8" s="3"/>
      <c r="E8" s="3"/>
      <c r="F8" s="3"/>
      <c r="G8" s="3"/>
      <c r="H8" s="3"/>
      <c r="I8" s="3"/>
      <c r="J8" s="3"/>
      <c r="K8" s="3"/>
      <c r="L8" s="3"/>
      <c r="M8" s="3"/>
    </row>
    <row r="9" spans="1:13">
      <c r="A9" s="3"/>
      <c r="B9" s="3"/>
      <c r="D9" s="3"/>
      <c r="E9" s="3"/>
      <c r="F9" s="3"/>
      <c r="G9" s="3"/>
      <c r="H9" s="3"/>
      <c r="I9" s="3"/>
      <c r="J9" s="3"/>
      <c r="K9" s="3"/>
      <c r="L9" s="3"/>
      <c r="M9" s="3"/>
    </row>
    <row r="10" spans="1:13">
      <c r="B10" t="str">
        <f>"lnwage"</f>
        <v>lnwage</v>
      </c>
      <c r="C10" t="str">
        <f>"lngdppc00"</f>
        <v>lngdppc00</v>
      </c>
      <c r="D10" t="str">
        <f>"lnwage"</f>
        <v>lnwage</v>
      </c>
      <c r="E10" t="str">
        <f>"lngdppc00"</f>
        <v>lngdppc00</v>
      </c>
      <c r="J10" s="3"/>
      <c r="K10" s="3"/>
      <c r="L10" s="3"/>
      <c r="M10" s="3"/>
    </row>
    <row r="11" spans="1:13">
      <c r="A11" s="5" t="s">
        <v>267</v>
      </c>
      <c r="B11" t="s">
        <v>1</v>
      </c>
      <c r="C11" t="s">
        <v>1</v>
      </c>
      <c r="D11" t="s">
        <v>2</v>
      </c>
      <c r="E11" t="s">
        <v>2</v>
      </c>
      <c r="J11" s="3"/>
      <c r="K11" s="3"/>
      <c r="L11" s="3"/>
      <c r="M11" s="3"/>
    </row>
    <row r="12" spans="1:13">
      <c r="A12" t="s">
        <v>541</v>
      </c>
      <c r="B12" s="20" t="str">
        <f>+'Productivity model estimates'!B9</f>
        <v>0.0554</v>
      </c>
      <c r="C12" s="20" t="str">
        <f>+'Productivity model estimates'!D9</f>
        <v>0.152</v>
      </c>
      <c r="D12" s="20" t="str">
        <f>+'Productivity model estimates'!F9</f>
        <v>0.114</v>
      </c>
      <c r="E12" s="20" t="str">
        <f>+'Productivity model estimates'!H9</f>
        <v>0.135</v>
      </c>
      <c r="F12" s="3"/>
      <c r="G12" s="3"/>
      <c r="H12" s="3"/>
      <c r="I12" s="3"/>
      <c r="J12" s="7"/>
      <c r="K12" s="3"/>
      <c r="L12" s="3"/>
      <c r="M12" s="3"/>
    </row>
    <row r="13" spans="1:13">
      <c r="A13" s="3"/>
      <c r="B13" s="3"/>
      <c r="C13" s="3"/>
      <c r="D13" s="3"/>
      <c r="E13" s="3"/>
      <c r="F13" s="3"/>
      <c r="G13" s="3"/>
      <c r="H13" s="3"/>
      <c r="I13" s="3"/>
      <c r="J13" s="7"/>
      <c r="K13" s="3"/>
      <c r="L13" s="3"/>
      <c r="M13" s="3"/>
    </row>
    <row r="14" spans="1:13">
      <c r="A14" s="3"/>
      <c r="B14" t="s">
        <v>130</v>
      </c>
      <c r="C14" t="s">
        <v>130</v>
      </c>
      <c r="G14" s="3"/>
      <c r="H14" s="3"/>
      <c r="I14" s="3"/>
      <c r="J14" s="7"/>
      <c r="K14" s="3"/>
      <c r="L14" s="3"/>
      <c r="M14" s="3"/>
    </row>
    <row r="15" spans="1:13">
      <c r="A15" s="3"/>
      <c r="B15" s="261" t="s">
        <v>765</v>
      </c>
      <c r="C15" s="261"/>
      <c r="D15" s="261"/>
      <c r="E15" s="261"/>
      <c r="G15" s="3"/>
      <c r="H15" s="3"/>
      <c r="I15" s="3"/>
      <c r="J15" s="7"/>
      <c r="K15" s="3"/>
      <c r="L15" s="3"/>
      <c r="M15" s="3"/>
    </row>
    <row r="16" spans="1:13">
      <c r="A16" s="3"/>
      <c r="B16" s="67"/>
      <c r="C16" s="67"/>
      <c r="D16" s="67"/>
      <c r="E16" s="67"/>
      <c r="G16" s="3"/>
      <c r="H16" s="3"/>
      <c r="I16" s="3"/>
      <c r="J16" s="7"/>
      <c r="K16" s="3"/>
      <c r="L16" s="3"/>
      <c r="M16" s="3"/>
    </row>
    <row r="17" spans="1:19">
      <c r="A17" s="5" t="s">
        <v>767</v>
      </c>
      <c r="B17" t="s">
        <v>1</v>
      </c>
      <c r="C17" t="s">
        <v>2</v>
      </c>
      <c r="E17" s="3"/>
      <c r="F17" s="3"/>
      <c r="G17" s="3"/>
      <c r="I17" s="3"/>
      <c r="J17" s="3"/>
      <c r="K17" s="3"/>
      <c r="L17" s="3"/>
      <c r="M17" s="3"/>
    </row>
    <row r="18" spans="1:19">
      <c r="A18" s="3" t="s">
        <v>543</v>
      </c>
      <c r="B18" s="18" t="str">
        <f>+'Revenue mile pop models'!C8</f>
        <v>0.302</v>
      </c>
      <c r="C18" s="18" t="str">
        <f>+'Revenue mile pop models'!E8</f>
        <v>0.322</v>
      </c>
      <c r="D18" s="20"/>
      <c r="E18" s="3"/>
      <c r="F18" s="3" t="s">
        <v>1254</v>
      </c>
      <c r="G18" s="3"/>
      <c r="H18" t="s">
        <v>1261</v>
      </c>
      <c r="I18" s="3"/>
      <c r="J18" s="3"/>
      <c r="K18" s="3"/>
      <c r="L18" s="3"/>
      <c r="M18" s="3"/>
    </row>
    <row r="19" spans="1:19">
      <c r="A19" s="3" t="s">
        <v>862</v>
      </c>
      <c r="B19" s="21">
        <f>+$B$5/$B$4*B18</f>
        <v>0.38629098010597979</v>
      </c>
      <c r="C19" s="21">
        <f t="shared" ref="C19" si="0">+$B$5/$B$4*C18</f>
        <v>0.41187316421895859</v>
      </c>
      <c r="D19" s="21"/>
      <c r="E19" s="16"/>
      <c r="F19" s="3" t="s">
        <v>1</v>
      </c>
      <c r="G19" s="3" t="s">
        <v>2</v>
      </c>
      <c r="H19" s="3" t="s">
        <v>1</v>
      </c>
      <c r="I19" s="3" t="s">
        <v>2</v>
      </c>
      <c r="J19" s="3"/>
      <c r="K19" s="3"/>
      <c r="L19" s="3"/>
      <c r="M19" s="3"/>
    </row>
    <row r="20" spans="1:19">
      <c r="A20" s="3" t="s">
        <v>549</v>
      </c>
      <c r="B20" s="22">
        <f>+B19*B12</f>
        <v>2.1400520297871279E-2</v>
      </c>
      <c r="C20" s="22">
        <f>+C19*D12</f>
        <v>4.6953540720961279E-2</v>
      </c>
      <c r="D20" s="22"/>
      <c r="E20" s="3" t="s">
        <v>1259</v>
      </c>
      <c r="F20" s="34">
        <f>+'all wage calcs'!$D$2*B20*0.01</f>
        <v>9.3954741291565771</v>
      </c>
      <c r="G20" s="34">
        <f>+'all wage calcs'!$D$2*C20*0.01</f>
        <v>20.614021106765946</v>
      </c>
      <c r="H20" s="34">
        <f>+F20+'Revenue mile elasticities'!F19</f>
        <v>10.042389847899937</v>
      </c>
      <c r="I20" s="34">
        <f>+G20+'Revenue mile elasticities'!G19</f>
        <v>22.820383620654283</v>
      </c>
      <c r="J20" s="3"/>
      <c r="K20" s="3"/>
      <c r="L20" s="3"/>
      <c r="M20" s="3"/>
    </row>
    <row r="21" spans="1:19">
      <c r="A21" s="3" t="s">
        <v>550</v>
      </c>
      <c r="B21" s="22">
        <f>+B19*C12</f>
        <v>5.8716228976108925E-2</v>
      </c>
      <c r="C21" s="22">
        <f>+C19*E12</f>
        <v>5.560287716955941E-2</v>
      </c>
      <c r="D21" s="22"/>
      <c r="E21" s="3" t="s">
        <v>1260</v>
      </c>
      <c r="F21" s="34">
        <f>+'all wage calcs'!$G$2*B21*0.01</f>
        <v>25.863857309074447</v>
      </c>
      <c r="G21" s="34">
        <f>+'all wage calcs'!$G$2*C21*0.01</f>
        <v>24.492459855905071</v>
      </c>
      <c r="H21" s="34">
        <f>+F21+'Revenue mile elasticities'!F20</f>
        <v>27.644686632913753</v>
      </c>
      <c r="I21" s="34">
        <f>+G21+'Revenue mile elasticities'!G20</f>
        <v>27.113939916447315</v>
      </c>
      <c r="J21" s="3"/>
      <c r="K21" s="3"/>
      <c r="L21" s="3"/>
    </row>
    <row r="22" spans="1:19">
      <c r="A22" s="3"/>
      <c r="B22" s="3"/>
      <c r="C22" s="3"/>
      <c r="D22" s="3"/>
      <c r="E22" s="3"/>
      <c r="F22" s="3"/>
      <c r="G22" s="3"/>
      <c r="I22" s="3"/>
      <c r="J22" s="3"/>
      <c r="K22" s="3"/>
      <c r="L22" s="3"/>
    </row>
    <row r="23" spans="1:19">
      <c r="B23" t="s">
        <v>130</v>
      </c>
      <c r="C23" t="s">
        <v>130</v>
      </c>
      <c r="E23" s="3"/>
      <c r="F23" s="3"/>
      <c r="G23" s="3"/>
      <c r="I23" s="3"/>
      <c r="J23" s="3"/>
      <c r="K23" s="3"/>
      <c r="L23" s="3"/>
    </row>
    <row r="24" spans="1:19">
      <c r="A24" s="5" t="s">
        <v>768</v>
      </c>
      <c r="B24" t="s">
        <v>1</v>
      </c>
      <c r="C24" t="s">
        <v>2</v>
      </c>
      <c r="E24" s="3"/>
      <c r="F24" s="3"/>
      <c r="G24" s="3"/>
      <c r="I24" s="3"/>
      <c r="J24" s="3"/>
      <c r="K24" s="3"/>
      <c r="L24" s="3"/>
    </row>
    <row r="25" spans="1:19">
      <c r="A25" s="3" t="s">
        <v>543</v>
      </c>
      <c r="B25" s="20" t="str">
        <f>+'Revenue mile pop models'!G20</f>
        <v>0.0633</v>
      </c>
      <c r="C25" s="20" t="str">
        <f>+'Revenue mile pop models'!I20</f>
        <v>0.0631</v>
      </c>
      <c r="D25" s="3"/>
      <c r="E25" s="3"/>
      <c r="F25" s="3"/>
      <c r="G25" s="3"/>
      <c r="I25" s="3"/>
      <c r="J25" s="3"/>
      <c r="K25" s="3"/>
      <c r="L25" s="3"/>
    </row>
    <row r="26" spans="1:19">
      <c r="A26" s="3" t="s">
        <v>861</v>
      </c>
      <c r="B26" s="21">
        <f>+$B$6/$B$4*B25</f>
        <v>0.73143048716915626</v>
      </c>
      <c r="C26" s="21">
        <f>+$B$6/$B$4*C25</f>
        <v>0.72911949036925372</v>
      </c>
      <c r="D26" s="3"/>
      <c r="E26" s="3"/>
      <c r="F26" s="3"/>
      <c r="G26" s="3"/>
      <c r="I26" s="3"/>
      <c r="J26" s="3"/>
      <c r="K26" s="3"/>
      <c r="L26" s="3"/>
    </row>
    <row r="27" spans="1:19">
      <c r="A27" s="3" t="s">
        <v>549</v>
      </c>
      <c r="B27" s="23">
        <f>+B26*B12</f>
        <v>4.0521248989171255E-2</v>
      </c>
      <c r="C27" s="23">
        <f>+C26*D12</f>
        <v>8.3119621902094931E-2</v>
      </c>
      <c r="D27" s="3"/>
      <c r="E27" s="3" t="s">
        <v>1259</v>
      </c>
      <c r="F27" s="34">
        <f>+'all wage calcs'!$D$2*B27*0.01</f>
        <v>17.79005095482378</v>
      </c>
      <c r="G27" s="34">
        <f>+'all wage calcs'!$D$2*C27*0.01</f>
        <v>36.49202198528279</v>
      </c>
      <c r="H27" s="34">
        <f>+F27+'Revenue mile elasticities'!F26</f>
        <v>20.23179706664709</v>
      </c>
      <c r="I27" s="34">
        <f>+G27+'Revenue mile elasticities'!G26</f>
        <v>46.136265315383753</v>
      </c>
      <c r="J27" s="3"/>
      <c r="K27" s="8"/>
      <c r="L27" s="3"/>
      <c r="M27" s="3"/>
      <c r="N27" s="8"/>
    </row>
    <row r="28" spans="1:19">
      <c r="A28" s="3" t="s">
        <v>550</v>
      </c>
      <c r="B28" s="23">
        <f>+B26*C12</f>
        <v>0.11117743404971175</v>
      </c>
      <c r="C28" s="23">
        <f>+C26*E12</f>
        <v>9.8431131199849253E-2</v>
      </c>
      <c r="D28" s="3"/>
      <c r="E28" s="3" t="s">
        <v>1260</v>
      </c>
      <c r="F28" s="34">
        <f>+'all wage calcs'!$G$2*B28*0.01</f>
        <v>48.97244493376413</v>
      </c>
      <c r="G28" s="34">
        <f>+'all wage calcs'!$G$2*C28*0.01</f>
        <v>43.357837799146687</v>
      </c>
      <c r="H28" s="34">
        <f>+F28+'Revenue mile elasticities'!F27</f>
        <v>55.694082623681815</v>
      </c>
      <c r="I28" s="34">
        <f>+G28+'Revenue mile elasticities'!G27</f>
        <v>54.816603722576772</v>
      </c>
      <c r="J28" s="3"/>
      <c r="K28" s="11"/>
      <c r="L28" s="3"/>
      <c r="M28" s="3"/>
      <c r="N28" s="12"/>
    </row>
    <row r="29" spans="1:19">
      <c r="G29" s="3"/>
      <c r="H29" s="3"/>
      <c r="I29" s="3"/>
      <c r="J29" s="3"/>
    </row>
    <row r="31" spans="1:19">
      <c r="A31" s="3"/>
      <c r="B31" s="3"/>
      <c r="C31" s="3"/>
      <c r="D31" s="3"/>
      <c r="F31" s="258" t="s">
        <v>552</v>
      </c>
      <c r="G31" s="259"/>
      <c r="H31" s="259"/>
      <c r="I31" s="259"/>
      <c r="N31" s="3"/>
      <c r="P31" s="258" t="s">
        <v>552</v>
      </c>
      <c r="Q31" s="259"/>
      <c r="R31" s="259"/>
      <c r="S31" s="259"/>
    </row>
    <row r="32" spans="1:19" ht="60">
      <c r="A32" s="3" t="s">
        <v>274</v>
      </c>
      <c r="B32" s="10" t="s">
        <v>130</v>
      </c>
      <c r="C32" s="10" t="s">
        <v>770</v>
      </c>
      <c r="D32" s="260" t="s">
        <v>852</v>
      </c>
      <c r="E32" s="261"/>
      <c r="F32" s="260" t="s">
        <v>853</v>
      </c>
      <c r="G32" s="261"/>
      <c r="H32" s="262" t="s">
        <v>854</v>
      </c>
      <c r="I32" s="262"/>
      <c r="K32" s="42" t="s">
        <v>274</v>
      </c>
      <c r="L32" s="42" t="s">
        <v>130</v>
      </c>
      <c r="M32" s="42" t="s">
        <v>272</v>
      </c>
      <c r="N32" s="260" t="s">
        <v>859</v>
      </c>
      <c r="O32" s="261"/>
      <c r="P32" s="260" t="s">
        <v>857</v>
      </c>
      <c r="Q32" s="261"/>
      <c r="R32" s="262" t="s">
        <v>860</v>
      </c>
      <c r="S32" s="262"/>
    </row>
    <row r="33" spans="1:19">
      <c r="A33" s="3"/>
      <c r="B33" s="10"/>
      <c r="C33" s="10"/>
      <c r="D33" s="17" t="s">
        <v>1</v>
      </c>
      <c r="E33" s="18" t="s">
        <v>2</v>
      </c>
      <c r="F33" s="17" t="s">
        <v>1</v>
      </c>
      <c r="G33" s="18" t="s">
        <v>2</v>
      </c>
      <c r="H33" s="17" t="s">
        <v>1</v>
      </c>
      <c r="I33" s="18" t="s">
        <v>2</v>
      </c>
      <c r="L33" s="3"/>
      <c r="N33" s="17" t="s">
        <v>1</v>
      </c>
      <c r="O33" s="18" t="s">
        <v>2</v>
      </c>
      <c r="P33" s="17" t="s">
        <v>1</v>
      </c>
      <c r="Q33" s="18" t="s">
        <v>2</v>
      </c>
      <c r="R33" s="17" t="s">
        <v>1</v>
      </c>
      <c r="S33" s="18" t="s">
        <v>2</v>
      </c>
    </row>
    <row r="34" spans="1:19">
      <c r="A34" s="3" t="s">
        <v>280</v>
      </c>
      <c r="B34" s="3">
        <v>5385586</v>
      </c>
      <c r="C34" s="50">
        <v>4349928</v>
      </c>
      <c r="D34" s="13">
        <f>+C34/B34*$B$18</f>
        <v>0.24392484977493628</v>
      </c>
      <c r="E34" s="13">
        <f>+C34/B34*$C$18</f>
        <v>0.26007881333619037</v>
      </c>
      <c r="F34" s="11">
        <f t="shared" ref="F34:F62" si="1">+D34*$B$12</f>
        <v>1.3513436677531469E-2</v>
      </c>
      <c r="G34" s="11">
        <f t="shared" ref="G34:G62" si="2">+E34*$D$12</f>
        <v>2.9648984720325705E-2</v>
      </c>
      <c r="H34" s="11">
        <f t="shared" ref="H34:H62" si="3">+D34*$C$12</f>
        <v>3.7076577165790311E-2</v>
      </c>
      <c r="I34" s="11">
        <f t="shared" ref="I34:I62" si="4">+E34*$E$12</f>
        <v>3.5110639800385701E-2</v>
      </c>
      <c r="K34" s="3" t="s">
        <v>279</v>
      </c>
      <c r="L34" s="3">
        <v>159059</v>
      </c>
      <c r="M34" s="3">
        <v>422323</v>
      </c>
      <c r="N34" s="13">
        <f>+M34/L34*$B$25</f>
        <v>0.16806999855399568</v>
      </c>
      <c r="O34" s="13">
        <f>+M34/L34*$C$25</f>
        <v>0.16753897170232432</v>
      </c>
      <c r="P34" s="11">
        <f>+N34*$B$12</f>
        <v>9.3110779198913602E-3</v>
      </c>
      <c r="Q34" s="11">
        <f>+O34*$D$12</f>
        <v>1.9099442774064973E-2</v>
      </c>
      <c r="R34" s="11">
        <f>+N34*$C$12</f>
        <v>2.5546639780207343E-2</v>
      </c>
      <c r="S34" s="11">
        <f>+O34*$E$12</f>
        <v>2.2617761179813786E-2</v>
      </c>
    </row>
    <row r="35" spans="1:19">
      <c r="A35" s="3" t="s">
        <v>282</v>
      </c>
      <c r="B35" s="3">
        <v>2677712</v>
      </c>
      <c r="C35" s="50">
        <v>3540657</v>
      </c>
      <c r="D35" s="13">
        <f t="shared" ref="D35:D62" si="5">+C35/B35*$B$18</f>
        <v>0.39932539944549672</v>
      </c>
      <c r="E35" s="13">
        <f t="shared" ref="E35:E62" si="6">+C35/B35*$C$18</f>
        <v>0.4257707901372515</v>
      </c>
      <c r="F35" s="11">
        <f t="shared" si="1"/>
        <v>2.2122627129280516E-2</v>
      </c>
      <c r="G35" s="11">
        <f t="shared" si="2"/>
        <v>4.8537870075646673E-2</v>
      </c>
      <c r="H35" s="11">
        <f t="shared" si="3"/>
        <v>6.0697460715715502E-2</v>
      </c>
      <c r="I35" s="11">
        <f t="shared" si="4"/>
        <v>5.7479056668528955E-2</v>
      </c>
      <c r="K35" s="3" t="s">
        <v>281</v>
      </c>
      <c r="L35" s="3">
        <v>164488</v>
      </c>
      <c r="M35" s="3">
        <v>532011</v>
      </c>
      <c r="N35" s="13">
        <f t="shared" ref="N35:N98" si="7">+M35/L35*$B$25</f>
        <v>0.20473406145129128</v>
      </c>
      <c r="O35" s="13">
        <f t="shared" ref="O35:O98" si="8">+M35/L35*$C$25</f>
        <v>0.20408719237877537</v>
      </c>
      <c r="P35" s="11">
        <f t="shared" ref="P35:P98" si="9">+N35*$B$12</f>
        <v>1.1342267004401536E-2</v>
      </c>
      <c r="Q35" s="11">
        <f t="shared" ref="Q35:Q98" si="10">+O35*$D$12</f>
        <v>2.3265939931180393E-2</v>
      </c>
      <c r="R35" s="11">
        <f t="shared" ref="R35:R98" si="11">+N35*$C$12</f>
        <v>3.1119577340596272E-2</v>
      </c>
      <c r="S35" s="11">
        <f t="shared" ref="S35:S98" si="12">+O35*$E$12</f>
        <v>2.7551770971134676E-2</v>
      </c>
    </row>
    <row r="36" spans="1:19">
      <c r="A36" s="3" t="s">
        <v>284</v>
      </c>
      <c r="B36" s="3">
        <v>1124055</v>
      </c>
      <c r="C36" s="50">
        <v>378343</v>
      </c>
      <c r="D36" s="13">
        <f t="shared" si="5"/>
        <v>0.10164946199251816</v>
      </c>
      <c r="E36" s="13">
        <f t="shared" si="6"/>
        <v>0.1083812144423538</v>
      </c>
      <c r="F36" s="11">
        <f t="shared" si="1"/>
        <v>5.631380194385506E-3</v>
      </c>
      <c r="G36" s="11">
        <f t="shared" si="2"/>
        <v>1.2355458446428333E-2</v>
      </c>
      <c r="H36" s="11">
        <f t="shared" si="3"/>
        <v>1.545071822286276E-2</v>
      </c>
      <c r="I36" s="11">
        <f t="shared" si="4"/>
        <v>1.4631463949717764E-2</v>
      </c>
      <c r="K36" s="3" t="s">
        <v>283</v>
      </c>
      <c r="L36" s="3">
        <v>854301</v>
      </c>
      <c r="M36" s="3">
        <v>7290739</v>
      </c>
      <c r="N36" s="13">
        <f t="shared" si="7"/>
        <v>0.54021214852844612</v>
      </c>
      <c r="O36" s="13">
        <f t="shared" si="8"/>
        <v>0.53850531709549687</v>
      </c>
      <c r="P36" s="11">
        <f t="shared" si="9"/>
        <v>2.9927753028475914E-2</v>
      </c>
      <c r="Q36" s="11">
        <f t="shared" si="10"/>
        <v>6.1389606148886645E-2</v>
      </c>
      <c r="R36" s="11">
        <f t="shared" si="11"/>
        <v>8.2112246576323808E-2</v>
      </c>
      <c r="S36" s="11">
        <f t="shared" si="12"/>
        <v>7.2698217807892082E-2</v>
      </c>
    </row>
    <row r="37" spans="1:19">
      <c r="A37" s="3" t="s">
        <v>285</v>
      </c>
      <c r="B37" s="3">
        <v>1706469</v>
      </c>
      <c r="C37" s="50">
        <v>347660</v>
      </c>
      <c r="D37" s="13">
        <f t="shared" si="5"/>
        <v>6.1526649473269066E-2</v>
      </c>
      <c r="E37" s="13">
        <f t="shared" si="6"/>
        <v>6.5601262021167686E-2</v>
      </c>
      <c r="F37" s="11">
        <f t="shared" si="1"/>
        <v>3.4085763808191063E-3</v>
      </c>
      <c r="G37" s="11">
        <f t="shared" si="2"/>
        <v>7.4785438704131164E-3</v>
      </c>
      <c r="H37" s="11">
        <f t="shared" si="3"/>
        <v>9.3520507199368972E-3</v>
      </c>
      <c r="I37" s="11">
        <f t="shared" si="4"/>
        <v>8.8561703728576389E-3</v>
      </c>
      <c r="K37" s="3" t="s">
        <v>278</v>
      </c>
      <c r="L37" s="3">
        <v>846582</v>
      </c>
      <c r="M37" s="3">
        <v>5068244</v>
      </c>
      <c r="N37" s="13">
        <f t="shared" si="7"/>
        <v>0.3789589729051645</v>
      </c>
      <c r="O37" s="13">
        <f t="shared" si="8"/>
        <v>0.37776163017876596</v>
      </c>
      <c r="P37" s="11">
        <f t="shared" si="9"/>
        <v>2.0994327098946112E-2</v>
      </c>
      <c r="Q37" s="11">
        <f t="shared" si="10"/>
        <v>4.3064825840379323E-2</v>
      </c>
      <c r="R37" s="11">
        <f t="shared" si="11"/>
        <v>5.7601763881585E-2</v>
      </c>
      <c r="S37" s="11">
        <f t="shared" si="12"/>
        <v>5.0997820074133407E-2</v>
      </c>
    </row>
    <row r="38" spans="1:19">
      <c r="A38" s="3" t="s">
        <v>287</v>
      </c>
      <c r="B38" s="3">
        <v>9515636</v>
      </c>
      <c r="C38" s="50">
        <v>41200000</v>
      </c>
      <c r="D38" s="13">
        <f t="shared" si="5"/>
        <v>1.307574186318182</v>
      </c>
      <c r="E38" s="13">
        <f t="shared" si="6"/>
        <v>1.3941685032928961</v>
      </c>
      <c r="F38" s="11">
        <f t="shared" si="1"/>
        <v>7.2439609922027276E-2</v>
      </c>
      <c r="G38" s="11">
        <f t="shared" si="2"/>
        <v>0.15893520937539016</v>
      </c>
      <c r="H38" s="11">
        <f t="shared" si="3"/>
        <v>0.19875127632036366</v>
      </c>
      <c r="I38" s="11">
        <f t="shared" si="4"/>
        <v>0.18821274794454099</v>
      </c>
      <c r="K38" s="3" t="s">
        <v>286</v>
      </c>
      <c r="L38" s="3">
        <v>153451</v>
      </c>
      <c r="M38" s="3">
        <v>520402</v>
      </c>
      <c r="N38" s="13">
        <f t="shared" si="7"/>
        <v>0.2146707848107865</v>
      </c>
      <c r="O38" s="13">
        <f t="shared" si="8"/>
        <v>0.21399252008784564</v>
      </c>
      <c r="P38" s="11">
        <f t="shared" si="9"/>
        <v>1.1892761478517571E-2</v>
      </c>
      <c r="Q38" s="11">
        <f t="shared" si="10"/>
        <v>2.4395147290014404E-2</v>
      </c>
      <c r="R38" s="11">
        <f t="shared" si="11"/>
        <v>3.2629959291239546E-2</v>
      </c>
      <c r="S38" s="11">
        <f t="shared" si="12"/>
        <v>2.8888990211859162E-2</v>
      </c>
    </row>
    <row r="39" spans="1:19">
      <c r="A39" s="3" t="s">
        <v>289</v>
      </c>
      <c r="B39" s="3">
        <v>2094051</v>
      </c>
      <c r="C39" s="50">
        <v>1969967</v>
      </c>
      <c r="D39" s="13">
        <f t="shared" si="5"/>
        <v>0.28410484462890351</v>
      </c>
      <c r="E39" s="13">
        <f t="shared" si="6"/>
        <v>0.30291973500167857</v>
      </c>
      <c r="F39" s="11">
        <f t="shared" si="1"/>
        <v>1.5739408392441253E-2</v>
      </c>
      <c r="G39" s="11">
        <f t="shared" si="2"/>
        <v>3.4532849790191361E-2</v>
      </c>
      <c r="H39" s="11">
        <f t="shared" si="3"/>
        <v>4.318393638359333E-2</v>
      </c>
      <c r="I39" s="11">
        <f t="shared" si="4"/>
        <v>4.0894164225226612E-2</v>
      </c>
      <c r="K39" s="3" t="s">
        <v>288</v>
      </c>
      <c r="L39" s="3">
        <v>811669</v>
      </c>
      <c r="M39" s="3">
        <v>2369621</v>
      </c>
      <c r="N39" s="13">
        <f t="shared" si="7"/>
        <v>0.18480071223614553</v>
      </c>
      <c r="O39" s="13">
        <f t="shared" si="8"/>
        <v>0.18421682372987019</v>
      </c>
      <c r="P39" s="11">
        <f t="shared" si="9"/>
        <v>1.0237959457882462E-2</v>
      </c>
      <c r="Q39" s="11">
        <f t="shared" si="10"/>
        <v>2.1000717905205205E-2</v>
      </c>
      <c r="R39" s="11">
        <f t="shared" si="11"/>
        <v>2.8089708259894118E-2</v>
      </c>
      <c r="S39" s="11">
        <f t="shared" si="12"/>
        <v>2.4869271203532477E-2</v>
      </c>
    </row>
    <row r="40" spans="1:19">
      <c r="A40" s="3" t="s">
        <v>291</v>
      </c>
      <c r="B40" s="3">
        <v>6301085</v>
      </c>
      <c r="C40" s="50">
        <v>3071800</v>
      </c>
      <c r="D40" s="13">
        <f t="shared" si="5"/>
        <v>0.14722600948884199</v>
      </c>
      <c r="E40" s="13">
        <f t="shared" si="6"/>
        <v>0.15697607634240771</v>
      </c>
      <c r="F40" s="11">
        <f t="shared" si="1"/>
        <v>8.1563209256818453E-3</v>
      </c>
      <c r="G40" s="11">
        <f t="shared" si="2"/>
        <v>1.7895272703034478E-2</v>
      </c>
      <c r="H40" s="11">
        <f t="shared" si="3"/>
        <v>2.2378353442303982E-2</v>
      </c>
      <c r="I40" s="11">
        <f t="shared" si="4"/>
        <v>2.1191770306225041E-2</v>
      </c>
      <c r="K40" s="3" t="s">
        <v>290</v>
      </c>
      <c r="L40" s="3">
        <v>125923</v>
      </c>
      <c r="M40" s="3">
        <v>445692</v>
      </c>
      <c r="N40" s="13">
        <f t="shared" si="7"/>
        <v>0.22404408725967453</v>
      </c>
      <c r="O40" s="13">
        <f t="shared" si="8"/>
        <v>0.22333620704716375</v>
      </c>
      <c r="P40" s="11">
        <f t="shared" si="9"/>
        <v>1.2412042434185968E-2</v>
      </c>
      <c r="Q40" s="11">
        <f t="shared" si="10"/>
        <v>2.5460327603376669E-2</v>
      </c>
      <c r="R40" s="11">
        <f t="shared" si="11"/>
        <v>3.405470126347053E-2</v>
      </c>
      <c r="S40" s="11">
        <f t="shared" si="12"/>
        <v>3.0150387951367107E-2</v>
      </c>
    </row>
    <row r="41" spans="1:19">
      <c r="A41" s="3" t="s">
        <v>293</v>
      </c>
      <c r="B41" s="3">
        <v>2500384</v>
      </c>
      <c r="C41" s="50">
        <v>3694586</v>
      </c>
      <c r="D41" s="13">
        <f t="shared" si="5"/>
        <v>0.4462374467281825</v>
      </c>
      <c r="E41" s="13">
        <f t="shared" si="6"/>
        <v>0.47578959551812838</v>
      </c>
      <c r="F41" s="11">
        <f t="shared" si="1"/>
        <v>2.4721554548741309E-2</v>
      </c>
      <c r="G41" s="11">
        <f t="shared" si="2"/>
        <v>5.4240013889066636E-2</v>
      </c>
      <c r="H41" s="11">
        <f t="shared" si="3"/>
        <v>6.782809190268374E-2</v>
      </c>
      <c r="I41" s="11">
        <f t="shared" si="4"/>
        <v>6.4231595394947341E-2</v>
      </c>
      <c r="K41" s="3" t="s">
        <v>292</v>
      </c>
      <c r="L41" s="3">
        <v>243682</v>
      </c>
      <c r="M41" s="3">
        <v>655128</v>
      </c>
      <c r="N41" s="13">
        <f t="shared" si="7"/>
        <v>0.17017917778087835</v>
      </c>
      <c r="O41" s="13">
        <f t="shared" si="8"/>
        <v>0.16964148685582031</v>
      </c>
      <c r="P41" s="11">
        <f t="shared" si="9"/>
        <v>9.4279264490606599E-3</v>
      </c>
      <c r="Q41" s="11">
        <f t="shared" si="10"/>
        <v>1.9339129501563516E-2</v>
      </c>
      <c r="R41" s="11">
        <f t="shared" si="11"/>
        <v>2.5867235022693509E-2</v>
      </c>
      <c r="S41" s="11">
        <f t="shared" si="12"/>
        <v>2.2901600725535744E-2</v>
      </c>
    </row>
    <row r="42" spans="1:19">
      <c r="A42" s="3" t="s">
        <v>295</v>
      </c>
      <c r="B42" s="3">
        <v>5726705</v>
      </c>
      <c r="C42" s="50">
        <v>770505</v>
      </c>
      <c r="D42" s="13">
        <f t="shared" si="5"/>
        <v>4.0632878767109526E-2</v>
      </c>
      <c r="E42" s="13">
        <f t="shared" si="6"/>
        <v>4.3323797890759165E-2</v>
      </c>
      <c r="F42" s="11">
        <f t="shared" si="1"/>
        <v>2.2510614836978677E-3</v>
      </c>
      <c r="G42" s="11">
        <f t="shared" si="2"/>
        <v>4.9389129595465448E-3</v>
      </c>
      <c r="H42" s="11">
        <f t="shared" si="3"/>
        <v>6.1761975726006479E-3</v>
      </c>
      <c r="I42" s="11">
        <f t="shared" si="4"/>
        <v>5.8487127152524873E-3</v>
      </c>
      <c r="K42" s="3" t="s">
        <v>294</v>
      </c>
      <c r="L42" s="3">
        <v>86219</v>
      </c>
      <c r="M42" s="3">
        <v>1093276</v>
      </c>
      <c r="N42" s="13">
        <f t="shared" si="7"/>
        <v>0.80265800809566334</v>
      </c>
      <c r="O42" s="13">
        <f t="shared" si="8"/>
        <v>0.80012196383627743</v>
      </c>
      <c r="P42" s="11">
        <f t="shared" si="9"/>
        <v>4.4467253648499745E-2</v>
      </c>
      <c r="Q42" s="11">
        <f t="shared" si="10"/>
        <v>9.1213903877335634E-2</v>
      </c>
      <c r="R42" s="11">
        <f t="shared" si="11"/>
        <v>0.12200401723054083</v>
      </c>
      <c r="S42" s="11">
        <f t="shared" si="12"/>
        <v>0.10801646511789746</v>
      </c>
    </row>
    <row r="43" spans="1:19">
      <c r="A43" s="3" t="s">
        <v>297</v>
      </c>
      <c r="B43" s="3">
        <v>675921</v>
      </c>
      <c r="C43" s="50">
        <v>53000</v>
      </c>
      <c r="D43" s="13">
        <f t="shared" si="5"/>
        <v>2.3680282163152204E-2</v>
      </c>
      <c r="E43" s="13">
        <f t="shared" si="6"/>
        <v>2.5248512769983477E-2</v>
      </c>
      <c r="F43" s="11">
        <f t="shared" si="1"/>
        <v>1.3118876318386321E-3</v>
      </c>
      <c r="G43" s="11">
        <f t="shared" si="2"/>
        <v>2.8783304557781163E-3</v>
      </c>
      <c r="H43" s="11">
        <f t="shared" si="3"/>
        <v>3.5994028887991348E-3</v>
      </c>
      <c r="I43" s="11">
        <f t="shared" si="4"/>
        <v>3.4085492239477695E-3</v>
      </c>
      <c r="K43" s="3" t="s">
        <v>296</v>
      </c>
      <c r="L43" s="3">
        <v>365790</v>
      </c>
      <c r="M43" s="3">
        <v>2150344</v>
      </c>
      <c r="N43" s="13">
        <f t="shared" si="7"/>
        <v>0.3721172672845075</v>
      </c>
      <c r="O43" s="13">
        <f t="shared" si="8"/>
        <v>0.37094154132152329</v>
      </c>
      <c r="P43" s="11">
        <f t="shared" si="9"/>
        <v>2.0615296607561714E-2</v>
      </c>
      <c r="Q43" s="11">
        <f t="shared" si="10"/>
        <v>4.2287335710653656E-2</v>
      </c>
      <c r="R43" s="11">
        <f t="shared" si="11"/>
        <v>5.6561824627245141E-2</v>
      </c>
      <c r="S43" s="11">
        <f t="shared" si="12"/>
        <v>5.0077108078405645E-2</v>
      </c>
    </row>
    <row r="44" spans="1:19">
      <c r="A44" s="3" t="s">
        <v>299</v>
      </c>
      <c r="B44" s="3">
        <v>12768395</v>
      </c>
      <c r="C44" s="50">
        <v>31800000</v>
      </c>
      <c r="D44" s="13">
        <f t="shared" si="5"/>
        <v>0.75213838544311951</v>
      </c>
      <c r="E44" s="13">
        <f t="shared" si="6"/>
        <v>0.80194887454531294</v>
      </c>
      <c r="F44" s="11">
        <f t="shared" si="1"/>
        <v>4.1668466553548819E-2</v>
      </c>
      <c r="G44" s="11">
        <f t="shared" si="2"/>
        <v>9.1422171698165675E-2</v>
      </c>
      <c r="H44" s="11">
        <f t="shared" si="3"/>
        <v>0.11432503458735416</v>
      </c>
      <c r="I44" s="11">
        <f t="shared" si="4"/>
        <v>0.10826309806361725</v>
      </c>
      <c r="K44" s="3" t="s">
        <v>298</v>
      </c>
      <c r="L44" s="3">
        <v>131253</v>
      </c>
      <c r="M44" s="3">
        <v>294900</v>
      </c>
      <c r="N44" s="13">
        <f t="shared" si="7"/>
        <v>0.14222280633585518</v>
      </c>
      <c r="O44" s="13">
        <f t="shared" si="8"/>
        <v>0.14177344517839593</v>
      </c>
      <c r="P44" s="11">
        <f t="shared" si="9"/>
        <v>7.8791434710063762E-3</v>
      </c>
      <c r="Q44" s="11">
        <f t="shared" si="10"/>
        <v>1.6162172750337139E-2</v>
      </c>
      <c r="R44" s="11">
        <f t="shared" si="11"/>
        <v>2.1617866563049988E-2</v>
      </c>
      <c r="S44" s="11">
        <f t="shared" si="12"/>
        <v>1.9139415099083453E-2</v>
      </c>
    </row>
    <row r="45" spans="1:19">
      <c r="A45" s="3" t="s">
        <v>301</v>
      </c>
      <c r="B45" s="3">
        <v>1298529</v>
      </c>
      <c r="C45" s="50">
        <v>447557</v>
      </c>
      <c r="D45" s="13">
        <f t="shared" si="5"/>
        <v>0.10408871422971684</v>
      </c>
      <c r="E45" s="13">
        <f t="shared" si="6"/>
        <v>0.11098200656281068</v>
      </c>
      <c r="F45" s="11">
        <f t="shared" si="1"/>
        <v>5.7665147683263127E-3</v>
      </c>
      <c r="G45" s="11">
        <f t="shared" si="2"/>
        <v>1.2651948748160419E-2</v>
      </c>
      <c r="H45" s="11">
        <f t="shared" si="3"/>
        <v>1.582148456291696E-2</v>
      </c>
      <c r="I45" s="11">
        <f t="shared" si="4"/>
        <v>1.4982570885979443E-2</v>
      </c>
      <c r="K45" s="3" t="s">
        <v>300</v>
      </c>
      <c r="L45" s="3">
        <v>344767</v>
      </c>
      <c r="M45" s="3">
        <v>3302611</v>
      </c>
      <c r="N45" s="13">
        <f t="shared" si="7"/>
        <v>0.6063668399237746</v>
      </c>
      <c r="O45" s="13">
        <f t="shared" si="8"/>
        <v>0.60445098892875482</v>
      </c>
      <c r="P45" s="11">
        <f t="shared" si="9"/>
        <v>3.3592722931777112E-2</v>
      </c>
      <c r="Q45" s="11">
        <f t="shared" si="10"/>
        <v>6.8907412737878052E-2</v>
      </c>
      <c r="R45" s="11">
        <f t="shared" si="11"/>
        <v>9.2167759668413743E-2</v>
      </c>
      <c r="S45" s="11">
        <f t="shared" si="12"/>
        <v>8.1600883505381902E-2</v>
      </c>
    </row>
    <row r="46" spans="1:19">
      <c r="A46" s="3" t="s">
        <v>303</v>
      </c>
      <c r="B46" s="3">
        <v>5501752</v>
      </c>
      <c r="C46" s="50">
        <v>2274364</v>
      </c>
      <c r="D46" s="13">
        <f t="shared" si="5"/>
        <v>0.12484349130967735</v>
      </c>
      <c r="E46" s="13">
        <f t="shared" si="6"/>
        <v>0.13311127219111296</v>
      </c>
      <c r="F46" s="11">
        <f t="shared" si="1"/>
        <v>6.9163294185561252E-3</v>
      </c>
      <c r="G46" s="11">
        <f t="shared" si="2"/>
        <v>1.5174685029786878E-2</v>
      </c>
      <c r="H46" s="11">
        <f t="shared" si="3"/>
        <v>1.8976210679070956E-2</v>
      </c>
      <c r="I46" s="11">
        <f t="shared" si="4"/>
        <v>1.7970021745800251E-2</v>
      </c>
      <c r="K46" s="3" t="s">
        <v>302</v>
      </c>
      <c r="L46" s="3">
        <v>219780</v>
      </c>
      <c r="M46" s="3">
        <v>1025222</v>
      </c>
      <c r="N46" s="13">
        <f t="shared" si="7"/>
        <v>0.29527960960960964</v>
      </c>
      <c r="O46" s="13">
        <f t="shared" si="8"/>
        <v>0.29434665665665671</v>
      </c>
      <c r="P46" s="11">
        <f t="shared" si="9"/>
        <v>1.6358490372372372E-2</v>
      </c>
      <c r="Q46" s="11">
        <f t="shared" si="10"/>
        <v>3.3555518858858865E-2</v>
      </c>
      <c r="R46" s="11">
        <f t="shared" si="11"/>
        <v>4.4882500660660664E-2</v>
      </c>
      <c r="S46" s="11">
        <f t="shared" si="12"/>
        <v>3.9736798648648659E-2</v>
      </c>
    </row>
    <row r="47" spans="1:19">
      <c r="A47" s="3" t="s">
        <v>305</v>
      </c>
      <c r="B47" s="3">
        <v>3237612</v>
      </c>
      <c r="C47" s="50">
        <v>1046392</v>
      </c>
      <c r="D47" s="13">
        <f t="shared" si="5"/>
        <v>9.7606008379015147E-2</v>
      </c>
      <c r="E47" s="13">
        <f t="shared" si="6"/>
        <v>0.1040699824438506</v>
      </c>
      <c r="F47" s="11">
        <f t="shared" si="1"/>
        <v>5.407372864197439E-3</v>
      </c>
      <c r="G47" s="11">
        <f t="shared" si="2"/>
        <v>1.1863977998598969E-2</v>
      </c>
      <c r="H47" s="11">
        <f t="shared" si="3"/>
        <v>1.4836113273610303E-2</v>
      </c>
      <c r="I47" s="11">
        <f t="shared" si="4"/>
        <v>1.4049447629919831E-2</v>
      </c>
      <c r="K47" s="3" t="s">
        <v>304</v>
      </c>
      <c r="L47" s="3">
        <v>189926</v>
      </c>
      <c r="M47" s="3">
        <v>771529</v>
      </c>
      <c r="N47" s="13">
        <f t="shared" si="7"/>
        <v>0.25714112707054321</v>
      </c>
      <c r="O47" s="13">
        <f t="shared" si="8"/>
        <v>0.25632867485231092</v>
      </c>
      <c r="P47" s="11">
        <f t="shared" si="9"/>
        <v>1.4245618439708093E-2</v>
      </c>
      <c r="Q47" s="11">
        <f t="shared" si="10"/>
        <v>2.9221468933163446E-2</v>
      </c>
      <c r="R47" s="11">
        <f t="shared" si="11"/>
        <v>3.9085451314722568E-2</v>
      </c>
      <c r="S47" s="11">
        <f t="shared" si="12"/>
        <v>3.4604371105061975E-2</v>
      </c>
    </row>
    <row r="48" spans="1:19">
      <c r="A48" s="3" t="s">
        <v>306</v>
      </c>
      <c r="B48" s="3">
        <v>1556368</v>
      </c>
      <c r="C48" s="50">
        <v>95750</v>
      </c>
      <c r="D48" s="13">
        <f t="shared" si="5"/>
        <v>1.8579474777173522E-2</v>
      </c>
      <c r="E48" s="13">
        <f t="shared" si="6"/>
        <v>1.9809903570363822E-2</v>
      </c>
      <c r="F48" s="11">
        <f t="shared" si="1"/>
        <v>1.029302902655413E-3</v>
      </c>
      <c r="G48" s="11">
        <f t="shared" si="2"/>
        <v>2.2583290070214757E-3</v>
      </c>
      <c r="H48" s="11">
        <f t="shared" si="3"/>
        <v>2.8240801661303752E-3</v>
      </c>
      <c r="I48" s="11">
        <f t="shared" si="4"/>
        <v>2.6743369819991164E-3</v>
      </c>
      <c r="K48" s="3" t="s">
        <v>280</v>
      </c>
      <c r="L48" s="3">
        <v>5385586</v>
      </c>
      <c r="M48" s="14">
        <v>40400000</v>
      </c>
      <c r="N48" s="13">
        <f t="shared" si="7"/>
        <v>0.47484526289246887</v>
      </c>
      <c r="O48" s="13">
        <f t="shared" si="8"/>
        <v>0.4733449619038671</v>
      </c>
      <c r="P48" s="11">
        <f t="shared" si="9"/>
        <v>2.6306427564242774E-2</v>
      </c>
      <c r="Q48" s="11">
        <f t="shared" si="10"/>
        <v>5.396132565704085E-2</v>
      </c>
      <c r="R48" s="11">
        <f t="shared" si="11"/>
        <v>7.217647995965526E-2</v>
      </c>
      <c r="S48" s="11">
        <f t="shared" si="12"/>
        <v>6.390156985702207E-2</v>
      </c>
    </row>
    <row r="49" spans="1:19">
      <c r="A49" s="3" t="s">
        <v>308</v>
      </c>
      <c r="B49" s="3">
        <v>1168547</v>
      </c>
      <c r="C49" s="50">
        <v>756815</v>
      </c>
      <c r="D49" s="13">
        <f t="shared" si="5"/>
        <v>0.19559173058507701</v>
      </c>
      <c r="E49" s="13">
        <f t="shared" si="6"/>
        <v>0.20854482532581059</v>
      </c>
      <c r="F49" s="11">
        <f t="shared" si="1"/>
        <v>1.0835781874413265E-2</v>
      </c>
      <c r="G49" s="11">
        <f t="shared" si="2"/>
        <v>2.3774110087142409E-2</v>
      </c>
      <c r="H49" s="11">
        <f t="shared" si="3"/>
        <v>2.9729943048931704E-2</v>
      </c>
      <c r="I49" s="11">
        <f t="shared" si="4"/>
        <v>2.8153551418984433E-2</v>
      </c>
      <c r="K49" t="s">
        <v>307</v>
      </c>
      <c r="L49">
        <v>133105</v>
      </c>
      <c r="M49" s="3">
        <v>79549</v>
      </c>
      <c r="N49" s="13">
        <f t="shared" si="7"/>
        <v>3.7830672777130835E-2</v>
      </c>
      <c r="O49" s="13">
        <f t="shared" si="8"/>
        <v>3.771114458510199E-2</v>
      </c>
      <c r="P49" s="11">
        <f t="shared" si="9"/>
        <v>2.095819271853048E-3</v>
      </c>
      <c r="Q49" s="11">
        <f t="shared" si="10"/>
        <v>4.2990704827016273E-3</v>
      </c>
      <c r="R49" s="11">
        <f t="shared" si="11"/>
        <v>5.7502622621238867E-3</v>
      </c>
      <c r="S49" s="11">
        <f t="shared" si="12"/>
        <v>5.0910045189887692E-3</v>
      </c>
    </row>
    <row r="50" spans="1:19">
      <c r="A50" s="3" t="s">
        <v>310</v>
      </c>
      <c r="B50" s="3">
        <v>18968501</v>
      </c>
      <c r="C50" s="50">
        <v>70300000</v>
      </c>
      <c r="D50" s="13">
        <f t="shared" si="5"/>
        <v>1.1192555489756413</v>
      </c>
      <c r="E50" s="13">
        <f t="shared" si="6"/>
        <v>1.1933784330137631</v>
      </c>
      <c r="F50" s="11">
        <f t="shared" si="1"/>
        <v>6.2006757413250527E-2</v>
      </c>
      <c r="G50" s="11">
        <f t="shared" si="2"/>
        <v>0.13604514136356899</v>
      </c>
      <c r="H50" s="11">
        <f t="shared" si="3"/>
        <v>0.17012684344429746</v>
      </c>
      <c r="I50" s="11">
        <f t="shared" si="4"/>
        <v>0.16110608845685803</v>
      </c>
      <c r="K50" t="s">
        <v>309</v>
      </c>
      <c r="L50">
        <v>534612</v>
      </c>
      <c r="M50" s="3">
        <v>570128</v>
      </c>
      <c r="N50" s="13">
        <f t="shared" si="7"/>
        <v>6.7505223227312505E-2</v>
      </c>
      <c r="O50" s="13">
        <f t="shared" si="8"/>
        <v>6.7291936582044548E-2</v>
      </c>
      <c r="P50" s="11">
        <f t="shared" si="9"/>
        <v>3.7397893667931127E-3</v>
      </c>
      <c r="Q50" s="11">
        <f t="shared" si="10"/>
        <v>7.671280770353079E-3</v>
      </c>
      <c r="R50" s="11">
        <f t="shared" si="11"/>
        <v>1.0260793930551501E-2</v>
      </c>
      <c r="S50" s="11">
        <f t="shared" si="12"/>
        <v>9.0844114385760146E-3</v>
      </c>
    </row>
    <row r="51" spans="1:19">
      <c r="A51" s="3" t="s">
        <v>312</v>
      </c>
      <c r="B51" s="3">
        <v>5940496</v>
      </c>
      <c r="C51" s="50">
        <v>14600000</v>
      </c>
      <c r="D51" s="13">
        <f t="shared" si="5"/>
        <v>0.7422275850366703</v>
      </c>
      <c r="E51" s="13">
        <f t="shared" si="6"/>
        <v>0.79138172974108556</v>
      </c>
      <c r="F51" s="11">
        <f t="shared" si="1"/>
        <v>4.1119408211031536E-2</v>
      </c>
      <c r="G51" s="11">
        <f t="shared" si="2"/>
        <v>9.0217517190483751E-2</v>
      </c>
      <c r="H51" s="11">
        <f t="shared" si="3"/>
        <v>0.11281859292557388</v>
      </c>
      <c r="I51" s="11">
        <f t="shared" si="4"/>
        <v>0.10683653351504656</v>
      </c>
      <c r="K51" t="s">
        <v>311</v>
      </c>
      <c r="L51">
        <v>797145</v>
      </c>
      <c r="M51" s="3">
        <v>3437792</v>
      </c>
      <c r="N51" s="13">
        <f t="shared" si="7"/>
        <v>0.27298952336149634</v>
      </c>
      <c r="O51" s="13">
        <f t="shared" si="8"/>
        <v>0.27212699722133366</v>
      </c>
      <c r="P51" s="11">
        <f t="shared" si="9"/>
        <v>1.5123619594226896E-2</v>
      </c>
      <c r="Q51" s="11">
        <f t="shared" si="10"/>
        <v>3.1022477683232037E-2</v>
      </c>
      <c r="R51" s="11">
        <f t="shared" si="11"/>
        <v>4.1494407550947444E-2</v>
      </c>
      <c r="S51" s="11">
        <f t="shared" si="12"/>
        <v>3.6737144624880043E-2</v>
      </c>
    </row>
    <row r="52" spans="1:19">
      <c r="A52" s="3" t="s">
        <v>313</v>
      </c>
      <c r="B52" s="3">
        <v>2355391</v>
      </c>
      <c r="C52" s="50">
        <v>1217246</v>
      </c>
      <c r="D52" s="13">
        <f t="shared" si="5"/>
        <v>0.15607102684862087</v>
      </c>
      <c r="E52" s="13">
        <f t="shared" si="6"/>
        <v>0.16640685644124478</v>
      </c>
      <c r="F52" s="11">
        <f t="shared" si="1"/>
        <v>8.646334887413596E-3</v>
      </c>
      <c r="G52" s="11">
        <f t="shared" si="2"/>
        <v>1.8970381634301908E-2</v>
      </c>
      <c r="H52" s="11">
        <f t="shared" si="3"/>
        <v>2.3722796080990372E-2</v>
      </c>
      <c r="I52" s="11">
        <f t="shared" si="4"/>
        <v>2.2464925619568046E-2</v>
      </c>
      <c r="K52" t="s">
        <v>314</v>
      </c>
      <c r="L52">
        <v>149268</v>
      </c>
      <c r="M52">
        <v>540855</v>
      </c>
      <c r="N52" s="13">
        <f t="shared" si="7"/>
        <v>0.22936008722566123</v>
      </c>
      <c r="O52" s="13">
        <f t="shared" si="8"/>
        <v>0.2286354108047271</v>
      </c>
      <c r="P52" s="11">
        <f t="shared" si="9"/>
        <v>1.2706548832301632E-2</v>
      </c>
      <c r="Q52" s="11">
        <f t="shared" si="10"/>
        <v>2.6064436831738889E-2</v>
      </c>
      <c r="R52" s="11">
        <f t="shared" si="11"/>
        <v>3.4862733258300506E-2</v>
      </c>
      <c r="S52" s="11">
        <f t="shared" si="12"/>
        <v>3.0865780458638161E-2</v>
      </c>
    </row>
    <row r="53" spans="1:19">
      <c r="A53" s="3" t="s">
        <v>315</v>
      </c>
      <c r="B53" s="3">
        <v>2203745</v>
      </c>
      <c r="C53" s="50">
        <v>3838237</v>
      </c>
      <c r="D53" s="13">
        <f t="shared" si="5"/>
        <v>0.52598988267698854</v>
      </c>
      <c r="E53" s="13">
        <f t="shared" si="6"/>
        <v>0.56082364974168974</v>
      </c>
      <c r="F53" s="11">
        <f t="shared" si="1"/>
        <v>2.9139839500305163E-2</v>
      </c>
      <c r="G53" s="11">
        <f t="shared" si="2"/>
        <v>6.3933896070552637E-2</v>
      </c>
      <c r="H53" s="11">
        <f t="shared" si="3"/>
        <v>7.9950462166902256E-2</v>
      </c>
      <c r="I53" s="11">
        <f t="shared" si="4"/>
        <v>7.571119271512812E-2</v>
      </c>
      <c r="K53" t="s">
        <v>316</v>
      </c>
      <c r="L53">
        <v>779340</v>
      </c>
      <c r="M53">
        <v>2333836</v>
      </c>
      <c r="N53" s="13">
        <f t="shared" si="7"/>
        <v>0.18956016475479251</v>
      </c>
      <c r="O53" s="13">
        <f t="shared" si="8"/>
        <v>0.18896123848384533</v>
      </c>
      <c r="P53" s="11">
        <f t="shared" si="9"/>
        <v>1.0501633127415505E-2</v>
      </c>
      <c r="Q53" s="11">
        <f t="shared" si="10"/>
        <v>2.1541581187158369E-2</v>
      </c>
      <c r="R53" s="11">
        <f t="shared" si="11"/>
        <v>2.8813145042728461E-2</v>
      </c>
      <c r="S53" s="11">
        <f t="shared" si="12"/>
        <v>2.5509767195319121E-2</v>
      </c>
    </row>
    <row r="54" spans="1:19">
      <c r="A54" s="3" t="s">
        <v>319</v>
      </c>
      <c r="B54" s="3">
        <v>2101138</v>
      </c>
      <c r="C54" s="50">
        <v>1610033</v>
      </c>
      <c r="D54" s="13">
        <f t="shared" si="5"/>
        <v>0.23141267541684554</v>
      </c>
      <c r="E54" s="13">
        <f t="shared" si="6"/>
        <v>0.24673801815968299</v>
      </c>
      <c r="F54" s="11">
        <f t="shared" si="1"/>
        <v>1.2820262218093242E-2</v>
      </c>
      <c r="G54" s="11">
        <f t="shared" si="2"/>
        <v>2.8128134070203863E-2</v>
      </c>
      <c r="H54" s="11">
        <f t="shared" si="3"/>
        <v>3.5174726663360523E-2</v>
      </c>
      <c r="I54" s="11">
        <f t="shared" si="4"/>
        <v>3.3309632451557207E-2</v>
      </c>
      <c r="K54" t="s">
        <v>318</v>
      </c>
      <c r="L54">
        <v>136404</v>
      </c>
      <c r="M54">
        <v>377440</v>
      </c>
      <c r="N54" s="13">
        <f t="shared" si="7"/>
        <v>0.17515580188264274</v>
      </c>
      <c r="O54" s="13">
        <f t="shared" si="8"/>
        <v>0.17460238702677341</v>
      </c>
      <c r="P54" s="11">
        <f t="shared" si="9"/>
        <v>9.7036314242984079E-3</v>
      </c>
      <c r="Q54" s="11">
        <f t="shared" si="10"/>
        <v>1.990467212105217E-2</v>
      </c>
      <c r="R54" s="11">
        <f t="shared" si="11"/>
        <v>2.6623681886161696E-2</v>
      </c>
      <c r="S54" s="11">
        <f t="shared" si="12"/>
        <v>2.3571322248614412E-2</v>
      </c>
    </row>
    <row r="55" spans="1:19">
      <c r="A55" s="3" t="s">
        <v>321</v>
      </c>
      <c r="B55" s="3">
        <v>2818688</v>
      </c>
      <c r="C55" s="50">
        <v>3382495</v>
      </c>
      <c r="D55" s="13">
        <f t="shared" si="5"/>
        <v>0.3624074356580082</v>
      </c>
      <c r="E55" s="13">
        <f t="shared" si="6"/>
        <v>0.38640792808569091</v>
      </c>
      <c r="F55" s="11">
        <f t="shared" si="1"/>
        <v>2.0077371935453652E-2</v>
      </c>
      <c r="G55" s="11">
        <f t="shared" si="2"/>
        <v>4.4050503801768767E-2</v>
      </c>
      <c r="H55" s="11">
        <f t="shared" si="3"/>
        <v>5.5085930220017246E-2</v>
      </c>
      <c r="I55" s="11">
        <f t="shared" si="4"/>
        <v>5.2165070291568277E-2</v>
      </c>
      <c r="K55" t="s">
        <v>320</v>
      </c>
      <c r="L55">
        <v>107597</v>
      </c>
      <c r="M55">
        <v>1023787</v>
      </c>
      <c r="N55" s="13">
        <f t="shared" si="7"/>
        <v>0.60230040893333447</v>
      </c>
      <c r="O55" s="13">
        <f t="shared" si="8"/>
        <v>0.60039740606150727</v>
      </c>
      <c r="P55" s="11">
        <f t="shared" si="9"/>
        <v>3.336744265490673E-2</v>
      </c>
      <c r="Q55" s="11">
        <f t="shared" si="10"/>
        <v>6.8445304291011824E-2</v>
      </c>
      <c r="R55" s="11">
        <f t="shared" si="11"/>
        <v>9.1549662157866835E-2</v>
      </c>
      <c r="S55" s="11">
        <f t="shared" si="12"/>
        <v>8.1053649818303486E-2</v>
      </c>
    </row>
    <row r="56" spans="1:19">
      <c r="A56" s="3" t="s">
        <v>323</v>
      </c>
      <c r="B56" s="3">
        <v>1111600</v>
      </c>
      <c r="C56" s="50">
        <v>1626254</v>
      </c>
      <c r="D56" s="13">
        <f t="shared" si="5"/>
        <v>0.44182143576826194</v>
      </c>
      <c r="E56" s="13">
        <f t="shared" si="6"/>
        <v>0.47108113350125946</v>
      </c>
      <c r="F56" s="11">
        <f t="shared" si="1"/>
        <v>2.4476907541561711E-2</v>
      </c>
      <c r="G56" s="11">
        <f t="shared" si="2"/>
        <v>5.370324921914358E-2</v>
      </c>
      <c r="H56" s="11">
        <f t="shared" si="3"/>
        <v>6.7156858236775807E-2</v>
      </c>
      <c r="I56" s="11">
        <f t="shared" si="4"/>
        <v>6.3595953022670029E-2</v>
      </c>
      <c r="K56" t="s">
        <v>322</v>
      </c>
      <c r="L56">
        <v>377477</v>
      </c>
      <c r="M56">
        <v>911153</v>
      </c>
      <c r="N56" s="13">
        <f t="shared" si="7"/>
        <v>0.15279337522551042</v>
      </c>
      <c r="O56" s="13">
        <f t="shared" si="8"/>
        <v>0.15231061574612495</v>
      </c>
      <c r="P56" s="11">
        <f t="shared" si="9"/>
        <v>8.4647529874932771E-3</v>
      </c>
      <c r="Q56" s="11">
        <f t="shared" si="10"/>
        <v>1.7363410195058247E-2</v>
      </c>
      <c r="R56" s="11">
        <f t="shared" si="11"/>
        <v>2.3224593034277582E-2</v>
      </c>
      <c r="S56" s="11">
        <f t="shared" si="12"/>
        <v>2.0561933125726871E-2</v>
      </c>
    </row>
    <row r="57" spans="1:19">
      <c r="A57" s="3" t="s">
        <v>325</v>
      </c>
      <c r="B57" s="3">
        <v>3019274</v>
      </c>
      <c r="C57" s="50">
        <v>3662095</v>
      </c>
      <c r="D57" s="13">
        <f t="shared" si="5"/>
        <v>0.3662975569623691</v>
      </c>
      <c r="E57" s="13">
        <f t="shared" si="6"/>
        <v>0.39055567331749291</v>
      </c>
      <c r="F57" s="11">
        <f t="shared" si="1"/>
        <v>2.0292884655715247E-2</v>
      </c>
      <c r="G57" s="11">
        <f t="shared" si="2"/>
        <v>4.4523346758194193E-2</v>
      </c>
      <c r="H57" s="11">
        <f t="shared" si="3"/>
        <v>5.5677228658280099E-2</v>
      </c>
      <c r="I57" s="11">
        <f t="shared" si="4"/>
        <v>5.2725015897861549E-2</v>
      </c>
      <c r="K57" t="s">
        <v>324</v>
      </c>
      <c r="L57">
        <v>196960</v>
      </c>
      <c r="M57">
        <v>1902962</v>
      </c>
      <c r="N57" s="13">
        <f t="shared" si="7"/>
        <v>0.61158354285134031</v>
      </c>
      <c r="O57" s="13">
        <f t="shared" si="8"/>
        <v>0.60965120938261586</v>
      </c>
      <c r="P57" s="11">
        <f t="shared" si="9"/>
        <v>3.3881728273964254E-2</v>
      </c>
      <c r="Q57" s="11">
        <f t="shared" si="10"/>
        <v>6.9500237869618203E-2</v>
      </c>
      <c r="R57" s="11">
        <f t="shared" si="11"/>
        <v>9.2960698513403731E-2</v>
      </c>
      <c r="S57" s="11">
        <f t="shared" si="12"/>
        <v>8.2302913266653149E-2</v>
      </c>
    </row>
    <row r="58" spans="1:19">
      <c r="A58" s="3" t="s">
        <v>327</v>
      </c>
      <c r="B58" s="3">
        <v>4260236</v>
      </c>
      <c r="C58" s="50">
        <v>33300000</v>
      </c>
      <c r="D58" s="13">
        <f t="shared" si="5"/>
        <v>2.3605734517993837</v>
      </c>
      <c r="E58" s="13">
        <f t="shared" si="6"/>
        <v>2.5169028194682173</v>
      </c>
      <c r="F58" s="11">
        <f t="shared" si="1"/>
        <v>0.13077576922968584</v>
      </c>
      <c r="G58" s="11">
        <f t="shared" si="2"/>
        <v>0.28692692141937676</v>
      </c>
      <c r="H58" s="11">
        <f t="shared" si="3"/>
        <v>0.35880716467350632</v>
      </c>
      <c r="I58" s="11">
        <f t="shared" si="4"/>
        <v>0.33978188062820935</v>
      </c>
      <c r="K58" t="s">
        <v>326</v>
      </c>
      <c r="L58">
        <v>157730</v>
      </c>
      <c r="M58">
        <v>196682</v>
      </c>
      <c r="N58" s="13">
        <f t="shared" si="7"/>
        <v>7.8932166360235839E-2</v>
      </c>
      <c r="O58" s="13">
        <f t="shared" si="8"/>
        <v>7.8682775629239837E-2</v>
      </c>
      <c r="P58" s="11">
        <f t="shared" si="9"/>
        <v>4.3728420163570651E-3</v>
      </c>
      <c r="Q58" s="11">
        <f t="shared" si="10"/>
        <v>8.9698364217333411E-3</v>
      </c>
      <c r="R58" s="11">
        <f t="shared" si="11"/>
        <v>1.1997689286755847E-2</v>
      </c>
      <c r="S58" s="11">
        <f t="shared" si="12"/>
        <v>1.0622174709947379E-2</v>
      </c>
    </row>
    <row r="59" spans="1:19">
      <c r="A59" s="3" t="s">
        <v>329</v>
      </c>
      <c r="B59" s="3">
        <v>1810646</v>
      </c>
      <c r="C59" s="50">
        <v>2111235</v>
      </c>
      <c r="D59" s="13">
        <f t="shared" si="5"/>
        <v>0.35213563004585102</v>
      </c>
      <c r="E59" s="13">
        <f t="shared" si="6"/>
        <v>0.37545587044623852</v>
      </c>
      <c r="F59" s="11">
        <f t="shared" si="1"/>
        <v>1.9508313904540147E-2</v>
      </c>
      <c r="G59" s="11">
        <f t="shared" si="2"/>
        <v>4.2801969230871192E-2</v>
      </c>
      <c r="H59" s="11">
        <f t="shared" si="3"/>
        <v>5.3524615766969354E-2</v>
      </c>
      <c r="I59" s="11">
        <f t="shared" si="4"/>
        <v>5.0686542510242204E-2</v>
      </c>
      <c r="K59" t="s">
        <v>328</v>
      </c>
      <c r="L59">
        <v>152320</v>
      </c>
      <c r="M59">
        <v>582256</v>
      </c>
      <c r="N59" s="13">
        <f t="shared" si="7"/>
        <v>0.24196956932773106</v>
      </c>
      <c r="O59" s="13">
        <f t="shared" si="8"/>
        <v>0.24120505252100841</v>
      </c>
      <c r="P59" s="11">
        <f t="shared" si="9"/>
        <v>1.34051141407563E-2</v>
      </c>
      <c r="Q59" s="11">
        <f t="shared" si="10"/>
        <v>2.7497375987394958E-2</v>
      </c>
      <c r="R59" s="11">
        <f t="shared" si="11"/>
        <v>3.6779374537815122E-2</v>
      </c>
      <c r="S59" s="11">
        <f t="shared" si="12"/>
        <v>3.2562682090336137E-2</v>
      </c>
    </row>
    <row r="60" spans="1:19">
      <c r="A60" s="3" t="s">
        <v>331</v>
      </c>
      <c r="B60" s="3">
        <v>3356637</v>
      </c>
      <c r="C60" s="50">
        <v>342785</v>
      </c>
      <c r="D60" s="13">
        <f t="shared" si="5"/>
        <v>3.0840710508762192E-2</v>
      </c>
      <c r="E60" s="13">
        <f t="shared" si="6"/>
        <v>3.2883141668282871E-2</v>
      </c>
      <c r="F60" s="11">
        <f t="shared" si="1"/>
        <v>1.7085753621854255E-3</v>
      </c>
      <c r="G60" s="11">
        <f t="shared" si="2"/>
        <v>3.7486781501842475E-3</v>
      </c>
      <c r="H60" s="11">
        <f t="shared" si="3"/>
        <v>4.6877879973318531E-3</v>
      </c>
      <c r="I60" s="11">
        <f t="shared" si="4"/>
        <v>4.4392241252181877E-3</v>
      </c>
      <c r="K60" t="s">
        <v>330</v>
      </c>
      <c r="L60">
        <v>244870</v>
      </c>
      <c r="M60">
        <v>1834049</v>
      </c>
      <c r="N60" s="13">
        <f t="shared" si="7"/>
        <v>0.47410994282680602</v>
      </c>
      <c r="O60" s="13">
        <f t="shared" si="8"/>
        <v>0.47261196512435172</v>
      </c>
      <c r="P60" s="11">
        <f t="shared" si="9"/>
        <v>2.6265690832605052E-2</v>
      </c>
      <c r="Q60" s="11">
        <f t="shared" si="10"/>
        <v>5.38777640241761E-2</v>
      </c>
      <c r="R60" s="11">
        <f t="shared" si="11"/>
        <v>7.2064711309674512E-2</v>
      </c>
      <c r="S60" s="11">
        <f t="shared" si="12"/>
        <v>6.380261529178749E-2</v>
      </c>
    </row>
    <row r="61" spans="1:19">
      <c r="A61" s="3" t="s">
        <v>333</v>
      </c>
      <c r="B61">
        <v>2730007</v>
      </c>
      <c r="C61" s="50">
        <v>81856</v>
      </c>
      <c r="D61" s="13">
        <f t="shared" si="5"/>
        <v>9.0551093825034148E-3</v>
      </c>
      <c r="E61" s="13">
        <f t="shared" si="6"/>
        <v>9.6547855005499998E-3</v>
      </c>
      <c r="F61" s="11">
        <f t="shared" si="1"/>
        <v>5.0165305979068913E-4</v>
      </c>
      <c r="G61" s="11">
        <f t="shared" si="2"/>
        <v>1.1006455470627E-3</v>
      </c>
      <c r="H61" s="11">
        <f t="shared" si="3"/>
        <v>1.3763766261405191E-3</v>
      </c>
      <c r="I61" s="11">
        <f t="shared" si="4"/>
        <v>1.30339604257425E-3</v>
      </c>
      <c r="K61" t="s">
        <v>332</v>
      </c>
      <c r="L61">
        <v>1123146</v>
      </c>
      <c r="M61" s="14">
        <v>2791997</v>
      </c>
      <c r="N61" s="13">
        <f t="shared" si="7"/>
        <v>0.1573556867050232</v>
      </c>
      <c r="O61" s="13">
        <f t="shared" si="8"/>
        <v>0.15685851233944653</v>
      </c>
      <c r="P61" s="11">
        <f t="shared" si="9"/>
        <v>8.7175050434582842E-3</v>
      </c>
      <c r="Q61" s="11">
        <f t="shared" si="10"/>
        <v>1.7881870406696906E-2</v>
      </c>
      <c r="R61" s="11">
        <f t="shared" si="11"/>
        <v>2.3918064379163526E-2</v>
      </c>
      <c r="S61" s="11">
        <f t="shared" si="12"/>
        <v>2.1175899165825282E-2</v>
      </c>
    </row>
    <row r="62" spans="1:19">
      <c r="A62" s="3" t="s">
        <v>337</v>
      </c>
      <c r="B62">
        <v>5377936</v>
      </c>
      <c r="C62" s="50">
        <v>16300000</v>
      </c>
      <c r="D62" s="13">
        <f t="shared" si="5"/>
        <v>0.91533257368626175</v>
      </c>
      <c r="E62" s="13">
        <f t="shared" si="6"/>
        <v>0.97595062492376261</v>
      </c>
      <c r="F62" s="11">
        <f t="shared" si="1"/>
        <v>5.0709424582218901E-2</v>
      </c>
      <c r="G62" s="11">
        <f t="shared" si="2"/>
        <v>0.11125837124130894</v>
      </c>
      <c r="H62" s="11">
        <f t="shared" si="3"/>
        <v>0.13913055120031179</v>
      </c>
      <c r="I62" s="11">
        <f t="shared" si="4"/>
        <v>0.13175333436470796</v>
      </c>
      <c r="K62" t="s">
        <v>334</v>
      </c>
      <c r="L62">
        <v>104629</v>
      </c>
      <c r="M62">
        <v>305000</v>
      </c>
      <c r="N62" s="13">
        <f t="shared" si="7"/>
        <v>0.18452341129132457</v>
      </c>
      <c r="O62" s="13">
        <f t="shared" si="8"/>
        <v>0.18394039893337413</v>
      </c>
      <c r="P62" s="11">
        <f t="shared" si="9"/>
        <v>1.0222596985539381E-2</v>
      </c>
      <c r="Q62" s="11">
        <f t="shared" si="10"/>
        <v>2.096920547840465E-2</v>
      </c>
      <c r="R62" s="11">
        <f t="shared" si="11"/>
        <v>2.8047558516281334E-2</v>
      </c>
      <c r="S62" s="11">
        <f t="shared" si="12"/>
        <v>2.483195385600551E-2</v>
      </c>
    </row>
    <row r="63" spans="1:19">
      <c r="A63" s="3"/>
      <c r="B63" s="3"/>
      <c r="C63" s="3"/>
      <c r="D63" s="3"/>
      <c r="G63" s="3"/>
      <c r="H63" s="3"/>
      <c r="I63" s="3"/>
      <c r="K63" t="s">
        <v>336</v>
      </c>
      <c r="L63">
        <v>158521</v>
      </c>
      <c r="M63">
        <v>710852</v>
      </c>
      <c r="N63" s="13">
        <f t="shared" si="7"/>
        <v>0.2838547044240195</v>
      </c>
      <c r="O63" s="13">
        <f t="shared" si="8"/>
        <v>0.28295784911778249</v>
      </c>
      <c r="P63" s="11">
        <f t="shared" si="9"/>
        <v>1.5725550625090678E-2</v>
      </c>
      <c r="Q63" s="11">
        <f t="shared" si="10"/>
        <v>3.2257194799427208E-2</v>
      </c>
      <c r="R63" s="11">
        <f t="shared" si="11"/>
        <v>4.3145915072450962E-2</v>
      </c>
      <c r="S63" s="11">
        <f t="shared" si="12"/>
        <v>3.8199309630900638E-2</v>
      </c>
    </row>
    <row r="64" spans="1:19">
      <c r="D64" s="13">
        <f t="shared" ref="D64:I64" si="13">AVERAGE(D34:D62)</f>
        <v>0.41248794607829453</v>
      </c>
      <c r="E64" s="13">
        <f t="shared" si="13"/>
        <v>0.43980502860003584</v>
      </c>
      <c r="F64" s="13">
        <f t="shared" si="13"/>
        <v>2.2851832212737514E-2</v>
      </c>
      <c r="G64" s="13">
        <f t="shared" si="13"/>
        <v>5.0137773260404098E-2</v>
      </c>
      <c r="H64" s="13">
        <f t="shared" si="13"/>
        <v>6.2698167803900764E-2</v>
      </c>
      <c r="I64" s="13">
        <f t="shared" si="13"/>
        <v>5.9373678861004857E-2</v>
      </c>
      <c r="K64" t="s">
        <v>338</v>
      </c>
      <c r="L64">
        <v>184165</v>
      </c>
      <c r="M64">
        <v>976332</v>
      </c>
      <c r="N64" s="13">
        <f t="shared" si="7"/>
        <v>0.33557850623082558</v>
      </c>
      <c r="O64" s="13">
        <f t="shared" si="8"/>
        <v>0.33451822659028591</v>
      </c>
      <c r="P64" s="11">
        <f t="shared" si="9"/>
        <v>1.8591049245187737E-2</v>
      </c>
      <c r="Q64" s="11">
        <f t="shared" si="10"/>
        <v>3.8135077831292594E-2</v>
      </c>
      <c r="R64" s="11">
        <f t="shared" si="11"/>
        <v>5.1007932947085485E-2</v>
      </c>
      <c r="S64" s="11">
        <f t="shared" si="12"/>
        <v>4.5159960589688602E-2</v>
      </c>
    </row>
    <row r="65" spans="1:19">
      <c r="K65" t="s">
        <v>339</v>
      </c>
      <c r="L65">
        <v>165571</v>
      </c>
      <c r="M65">
        <v>1083044</v>
      </c>
      <c r="N65" s="13">
        <f t="shared" si="7"/>
        <v>0.4140621558123101</v>
      </c>
      <c r="O65" s="13">
        <f t="shared" si="8"/>
        <v>0.41275390255539923</v>
      </c>
      <c r="P65" s="11">
        <f t="shared" si="9"/>
        <v>2.2939043432001979E-2</v>
      </c>
      <c r="Q65" s="11">
        <f t="shared" si="10"/>
        <v>4.7053944891315515E-2</v>
      </c>
      <c r="R65" s="11">
        <f t="shared" si="11"/>
        <v>6.2937447683471134E-2</v>
      </c>
      <c r="S65" s="11">
        <f t="shared" si="12"/>
        <v>5.57217768449789E-2</v>
      </c>
    </row>
    <row r="66" spans="1:19">
      <c r="K66" t="s">
        <v>340</v>
      </c>
      <c r="L66">
        <v>598719</v>
      </c>
      <c r="M66">
        <v>1375651</v>
      </c>
      <c r="N66" s="13">
        <f t="shared" si="7"/>
        <v>0.14544169852635375</v>
      </c>
      <c r="O66" s="13">
        <f t="shared" si="8"/>
        <v>0.14498216709341111</v>
      </c>
      <c r="P66" s="11">
        <f t="shared" si="9"/>
        <v>8.0574700983599978E-3</v>
      </c>
      <c r="Q66" s="11">
        <f t="shared" si="10"/>
        <v>1.6527967048648867E-2</v>
      </c>
      <c r="R66" s="11">
        <f t="shared" si="11"/>
        <v>2.2107138176005767E-2</v>
      </c>
      <c r="S66" s="11">
        <f t="shared" si="12"/>
        <v>1.9572592557610499E-2</v>
      </c>
    </row>
    <row r="67" spans="1:19">
      <c r="A67" s="3"/>
      <c r="B67" s="10"/>
      <c r="K67" t="s">
        <v>341</v>
      </c>
      <c r="L67">
        <v>685926</v>
      </c>
      <c r="M67" s="14">
        <v>3677745</v>
      </c>
      <c r="N67" s="13">
        <f t="shared" si="7"/>
        <v>0.339397046474401</v>
      </c>
      <c r="O67" s="13">
        <f t="shared" si="8"/>
        <v>0.33832470193577735</v>
      </c>
      <c r="P67" s="11">
        <f t="shared" si="9"/>
        <v>1.8802596374681815E-2</v>
      </c>
      <c r="Q67" s="11">
        <f t="shared" si="10"/>
        <v>3.8569016020678616E-2</v>
      </c>
      <c r="R67" s="11">
        <f t="shared" si="11"/>
        <v>5.1588351064108952E-2</v>
      </c>
      <c r="S67" s="11">
        <f t="shared" si="12"/>
        <v>4.5673834761329947E-2</v>
      </c>
    </row>
    <row r="68" spans="1:19">
      <c r="A68" s="3"/>
      <c r="B68" s="3"/>
      <c r="K68" t="s">
        <v>342</v>
      </c>
      <c r="L68">
        <v>239865</v>
      </c>
      <c r="M68">
        <v>2375439</v>
      </c>
      <c r="N68" s="13">
        <f t="shared" si="7"/>
        <v>0.62687465324244884</v>
      </c>
      <c r="O68" s="13">
        <f t="shared" si="8"/>
        <v>0.62489400662872863</v>
      </c>
      <c r="P68" s="11">
        <f t="shared" si="9"/>
        <v>3.4728855789631662E-2</v>
      </c>
      <c r="Q68" s="11">
        <f t="shared" si="10"/>
        <v>7.1237916755675063E-2</v>
      </c>
      <c r="R68" s="11">
        <f t="shared" si="11"/>
        <v>9.5284947292852223E-2</v>
      </c>
      <c r="S68" s="11">
        <f t="shared" si="12"/>
        <v>8.4360690894878368E-2</v>
      </c>
    </row>
    <row r="69" spans="1:19">
      <c r="A69" s="3"/>
      <c r="B69" s="3"/>
      <c r="K69" t="s">
        <v>343</v>
      </c>
      <c r="L69">
        <v>389164</v>
      </c>
      <c r="M69" s="14">
        <v>791934</v>
      </c>
      <c r="N69" s="13">
        <f t="shared" si="7"/>
        <v>0.12881310244524158</v>
      </c>
      <c r="O69" s="13">
        <f t="shared" si="8"/>
        <v>0.1284061100204541</v>
      </c>
      <c r="P69" s="11">
        <f t="shared" si="9"/>
        <v>7.1362458754663828E-3</v>
      </c>
      <c r="Q69" s="11">
        <f t="shared" si="10"/>
        <v>1.4638296542331768E-2</v>
      </c>
      <c r="R69" s="11">
        <f t="shared" si="11"/>
        <v>1.957959157167672E-2</v>
      </c>
      <c r="S69" s="11">
        <f t="shared" si="12"/>
        <v>1.7334824852761305E-2</v>
      </c>
    </row>
    <row r="70" spans="1:19">
      <c r="A70" s="3"/>
      <c r="B70" s="3"/>
      <c r="K70" t="s">
        <v>344</v>
      </c>
      <c r="L70">
        <v>103020</v>
      </c>
      <c r="M70" s="14">
        <v>10200000</v>
      </c>
      <c r="N70" s="13">
        <f t="shared" si="7"/>
        <v>6.2673267326732667</v>
      </c>
      <c r="O70" s="13">
        <f t="shared" si="8"/>
        <v>6.2475247524752477</v>
      </c>
      <c r="P70" s="11">
        <f t="shared" si="9"/>
        <v>0.34720990099009896</v>
      </c>
      <c r="Q70" s="11">
        <f t="shared" si="10"/>
        <v>0.7122178217821783</v>
      </c>
      <c r="R70" s="11">
        <f t="shared" si="11"/>
        <v>0.95263366336633648</v>
      </c>
      <c r="S70" s="11">
        <f t="shared" si="12"/>
        <v>0.8434158415841585</v>
      </c>
    </row>
    <row r="71" spans="1:19">
      <c r="A71" s="3"/>
      <c r="B71" s="3"/>
      <c r="K71" t="s">
        <v>345</v>
      </c>
      <c r="L71">
        <v>408782</v>
      </c>
      <c r="M71">
        <v>2518231</v>
      </c>
      <c r="N71" s="13">
        <f t="shared" si="7"/>
        <v>0.38994873135314179</v>
      </c>
      <c r="O71" s="13">
        <f t="shared" si="8"/>
        <v>0.38871666585123615</v>
      </c>
      <c r="P71" s="11">
        <f t="shared" si="9"/>
        <v>2.1603159716964054E-2</v>
      </c>
      <c r="Q71" s="11">
        <f t="shared" si="10"/>
        <v>4.4313699907040927E-2</v>
      </c>
      <c r="R71" s="11">
        <f t="shared" si="11"/>
        <v>5.9272207165677548E-2</v>
      </c>
      <c r="S71" s="11">
        <f t="shared" si="12"/>
        <v>5.2476749889916886E-2</v>
      </c>
    </row>
    <row r="72" spans="1:19">
      <c r="A72" s="3"/>
      <c r="B72" s="3"/>
      <c r="K72" t="s">
        <v>346</v>
      </c>
      <c r="L72">
        <v>588709</v>
      </c>
      <c r="M72">
        <v>3006028</v>
      </c>
      <c r="N72" s="13">
        <f t="shared" si="7"/>
        <v>0.32321838531430641</v>
      </c>
      <c r="O72" s="13">
        <f t="shared" si="8"/>
        <v>0.32219715818851086</v>
      </c>
      <c r="P72" s="11">
        <f t="shared" si="9"/>
        <v>1.7906298546412576E-2</v>
      </c>
      <c r="Q72" s="11">
        <f t="shared" si="10"/>
        <v>3.6730476033490236E-2</v>
      </c>
      <c r="R72" s="11">
        <f t="shared" si="11"/>
        <v>4.9129194567774571E-2</v>
      </c>
      <c r="S72" s="11">
        <f t="shared" si="12"/>
        <v>4.3496616355448971E-2</v>
      </c>
    </row>
    <row r="73" spans="1:19">
      <c r="A73" s="3"/>
      <c r="B73" s="3"/>
      <c r="K73" t="s">
        <v>347</v>
      </c>
      <c r="L73">
        <v>73057</v>
      </c>
      <c r="M73">
        <v>209197</v>
      </c>
      <c r="N73" s="13">
        <f t="shared" si="7"/>
        <v>0.18125806014481841</v>
      </c>
      <c r="O73" s="13">
        <f t="shared" si="8"/>
        <v>0.18068536485210179</v>
      </c>
      <c r="P73" s="11">
        <f t="shared" si="9"/>
        <v>1.0041696532022939E-2</v>
      </c>
      <c r="Q73" s="11">
        <f t="shared" si="10"/>
        <v>2.0598131593139606E-2</v>
      </c>
      <c r="R73" s="11">
        <f t="shared" si="11"/>
        <v>2.7551225142012397E-2</v>
      </c>
      <c r="S73" s="11">
        <f t="shared" si="12"/>
        <v>2.4392524255033743E-2</v>
      </c>
    </row>
    <row r="74" spans="1:19">
      <c r="A74" s="3"/>
      <c r="B74" s="3"/>
      <c r="K74" t="s">
        <v>348</v>
      </c>
      <c r="L74">
        <v>254911</v>
      </c>
      <c r="M74">
        <v>1041326</v>
      </c>
      <c r="N74" s="13">
        <f t="shared" si="7"/>
        <v>0.25858411680939619</v>
      </c>
      <c r="O74" s="13">
        <f t="shared" si="8"/>
        <v>0.25776710538187841</v>
      </c>
      <c r="P74" s="11">
        <f t="shared" si="9"/>
        <v>1.4325560071240549E-2</v>
      </c>
      <c r="Q74" s="11">
        <f t="shared" si="10"/>
        <v>2.938545001353414E-2</v>
      </c>
      <c r="R74" s="11">
        <f t="shared" si="11"/>
        <v>3.9304785755028222E-2</v>
      </c>
      <c r="S74" s="11">
        <f t="shared" si="12"/>
        <v>3.4798559226553588E-2</v>
      </c>
    </row>
    <row r="75" spans="1:19">
      <c r="A75" s="3"/>
      <c r="B75" s="3"/>
      <c r="K75" t="s">
        <v>349</v>
      </c>
      <c r="L75">
        <v>223998</v>
      </c>
      <c r="M75">
        <v>3578700</v>
      </c>
      <c r="N75" s="13">
        <f t="shared" si="7"/>
        <v>1.0113113063509496</v>
      </c>
      <c r="O75" s="13">
        <f t="shared" si="8"/>
        <v>1.0081160099643749</v>
      </c>
      <c r="P75" s="11">
        <f t="shared" si="9"/>
        <v>5.6026646371842605E-2</v>
      </c>
      <c r="Q75" s="11">
        <f t="shared" si="10"/>
        <v>0.11492522513593874</v>
      </c>
      <c r="R75" s="11">
        <f t="shared" si="11"/>
        <v>0.15371931856534432</v>
      </c>
      <c r="S75" s="11">
        <f t="shared" si="12"/>
        <v>0.13609566134519063</v>
      </c>
    </row>
    <row r="76" spans="1:19">
      <c r="A76" s="3"/>
      <c r="B76" s="3"/>
      <c r="K76" t="s">
        <v>350</v>
      </c>
      <c r="L76">
        <v>303331</v>
      </c>
      <c r="M76" s="14">
        <v>2319541</v>
      </c>
      <c r="N76" s="13">
        <f t="shared" si="7"/>
        <v>0.48404859806613892</v>
      </c>
      <c r="O76" s="13">
        <f t="shared" si="8"/>
        <v>0.48251921860937397</v>
      </c>
      <c r="P76" s="11">
        <f t="shared" si="9"/>
        <v>2.6816292332864096E-2</v>
      </c>
      <c r="Q76" s="11">
        <f t="shared" si="10"/>
        <v>5.5007190921468635E-2</v>
      </c>
      <c r="R76" s="11">
        <f t="shared" si="11"/>
        <v>7.3575386906053114E-2</v>
      </c>
      <c r="S76" s="11">
        <f t="shared" si="12"/>
        <v>6.514009451226549E-2</v>
      </c>
    </row>
    <row r="77" spans="1:19">
      <c r="A77" s="3"/>
      <c r="B77" s="3"/>
      <c r="K77" t="s">
        <v>351</v>
      </c>
      <c r="L77">
        <v>647194</v>
      </c>
      <c r="M77">
        <v>2720358</v>
      </c>
      <c r="N77" s="13">
        <f t="shared" si="7"/>
        <v>0.26606961961946496</v>
      </c>
      <c r="O77" s="13">
        <f t="shared" si="8"/>
        <v>0.26522895731419022</v>
      </c>
      <c r="P77" s="11">
        <f t="shared" si="9"/>
        <v>1.4740256926918358E-2</v>
      </c>
      <c r="Q77" s="11">
        <f t="shared" si="10"/>
        <v>3.0236101133817687E-2</v>
      </c>
      <c r="R77" s="11">
        <f t="shared" si="11"/>
        <v>4.0442582182158675E-2</v>
      </c>
      <c r="S77" s="11">
        <f t="shared" si="12"/>
        <v>3.5805909237415681E-2</v>
      </c>
    </row>
    <row r="78" spans="1:19">
      <c r="A78" s="3"/>
      <c r="B78" s="3"/>
      <c r="K78" t="s">
        <v>285</v>
      </c>
      <c r="L78">
        <v>1706469</v>
      </c>
      <c r="M78" s="14">
        <v>12100000</v>
      </c>
      <c r="N78" s="13">
        <f t="shared" si="7"/>
        <v>0.44883909405913613</v>
      </c>
      <c r="O78" s="13">
        <f t="shared" si="8"/>
        <v>0.44742096106052909</v>
      </c>
      <c r="P78" s="11">
        <f t="shared" si="9"/>
        <v>2.4865685810876142E-2</v>
      </c>
      <c r="Q78" s="11">
        <f t="shared" si="10"/>
        <v>5.1005989560900321E-2</v>
      </c>
      <c r="R78" s="11">
        <f t="shared" si="11"/>
        <v>6.8223542296988696E-2</v>
      </c>
      <c r="S78" s="11">
        <f t="shared" si="12"/>
        <v>6.0401829743171431E-2</v>
      </c>
    </row>
    <row r="79" spans="1:19">
      <c r="A79" s="3"/>
      <c r="B79" s="3"/>
      <c r="K79" t="s">
        <v>352</v>
      </c>
      <c r="L79">
        <v>520089</v>
      </c>
      <c r="M79">
        <v>1972586</v>
      </c>
      <c r="N79" s="13">
        <f t="shared" si="7"/>
        <v>0.24008331997023585</v>
      </c>
      <c r="O79" s="13">
        <f t="shared" si="8"/>
        <v>0.23932476287712298</v>
      </c>
      <c r="P79" s="11">
        <f t="shared" si="9"/>
        <v>1.3300615926351065E-2</v>
      </c>
      <c r="Q79" s="11">
        <f t="shared" si="10"/>
        <v>2.728302296799202E-2</v>
      </c>
      <c r="R79" s="11">
        <f t="shared" si="11"/>
        <v>3.6492664635475847E-2</v>
      </c>
      <c r="S79" s="11">
        <f t="shared" si="12"/>
        <v>3.2308842988411607E-2</v>
      </c>
    </row>
    <row r="80" spans="1:19">
      <c r="A80" s="3"/>
      <c r="B80" s="3"/>
      <c r="K80" t="s">
        <v>353</v>
      </c>
      <c r="L80">
        <v>87759</v>
      </c>
      <c r="M80" s="14">
        <v>382479</v>
      </c>
      <c r="N80" s="13">
        <f t="shared" si="7"/>
        <v>0.27587963285816841</v>
      </c>
      <c r="O80" s="13">
        <f t="shared" si="8"/>
        <v>0.27500797525040171</v>
      </c>
      <c r="P80" s="11">
        <f t="shared" si="9"/>
        <v>1.5283731660342529E-2</v>
      </c>
      <c r="Q80" s="11">
        <f t="shared" si="10"/>
        <v>3.1350909178545799E-2</v>
      </c>
      <c r="R80" s="11">
        <f t="shared" si="11"/>
        <v>4.1933704194441597E-2</v>
      </c>
      <c r="S80" s="11">
        <f t="shared" si="12"/>
        <v>3.7126076658804234E-2</v>
      </c>
    </row>
    <row r="81" spans="1:19">
      <c r="A81" s="3"/>
      <c r="B81" s="3"/>
      <c r="K81" t="s">
        <v>287</v>
      </c>
      <c r="L81">
        <v>9515636</v>
      </c>
      <c r="M81" s="14">
        <v>133000000</v>
      </c>
      <c r="N81" s="13">
        <f t="shared" si="7"/>
        <v>0.8847438048281796</v>
      </c>
      <c r="O81" s="13">
        <f t="shared" si="8"/>
        <v>0.88194840576079214</v>
      </c>
      <c r="P81" s="11">
        <f t="shared" si="9"/>
        <v>4.9014806787481151E-2</v>
      </c>
      <c r="Q81" s="11">
        <f t="shared" si="10"/>
        <v>0.1005421182567303</v>
      </c>
      <c r="R81" s="11">
        <f t="shared" si="11"/>
        <v>0.1344810583338833</v>
      </c>
      <c r="S81" s="11">
        <f t="shared" si="12"/>
        <v>0.11906303477770695</v>
      </c>
    </row>
    <row r="82" spans="1:19">
      <c r="A82" s="3"/>
      <c r="B82" s="3"/>
      <c r="K82" t="s">
        <v>354</v>
      </c>
      <c r="L82">
        <v>219503</v>
      </c>
      <c r="M82" s="14">
        <v>1009113</v>
      </c>
      <c r="N82" s="13">
        <f t="shared" si="7"/>
        <v>0.29100674204908361</v>
      </c>
      <c r="O82" s="13">
        <f t="shared" si="8"/>
        <v>0.29008728946756995</v>
      </c>
      <c r="P82" s="11">
        <f t="shared" si="9"/>
        <v>1.6121773509519231E-2</v>
      </c>
      <c r="Q82" s="11">
        <f t="shared" si="10"/>
        <v>3.3069950999302974E-2</v>
      </c>
      <c r="R82" s="11">
        <f t="shared" si="11"/>
        <v>4.4233024791460705E-2</v>
      </c>
      <c r="S82" s="11">
        <f t="shared" si="12"/>
        <v>3.9161784078121945E-2</v>
      </c>
    </row>
    <row r="83" spans="1:19">
      <c r="A83" s="3"/>
      <c r="B83" s="3"/>
      <c r="K83" t="s">
        <v>355</v>
      </c>
      <c r="L83">
        <v>2158643</v>
      </c>
      <c r="M83" s="14">
        <v>14000000</v>
      </c>
      <c r="N83" s="13">
        <f t="shared" si="7"/>
        <v>0.41053569302566473</v>
      </c>
      <c r="O83" s="13">
        <f t="shared" si="8"/>
        <v>0.40923858183127088</v>
      </c>
      <c r="P83" s="11">
        <f t="shared" si="9"/>
        <v>2.2743677393621826E-2</v>
      </c>
      <c r="Q83" s="11">
        <f t="shared" si="10"/>
        <v>4.6653198328764883E-2</v>
      </c>
      <c r="R83" s="11">
        <f t="shared" si="11"/>
        <v>6.2401425339901034E-2</v>
      </c>
      <c r="S83" s="11">
        <f t="shared" si="12"/>
        <v>5.5247208547221573E-2</v>
      </c>
    </row>
    <row r="84" spans="1:19">
      <c r="A84" s="3"/>
      <c r="B84" s="3"/>
      <c r="K84" t="s">
        <v>356</v>
      </c>
      <c r="L84">
        <v>261757</v>
      </c>
      <c r="M84">
        <v>843433</v>
      </c>
      <c r="N84" s="13">
        <f t="shared" si="7"/>
        <v>0.20396516196319486</v>
      </c>
      <c r="O84" s="13">
        <f t="shared" si="8"/>
        <v>0.20332072227294784</v>
      </c>
      <c r="P84" s="11">
        <f t="shared" si="9"/>
        <v>1.1299669972760995E-2</v>
      </c>
      <c r="Q84" s="11">
        <f t="shared" si="10"/>
        <v>2.3178562339116054E-2</v>
      </c>
      <c r="R84" s="11">
        <f t="shared" si="11"/>
        <v>3.1002704618405617E-2</v>
      </c>
      <c r="S84" s="11">
        <f t="shared" si="12"/>
        <v>2.7448297506847959E-2</v>
      </c>
    </row>
    <row r="85" spans="1:19">
      <c r="A85" s="3"/>
      <c r="B85" s="3"/>
      <c r="K85" t="s">
        <v>289</v>
      </c>
      <c r="L85">
        <v>2094051</v>
      </c>
      <c r="M85" s="14">
        <v>27000000</v>
      </c>
      <c r="N85" s="13">
        <f t="shared" si="7"/>
        <v>0.81616923370061178</v>
      </c>
      <c r="O85" s="13">
        <f t="shared" si="8"/>
        <v>0.81359049994484378</v>
      </c>
      <c r="P85" s="11">
        <f t="shared" si="9"/>
        <v>4.5215775547013892E-2</v>
      </c>
      <c r="Q85" s="11">
        <f t="shared" si="10"/>
        <v>9.2749316993712194E-2</v>
      </c>
      <c r="R85" s="11">
        <f t="shared" si="11"/>
        <v>0.12405772352249299</v>
      </c>
      <c r="S85" s="11">
        <f t="shared" si="12"/>
        <v>0.10983471749255391</v>
      </c>
    </row>
    <row r="86" spans="1:19">
      <c r="A86" s="3"/>
      <c r="B86" s="3"/>
      <c r="K86" t="s">
        <v>357</v>
      </c>
      <c r="L86">
        <v>207140</v>
      </c>
      <c r="M86">
        <v>1879986</v>
      </c>
      <c r="N86" s="13">
        <f t="shared" si="7"/>
        <v>0.57450571497537894</v>
      </c>
      <c r="O86" s="13">
        <f t="shared" si="8"/>
        <v>0.57269053104180745</v>
      </c>
      <c r="P86" s="11">
        <f t="shared" si="9"/>
        <v>3.1827616609635991E-2</v>
      </c>
      <c r="Q86" s="11">
        <f t="shared" si="10"/>
        <v>6.5286720538766052E-2</v>
      </c>
      <c r="R86" s="11">
        <f t="shared" si="11"/>
        <v>8.7324868676257592E-2</v>
      </c>
      <c r="S86" s="11">
        <f t="shared" si="12"/>
        <v>7.7313221690644016E-2</v>
      </c>
    </row>
    <row r="87" spans="1:19">
      <c r="A87" s="3"/>
      <c r="B87" s="3"/>
      <c r="K87" t="s">
        <v>358</v>
      </c>
      <c r="L87">
        <v>164182</v>
      </c>
      <c r="M87">
        <v>606134</v>
      </c>
      <c r="N87" s="13">
        <f t="shared" si="7"/>
        <v>0.23369359734928308</v>
      </c>
      <c r="O87" s="13">
        <f t="shared" si="8"/>
        <v>0.23295522895323484</v>
      </c>
      <c r="P87" s="11">
        <f t="shared" si="9"/>
        <v>1.2946625293150282E-2</v>
      </c>
      <c r="Q87" s="11">
        <f t="shared" si="10"/>
        <v>2.6556896100668772E-2</v>
      </c>
      <c r="R87" s="11">
        <f t="shared" si="11"/>
        <v>3.5521426797091027E-2</v>
      </c>
      <c r="S87" s="11">
        <f t="shared" si="12"/>
        <v>3.1448955908686703E-2</v>
      </c>
    </row>
    <row r="88" spans="1:19">
      <c r="A88" s="3"/>
      <c r="B88" s="3"/>
      <c r="K88" t="s">
        <v>359</v>
      </c>
      <c r="L88">
        <v>732558</v>
      </c>
      <c r="M88">
        <v>1567272</v>
      </c>
      <c r="N88" s="13">
        <f t="shared" si="7"/>
        <v>0.13542725299566721</v>
      </c>
      <c r="O88" s="13">
        <f t="shared" si="8"/>
        <v>0.13499936278083102</v>
      </c>
      <c r="P88" s="11">
        <f t="shared" si="9"/>
        <v>7.5026698159599637E-3</v>
      </c>
      <c r="Q88" s="11">
        <f t="shared" si="10"/>
        <v>1.5389927357014737E-2</v>
      </c>
      <c r="R88" s="11">
        <f t="shared" si="11"/>
        <v>2.0584942455341416E-2</v>
      </c>
      <c r="S88" s="11">
        <f t="shared" si="12"/>
        <v>1.8224913975412191E-2</v>
      </c>
    </row>
    <row r="89" spans="1:19">
      <c r="A89" s="3"/>
      <c r="B89" s="3"/>
      <c r="K89" t="s">
        <v>360</v>
      </c>
      <c r="L89">
        <v>287251</v>
      </c>
      <c r="M89">
        <v>919775</v>
      </c>
      <c r="N89" s="13">
        <f t="shared" si="7"/>
        <v>0.20268600457439659</v>
      </c>
      <c r="O89" s="13">
        <f t="shared" si="8"/>
        <v>0.20204560645567815</v>
      </c>
      <c r="P89" s="11">
        <f t="shared" si="9"/>
        <v>1.1228804653421571E-2</v>
      </c>
      <c r="Q89" s="11">
        <f t="shared" si="10"/>
        <v>2.303319913594731E-2</v>
      </c>
      <c r="R89" s="11">
        <f t="shared" si="11"/>
        <v>3.0808272695308281E-2</v>
      </c>
      <c r="S89" s="11">
        <f t="shared" si="12"/>
        <v>2.7276156871516553E-2</v>
      </c>
    </row>
    <row r="90" spans="1:19">
      <c r="A90" s="3"/>
      <c r="B90" s="3"/>
      <c r="K90" t="s">
        <v>361</v>
      </c>
      <c r="L90">
        <v>1779822</v>
      </c>
      <c r="M90">
        <v>7628914</v>
      </c>
      <c r="N90" s="13">
        <f t="shared" si="7"/>
        <v>0.27132502924449747</v>
      </c>
      <c r="O90" s="13">
        <f t="shared" si="8"/>
        <v>0.27046776216947538</v>
      </c>
      <c r="P90" s="11">
        <f t="shared" si="9"/>
        <v>1.503140662014516E-2</v>
      </c>
      <c r="Q90" s="11">
        <f t="shared" si="10"/>
        <v>3.0833324887320195E-2</v>
      </c>
      <c r="R90" s="11">
        <f t="shared" si="11"/>
        <v>4.1241404445163617E-2</v>
      </c>
      <c r="S90" s="11">
        <f t="shared" si="12"/>
        <v>3.6513147892879176E-2</v>
      </c>
    </row>
    <row r="91" spans="1:19">
      <c r="A91" s="3"/>
      <c r="B91" s="3"/>
      <c r="K91" t="s">
        <v>362</v>
      </c>
      <c r="L91">
        <v>413206</v>
      </c>
      <c r="M91">
        <v>2778104</v>
      </c>
      <c r="N91" s="13">
        <f t="shared" si="7"/>
        <v>0.42558429258045616</v>
      </c>
      <c r="O91" s="13">
        <f t="shared" si="8"/>
        <v>0.42423963446803775</v>
      </c>
      <c r="P91" s="11">
        <f t="shared" si="9"/>
        <v>2.357736980895727E-2</v>
      </c>
      <c r="Q91" s="11">
        <f t="shared" si="10"/>
        <v>4.8363318329356308E-2</v>
      </c>
      <c r="R91" s="11">
        <f t="shared" si="11"/>
        <v>6.4688812472229337E-2</v>
      </c>
      <c r="S91" s="11">
        <f t="shared" si="12"/>
        <v>5.7272350653185103E-2</v>
      </c>
    </row>
    <row r="92" spans="1:19">
      <c r="A92" s="3"/>
      <c r="B92" s="3"/>
      <c r="K92" t="s">
        <v>363</v>
      </c>
      <c r="L92">
        <v>99772</v>
      </c>
      <c r="M92">
        <v>267128</v>
      </c>
      <c r="N92" s="13">
        <f t="shared" si="7"/>
        <v>0.16947843483141561</v>
      </c>
      <c r="O92" s="13">
        <f t="shared" si="8"/>
        <v>0.16894295794411257</v>
      </c>
      <c r="P92" s="11">
        <f t="shared" si="9"/>
        <v>9.3891052896604241E-3</v>
      </c>
      <c r="Q92" s="11">
        <f t="shared" si="10"/>
        <v>1.9259497205628834E-2</v>
      </c>
      <c r="R92" s="11">
        <f t="shared" si="11"/>
        <v>2.5760722094375174E-2</v>
      </c>
      <c r="S92" s="11">
        <f t="shared" si="12"/>
        <v>2.2807299322455198E-2</v>
      </c>
    </row>
    <row r="93" spans="1:19">
      <c r="A93" s="3"/>
      <c r="B93" s="3"/>
      <c r="K93" t="s">
        <v>291</v>
      </c>
      <c r="L93">
        <v>6301085</v>
      </c>
      <c r="M93" s="14">
        <v>36500000</v>
      </c>
      <c r="N93" s="13">
        <f t="shared" si="7"/>
        <v>0.36667494566411973</v>
      </c>
      <c r="O93" s="13">
        <f t="shared" si="8"/>
        <v>0.36551641503010995</v>
      </c>
      <c r="P93" s="11">
        <f t="shared" si="9"/>
        <v>2.0313791989792232E-2</v>
      </c>
      <c r="Q93" s="11">
        <f t="shared" si="10"/>
        <v>4.1668871313432533E-2</v>
      </c>
      <c r="R93" s="11">
        <f t="shared" si="11"/>
        <v>5.57345917409462E-2</v>
      </c>
      <c r="S93" s="11">
        <f t="shared" si="12"/>
        <v>4.9344716029064845E-2</v>
      </c>
    </row>
    <row r="94" spans="1:19">
      <c r="A94" s="3"/>
      <c r="B94" s="3"/>
      <c r="K94" t="s">
        <v>364</v>
      </c>
      <c r="L94">
        <v>376980</v>
      </c>
      <c r="M94">
        <v>3234926</v>
      </c>
      <c r="N94" s="13">
        <f t="shared" si="7"/>
        <v>0.54318747891134811</v>
      </c>
      <c r="O94" s="13">
        <f t="shared" si="8"/>
        <v>0.54147124675049085</v>
      </c>
      <c r="P94" s="11">
        <f t="shared" si="9"/>
        <v>3.0092586331688684E-2</v>
      </c>
      <c r="Q94" s="11">
        <f t="shared" si="10"/>
        <v>6.1727722129555962E-2</v>
      </c>
      <c r="R94" s="11">
        <f t="shared" si="11"/>
        <v>8.2564496794524905E-2</v>
      </c>
      <c r="S94" s="11">
        <f t="shared" si="12"/>
        <v>7.3098618311316269E-2</v>
      </c>
    </row>
    <row r="95" spans="1:19">
      <c r="A95" s="3"/>
      <c r="B95" s="3"/>
      <c r="K95" t="s">
        <v>365</v>
      </c>
      <c r="L95">
        <v>837036</v>
      </c>
      <c r="M95">
        <v>5706803</v>
      </c>
      <c r="N95" s="13">
        <f t="shared" si="7"/>
        <v>0.43157119872980371</v>
      </c>
      <c r="O95" s="13">
        <f t="shared" si="8"/>
        <v>0.43020762464218981</v>
      </c>
      <c r="P95" s="11">
        <f t="shared" si="9"/>
        <v>2.3909044409631125E-2</v>
      </c>
      <c r="Q95" s="11">
        <f t="shared" si="10"/>
        <v>4.9043669209209641E-2</v>
      </c>
      <c r="R95" s="11">
        <f t="shared" si="11"/>
        <v>6.5598822206930169E-2</v>
      </c>
      <c r="S95" s="11">
        <f t="shared" si="12"/>
        <v>5.8078029326695625E-2</v>
      </c>
    </row>
    <row r="96" spans="1:19">
      <c r="A96" s="3"/>
      <c r="B96" s="3"/>
      <c r="K96" t="s">
        <v>772</v>
      </c>
      <c r="L96">
        <v>150344</v>
      </c>
      <c r="M96">
        <v>0</v>
      </c>
      <c r="N96" s="13">
        <f t="shared" si="7"/>
        <v>0</v>
      </c>
      <c r="O96" s="13">
        <f t="shared" si="8"/>
        <v>0</v>
      </c>
      <c r="P96" s="11">
        <f t="shared" si="9"/>
        <v>0</v>
      </c>
      <c r="Q96" s="11">
        <f t="shared" si="10"/>
        <v>0</v>
      </c>
      <c r="R96" s="11">
        <f t="shared" si="11"/>
        <v>0</v>
      </c>
      <c r="S96" s="11">
        <f t="shared" si="12"/>
        <v>0</v>
      </c>
    </row>
    <row r="97" spans="1:19">
      <c r="A97" s="3"/>
      <c r="K97" t="s">
        <v>366</v>
      </c>
      <c r="L97">
        <v>108326</v>
      </c>
      <c r="M97">
        <v>932091</v>
      </c>
      <c r="N97" s="13">
        <f t="shared" si="7"/>
        <v>0.5446648108487343</v>
      </c>
      <c r="O97" s="13">
        <f t="shared" si="8"/>
        <v>0.54294391097243511</v>
      </c>
      <c r="P97" s="11">
        <f t="shared" si="9"/>
        <v>3.0174430521019879E-2</v>
      </c>
      <c r="Q97" s="11">
        <f t="shared" si="10"/>
        <v>6.1895605850857606E-2</v>
      </c>
      <c r="R97" s="11">
        <f t="shared" si="11"/>
        <v>8.2789051249007609E-2</v>
      </c>
      <c r="S97" s="11">
        <f t="shared" si="12"/>
        <v>7.3297427981278751E-2</v>
      </c>
    </row>
    <row r="98" spans="1:19">
      <c r="A98" s="3"/>
      <c r="K98" t="s">
        <v>367</v>
      </c>
      <c r="L98">
        <v>497344</v>
      </c>
      <c r="M98">
        <v>2480335</v>
      </c>
      <c r="N98" s="13">
        <f t="shared" si="7"/>
        <v>0.31568734216156219</v>
      </c>
      <c r="O98" s="13">
        <f t="shared" si="8"/>
        <v>0.3146899098008622</v>
      </c>
      <c r="P98" s="11">
        <f t="shared" si="9"/>
        <v>1.7489078755750544E-2</v>
      </c>
      <c r="Q98" s="11">
        <f t="shared" si="10"/>
        <v>3.5874649717298292E-2</v>
      </c>
      <c r="R98" s="11">
        <f t="shared" si="11"/>
        <v>4.7984476008557451E-2</v>
      </c>
      <c r="S98" s="11">
        <f t="shared" si="12"/>
        <v>4.2483137823116399E-2</v>
      </c>
    </row>
    <row r="99" spans="1:19">
      <c r="K99" t="s">
        <v>293</v>
      </c>
      <c r="L99">
        <v>2500384</v>
      </c>
      <c r="M99" s="14">
        <v>45900000</v>
      </c>
      <c r="N99" s="13">
        <f t="shared" ref="N99:N162" si="14">+M99/L99*$B$25</f>
        <v>1.162009515338444</v>
      </c>
      <c r="O99" s="13">
        <f t="shared" ref="O99:O162" si="15">+M99/L99*$C$25</f>
        <v>1.1583380792710241</v>
      </c>
      <c r="P99" s="11">
        <f t="shared" ref="P99:P162" si="16">+N99*$B$12</f>
        <v>6.4375327149749792E-2</v>
      </c>
      <c r="Q99" s="11">
        <f t="shared" ref="Q99:Q162" si="17">+O99*$D$12</f>
        <v>0.13205054103689676</v>
      </c>
      <c r="R99" s="11">
        <f t="shared" ref="R99:R162" si="18">+N99*$C$12</f>
        <v>0.17662544633144348</v>
      </c>
      <c r="S99" s="11">
        <f t="shared" ref="S99:S162" si="19">+O99*$E$12</f>
        <v>0.15637564070158827</v>
      </c>
    </row>
    <row r="100" spans="1:19">
      <c r="K100" t="s">
        <v>368</v>
      </c>
      <c r="L100">
        <v>554101</v>
      </c>
      <c r="M100">
        <v>2318224</v>
      </c>
      <c r="N100" s="13">
        <f t="shared" si="14"/>
        <v>0.2648318252448561</v>
      </c>
      <c r="O100" s="13">
        <f t="shared" si="15"/>
        <v>0.26399507382228155</v>
      </c>
      <c r="P100" s="11">
        <f t="shared" si="16"/>
        <v>1.4671683118565027E-2</v>
      </c>
      <c r="Q100" s="11">
        <f t="shared" si="17"/>
        <v>3.0095438415740097E-2</v>
      </c>
      <c r="R100" s="11">
        <f t="shared" si="18"/>
        <v>4.0254437437218127E-2</v>
      </c>
      <c r="S100" s="11">
        <f t="shared" si="19"/>
        <v>3.5639334966008011E-2</v>
      </c>
    </row>
    <row r="101" spans="1:19">
      <c r="A101" s="3"/>
      <c r="B101" s="3"/>
      <c r="K101" t="s">
        <v>369</v>
      </c>
      <c r="L101">
        <v>4423781</v>
      </c>
      <c r="M101" s="14">
        <v>26600000</v>
      </c>
      <c r="N101" s="13">
        <f t="shared" si="14"/>
        <v>0.38062010755053199</v>
      </c>
      <c r="O101" s="13">
        <f t="shared" si="15"/>
        <v>0.37941751637343712</v>
      </c>
      <c r="P101" s="11">
        <f t="shared" si="16"/>
        <v>2.1086353958299473E-2</v>
      </c>
      <c r="Q101" s="11">
        <f t="shared" si="17"/>
        <v>4.3253596866571833E-2</v>
      </c>
      <c r="R101" s="11">
        <f t="shared" si="18"/>
        <v>5.7854256347680863E-2</v>
      </c>
      <c r="S101" s="11">
        <f t="shared" si="19"/>
        <v>5.1221364710414018E-2</v>
      </c>
    </row>
    <row r="102" spans="1:19">
      <c r="K102" t="s">
        <v>773</v>
      </c>
      <c r="L102">
        <v>141446</v>
      </c>
      <c r="M102">
        <v>0</v>
      </c>
      <c r="N102" s="13">
        <f t="shared" si="14"/>
        <v>0</v>
      </c>
      <c r="O102" s="13">
        <f t="shared" si="15"/>
        <v>0</v>
      </c>
      <c r="P102" s="11">
        <f t="shared" si="16"/>
        <v>0</v>
      </c>
      <c r="Q102" s="11">
        <f t="shared" si="17"/>
        <v>0</v>
      </c>
      <c r="R102" s="11">
        <f t="shared" si="18"/>
        <v>0</v>
      </c>
      <c r="S102" s="11">
        <f t="shared" si="19"/>
        <v>0</v>
      </c>
    </row>
    <row r="103" spans="1:19">
      <c r="K103" t="s">
        <v>370</v>
      </c>
      <c r="L103">
        <v>92589</v>
      </c>
      <c r="M103">
        <v>301395</v>
      </c>
      <c r="N103" s="13">
        <f t="shared" si="14"/>
        <v>0.20605367268250008</v>
      </c>
      <c r="O103" s="13">
        <f t="shared" si="15"/>
        <v>0.20540263422220784</v>
      </c>
      <c r="P103" s="11">
        <f t="shared" si="16"/>
        <v>1.1415373466610503E-2</v>
      </c>
      <c r="Q103" s="11">
        <f t="shared" si="17"/>
        <v>2.3415900301331696E-2</v>
      </c>
      <c r="R103" s="11">
        <f t="shared" si="18"/>
        <v>3.132015824774001E-2</v>
      </c>
      <c r="S103" s="11">
        <f t="shared" si="19"/>
        <v>2.7729355619998061E-2</v>
      </c>
    </row>
    <row r="104" spans="1:19">
      <c r="K104" t="s">
        <v>371</v>
      </c>
      <c r="L104">
        <v>275188</v>
      </c>
      <c r="M104">
        <v>1766017</v>
      </c>
      <c r="N104" s="13">
        <f t="shared" si="14"/>
        <v>0.40622729225111559</v>
      </c>
      <c r="O104" s="13">
        <f t="shared" si="15"/>
        <v>0.40494379369739963</v>
      </c>
      <c r="P104" s="11">
        <f t="shared" si="16"/>
        <v>2.2504991990711803E-2</v>
      </c>
      <c r="Q104" s="11">
        <f t="shared" si="17"/>
        <v>4.6163592481503563E-2</v>
      </c>
      <c r="R104" s="11">
        <f t="shared" si="18"/>
        <v>6.1746548422169568E-2</v>
      </c>
      <c r="S104" s="11">
        <f t="shared" si="19"/>
        <v>5.4667412149148956E-2</v>
      </c>
    </row>
    <row r="105" spans="1:19">
      <c r="K105" t="s">
        <v>372</v>
      </c>
      <c r="L105">
        <v>158495</v>
      </c>
      <c r="M105">
        <v>678151</v>
      </c>
      <c r="N105" s="13">
        <f t="shared" si="14"/>
        <v>0.27084108836240889</v>
      </c>
      <c r="O105" s="13">
        <f t="shared" si="15"/>
        <v>0.26998535032650872</v>
      </c>
      <c r="P105" s="11">
        <f t="shared" si="16"/>
        <v>1.5004596295277452E-2</v>
      </c>
      <c r="Q105" s="11">
        <f t="shared" si="17"/>
        <v>3.0778329937221995E-2</v>
      </c>
      <c r="R105" s="11">
        <f t="shared" si="18"/>
        <v>4.1167845431086147E-2</v>
      </c>
      <c r="S105" s="11">
        <f t="shared" si="19"/>
        <v>3.6448022294078682E-2</v>
      </c>
    </row>
    <row r="106" spans="1:19">
      <c r="K106" t="s">
        <v>373</v>
      </c>
      <c r="L106">
        <v>163093</v>
      </c>
      <c r="M106">
        <v>651072</v>
      </c>
      <c r="N106" s="13">
        <f t="shared" si="14"/>
        <v>0.2526954412513106</v>
      </c>
      <c r="O106" s="13">
        <f t="shared" si="15"/>
        <v>0.25189703543377095</v>
      </c>
      <c r="P106" s="11">
        <f t="shared" si="16"/>
        <v>1.3999327445322608E-2</v>
      </c>
      <c r="Q106" s="11">
        <f t="shared" si="17"/>
        <v>2.8716262039449891E-2</v>
      </c>
      <c r="R106" s="11">
        <f t="shared" si="18"/>
        <v>3.8409707070199209E-2</v>
      </c>
      <c r="S106" s="11">
        <f t="shared" si="19"/>
        <v>3.4006099783559084E-2</v>
      </c>
    </row>
    <row r="107" spans="1:19">
      <c r="K107" t="s">
        <v>374</v>
      </c>
      <c r="L107">
        <v>738416</v>
      </c>
      <c r="M107">
        <v>6523543</v>
      </c>
      <c r="N107" s="13">
        <f t="shared" si="14"/>
        <v>0.55922443703820068</v>
      </c>
      <c r="O107" s="13">
        <f t="shared" si="15"/>
        <v>0.55745753518341967</v>
      </c>
      <c r="P107" s="11">
        <f t="shared" si="16"/>
        <v>3.0981033811916317E-2</v>
      </c>
      <c r="Q107" s="11">
        <f t="shared" si="17"/>
        <v>6.3550159010909851E-2</v>
      </c>
      <c r="R107" s="11">
        <f t="shared" si="18"/>
        <v>8.50021144298065E-2</v>
      </c>
      <c r="S107" s="11">
        <f t="shared" si="19"/>
        <v>7.5256767249761658E-2</v>
      </c>
    </row>
    <row r="108" spans="1:19">
      <c r="K108" t="s">
        <v>375</v>
      </c>
      <c r="L108">
        <v>200125</v>
      </c>
      <c r="M108" s="14">
        <v>431264</v>
      </c>
      <c r="N108" s="13">
        <f t="shared" si="14"/>
        <v>0.13640979987507806</v>
      </c>
      <c r="O108" s="13">
        <f t="shared" si="15"/>
        <v>0.13597880524672082</v>
      </c>
      <c r="P108" s="11">
        <f t="shared" si="16"/>
        <v>7.5571029130793244E-3</v>
      </c>
      <c r="Q108" s="11">
        <f t="shared" si="17"/>
        <v>1.5501583798126174E-2</v>
      </c>
      <c r="R108" s="11">
        <f t="shared" si="18"/>
        <v>2.0734289581011867E-2</v>
      </c>
      <c r="S108" s="11">
        <f t="shared" si="19"/>
        <v>1.8357138708307311E-2</v>
      </c>
    </row>
    <row r="109" spans="1:19">
      <c r="K109" t="s">
        <v>376</v>
      </c>
      <c r="L109">
        <v>87902</v>
      </c>
      <c r="M109" s="14">
        <v>729407</v>
      </c>
      <c r="N109" s="13">
        <f t="shared" si="14"/>
        <v>0.52526066642397218</v>
      </c>
      <c r="O109" s="13">
        <f t="shared" si="15"/>
        <v>0.52360107506086329</v>
      </c>
      <c r="P109" s="11">
        <f t="shared" si="16"/>
        <v>2.9099440919888059E-2</v>
      </c>
      <c r="Q109" s="11">
        <f t="shared" si="17"/>
        <v>5.9690522556938415E-2</v>
      </c>
      <c r="R109" s="11">
        <f t="shared" si="18"/>
        <v>7.9839621296443772E-2</v>
      </c>
      <c r="S109" s="11">
        <f t="shared" si="19"/>
        <v>7.0686145133216555E-2</v>
      </c>
    </row>
    <row r="110" spans="1:19">
      <c r="K110" t="s">
        <v>377</v>
      </c>
      <c r="L110">
        <v>279647</v>
      </c>
      <c r="M110">
        <v>1660161</v>
      </c>
      <c r="N110" s="13">
        <f t="shared" si="14"/>
        <v>0.37578873115034306</v>
      </c>
      <c r="O110" s="13">
        <f t="shared" si="15"/>
        <v>0.3746014049855711</v>
      </c>
      <c r="P110" s="11">
        <f t="shared" si="16"/>
        <v>2.0818695705729005E-2</v>
      </c>
      <c r="Q110" s="11">
        <f t="shared" si="17"/>
        <v>4.2704560168355103E-2</v>
      </c>
      <c r="R110" s="11">
        <f t="shared" si="18"/>
        <v>5.7119887134852144E-2</v>
      </c>
      <c r="S110" s="11">
        <f t="shared" si="19"/>
        <v>5.0571189673052103E-2</v>
      </c>
    </row>
    <row r="111" spans="1:19">
      <c r="K111" t="s">
        <v>378</v>
      </c>
      <c r="L111">
        <v>348425</v>
      </c>
      <c r="M111">
        <v>3334041</v>
      </c>
      <c r="N111" s="13">
        <f t="shared" si="14"/>
        <v>0.60571082815527011</v>
      </c>
      <c r="O111" s="13">
        <f t="shared" si="15"/>
        <v>0.60379704986725991</v>
      </c>
      <c r="P111" s="11">
        <f t="shared" si="16"/>
        <v>3.3556379879801965E-2</v>
      </c>
      <c r="Q111" s="11">
        <f t="shared" si="17"/>
        <v>6.8832863684867629E-2</v>
      </c>
      <c r="R111" s="11">
        <f t="shared" si="18"/>
        <v>9.206804587960106E-2</v>
      </c>
      <c r="S111" s="11">
        <f t="shared" si="19"/>
        <v>8.1512601732080095E-2</v>
      </c>
    </row>
    <row r="112" spans="1:19">
      <c r="K112" t="s">
        <v>379</v>
      </c>
      <c r="L112">
        <v>350614</v>
      </c>
      <c r="M112">
        <v>1191468</v>
      </c>
      <c r="N112" s="13">
        <f t="shared" si="14"/>
        <v>0.21510813715367896</v>
      </c>
      <c r="O112" s="13">
        <f t="shared" si="15"/>
        <v>0.21442849059079216</v>
      </c>
      <c r="P112" s="11">
        <f t="shared" si="16"/>
        <v>1.1916990798313815E-2</v>
      </c>
      <c r="Q112" s="11">
        <f t="shared" si="17"/>
        <v>2.4444847927350306E-2</v>
      </c>
      <c r="R112" s="11">
        <f t="shared" si="18"/>
        <v>3.2696436847359199E-2</v>
      </c>
      <c r="S112" s="11">
        <f t="shared" si="19"/>
        <v>2.8947846229756945E-2</v>
      </c>
    </row>
    <row r="113" spans="11:19">
      <c r="K113" t="s">
        <v>380</v>
      </c>
      <c r="L113">
        <v>98351</v>
      </c>
      <c r="M113">
        <v>375675</v>
      </c>
      <c r="N113" s="13">
        <f t="shared" si="14"/>
        <v>0.24178938190765722</v>
      </c>
      <c r="O113" s="13">
        <f t="shared" si="15"/>
        <v>0.24102543441347826</v>
      </c>
      <c r="P113" s="11">
        <f t="shared" si="16"/>
        <v>1.339513175768421E-2</v>
      </c>
      <c r="Q113" s="11">
        <f t="shared" si="17"/>
        <v>2.7476899523136523E-2</v>
      </c>
      <c r="R113" s="11">
        <f t="shared" si="18"/>
        <v>3.6751986049963895E-2</v>
      </c>
      <c r="S113" s="11">
        <f t="shared" si="19"/>
        <v>3.253843364581957E-2</v>
      </c>
    </row>
    <row r="114" spans="11:19">
      <c r="K114" t="s">
        <v>381</v>
      </c>
      <c r="L114">
        <v>455408</v>
      </c>
      <c r="M114">
        <v>617528</v>
      </c>
      <c r="N114" s="13">
        <f t="shared" si="14"/>
        <v>8.5834070547728625E-2</v>
      </c>
      <c r="O114" s="13">
        <f t="shared" si="15"/>
        <v>8.5562872852475158E-2</v>
      </c>
      <c r="P114" s="11">
        <f t="shared" si="16"/>
        <v>4.7552075083441654E-3</v>
      </c>
      <c r="Q114" s="11">
        <f t="shared" si="17"/>
        <v>9.754167505182168E-3</v>
      </c>
      <c r="R114" s="11">
        <f t="shared" si="18"/>
        <v>1.3046778723254751E-2</v>
      </c>
      <c r="S114" s="11">
        <f t="shared" si="19"/>
        <v>1.1550987835084146E-2</v>
      </c>
    </row>
    <row r="115" spans="11:19">
      <c r="K115" t="s">
        <v>382</v>
      </c>
      <c r="L115">
        <v>128426</v>
      </c>
      <c r="M115">
        <v>650082</v>
      </c>
      <c r="N115" s="13">
        <f t="shared" si="14"/>
        <v>0.32041946802049426</v>
      </c>
      <c r="O115" s="13">
        <f t="shared" si="15"/>
        <v>0.31940708423527947</v>
      </c>
      <c r="P115" s="11">
        <f t="shared" si="16"/>
        <v>1.7751238528335381E-2</v>
      </c>
      <c r="Q115" s="11">
        <f t="shared" si="17"/>
        <v>3.6412407602821863E-2</v>
      </c>
      <c r="R115" s="11">
        <f t="shared" si="18"/>
        <v>4.8703759139115128E-2</v>
      </c>
      <c r="S115" s="11">
        <f t="shared" si="19"/>
        <v>4.3119956371762733E-2</v>
      </c>
    </row>
    <row r="116" spans="11:19">
      <c r="K116" t="s">
        <v>383</v>
      </c>
      <c r="L116">
        <v>428859</v>
      </c>
      <c r="M116">
        <v>3208478</v>
      </c>
      <c r="N116" s="13">
        <f t="shared" si="14"/>
        <v>0.4735744321560233</v>
      </c>
      <c r="O116" s="13">
        <f t="shared" si="15"/>
        <v>0.4720781464304119</v>
      </c>
      <c r="P116" s="11">
        <f t="shared" si="16"/>
        <v>2.6236023541443689E-2</v>
      </c>
      <c r="Q116" s="11">
        <f t="shared" si="17"/>
        <v>5.3816908693066962E-2</v>
      </c>
      <c r="R116" s="11">
        <f t="shared" si="18"/>
        <v>7.1983313687715544E-2</v>
      </c>
      <c r="S116" s="11">
        <f t="shared" si="19"/>
        <v>6.3730549768105618E-2</v>
      </c>
    </row>
    <row r="117" spans="11:19">
      <c r="K117" t="s">
        <v>384</v>
      </c>
      <c r="L117">
        <v>200231</v>
      </c>
      <c r="M117">
        <v>144738</v>
      </c>
      <c r="N117" s="13">
        <f t="shared" si="14"/>
        <v>4.5756727979184043E-2</v>
      </c>
      <c r="O117" s="13">
        <f t="shared" si="15"/>
        <v>4.5612156958712693E-2</v>
      </c>
      <c r="P117" s="11">
        <f t="shared" si="16"/>
        <v>2.5349227300467958E-3</v>
      </c>
      <c r="Q117" s="11">
        <f t="shared" si="17"/>
        <v>5.1997858932932468E-3</v>
      </c>
      <c r="R117" s="11">
        <f t="shared" si="18"/>
        <v>6.9550226528359745E-3</v>
      </c>
      <c r="S117" s="11">
        <f t="shared" si="19"/>
        <v>6.1576411894262145E-3</v>
      </c>
    </row>
    <row r="118" spans="11:19">
      <c r="K118" t="s">
        <v>385</v>
      </c>
      <c r="L118">
        <v>99864</v>
      </c>
      <c r="M118">
        <v>169083</v>
      </c>
      <c r="N118" s="13">
        <f t="shared" si="14"/>
        <v>0.10717529740447007</v>
      </c>
      <c r="O118" s="13">
        <f t="shared" si="15"/>
        <v>0.10683667087238645</v>
      </c>
      <c r="P118" s="11">
        <f t="shared" si="16"/>
        <v>5.9375114762076414E-3</v>
      </c>
      <c r="Q118" s="11">
        <f t="shared" si="17"/>
        <v>1.2179380479452056E-2</v>
      </c>
      <c r="R118" s="11">
        <f t="shared" si="18"/>
        <v>1.6290645205479449E-2</v>
      </c>
      <c r="S118" s="11">
        <f t="shared" si="19"/>
        <v>1.4422950567772172E-2</v>
      </c>
    </row>
    <row r="119" spans="11:19">
      <c r="K119" t="s">
        <v>386</v>
      </c>
      <c r="L119">
        <v>292889</v>
      </c>
      <c r="M119">
        <v>935763</v>
      </c>
      <c r="N119" s="13">
        <f t="shared" si="14"/>
        <v>0.20223974918825902</v>
      </c>
      <c r="O119" s="13">
        <f t="shared" si="15"/>
        <v>0.20160076103916502</v>
      </c>
      <c r="P119" s="11">
        <f t="shared" si="16"/>
        <v>1.1204082105029548E-2</v>
      </c>
      <c r="Q119" s="11">
        <f t="shared" si="17"/>
        <v>2.2982486758464812E-2</v>
      </c>
      <c r="R119" s="11">
        <f t="shared" si="18"/>
        <v>3.0740441876615371E-2</v>
      </c>
      <c r="S119" s="11">
        <f t="shared" si="19"/>
        <v>2.7216102740287278E-2</v>
      </c>
    </row>
    <row r="120" spans="11:19">
      <c r="K120" t="s">
        <v>387</v>
      </c>
      <c r="L120">
        <v>290977</v>
      </c>
      <c r="M120">
        <v>281454</v>
      </c>
      <c r="N120" s="13">
        <f t="shared" si="14"/>
        <v>6.1228338322272889E-2</v>
      </c>
      <c r="O120" s="13">
        <f t="shared" si="15"/>
        <v>6.1034883856799685E-2</v>
      </c>
      <c r="P120" s="11">
        <f t="shared" si="16"/>
        <v>3.3920499430539178E-3</v>
      </c>
      <c r="Q120" s="11">
        <f t="shared" si="17"/>
        <v>6.9579767596751642E-3</v>
      </c>
      <c r="R120" s="11">
        <f t="shared" si="18"/>
        <v>9.3067074249854782E-3</v>
      </c>
      <c r="S120" s="11">
        <f t="shared" si="19"/>
        <v>8.2397093206679588E-3</v>
      </c>
    </row>
    <row r="121" spans="11:19">
      <c r="K121" t="s">
        <v>388</v>
      </c>
      <c r="L121">
        <v>179529</v>
      </c>
      <c r="M121">
        <v>442358</v>
      </c>
      <c r="N121" s="13">
        <f t="shared" si="14"/>
        <v>0.1559706866300152</v>
      </c>
      <c r="O121" s="13">
        <f t="shared" si="15"/>
        <v>0.15547788825203729</v>
      </c>
      <c r="P121" s="11">
        <f t="shared" si="16"/>
        <v>8.6407760393028415E-3</v>
      </c>
      <c r="Q121" s="11">
        <f t="shared" si="17"/>
        <v>1.7724479260732253E-2</v>
      </c>
      <c r="R121" s="11">
        <f t="shared" si="18"/>
        <v>2.3707544367762311E-2</v>
      </c>
      <c r="S121" s="11">
        <f t="shared" si="19"/>
        <v>2.0989514914025037E-2</v>
      </c>
    </row>
    <row r="122" spans="11:19">
      <c r="K122" t="s">
        <v>389</v>
      </c>
      <c r="L122">
        <v>411625</v>
      </c>
      <c r="M122">
        <v>1526520</v>
      </c>
      <c r="N122" s="13">
        <f t="shared" si="14"/>
        <v>0.23474938597023987</v>
      </c>
      <c r="O122" s="13">
        <f t="shared" si="15"/>
        <v>0.23400768174916489</v>
      </c>
      <c r="P122" s="11">
        <f t="shared" si="16"/>
        <v>1.3005115982751288E-2</v>
      </c>
      <c r="Q122" s="11">
        <f t="shared" si="17"/>
        <v>2.6676875719404799E-2</v>
      </c>
      <c r="R122" s="11">
        <f t="shared" si="18"/>
        <v>3.5681906667476455E-2</v>
      </c>
      <c r="S122" s="11">
        <f t="shared" si="19"/>
        <v>3.1591037036137262E-2</v>
      </c>
    </row>
    <row r="123" spans="11:19">
      <c r="K123" t="s">
        <v>390</v>
      </c>
      <c r="L123">
        <v>903133</v>
      </c>
      <c r="M123">
        <v>4661278</v>
      </c>
      <c r="N123" s="13">
        <f t="shared" si="14"/>
        <v>0.32670591972610896</v>
      </c>
      <c r="O123" s="13">
        <f t="shared" si="15"/>
        <v>0.32567367353424137</v>
      </c>
      <c r="P123" s="11">
        <f t="shared" si="16"/>
        <v>1.8099507952826437E-2</v>
      </c>
      <c r="Q123" s="11">
        <f t="shared" si="17"/>
        <v>3.7126798782903515E-2</v>
      </c>
      <c r="R123" s="11">
        <f t="shared" si="18"/>
        <v>4.9659299798368563E-2</v>
      </c>
      <c r="S123" s="11">
        <f t="shared" si="19"/>
        <v>4.3965945927122586E-2</v>
      </c>
    </row>
    <row r="124" spans="11:19">
      <c r="K124" t="s">
        <v>391</v>
      </c>
      <c r="L124">
        <v>259179</v>
      </c>
      <c r="M124">
        <v>2846734</v>
      </c>
      <c r="N124" s="13">
        <f t="shared" si="14"/>
        <v>0.69526567430231612</v>
      </c>
      <c r="O124" s="13">
        <f t="shared" si="15"/>
        <v>0.69306894231399929</v>
      </c>
      <c r="P124" s="11">
        <f t="shared" si="16"/>
        <v>3.8517718356348311E-2</v>
      </c>
      <c r="Q124" s="11">
        <f t="shared" si="17"/>
        <v>7.9009859423795917E-2</v>
      </c>
      <c r="R124" s="11">
        <f t="shared" si="18"/>
        <v>0.10568038249395205</v>
      </c>
      <c r="S124" s="11">
        <f t="shared" si="19"/>
        <v>9.3564307212389911E-2</v>
      </c>
    </row>
    <row r="125" spans="11:19">
      <c r="K125" t="s">
        <v>392</v>
      </c>
      <c r="L125">
        <v>128653</v>
      </c>
      <c r="M125">
        <v>305687</v>
      </c>
      <c r="N125" s="13">
        <f t="shared" si="14"/>
        <v>0.15040447638220639</v>
      </c>
      <c r="O125" s="13">
        <f t="shared" si="15"/>
        <v>0.14992926476646484</v>
      </c>
      <c r="P125" s="11">
        <f t="shared" si="16"/>
        <v>8.3324079915742342E-3</v>
      </c>
      <c r="Q125" s="11">
        <f t="shared" si="17"/>
        <v>1.7091936183376993E-2</v>
      </c>
      <c r="R125" s="11">
        <f t="shared" si="18"/>
        <v>2.2861480410095371E-2</v>
      </c>
      <c r="S125" s="11">
        <f t="shared" si="19"/>
        <v>2.0240450743472756E-2</v>
      </c>
    </row>
    <row r="126" spans="11:19">
      <c r="K126" t="s">
        <v>393</v>
      </c>
      <c r="L126">
        <v>97261</v>
      </c>
      <c r="M126">
        <v>374692</v>
      </c>
      <c r="N126" s="13">
        <f t="shared" si="14"/>
        <v>0.24385934341616886</v>
      </c>
      <c r="O126" s="13">
        <f t="shared" si="15"/>
        <v>0.24308885575924577</v>
      </c>
      <c r="P126" s="11">
        <f t="shared" si="16"/>
        <v>1.3509807625255754E-2</v>
      </c>
      <c r="Q126" s="11">
        <f t="shared" si="17"/>
        <v>2.771212955655402E-2</v>
      </c>
      <c r="R126" s="11">
        <f t="shared" si="18"/>
        <v>3.7066620199257667E-2</v>
      </c>
      <c r="S126" s="11">
        <f t="shared" si="19"/>
        <v>3.2816995527498179E-2</v>
      </c>
    </row>
    <row r="127" spans="11:19">
      <c r="K127" t="s">
        <v>394</v>
      </c>
      <c r="L127">
        <v>141905</v>
      </c>
      <c r="M127">
        <v>743668</v>
      </c>
      <c r="N127" s="13">
        <f t="shared" si="14"/>
        <v>0.33173027307001157</v>
      </c>
      <c r="O127" s="13">
        <f t="shared" si="15"/>
        <v>0.33068215214404001</v>
      </c>
      <c r="P127" s="11">
        <f t="shared" si="16"/>
        <v>1.8377857128078639E-2</v>
      </c>
      <c r="Q127" s="11">
        <f t="shared" si="17"/>
        <v>3.7697765344420563E-2</v>
      </c>
      <c r="R127" s="11">
        <f t="shared" si="18"/>
        <v>5.0423001506641758E-2</v>
      </c>
      <c r="S127" s="11">
        <f t="shared" si="19"/>
        <v>4.4642090539445407E-2</v>
      </c>
    </row>
    <row r="128" spans="11:19">
      <c r="K128" t="s">
        <v>395</v>
      </c>
      <c r="L128">
        <v>776505</v>
      </c>
      <c r="M128">
        <v>4114157</v>
      </c>
      <c r="N128" s="13">
        <f t="shared" si="14"/>
        <v>0.33538243552842539</v>
      </c>
      <c r="O128" s="13">
        <f t="shared" si="15"/>
        <v>0.33432277538457578</v>
      </c>
      <c r="P128" s="11">
        <f t="shared" si="16"/>
        <v>1.8580186928274765E-2</v>
      </c>
      <c r="Q128" s="11">
        <f t="shared" si="17"/>
        <v>3.8112796393841637E-2</v>
      </c>
      <c r="R128" s="11">
        <f t="shared" si="18"/>
        <v>5.0978130200320659E-2</v>
      </c>
      <c r="S128" s="11">
        <f t="shared" si="19"/>
        <v>4.5133574676917733E-2</v>
      </c>
    </row>
    <row r="129" spans="11:19">
      <c r="K129" t="s">
        <v>396</v>
      </c>
      <c r="L129">
        <v>82022</v>
      </c>
      <c r="M129" s="14">
        <v>440808</v>
      </c>
      <c r="N129" s="13">
        <f t="shared" si="14"/>
        <v>0.34019100241398648</v>
      </c>
      <c r="O129" s="13">
        <f t="shared" si="15"/>
        <v>0.33911614932579071</v>
      </c>
      <c r="P129" s="11">
        <f t="shared" si="16"/>
        <v>1.8846581533734849E-2</v>
      </c>
      <c r="Q129" s="11">
        <f t="shared" si="17"/>
        <v>3.865924102314014E-2</v>
      </c>
      <c r="R129" s="11">
        <f t="shared" si="18"/>
        <v>5.1709032366925943E-2</v>
      </c>
      <c r="S129" s="11">
        <f t="shared" si="19"/>
        <v>4.5780680158981749E-2</v>
      </c>
    </row>
    <row r="130" spans="11:19">
      <c r="K130" t="s">
        <v>397</v>
      </c>
      <c r="L130">
        <v>248852</v>
      </c>
      <c r="M130">
        <v>392470</v>
      </c>
      <c r="N130" s="13">
        <f t="shared" si="14"/>
        <v>9.9831831771494697E-2</v>
      </c>
      <c r="O130" s="13">
        <f t="shared" si="15"/>
        <v>9.9516407342516836E-2</v>
      </c>
      <c r="P130" s="11">
        <f t="shared" si="16"/>
        <v>5.5306834801408062E-3</v>
      </c>
      <c r="Q130" s="11">
        <f t="shared" si="17"/>
        <v>1.1344870437046919E-2</v>
      </c>
      <c r="R130" s="11">
        <f t="shared" si="18"/>
        <v>1.5174438429267193E-2</v>
      </c>
      <c r="S130" s="11">
        <f t="shared" si="19"/>
        <v>1.3434714991239773E-2</v>
      </c>
    </row>
    <row r="131" spans="11:19">
      <c r="K131" t="s">
        <v>398</v>
      </c>
      <c r="L131">
        <v>302322</v>
      </c>
      <c r="M131">
        <v>1296480</v>
      </c>
      <c r="N131" s="13">
        <f t="shared" si="14"/>
        <v>0.27145620894278283</v>
      </c>
      <c r="O131" s="13">
        <f t="shared" si="15"/>
        <v>0.27059852739793999</v>
      </c>
      <c r="P131" s="11">
        <f t="shared" si="16"/>
        <v>1.5038673975430168E-2</v>
      </c>
      <c r="Q131" s="11">
        <f t="shared" si="17"/>
        <v>3.0848232123365162E-2</v>
      </c>
      <c r="R131" s="11">
        <f t="shared" si="18"/>
        <v>4.1261343759302987E-2</v>
      </c>
      <c r="S131" s="11">
        <f t="shared" si="19"/>
        <v>3.6530801198721902E-2</v>
      </c>
    </row>
    <row r="132" spans="11:19">
      <c r="K132" t="s">
        <v>399</v>
      </c>
      <c r="L132">
        <v>630098</v>
      </c>
      <c r="M132">
        <v>577666</v>
      </c>
      <c r="N132" s="13">
        <f t="shared" si="14"/>
        <v>5.8032651746236293E-2</v>
      </c>
      <c r="O132" s="13">
        <f t="shared" si="15"/>
        <v>5.7849294236769523E-2</v>
      </c>
      <c r="P132" s="11">
        <f t="shared" si="16"/>
        <v>3.2150089067414906E-3</v>
      </c>
      <c r="Q132" s="11">
        <f t="shared" si="17"/>
        <v>6.5948195429917263E-3</v>
      </c>
      <c r="R132" s="11">
        <f t="shared" si="18"/>
        <v>8.8209630654279159E-3</v>
      </c>
      <c r="S132" s="11">
        <f t="shared" si="19"/>
        <v>7.8096547219638863E-3</v>
      </c>
    </row>
    <row r="133" spans="11:19">
      <c r="K133" t="s">
        <v>400</v>
      </c>
      <c r="L133">
        <v>264278</v>
      </c>
      <c r="M133">
        <v>410144</v>
      </c>
      <c r="N133" s="13">
        <f t="shared" si="14"/>
        <v>9.8237897971075905E-2</v>
      </c>
      <c r="O133" s="13">
        <f t="shared" si="15"/>
        <v>9.7927509667849771E-2</v>
      </c>
      <c r="P133" s="11">
        <f t="shared" si="16"/>
        <v>5.4423795475976051E-3</v>
      </c>
      <c r="Q133" s="11">
        <f t="shared" si="17"/>
        <v>1.1163736102134874E-2</v>
      </c>
      <c r="R133" s="11">
        <f t="shared" si="18"/>
        <v>1.4932160491603537E-2</v>
      </c>
      <c r="S133" s="11">
        <f t="shared" si="19"/>
        <v>1.322021380515972E-2</v>
      </c>
    </row>
    <row r="134" spans="11:19">
      <c r="K134" t="s">
        <v>401</v>
      </c>
      <c r="L134">
        <v>148746</v>
      </c>
      <c r="M134">
        <v>767251</v>
      </c>
      <c r="N134" s="13">
        <f t="shared" si="14"/>
        <v>0.32650954176919039</v>
      </c>
      <c r="O134" s="13">
        <f t="shared" si="15"/>
        <v>0.3254779160448012</v>
      </c>
      <c r="P134" s="11">
        <f t="shared" si="16"/>
        <v>1.8088628614013148E-2</v>
      </c>
      <c r="Q134" s="11">
        <f t="shared" si="17"/>
        <v>3.7104482429107341E-2</v>
      </c>
      <c r="R134" s="11">
        <f t="shared" si="18"/>
        <v>4.9629450348916936E-2</v>
      </c>
      <c r="S134" s="11">
        <f t="shared" si="19"/>
        <v>4.3939518666048165E-2</v>
      </c>
    </row>
    <row r="135" spans="11:19">
      <c r="K135" t="s">
        <v>402</v>
      </c>
      <c r="L135">
        <v>533802</v>
      </c>
      <c r="M135">
        <v>1739043</v>
      </c>
      <c r="N135" s="13">
        <f t="shared" si="14"/>
        <v>0.20622144896422265</v>
      </c>
      <c r="O135" s="13">
        <f t="shared" si="15"/>
        <v>0.20556988040509402</v>
      </c>
      <c r="P135" s="11">
        <f t="shared" si="16"/>
        <v>1.1424668272617934E-2</v>
      </c>
      <c r="Q135" s="11">
        <f t="shared" si="17"/>
        <v>2.3434966366180719E-2</v>
      </c>
      <c r="R135" s="11">
        <f t="shared" si="18"/>
        <v>3.1345660242561843E-2</v>
      </c>
      <c r="S135" s="11">
        <f t="shared" si="19"/>
        <v>2.7751933854687695E-2</v>
      </c>
    </row>
    <row r="136" spans="11:19">
      <c r="K136" t="s">
        <v>403</v>
      </c>
      <c r="L136">
        <v>260891</v>
      </c>
      <c r="M136">
        <v>314845</v>
      </c>
      <c r="N136" s="13">
        <f t="shared" si="14"/>
        <v>7.6390862467467249E-2</v>
      </c>
      <c r="O136" s="13">
        <f t="shared" si="15"/>
        <v>7.6149501132656935E-2</v>
      </c>
      <c r="P136" s="11">
        <f t="shared" si="16"/>
        <v>4.2320537806976857E-3</v>
      </c>
      <c r="Q136" s="11">
        <f t="shared" si="17"/>
        <v>8.6810431291228906E-3</v>
      </c>
      <c r="R136" s="11">
        <f t="shared" si="18"/>
        <v>1.1611411095055021E-2</v>
      </c>
      <c r="S136" s="11">
        <f t="shared" si="19"/>
        <v>1.0280182652908688E-2</v>
      </c>
    </row>
    <row r="137" spans="11:19">
      <c r="K137" t="s">
        <v>404</v>
      </c>
      <c r="L137">
        <v>902745</v>
      </c>
      <c r="M137" s="14">
        <v>18300000</v>
      </c>
      <c r="N137" s="13">
        <f t="shared" si="14"/>
        <v>1.2831862818403867</v>
      </c>
      <c r="O137" s="13">
        <f t="shared" si="15"/>
        <v>1.2791319807919179</v>
      </c>
      <c r="P137" s="11">
        <f t="shared" si="16"/>
        <v>7.1088520013957421E-2</v>
      </c>
      <c r="Q137" s="11">
        <f t="shared" si="17"/>
        <v>0.14582104581027866</v>
      </c>
      <c r="R137" s="11">
        <f t="shared" si="18"/>
        <v>0.19504431483973877</v>
      </c>
      <c r="S137" s="11">
        <f t="shared" si="19"/>
        <v>0.17268281740690894</v>
      </c>
    </row>
    <row r="138" spans="11:19">
      <c r="K138" t="s">
        <v>295</v>
      </c>
      <c r="L138">
        <v>5726705</v>
      </c>
      <c r="M138" s="14">
        <v>40700000</v>
      </c>
      <c r="N138" s="13">
        <f t="shared" si="14"/>
        <v>0.44987649966254584</v>
      </c>
      <c r="O138" s="13">
        <f t="shared" si="15"/>
        <v>0.44845508892111607</v>
      </c>
      <c r="P138" s="11">
        <f t="shared" si="16"/>
        <v>2.492315808130504E-2</v>
      </c>
      <c r="Q138" s="11">
        <f t="shared" si="17"/>
        <v>5.1123880137007235E-2</v>
      </c>
      <c r="R138" s="11">
        <f t="shared" si="18"/>
        <v>6.8381227948706963E-2</v>
      </c>
      <c r="S138" s="11">
        <f t="shared" si="19"/>
        <v>6.0541437004350676E-2</v>
      </c>
    </row>
    <row r="139" spans="11:19">
      <c r="K139" t="s">
        <v>405</v>
      </c>
      <c r="L139">
        <v>284903</v>
      </c>
      <c r="M139">
        <v>782021</v>
      </c>
      <c r="N139" s="13">
        <f t="shared" si="14"/>
        <v>0.17375011600439447</v>
      </c>
      <c r="O139" s="13">
        <f t="shared" si="15"/>
        <v>0.17320114249411206</v>
      </c>
      <c r="P139" s="11">
        <f t="shared" si="16"/>
        <v>9.6257564266434524E-3</v>
      </c>
      <c r="Q139" s="11">
        <f t="shared" si="17"/>
        <v>1.9744930244328777E-2</v>
      </c>
      <c r="R139" s="11">
        <f t="shared" si="18"/>
        <v>2.6410017632667957E-2</v>
      </c>
      <c r="S139" s="11">
        <f t="shared" si="19"/>
        <v>2.338215423670513E-2</v>
      </c>
    </row>
    <row r="140" spans="11:19">
      <c r="K140" t="s">
        <v>406</v>
      </c>
      <c r="L140">
        <v>397228</v>
      </c>
      <c r="M140">
        <v>612046</v>
      </c>
      <c r="N140" s="13">
        <f t="shared" si="14"/>
        <v>9.7532177490005728E-2</v>
      </c>
      <c r="O140" s="13">
        <f t="shared" si="15"/>
        <v>9.7224018951332744E-2</v>
      </c>
      <c r="P140" s="11">
        <f t="shared" si="16"/>
        <v>5.4032826329463175E-3</v>
      </c>
      <c r="Q140" s="11">
        <f t="shared" si="17"/>
        <v>1.1083538160451933E-2</v>
      </c>
      <c r="R140" s="11">
        <f t="shared" si="18"/>
        <v>1.482489097848087E-2</v>
      </c>
      <c r="S140" s="11">
        <f t="shared" si="19"/>
        <v>1.3125242558429921E-2</v>
      </c>
    </row>
    <row r="141" spans="11:19">
      <c r="K141" t="s">
        <v>407</v>
      </c>
      <c r="L141">
        <v>1720796</v>
      </c>
      <c r="M141" s="14">
        <v>6798132</v>
      </c>
      <c r="N141" s="13">
        <f t="shared" si="14"/>
        <v>0.25007133652100538</v>
      </c>
      <c r="O141" s="13">
        <f t="shared" si="15"/>
        <v>0.24928122171367206</v>
      </c>
      <c r="P141" s="11">
        <f t="shared" si="16"/>
        <v>1.3853952043263697E-2</v>
      </c>
      <c r="Q141" s="11">
        <f t="shared" si="17"/>
        <v>2.8418059275358617E-2</v>
      </c>
      <c r="R141" s="11">
        <f t="shared" si="18"/>
        <v>3.8010843151192818E-2</v>
      </c>
      <c r="S141" s="11">
        <f t="shared" si="19"/>
        <v>3.365296493134573E-2</v>
      </c>
    </row>
    <row r="142" spans="11:19">
      <c r="K142" t="s">
        <v>408</v>
      </c>
      <c r="L142">
        <v>149359</v>
      </c>
      <c r="M142" s="14">
        <v>1544697</v>
      </c>
      <c r="N142" s="13">
        <f t="shared" si="14"/>
        <v>0.65465971317429805</v>
      </c>
      <c r="O142" s="13">
        <f t="shared" si="15"/>
        <v>0.65259127806158312</v>
      </c>
      <c r="P142" s="11">
        <f t="shared" si="16"/>
        <v>3.626814810985611E-2</v>
      </c>
      <c r="Q142" s="11">
        <f t="shared" si="17"/>
        <v>7.4395405699020478E-2</v>
      </c>
      <c r="R142" s="11">
        <f t="shared" si="18"/>
        <v>9.9508276402493295E-2</v>
      </c>
      <c r="S142" s="11">
        <f t="shared" si="19"/>
        <v>8.8099822538313721E-2</v>
      </c>
    </row>
    <row r="143" spans="11:19">
      <c r="K143" t="s">
        <v>409</v>
      </c>
      <c r="L143">
        <v>101027</v>
      </c>
      <c r="M143">
        <v>1625848</v>
      </c>
      <c r="N143" s="13">
        <f t="shared" si="14"/>
        <v>1.0186997376938838</v>
      </c>
      <c r="O143" s="13">
        <f t="shared" si="15"/>
        <v>1.0154810971324497</v>
      </c>
      <c r="P143" s="11">
        <f t="shared" si="16"/>
        <v>5.6435965468241159E-2</v>
      </c>
      <c r="Q143" s="11">
        <f t="shared" si="17"/>
        <v>0.11576484507309927</v>
      </c>
      <c r="R143" s="11">
        <f t="shared" si="18"/>
        <v>0.15484236012947034</v>
      </c>
      <c r="S143" s="11">
        <f t="shared" si="19"/>
        <v>0.13708994811288072</v>
      </c>
    </row>
    <row r="144" spans="11:19">
      <c r="K144" t="s">
        <v>410</v>
      </c>
      <c r="L144">
        <v>160266</v>
      </c>
      <c r="M144">
        <v>351738</v>
      </c>
      <c r="N144" s="13">
        <f t="shared" si="14"/>
        <v>0.13892538280109318</v>
      </c>
      <c r="O144" s="13">
        <f t="shared" si="15"/>
        <v>0.13848644004342781</v>
      </c>
      <c r="P144" s="11">
        <f t="shared" si="16"/>
        <v>7.6964662071805617E-3</v>
      </c>
      <c r="Q144" s="11">
        <f t="shared" si="17"/>
        <v>1.5787454164950771E-2</v>
      </c>
      <c r="R144" s="11">
        <f t="shared" si="18"/>
        <v>2.1116658185766163E-2</v>
      </c>
      <c r="S144" s="11">
        <f t="shared" si="19"/>
        <v>1.8695669405862755E-2</v>
      </c>
    </row>
    <row r="145" spans="11:19">
      <c r="K145" t="s">
        <v>411</v>
      </c>
      <c r="L145">
        <v>537194</v>
      </c>
      <c r="M145">
        <v>953368</v>
      </c>
      <c r="N145" s="13">
        <f t="shared" si="14"/>
        <v>0.11233966574459134</v>
      </c>
      <c r="O145" s="13">
        <f t="shared" si="15"/>
        <v>0.11198472209294967</v>
      </c>
      <c r="P145" s="11">
        <f t="shared" si="16"/>
        <v>6.2236174822503602E-3</v>
      </c>
      <c r="Q145" s="11">
        <f t="shared" si="17"/>
        <v>1.2766258318596263E-2</v>
      </c>
      <c r="R145" s="11">
        <f t="shared" si="18"/>
        <v>1.7075629193177882E-2</v>
      </c>
      <c r="S145" s="11">
        <f t="shared" si="19"/>
        <v>1.5117937482548206E-2</v>
      </c>
    </row>
    <row r="146" spans="11:19">
      <c r="K146" t="s">
        <v>412</v>
      </c>
      <c r="L146">
        <v>113008</v>
      </c>
      <c r="M146">
        <v>555425</v>
      </c>
      <c r="N146" s="13">
        <f t="shared" si="14"/>
        <v>0.31111427952003395</v>
      </c>
      <c r="O146" s="13">
        <f t="shared" si="15"/>
        <v>0.31013129601444145</v>
      </c>
      <c r="P146" s="11">
        <f t="shared" si="16"/>
        <v>1.7235731085409881E-2</v>
      </c>
      <c r="Q146" s="11">
        <f t="shared" si="17"/>
        <v>3.5354967745646323E-2</v>
      </c>
      <c r="R146" s="11">
        <f t="shared" si="18"/>
        <v>4.7289370487045158E-2</v>
      </c>
      <c r="S146" s="11">
        <f t="shared" si="19"/>
        <v>4.1867724961949598E-2</v>
      </c>
    </row>
    <row r="147" spans="11:19">
      <c r="K147" t="s">
        <v>413</v>
      </c>
      <c r="L147">
        <v>1316528</v>
      </c>
      <c r="M147">
        <v>9935161</v>
      </c>
      <c r="N147" s="13">
        <f t="shared" si="14"/>
        <v>0.47769260608205821</v>
      </c>
      <c r="O147" s="13">
        <f t="shared" si="15"/>
        <v>0.47618330874846571</v>
      </c>
      <c r="P147" s="11">
        <f t="shared" si="16"/>
        <v>2.6464170376946025E-2</v>
      </c>
      <c r="Q147" s="11">
        <f t="shared" si="17"/>
        <v>5.4284897197325092E-2</v>
      </c>
      <c r="R147" s="11">
        <f t="shared" si="18"/>
        <v>7.2609276124472849E-2</v>
      </c>
      <c r="S147" s="11">
        <f t="shared" si="19"/>
        <v>6.4284746681042879E-2</v>
      </c>
    </row>
    <row r="148" spans="11:19">
      <c r="K148" t="s">
        <v>414</v>
      </c>
      <c r="L148">
        <v>160186</v>
      </c>
      <c r="M148">
        <v>1239799</v>
      </c>
      <c r="N148" s="13">
        <f t="shared" si="14"/>
        <v>0.48992594046920451</v>
      </c>
      <c r="O148" s="13">
        <f t="shared" si="15"/>
        <v>0.48837799121021813</v>
      </c>
      <c r="P148" s="11">
        <f t="shared" si="16"/>
        <v>2.7141897101993929E-2</v>
      </c>
      <c r="Q148" s="11">
        <f t="shared" si="17"/>
        <v>5.5675090997964867E-2</v>
      </c>
      <c r="R148" s="11">
        <f t="shared" si="18"/>
        <v>7.4468742951319084E-2</v>
      </c>
      <c r="S148" s="11">
        <f t="shared" si="19"/>
        <v>6.593102881337945E-2</v>
      </c>
    </row>
    <row r="149" spans="11:19">
      <c r="K149" t="s">
        <v>415</v>
      </c>
      <c r="L149">
        <v>146465</v>
      </c>
      <c r="M149">
        <v>376210</v>
      </c>
      <c r="N149" s="13">
        <f t="shared" si="14"/>
        <v>0.16259238043218516</v>
      </c>
      <c r="O149" s="13">
        <f t="shared" si="15"/>
        <v>0.16207866043081964</v>
      </c>
      <c r="P149" s="11">
        <f t="shared" si="16"/>
        <v>9.0076178759430567E-3</v>
      </c>
      <c r="Q149" s="11">
        <f t="shared" si="17"/>
        <v>1.8476967289113438E-2</v>
      </c>
      <c r="R149" s="11">
        <f t="shared" si="18"/>
        <v>2.4714041825692142E-2</v>
      </c>
      <c r="S149" s="11">
        <f t="shared" si="19"/>
        <v>2.1880619158160652E-2</v>
      </c>
    </row>
    <row r="150" spans="11:19">
      <c r="K150" t="s">
        <v>416</v>
      </c>
      <c r="L150">
        <v>195783</v>
      </c>
      <c r="M150">
        <v>417281</v>
      </c>
      <c r="N150" s="13">
        <f t="shared" si="14"/>
        <v>0.13491410030492942</v>
      </c>
      <c r="O150" s="13">
        <f t="shared" si="15"/>
        <v>0.13448783142560897</v>
      </c>
      <c r="P150" s="11">
        <f t="shared" si="16"/>
        <v>7.4742411568930901E-3</v>
      </c>
      <c r="Q150" s="11">
        <f t="shared" si="17"/>
        <v>1.5331612782519422E-2</v>
      </c>
      <c r="R150" s="11">
        <f t="shared" si="18"/>
        <v>2.0506943246349271E-2</v>
      </c>
      <c r="S150" s="11">
        <f t="shared" si="19"/>
        <v>1.8155857242457211E-2</v>
      </c>
    </row>
    <row r="151" spans="11:19">
      <c r="K151" t="s">
        <v>417</v>
      </c>
      <c r="L151">
        <v>144488</v>
      </c>
      <c r="M151">
        <v>677186</v>
      </c>
      <c r="N151" s="13">
        <f t="shared" si="14"/>
        <v>0.29667428298543819</v>
      </c>
      <c r="O151" s="13">
        <f t="shared" si="15"/>
        <v>0.2957369234815348</v>
      </c>
      <c r="P151" s="11">
        <f t="shared" si="16"/>
        <v>1.6435755277393275E-2</v>
      </c>
      <c r="Q151" s="11">
        <f t="shared" si="17"/>
        <v>3.3714009276894968E-2</v>
      </c>
      <c r="R151" s="11">
        <f t="shared" si="18"/>
        <v>4.5094491013786604E-2</v>
      </c>
      <c r="S151" s="11">
        <f t="shared" si="19"/>
        <v>3.9924484670007199E-2</v>
      </c>
    </row>
    <row r="152" spans="11:19">
      <c r="K152" t="s">
        <v>418</v>
      </c>
      <c r="L152">
        <v>324135</v>
      </c>
      <c r="M152" s="14">
        <v>1515208</v>
      </c>
      <c r="N152" s="13">
        <f t="shared" si="14"/>
        <v>0.29590345504188065</v>
      </c>
      <c r="O152" s="13">
        <f t="shared" si="15"/>
        <v>0.29496853101331239</v>
      </c>
      <c r="P152" s="11">
        <f t="shared" si="16"/>
        <v>1.6393051409320188E-2</v>
      </c>
      <c r="Q152" s="11">
        <f t="shared" si="17"/>
        <v>3.3626412535517611E-2</v>
      </c>
      <c r="R152" s="11">
        <f t="shared" si="18"/>
        <v>4.4977325166365857E-2</v>
      </c>
      <c r="S152" s="11">
        <f t="shared" si="19"/>
        <v>3.9820751686797176E-2</v>
      </c>
    </row>
    <row r="153" spans="11:19">
      <c r="K153" t="s">
        <v>419</v>
      </c>
      <c r="L153">
        <v>112719</v>
      </c>
      <c r="M153">
        <v>643503</v>
      </c>
      <c r="N153" s="13">
        <f t="shared" si="14"/>
        <v>0.36137421286562155</v>
      </c>
      <c r="O153" s="13">
        <f t="shared" si="15"/>
        <v>0.36023243020253903</v>
      </c>
      <c r="P153" s="11">
        <f t="shared" si="16"/>
        <v>2.0020131392755432E-2</v>
      </c>
      <c r="Q153" s="11">
        <f t="shared" si="17"/>
        <v>4.1066497043089449E-2</v>
      </c>
      <c r="R153" s="11">
        <f t="shared" si="18"/>
        <v>5.4928880355574472E-2</v>
      </c>
      <c r="S153" s="11">
        <f t="shared" si="19"/>
        <v>4.8631378077342774E-2</v>
      </c>
    </row>
    <row r="154" spans="11:19">
      <c r="K154" t="s">
        <v>420</v>
      </c>
      <c r="L154">
        <v>2046083</v>
      </c>
      <c r="M154">
        <v>9688815</v>
      </c>
      <c r="N154" s="13">
        <f t="shared" si="14"/>
        <v>0.29974443338808837</v>
      </c>
      <c r="O154" s="13">
        <f t="shared" si="15"/>
        <v>0.29879737356695701</v>
      </c>
      <c r="P154" s="11">
        <f t="shared" si="16"/>
        <v>1.6605841609700096E-2</v>
      </c>
      <c r="Q154" s="11">
        <f t="shared" si="17"/>
        <v>3.4062900586633103E-2</v>
      </c>
      <c r="R154" s="11">
        <f t="shared" si="18"/>
        <v>4.5561153874989428E-2</v>
      </c>
      <c r="S154" s="11">
        <f t="shared" si="19"/>
        <v>4.0337645431539199E-2</v>
      </c>
    </row>
    <row r="155" spans="11:19">
      <c r="K155" t="s">
        <v>421</v>
      </c>
      <c r="L155">
        <v>237206</v>
      </c>
      <c r="M155">
        <v>2537360</v>
      </c>
      <c r="N155" s="13">
        <f t="shared" si="14"/>
        <v>0.67711140527642633</v>
      </c>
      <c r="O155" s="13">
        <f t="shared" si="15"/>
        <v>0.67497203274790685</v>
      </c>
      <c r="P155" s="11">
        <f t="shared" si="16"/>
        <v>3.7511971852314016E-2</v>
      </c>
      <c r="Q155" s="11">
        <f t="shared" si="17"/>
        <v>7.6946811733261386E-2</v>
      </c>
      <c r="R155" s="11">
        <f t="shared" si="18"/>
        <v>0.1029209336020168</v>
      </c>
      <c r="S155" s="11">
        <f t="shared" si="19"/>
        <v>9.1121224420967428E-2</v>
      </c>
    </row>
    <row r="156" spans="11:19">
      <c r="K156" t="s">
        <v>422</v>
      </c>
      <c r="L156">
        <v>379569</v>
      </c>
      <c r="M156">
        <v>795480</v>
      </c>
      <c r="N156" s="13">
        <f t="shared" si="14"/>
        <v>0.13266068619934715</v>
      </c>
      <c r="O156" s="13">
        <f t="shared" si="15"/>
        <v>0.13224153711182948</v>
      </c>
      <c r="P156" s="11">
        <f t="shared" si="16"/>
        <v>7.3494020154438316E-3</v>
      </c>
      <c r="Q156" s="11">
        <f t="shared" si="17"/>
        <v>1.5075535230748562E-2</v>
      </c>
      <c r="R156" s="11">
        <f t="shared" si="18"/>
        <v>2.0164424302300768E-2</v>
      </c>
      <c r="S156" s="11">
        <f t="shared" si="19"/>
        <v>1.7852607510096982E-2</v>
      </c>
    </row>
    <row r="157" spans="11:19">
      <c r="K157" t="s">
        <v>423</v>
      </c>
      <c r="L157">
        <v>692210</v>
      </c>
      <c r="M157">
        <v>2672176</v>
      </c>
      <c r="N157" s="13">
        <f t="shared" si="14"/>
        <v>0.24436044090666126</v>
      </c>
      <c r="O157" s="13">
        <f t="shared" si="15"/>
        <v>0.2435883700033227</v>
      </c>
      <c r="P157" s="11">
        <f t="shared" si="16"/>
        <v>1.3537568426229033E-2</v>
      </c>
      <c r="Q157" s="11">
        <f t="shared" si="17"/>
        <v>2.776907418037879E-2</v>
      </c>
      <c r="R157" s="11">
        <f t="shared" si="18"/>
        <v>3.7142787017812512E-2</v>
      </c>
      <c r="S157" s="11">
        <f t="shared" si="19"/>
        <v>3.2884429950448567E-2</v>
      </c>
    </row>
    <row r="158" spans="11:19">
      <c r="K158" t="s">
        <v>774</v>
      </c>
      <c r="L158">
        <v>99450</v>
      </c>
      <c r="M158">
        <v>0</v>
      </c>
      <c r="N158" s="13">
        <f t="shared" si="14"/>
        <v>0</v>
      </c>
      <c r="O158" s="13">
        <f t="shared" si="15"/>
        <v>0</v>
      </c>
      <c r="P158" s="11">
        <f t="shared" si="16"/>
        <v>0</v>
      </c>
      <c r="Q158" s="11">
        <f t="shared" si="17"/>
        <v>0</v>
      </c>
      <c r="R158" s="11">
        <f t="shared" si="18"/>
        <v>0</v>
      </c>
      <c r="S158" s="11">
        <f t="shared" si="19"/>
        <v>0</v>
      </c>
    </row>
    <row r="159" spans="11:19">
      <c r="K159" t="s">
        <v>424</v>
      </c>
      <c r="L159">
        <v>131728</v>
      </c>
      <c r="M159">
        <v>750397</v>
      </c>
      <c r="N159" s="13">
        <f t="shared" si="14"/>
        <v>0.36059250956516459</v>
      </c>
      <c r="O159" s="13">
        <f t="shared" si="15"/>
        <v>0.35945319673873438</v>
      </c>
      <c r="P159" s="11">
        <f t="shared" si="16"/>
        <v>1.9976825029910116E-2</v>
      </c>
      <c r="Q159" s="11">
        <f t="shared" si="17"/>
        <v>4.0977664428215724E-2</v>
      </c>
      <c r="R159" s="11">
        <f t="shared" si="18"/>
        <v>5.4810061453905018E-2</v>
      </c>
      <c r="S159" s="11">
        <f t="shared" si="19"/>
        <v>4.8526181559729147E-2</v>
      </c>
    </row>
    <row r="160" spans="11:19">
      <c r="K160" t="s">
        <v>425</v>
      </c>
      <c r="L160">
        <v>193753</v>
      </c>
      <c r="M160">
        <v>1494773</v>
      </c>
      <c r="N160" s="13">
        <f t="shared" si="14"/>
        <v>0.48834924310849376</v>
      </c>
      <c r="O160" s="13">
        <f t="shared" si="15"/>
        <v>0.48680627551573397</v>
      </c>
      <c r="P160" s="11">
        <f t="shared" si="16"/>
        <v>2.7054548068210553E-2</v>
      </c>
      <c r="Q160" s="11">
        <f t="shared" si="17"/>
        <v>5.5495915408793672E-2</v>
      </c>
      <c r="R160" s="11">
        <f t="shared" si="18"/>
        <v>7.4229084952491045E-2</v>
      </c>
      <c r="S160" s="11">
        <f t="shared" si="19"/>
        <v>6.5718847194624092E-2</v>
      </c>
    </row>
    <row r="161" spans="11:19">
      <c r="K161" t="s">
        <v>426</v>
      </c>
      <c r="L161">
        <v>259773</v>
      </c>
      <c r="M161">
        <v>625395</v>
      </c>
      <c r="N161" s="13">
        <f t="shared" si="14"/>
        <v>0.15239267937776443</v>
      </c>
      <c r="O161" s="13">
        <f t="shared" si="15"/>
        <v>0.15191118592001479</v>
      </c>
      <c r="P161" s="11">
        <f t="shared" si="16"/>
        <v>8.4425544375281488E-3</v>
      </c>
      <c r="Q161" s="11">
        <f t="shared" si="17"/>
        <v>1.7317875194881687E-2</v>
      </c>
      <c r="R161" s="11">
        <f t="shared" si="18"/>
        <v>2.3163687265420195E-2</v>
      </c>
      <c r="S161" s="11">
        <f t="shared" si="19"/>
        <v>2.0508010099201997E-2</v>
      </c>
    </row>
    <row r="162" spans="11:19">
      <c r="K162" t="s">
        <v>427</v>
      </c>
      <c r="L162">
        <v>580282</v>
      </c>
      <c r="M162" s="14">
        <v>2092492</v>
      </c>
      <c r="N162" s="13">
        <f t="shared" si="14"/>
        <v>0.22825926635670241</v>
      </c>
      <c r="O162" s="13">
        <f t="shared" si="15"/>
        <v>0.22753806804277921</v>
      </c>
      <c r="P162" s="11">
        <f t="shared" si="16"/>
        <v>1.2645563356161313E-2</v>
      </c>
      <c r="Q162" s="11">
        <f t="shared" si="17"/>
        <v>2.5939339756876831E-2</v>
      </c>
      <c r="R162" s="11">
        <f t="shared" si="18"/>
        <v>3.4695408486218764E-2</v>
      </c>
      <c r="S162" s="11">
        <f t="shared" si="19"/>
        <v>3.0717639185775195E-2</v>
      </c>
    </row>
    <row r="163" spans="11:19">
      <c r="K163" t="s">
        <v>428</v>
      </c>
      <c r="L163">
        <v>503807</v>
      </c>
      <c r="M163" s="14">
        <v>1479889</v>
      </c>
      <c r="N163" s="13">
        <f t="shared" ref="N163:N226" si="20">+M163/L163*$B$25</f>
        <v>0.18593821383982356</v>
      </c>
      <c r="O163" s="13">
        <f t="shared" ref="O163:O226" si="21">+M163/L163*$C$25</f>
        <v>0.1853507313316409</v>
      </c>
      <c r="P163" s="11">
        <f t="shared" ref="P163:P226" si="22">+N163*$B$12</f>
        <v>1.0300977046726225E-2</v>
      </c>
      <c r="Q163" s="11">
        <f t="shared" ref="Q163:Q226" si="23">+O163*$D$12</f>
        <v>2.1129983371807062E-2</v>
      </c>
      <c r="R163" s="11">
        <f t="shared" ref="R163:R226" si="24">+N163*$C$12</f>
        <v>2.826260850365318E-2</v>
      </c>
      <c r="S163" s="11">
        <f t="shared" ref="S163:S226" si="25">+O163*$E$12</f>
        <v>2.5022348729771524E-2</v>
      </c>
    </row>
    <row r="164" spans="11:19">
      <c r="K164" t="s">
        <v>429</v>
      </c>
      <c r="L164">
        <v>454605</v>
      </c>
      <c r="M164">
        <v>3149047</v>
      </c>
      <c r="N164" s="13">
        <f t="shared" si="20"/>
        <v>0.43847884449137159</v>
      </c>
      <c r="O164" s="13">
        <f t="shared" si="21"/>
        <v>0.43709344529866589</v>
      </c>
      <c r="P164" s="11">
        <f t="shared" si="22"/>
        <v>2.4291727984821983E-2</v>
      </c>
      <c r="Q164" s="11">
        <f t="shared" si="23"/>
        <v>4.9828652764047916E-2</v>
      </c>
      <c r="R164" s="11">
        <f t="shared" si="24"/>
        <v>6.6648784362688479E-2</v>
      </c>
      <c r="S164" s="11">
        <f t="shared" si="25"/>
        <v>5.9007615115319899E-2</v>
      </c>
    </row>
    <row r="165" spans="11:19">
      <c r="K165" t="s">
        <v>430</v>
      </c>
      <c r="L165">
        <v>235937</v>
      </c>
      <c r="M165">
        <v>1645217</v>
      </c>
      <c r="N165" s="13">
        <f t="shared" si="20"/>
        <v>0.44139849239415607</v>
      </c>
      <c r="O165" s="13">
        <f t="shared" si="21"/>
        <v>0.440003868405549</v>
      </c>
      <c r="P165" s="11">
        <f t="shared" si="22"/>
        <v>2.4453476478636247E-2</v>
      </c>
      <c r="Q165" s="11">
        <f t="shared" si="23"/>
        <v>5.0160440998232587E-2</v>
      </c>
      <c r="R165" s="11">
        <f t="shared" si="24"/>
        <v>6.7092570843911722E-2</v>
      </c>
      <c r="S165" s="11">
        <f t="shared" si="25"/>
        <v>5.940052223474912E-2</v>
      </c>
    </row>
    <row r="166" spans="11:19">
      <c r="K166" t="s">
        <v>431</v>
      </c>
      <c r="L166">
        <v>201428</v>
      </c>
      <c r="M166">
        <v>442185</v>
      </c>
      <c r="N166" s="13">
        <f t="shared" si="20"/>
        <v>0.13895938250888654</v>
      </c>
      <c r="O166" s="13">
        <f t="shared" si="21"/>
        <v>0.13852033232718391</v>
      </c>
      <c r="P166" s="11">
        <f t="shared" si="22"/>
        <v>7.6983497909923135E-3</v>
      </c>
      <c r="Q166" s="11">
        <f t="shared" si="23"/>
        <v>1.5791317885298965E-2</v>
      </c>
      <c r="R166" s="11">
        <f t="shared" si="24"/>
        <v>2.1121826141350754E-2</v>
      </c>
      <c r="S166" s="11">
        <f t="shared" si="25"/>
        <v>1.8700244864169831E-2</v>
      </c>
    </row>
    <row r="167" spans="11:19">
      <c r="K167" t="s">
        <v>432</v>
      </c>
      <c r="L167">
        <v>1879093</v>
      </c>
      <c r="M167" s="14">
        <v>16600000</v>
      </c>
      <c r="N167" s="13">
        <f t="shared" si="20"/>
        <v>0.55919531390942323</v>
      </c>
      <c r="O167" s="13">
        <f t="shared" si="21"/>
        <v>0.55742850407084699</v>
      </c>
      <c r="P167" s="11">
        <f t="shared" si="22"/>
        <v>3.0979420390582046E-2</v>
      </c>
      <c r="Q167" s="11">
        <f t="shared" si="23"/>
        <v>6.3546849464076557E-2</v>
      </c>
      <c r="R167" s="11">
        <f t="shared" si="24"/>
        <v>8.4997687714232328E-2</v>
      </c>
      <c r="S167" s="11">
        <f t="shared" si="25"/>
        <v>7.525284804956435E-2</v>
      </c>
    </row>
    <row r="168" spans="11:19">
      <c r="K168" t="s">
        <v>433</v>
      </c>
      <c r="L168">
        <v>114752</v>
      </c>
      <c r="M168">
        <v>643502</v>
      </c>
      <c r="N168" s="13">
        <f t="shared" si="20"/>
        <v>0.35497138699107639</v>
      </c>
      <c r="O168" s="13">
        <f t="shared" si="21"/>
        <v>0.3538498344255438</v>
      </c>
      <c r="P168" s="11">
        <f t="shared" si="22"/>
        <v>1.9665414839305631E-2</v>
      </c>
      <c r="Q168" s="11">
        <f t="shared" si="23"/>
        <v>4.0338881124511991E-2</v>
      </c>
      <c r="R168" s="11">
        <f t="shared" si="24"/>
        <v>5.3955650822643607E-2</v>
      </c>
      <c r="S168" s="11">
        <f t="shared" si="25"/>
        <v>4.7769727647448412E-2</v>
      </c>
    </row>
    <row r="169" spans="11:19">
      <c r="K169" t="s">
        <v>434</v>
      </c>
      <c r="L169">
        <v>112249</v>
      </c>
      <c r="M169">
        <v>578246</v>
      </c>
      <c r="N169" s="13">
        <f t="shared" si="20"/>
        <v>0.32608728630099154</v>
      </c>
      <c r="O169" s="13">
        <f t="shared" si="21"/>
        <v>0.3250569947171022</v>
      </c>
      <c r="P169" s="11">
        <f t="shared" si="22"/>
        <v>1.806523566107493E-2</v>
      </c>
      <c r="Q169" s="11">
        <f t="shared" si="23"/>
        <v>3.7056497397749653E-2</v>
      </c>
      <c r="R169" s="11">
        <f t="shared" si="24"/>
        <v>4.9565267517750713E-2</v>
      </c>
      <c r="S169" s="11">
        <f t="shared" si="25"/>
        <v>4.3882694286808799E-2</v>
      </c>
    </row>
    <row r="170" spans="11:19">
      <c r="K170" t="s">
        <v>435</v>
      </c>
      <c r="L170">
        <v>129302</v>
      </c>
      <c r="M170">
        <v>444118</v>
      </c>
      <c r="N170" s="13">
        <f t="shared" si="20"/>
        <v>0.21741867411176935</v>
      </c>
      <c r="O170" s="13">
        <f t="shared" si="21"/>
        <v>0.21673172727413345</v>
      </c>
      <c r="P170" s="11">
        <f t="shared" si="22"/>
        <v>1.2044994545792021E-2</v>
      </c>
      <c r="Q170" s="11">
        <f t="shared" si="23"/>
        <v>2.4707416909251215E-2</v>
      </c>
      <c r="R170" s="11">
        <f t="shared" si="24"/>
        <v>3.304763846498894E-2</v>
      </c>
      <c r="S170" s="11">
        <f t="shared" si="25"/>
        <v>2.9258783182008016E-2</v>
      </c>
    </row>
    <row r="171" spans="11:19">
      <c r="K171" t="s">
        <v>436</v>
      </c>
      <c r="L171">
        <v>107061</v>
      </c>
      <c r="M171">
        <v>212736</v>
      </c>
      <c r="N171" s="13">
        <f t="shared" si="20"/>
        <v>0.12578052512119259</v>
      </c>
      <c r="O171" s="13">
        <f t="shared" si="21"/>
        <v>0.12538311429932469</v>
      </c>
      <c r="P171" s="11">
        <f t="shared" si="22"/>
        <v>6.9682410917140695E-3</v>
      </c>
      <c r="Q171" s="11">
        <f t="shared" si="23"/>
        <v>1.4293675030123016E-2</v>
      </c>
      <c r="R171" s="11">
        <f t="shared" si="24"/>
        <v>1.9118639818421271E-2</v>
      </c>
      <c r="S171" s="11">
        <f t="shared" si="25"/>
        <v>1.6926720430408836E-2</v>
      </c>
    </row>
    <row r="172" spans="11:19">
      <c r="K172" t="s">
        <v>437</v>
      </c>
      <c r="L172">
        <v>464042</v>
      </c>
      <c r="M172">
        <v>2144664</v>
      </c>
      <c r="N172" s="13">
        <f t="shared" si="20"/>
        <v>0.29255375849599818</v>
      </c>
      <c r="O172" s="13">
        <f t="shared" si="21"/>
        <v>0.29162941802681658</v>
      </c>
      <c r="P172" s="11">
        <f t="shared" si="22"/>
        <v>1.6207478220678299E-2</v>
      </c>
      <c r="Q172" s="11">
        <f t="shared" si="23"/>
        <v>3.3245753655057088E-2</v>
      </c>
      <c r="R172" s="11">
        <f t="shared" si="24"/>
        <v>4.4468171291391724E-2</v>
      </c>
      <c r="S172" s="11">
        <f t="shared" si="25"/>
        <v>3.9369971433620241E-2</v>
      </c>
    </row>
    <row r="173" spans="11:19">
      <c r="K173" t="s">
        <v>438</v>
      </c>
      <c r="L173">
        <v>294665</v>
      </c>
      <c r="M173">
        <v>1480332</v>
      </c>
      <c r="N173" s="13">
        <f t="shared" si="20"/>
        <v>0.31800524527853663</v>
      </c>
      <c r="O173" s="13">
        <f t="shared" si="21"/>
        <v>0.31700048936928377</v>
      </c>
      <c r="P173" s="11">
        <f t="shared" si="22"/>
        <v>1.7617490588430929E-2</v>
      </c>
      <c r="Q173" s="11">
        <f t="shared" si="23"/>
        <v>3.6138055788098353E-2</v>
      </c>
      <c r="R173" s="11">
        <f t="shared" si="24"/>
        <v>4.8336797282337564E-2</v>
      </c>
      <c r="S173" s="11">
        <f t="shared" si="25"/>
        <v>4.279506606485331E-2</v>
      </c>
    </row>
    <row r="174" spans="11:19">
      <c r="K174" t="s">
        <v>297</v>
      </c>
      <c r="L174">
        <v>675921</v>
      </c>
      <c r="M174">
        <v>2323240</v>
      </c>
      <c r="N174" s="13">
        <f t="shared" si="20"/>
        <v>0.21757142032870702</v>
      </c>
      <c r="O174" s="13">
        <f t="shared" si="21"/>
        <v>0.21688399088059107</v>
      </c>
      <c r="P174" s="11">
        <f t="shared" si="22"/>
        <v>1.2053456686210369E-2</v>
      </c>
      <c r="Q174" s="11">
        <f t="shared" si="23"/>
        <v>2.4724774960387382E-2</v>
      </c>
      <c r="R174" s="11">
        <f t="shared" si="24"/>
        <v>3.3070855889963467E-2</v>
      </c>
      <c r="S174" s="11">
        <f t="shared" si="25"/>
        <v>2.9279338768879795E-2</v>
      </c>
    </row>
    <row r="175" spans="11:19">
      <c r="K175" t="s">
        <v>439</v>
      </c>
      <c r="L175">
        <v>124362</v>
      </c>
      <c r="M175" s="14">
        <v>867284</v>
      </c>
      <c r="N175" s="13">
        <f t="shared" si="20"/>
        <v>0.44144575674241326</v>
      </c>
      <c r="O175" s="13">
        <f t="shared" si="21"/>
        <v>0.44005098341937254</v>
      </c>
      <c r="P175" s="11">
        <f t="shared" si="22"/>
        <v>2.4456094923529695E-2</v>
      </c>
      <c r="Q175" s="11">
        <f t="shared" si="23"/>
        <v>5.0165812109808472E-2</v>
      </c>
      <c r="R175" s="11">
        <f t="shared" si="24"/>
        <v>6.7099755024846816E-2</v>
      </c>
      <c r="S175" s="11">
        <f t="shared" si="25"/>
        <v>5.94068827616153E-2</v>
      </c>
    </row>
    <row r="176" spans="11:19">
      <c r="K176" t="s">
        <v>440</v>
      </c>
      <c r="L176">
        <v>101537</v>
      </c>
      <c r="M176">
        <v>214747</v>
      </c>
      <c r="N176" s="13">
        <f t="shared" si="20"/>
        <v>0.13387715906516837</v>
      </c>
      <c r="O176" s="13">
        <f t="shared" si="21"/>
        <v>0.13345416646148697</v>
      </c>
      <c r="P176" s="11">
        <f t="shared" si="22"/>
        <v>7.4167946122103276E-3</v>
      </c>
      <c r="Q176" s="11">
        <f t="shared" si="23"/>
        <v>1.5213774976609515E-2</v>
      </c>
      <c r="R176" s="11">
        <f t="shared" si="24"/>
        <v>2.0349328177905593E-2</v>
      </c>
      <c r="S176" s="11">
        <f t="shared" si="25"/>
        <v>1.8016312472300743E-2</v>
      </c>
    </row>
    <row r="177" spans="11:19">
      <c r="K177" t="s">
        <v>299</v>
      </c>
      <c r="L177">
        <v>12768395</v>
      </c>
      <c r="M177" s="14">
        <v>221000000</v>
      </c>
      <c r="N177" s="13">
        <f t="shared" si="20"/>
        <v>1.0956193006247064</v>
      </c>
      <c r="O177" s="13">
        <f t="shared" si="21"/>
        <v>1.0921576282688623</v>
      </c>
      <c r="P177" s="11">
        <f t="shared" si="22"/>
        <v>6.0697309254608728E-2</v>
      </c>
      <c r="Q177" s="11">
        <f t="shared" si="23"/>
        <v>0.12450596962265031</v>
      </c>
      <c r="R177" s="11">
        <f t="shared" si="24"/>
        <v>0.16653413369495537</v>
      </c>
      <c r="S177" s="11">
        <f t="shared" si="25"/>
        <v>0.14744127981629643</v>
      </c>
    </row>
    <row r="178" spans="11:19">
      <c r="K178" t="s">
        <v>441</v>
      </c>
      <c r="L178">
        <v>1249739</v>
      </c>
      <c r="M178">
        <v>7764463</v>
      </c>
      <c r="N178" s="13">
        <f t="shared" si="20"/>
        <v>0.39327452204020197</v>
      </c>
      <c r="O178" s="13">
        <f t="shared" si="21"/>
        <v>0.3920319485108491</v>
      </c>
      <c r="P178" s="11">
        <f t="shared" si="22"/>
        <v>2.1787408521027188E-2</v>
      </c>
      <c r="Q178" s="11">
        <f t="shared" si="23"/>
        <v>4.4691642130236797E-2</v>
      </c>
      <c r="R178" s="11">
        <f t="shared" si="24"/>
        <v>5.97777273501107E-2</v>
      </c>
      <c r="S178" s="11">
        <f t="shared" si="25"/>
        <v>5.2924313048964632E-2</v>
      </c>
    </row>
    <row r="179" spans="11:19">
      <c r="K179" t="s">
        <v>442</v>
      </c>
      <c r="L179">
        <v>271582</v>
      </c>
      <c r="M179">
        <v>1573797</v>
      </c>
      <c r="N179" s="13">
        <f t="shared" si="20"/>
        <v>0.36681867760013548</v>
      </c>
      <c r="O179" s="13">
        <f t="shared" si="21"/>
        <v>0.36565969283678595</v>
      </c>
      <c r="P179" s="11">
        <f t="shared" si="22"/>
        <v>2.0321754739047505E-2</v>
      </c>
      <c r="Q179" s="11">
        <f t="shared" si="23"/>
        <v>4.1685204983393599E-2</v>
      </c>
      <c r="R179" s="11">
        <f t="shared" si="24"/>
        <v>5.5756438995220592E-2</v>
      </c>
      <c r="S179" s="11">
        <f t="shared" si="25"/>
        <v>4.9364058532966104E-2</v>
      </c>
    </row>
    <row r="180" spans="11:19">
      <c r="K180" t="s">
        <v>443</v>
      </c>
      <c r="L180">
        <v>245579</v>
      </c>
      <c r="M180" s="14">
        <v>1095454</v>
      </c>
      <c r="N180" s="13">
        <f t="shared" si="20"/>
        <v>0.28236224677191452</v>
      </c>
      <c r="O180" s="13">
        <f t="shared" si="21"/>
        <v>0.28147010697168734</v>
      </c>
      <c r="P180" s="11">
        <f t="shared" si="22"/>
        <v>1.5642868471164063E-2</v>
      </c>
      <c r="Q180" s="11">
        <f t="shared" si="23"/>
        <v>3.2087592194772356E-2</v>
      </c>
      <c r="R180" s="11">
        <f t="shared" si="24"/>
        <v>4.2919061509331002E-2</v>
      </c>
      <c r="S180" s="11">
        <f t="shared" si="25"/>
        <v>3.7998464441177791E-2</v>
      </c>
    </row>
    <row r="181" spans="11:19">
      <c r="K181" t="s">
        <v>444</v>
      </c>
      <c r="L181">
        <v>230735</v>
      </c>
      <c r="M181">
        <v>1062284</v>
      </c>
      <c r="N181" s="13">
        <f t="shared" si="20"/>
        <v>0.29142772964656422</v>
      </c>
      <c r="O181" s="13">
        <f t="shared" si="21"/>
        <v>0.29050694693046136</v>
      </c>
      <c r="P181" s="11">
        <f t="shared" si="22"/>
        <v>1.6145096222419657E-2</v>
      </c>
      <c r="Q181" s="11">
        <f t="shared" si="23"/>
        <v>3.3117791950072598E-2</v>
      </c>
      <c r="R181" s="11">
        <f t="shared" si="24"/>
        <v>4.4297014906277757E-2</v>
      </c>
      <c r="S181" s="11">
        <f t="shared" si="25"/>
        <v>3.921843783561229E-2</v>
      </c>
    </row>
    <row r="182" spans="11:19">
      <c r="K182" t="s">
        <v>445</v>
      </c>
      <c r="L182">
        <v>562065</v>
      </c>
      <c r="M182" s="14">
        <v>4706193</v>
      </c>
      <c r="N182" s="13">
        <f t="shared" si="20"/>
        <v>0.53001346267780414</v>
      </c>
      <c r="O182" s="13">
        <f t="shared" si="21"/>
        <v>0.52833885458087582</v>
      </c>
      <c r="P182" s="11">
        <f t="shared" si="22"/>
        <v>2.9362745832350347E-2</v>
      </c>
      <c r="Q182" s="11">
        <f t="shared" si="23"/>
        <v>6.0230629422219843E-2</v>
      </c>
      <c r="R182" s="11">
        <f t="shared" si="24"/>
        <v>8.0562046327026224E-2</v>
      </c>
      <c r="S182" s="11">
        <f t="shared" si="25"/>
        <v>7.1325745368418236E-2</v>
      </c>
    </row>
    <row r="183" spans="11:19">
      <c r="K183" t="s">
        <v>446</v>
      </c>
      <c r="L183">
        <v>125081</v>
      </c>
      <c r="M183" s="14">
        <v>232296</v>
      </c>
      <c r="N183" s="13">
        <f t="shared" si="20"/>
        <v>0.1175585164813201</v>
      </c>
      <c r="O183" s="13">
        <f t="shared" si="21"/>
        <v>0.11718708356984675</v>
      </c>
      <c r="P183" s="11">
        <f t="shared" si="22"/>
        <v>6.5127418130651333E-3</v>
      </c>
      <c r="Q183" s="11">
        <f t="shared" si="23"/>
        <v>1.335932752696253E-2</v>
      </c>
      <c r="R183" s="11">
        <f t="shared" si="24"/>
        <v>1.7868894505160653E-2</v>
      </c>
      <c r="S183" s="11">
        <f t="shared" si="25"/>
        <v>1.5820256281929311E-2</v>
      </c>
    </row>
    <row r="184" spans="11:19">
      <c r="K184" t="s">
        <v>447</v>
      </c>
      <c r="L184">
        <v>721275</v>
      </c>
      <c r="M184" s="14">
        <v>1133334</v>
      </c>
      <c r="N184" s="13">
        <f t="shared" si="20"/>
        <v>9.9462815431007573E-2</v>
      </c>
      <c r="O184" s="13">
        <f t="shared" si="21"/>
        <v>9.9148556930435686E-2</v>
      </c>
      <c r="P184" s="11">
        <f t="shared" si="22"/>
        <v>5.5102399748778192E-3</v>
      </c>
      <c r="Q184" s="11">
        <f t="shared" si="23"/>
        <v>1.1302935490069669E-2</v>
      </c>
      <c r="R184" s="11">
        <f t="shared" si="24"/>
        <v>1.5118347945513151E-2</v>
      </c>
      <c r="S184" s="11">
        <f t="shared" si="25"/>
        <v>1.3385055185608818E-2</v>
      </c>
    </row>
    <row r="185" spans="11:19">
      <c r="K185" t="s">
        <v>448</v>
      </c>
      <c r="L185">
        <v>200298</v>
      </c>
      <c r="M185">
        <v>587163</v>
      </c>
      <c r="N185" s="13">
        <f t="shared" si="20"/>
        <v>0.18556060419974238</v>
      </c>
      <c r="O185" s="13">
        <f t="shared" si="21"/>
        <v>0.18497431477099124</v>
      </c>
      <c r="P185" s="11">
        <f t="shared" si="22"/>
        <v>1.0280057472665728E-2</v>
      </c>
      <c r="Q185" s="11">
        <f t="shared" si="23"/>
        <v>2.1087071883893003E-2</v>
      </c>
      <c r="R185" s="11">
        <f t="shared" si="24"/>
        <v>2.820521183836084E-2</v>
      </c>
      <c r="S185" s="11">
        <f t="shared" si="25"/>
        <v>2.497153249408382E-2</v>
      </c>
    </row>
    <row r="186" spans="11:19">
      <c r="K186" t="s">
        <v>301</v>
      </c>
      <c r="L186">
        <v>1298529</v>
      </c>
      <c r="M186">
        <v>6656329</v>
      </c>
      <c r="N186" s="13">
        <f t="shared" si="20"/>
        <v>0.32447918044186924</v>
      </c>
      <c r="O186" s="13">
        <f t="shared" si="21"/>
        <v>0.32345396976116825</v>
      </c>
      <c r="P186" s="11">
        <f t="shared" si="22"/>
        <v>1.7976146596479555E-2</v>
      </c>
      <c r="Q186" s="11">
        <f t="shared" si="23"/>
        <v>3.6873752552773184E-2</v>
      </c>
      <c r="R186" s="11">
        <f t="shared" si="24"/>
        <v>4.9320835427164124E-2</v>
      </c>
      <c r="S186" s="11">
        <f t="shared" si="25"/>
        <v>4.3666285917757716E-2</v>
      </c>
    </row>
    <row r="187" spans="11:19">
      <c r="K187" t="s">
        <v>449</v>
      </c>
      <c r="L187">
        <v>244356</v>
      </c>
      <c r="M187">
        <v>2784936</v>
      </c>
      <c r="N187" s="13">
        <f t="shared" si="20"/>
        <v>0.72143286352698521</v>
      </c>
      <c r="O187" s="13">
        <f t="shared" si="21"/>
        <v>0.71915345479546244</v>
      </c>
      <c r="P187" s="11">
        <f t="shared" si="22"/>
        <v>3.9967380639394978E-2</v>
      </c>
      <c r="Q187" s="11">
        <f t="shared" si="23"/>
        <v>8.1983493846682728E-2</v>
      </c>
      <c r="R187" s="11">
        <f t="shared" si="24"/>
        <v>0.10965779525610175</v>
      </c>
      <c r="S187" s="11">
        <f t="shared" si="25"/>
        <v>9.7085716397387431E-2</v>
      </c>
    </row>
    <row r="188" spans="11:19">
      <c r="K188" t="s">
        <v>303</v>
      </c>
      <c r="L188">
        <v>5501752</v>
      </c>
      <c r="M188" s="14">
        <v>60400000</v>
      </c>
      <c r="N188" s="13">
        <f t="shared" si="20"/>
        <v>0.6949277248411051</v>
      </c>
      <c r="O188" s="13">
        <f t="shared" si="21"/>
        <v>0.69273206062359782</v>
      </c>
      <c r="P188" s="11">
        <f t="shared" si="22"/>
        <v>3.849899595619722E-2</v>
      </c>
      <c r="Q188" s="11">
        <f t="shared" si="23"/>
        <v>7.8971454911090158E-2</v>
      </c>
      <c r="R188" s="11">
        <f t="shared" si="24"/>
        <v>0.10562901417584797</v>
      </c>
      <c r="S188" s="11">
        <f t="shared" si="25"/>
        <v>9.3518828184185707E-2</v>
      </c>
    </row>
    <row r="189" spans="11:19">
      <c r="K189" t="s">
        <v>450</v>
      </c>
      <c r="L189">
        <v>1550451</v>
      </c>
      <c r="M189" s="14">
        <v>17900000</v>
      </c>
      <c r="N189" s="13">
        <f t="shared" si="20"/>
        <v>0.73080026392320674</v>
      </c>
      <c r="O189" s="13">
        <f t="shared" si="21"/>
        <v>0.72849125834998973</v>
      </c>
      <c r="P189" s="11">
        <f t="shared" si="22"/>
        <v>4.0486334621345654E-2</v>
      </c>
      <c r="Q189" s="11">
        <f t="shared" si="23"/>
        <v>8.3048003451898833E-2</v>
      </c>
      <c r="R189" s="11">
        <f t="shared" si="24"/>
        <v>0.11108164011632742</v>
      </c>
      <c r="S189" s="11">
        <f t="shared" si="25"/>
        <v>9.8346319877248622E-2</v>
      </c>
    </row>
    <row r="190" spans="11:19">
      <c r="K190" t="s">
        <v>305</v>
      </c>
      <c r="L190">
        <v>3237612</v>
      </c>
      <c r="M190" s="14">
        <v>31700000</v>
      </c>
      <c r="N190" s="13">
        <f t="shared" si="20"/>
        <v>0.61978087553419003</v>
      </c>
      <c r="O190" s="13">
        <f t="shared" si="21"/>
        <v>0.61782264212018001</v>
      </c>
      <c r="P190" s="11">
        <f t="shared" si="22"/>
        <v>3.4335860504594126E-2</v>
      </c>
      <c r="Q190" s="11">
        <f t="shared" si="23"/>
        <v>7.043178120170053E-2</v>
      </c>
      <c r="R190" s="11">
        <f t="shared" si="24"/>
        <v>9.4206693081196877E-2</v>
      </c>
      <c r="S190" s="11">
        <f t="shared" si="25"/>
        <v>8.3406056686224306E-2</v>
      </c>
    </row>
    <row r="191" spans="11:19">
      <c r="K191" t="s">
        <v>451</v>
      </c>
      <c r="L191">
        <v>107552</v>
      </c>
      <c r="M191">
        <v>622808</v>
      </c>
      <c r="N191" s="13">
        <f t="shared" si="20"/>
        <v>0.36655521422195775</v>
      </c>
      <c r="O191" s="13">
        <f t="shared" si="21"/>
        <v>0.36539706188634341</v>
      </c>
      <c r="P191" s="11">
        <f t="shared" si="22"/>
        <v>2.0307158867896458E-2</v>
      </c>
      <c r="Q191" s="11">
        <f t="shared" si="23"/>
        <v>4.1655265055043147E-2</v>
      </c>
      <c r="R191" s="11">
        <f t="shared" si="24"/>
        <v>5.5716392561737577E-2</v>
      </c>
      <c r="S191" s="11">
        <f t="shared" si="25"/>
        <v>4.9328603354656365E-2</v>
      </c>
    </row>
    <row r="192" spans="11:19">
      <c r="K192" t="s">
        <v>452</v>
      </c>
      <c r="L192">
        <v>409132</v>
      </c>
      <c r="M192">
        <v>1255186</v>
      </c>
      <c r="N192" s="13">
        <f t="shared" si="20"/>
        <v>0.19419960746165049</v>
      </c>
      <c r="O192" s="13">
        <f t="shared" si="21"/>
        <v>0.1935860226039518</v>
      </c>
      <c r="P192" s="11">
        <f t="shared" si="22"/>
        <v>1.0758658253375436E-2</v>
      </c>
      <c r="Q192" s="11">
        <f t="shared" si="23"/>
        <v>2.2068806576850505E-2</v>
      </c>
      <c r="R192" s="11">
        <f t="shared" si="24"/>
        <v>2.9518340334170876E-2</v>
      </c>
      <c r="S192" s="11">
        <f t="shared" si="25"/>
        <v>2.6134113051533493E-2</v>
      </c>
    </row>
    <row r="193" spans="11:19">
      <c r="K193" t="s">
        <v>453</v>
      </c>
      <c r="L193">
        <v>507450</v>
      </c>
      <c r="M193">
        <v>1943843</v>
      </c>
      <c r="N193" s="13">
        <f t="shared" si="20"/>
        <v>0.24247760744900973</v>
      </c>
      <c r="O193" s="13">
        <f t="shared" si="21"/>
        <v>0.24171148546654844</v>
      </c>
      <c r="P193" s="11">
        <f t="shared" si="22"/>
        <v>1.3433259452675138E-2</v>
      </c>
      <c r="Q193" s="11">
        <f t="shared" si="23"/>
        <v>2.7555109343186522E-2</v>
      </c>
      <c r="R193" s="11">
        <f t="shared" si="24"/>
        <v>3.6856596332249476E-2</v>
      </c>
      <c r="S193" s="11">
        <f t="shared" si="25"/>
        <v>3.2631050537984041E-2</v>
      </c>
    </row>
    <row r="194" spans="11:19">
      <c r="K194" t="s">
        <v>454</v>
      </c>
      <c r="L194">
        <v>172981</v>
      </c>
      <c r="M194">
        <v>623726</v>
      </c>
      <c r="N194" s="13">
        <f t="shared" si="20"/>
        <v>0.22824388690087349</v>
      </c>
      <c r="O194" s="13">
        <f t="shared" si="21"/>
        <v>0.2275227371792278</v>
      </c>
      <c r="P194" s="11">
        <f t="shared" si="22"/>
        <v>1.2644711334308391E-2</v>
      </c>
      <c r="Q194" s="11">
        <f t="shared" si="23"/>
        <v>2.5937592038431972E-2</v>
      </c>
      <c r="R194" s="11">
        <f t="shared" si="24"/>
        <v>3.4693070808932767E-2</v>
      </c>
      <c r="S194" s="11">
        <f t="shared" si="25"/>
        <v>3.0715569519195754E-2</v>
      </c>
    </row>
    <row r="195" spans="11:19">
      <c r="K195" t="s">
        <v>455</v>
      </c>
      <c r="L195">
        <v>118931</v>
      </c>
      <c r="M195">
        <v>945902</v>
      </c>
      <c r="N195" s="13">
        <f t="shared" si="20"/>
        <v>0.5034481892862247</v>
      </c>
      <c r="O195" s="13">
        <f t="shared" si="21"/>
        <v>0.50185751570238213</v>
      </c>
      <c r="P195" s="11">
        <f t="shared" si="22"/>
        <v>2.7891029686456847E-2</v>
      </c>
      <c r="Q195" s="11">
        <f t="shared" si="23"/>
        <v>5.7211756790071566E-2</v>
      </c>
      <c r="R195" s="11">
        <f t="shared" si="24"/>
        <v>7.652412477150615E-2</v>
      </c>
      <c r="S195" s="11">
        <f t="shared" si="25"/>
        <v>6.7750764619821588E-2</v>
      </c>
    </row>
    <row r="196" spans="11:19">
      <c r="K196" t="s">
        <v>456</v>
      </c>
      <c r="L196">
        <v>114897</v>
      </c>
      <c r="M196">
        <v>862554</v>
      </c>
      <c r="N196" s="13">
        <f t="shared" si="20"/>
        <v>0.47520534217603588</v>
      </c>
      <c r="O196" s="13">
        <f t="shared" si="21"/>
        <v>0.47370390349617486</v>
      </c>
      <c r="P196" s="11">
        <f t="shared" si="22"/>
        <v>2.6326375956552388E-2</v>
      </c>
      <c r="Q196" s="11">
        <f t="shared" si="23"/>
        <v>5.4002244998563938E-2</v>
      </c>
      <c r="R196" s="11">
        <f t="shared" si="24"/>
        <v>7.2231212010757453E-2</v>
      </c>
      <c r="S196" s="11">
        <f t="shared" si="25"/>
        <v>6.3950026971983612E-2</v>
      </c>
    </row>
    <row r="197" spans="11:19">
      <c r="K197" t="s">
        <v>457</v>
      </c>
      <c r="L197">
        <v>174569</v>
      </c>
      <c r="M197">
        <v>415818</v>
      </c>
      <c r="N197" s="13">
        <f t="shared" si="20"/>
        <v>0.15077865714989486</v>
      </c>
      <c r="O197" s="13">
        <f t="shared" si="21"/>
        <v>0.15030226328844182</v>
      </c>
      <c r="P197" s="11">
        <f t="shared" si="22"/>
        <v>8.3531376061041756E-3</v>
      </c>
      <c r="Q197" s="11">
        <f t="shared" si="23"/>
        <v>1.7134458014882368E-2</v>
      </c>
      <c r="R197" s="11">
        <f t="shared" si="24"/>
        <v>2.2918355886784019E-2</v>
      </c>
      <c r="S197" s="11">
        <f t="shared" si="25"/>
        <v>2.0290805543939645E-2</v>
      </c>
    </row>
    <row r="198" spans="11:19">
      <c r="K198" t="s">
        <v>458</v>
      </c>
      <c r="L198">
        <v>258790</v>
      </c>
      <c r="M198">
        <v>797732</v>
      </c>
      <c r="N198" s="13">
        <f t="shared" si="20"/>
        <v>0.19512514239344642</v>
      </c>
      <c r="O198" s="13">
        <f t="shared" si="21"/>
        <v>0.19450863325476256</v>
      </c>
      <c r="P198" s="11">
        <f t="shared" si="22"/>
        <v>1.0809932888596932E-2</v>
      </c>
      <c r="Q198" s="11">
        <f t="shared" si="23"/>
        <v>2.2173984191042932E-2</v>
      </c>
      <c r="R198" s="11">
        <f t="shared" si="24"/>
        <v>2.9659021643803855E-2</v>
      </c>
      <c r="S198" s="11">
        <f t="shared" si="25"/>
        <v>2.6258665489392947E-2</v>
      </c>
    </row>
    <row r="199" spans="11:19">
      <c r="K199" t="s">
        <v>459</v>
      </c>
      <c r="L199">
        <v>315533</v>
      </c>
      <c r="M199">
        <v>1214814</v>
      </c>
      <c r="N199" s="13">
        <f t="shared" si="20"/>
        <v>0.24370739732452706</v>
      </c>
      <c r="O199" s="13">
        <f t="shared" si="21"/>
        <v>0.242937389750042</v>
      </c>
      <c r="P199" s="11">
        <f t="shared" si="22"/>
        <v>1.3501389811778799E-2</v>
      </c>
      <c r="Q199" s="11">
        <f t="shared" si="23"/>
        <v>2.7694862431504791E-2</v>
      </c>
      <c r="R199" s="11">
        <f t="shared" si="24"/>
        <v>3.7043524393328114E-2</v>
      </c>
      <c r="S199" s="11">
        <f t="shared" si="25"/>
        <v>3.2796547616255674E-2</v>
      </c>
    </row>
    <row r="200" spans="11:19">
      <c r="K200" t="s">
        <v>306</v>
      </c>
      <c r="L200">
        <v>1556368</v>
      </c>
      <c r="M200" s="14">
        <v>4477224</v>
      </c>
      <c r="N200" s="13">
        <f t="shared" si="20"/>
        <v>0.18209593052542841</v>
      </c>
      <c r="O200" s="13">
        <f t="shared" si="21"/>
        <v>0.18152058793293105</v>
      </c>
      <c r="P200" s="11">
        <f t="shared" si="22"/>
        <v>1.0088114551108734E-2</v>
      </c>
      <c r="Q200" s="11">
        <f t="shared" si="23"/>
        <v>2.0693347024354141E-2</v>
      </c>
      <c r="R200" s="11">
        <f t="shared" si="24"/>
        <v>2.7678581439865117E-2</v>
      </c>
      <c r="S200" s="11">
        <f t="shared" si="25"/>
        <v>2.4505279370945692E-2</v>
      </c>
    </row>
    <row r="201" spans="11:19">
      <c r="K201" t="s">
        <v>308</v>
      </c>
      <c r="L201">
        <v>1168547</v>
      </c>
      <c r="M201">
        <v>5131601</v>
      </c>
      <c r="N201" s="13">
        <f t="shared" si="20"/>
        <v>0.27797798744937086</v>
      </c>
      <c r="O201" s="13">
        <f t="shared" si="21"/>
        <v>0.27709969996927808</v>
      </c>
      <c r="P201" s="11">
        <f t="shared" si="22"/>
        <v>1.5399980504695146E-2</v>
      </c>
      <c r="Q201" s="11">
        <f t="shared" si="23"/>
        <v>3.1589365796497702E-2</v>
      </c>
      <c r="R201" s="11">
        <f t="shared" si="24"/>
        <v>4.2252654092304366E-2</v>
      </c>
      <c r="S201" s="11">
        <f t="shared" si="25"/>
        <v>3.7408459495852545E-2</v>
      </c>
    </row>
    <row r="202" spans="11:19">
      <c r="K202" t="s">
        <v>310</v>
      </c>
      <c r="L202">
        <v>18968501</v>
      </c>
      <c r="M202" s="14">
        <v>412000000</v>
      </c>
      <c r="N202" s="13">
        <f t="shared" si="20"/>
        <v>1.3748898766433888</v>
      </c>
      <c r="O202" s="13">
        <f t="shared" si="21"/>
        <v>1.3705458327993341</v>
      </c>
      <c r="P202" s="11">
        <f t="shared" si="22"/>
        <v>7.6168899166043733E-2</v>
      </c>
      <c r="Q202" s="11">
        <f t="shared" si="23"/>
        <v>0.1562422249391241</v>
      </c>
      <c r="R202" s="11">
        <f t="shared" si="24"/>
        <v>0.2089832612497951</v>
      </c>
      <c r="S202" s="11">
        <f t="shared" si="25"/>
        <v>0.18502368742791012</v>
      </c>
    </row>
    <row r="203" spans="11:19">
      <c r="K203" t="s">
        <v>460</v>
      </c>
      <c r="L203">
        <v>160319</v>
      </c>
      <c r="M203">
        <v>53620</v>
      </c>
      <c r="N203" s="13">
        <f t="shared" si="20"/>
        <v>2.1171202415184723E-2</v>
      </c>
      <c r="O203" s="13">
        <f t="shared" si="21"/>
        <v>2.1104310780381615E-2</v>
      </c>
      <c r="P203" s="11">
        <f t="shared" si="22"/>
        <v>1.1728846138012337E-3</v>
      </c>
      <c r="Q203" s="11">
        <f t="shared" si="23"/>
        <v>2.4058914289635043E-3</v>
      </c>
      <c r="R203" s="11">
        <f t="shared" si="24"/>
        <v>3.2180227671080781E-3</v>
      </c>
      <c r="S203" s="11">
        <f t="shared" si="25"/>
        <v>2.8490819553515182E-3</v>
      </c>
    </row>
    <row r="204" spans="11:19">
      <c r="K204" t="s">
        <v>461</v>
      </c>
      <c r="L204">
        <v>131180</v>
      </c>
      <c r="M204">
        <v>737349</v>
      </c>
      <c r="N204" s="13">
        <f t="shared" si="20"/>
        <v>0.35580265055648724</v>
      </c>
      <c r="O204" s="13">
        <f t="shared" si="21"/>
        <v>0.35467847156578752</v>
      </c>
      <c r="P204" s="11">
        <f t="shared" si="22"/>
        <v>1.9711466840829393E-2</v>
      </c>
      <c r="Q204" s="11">
        <f t="shared" si="23"/>
        <v>4.0433345758499779E-2</v>
      </c>
      <c r="R204" s="11">
        <f t="shared" si="24"/>
        <v>5.4082002884586061E-2</v>
      </c>
      <c r="S204" s="11">
        <f t="shared" si="25"/>
        <v>4.7881593661381318E-2</v>
      </c>
    </row>
    <row r="205" spans="11:19">
      <c r="K205" t="s">
        <v>462</v>
      </c>
      <c r="L205">
        <v>1207519</v>
      </c>
      <c r="M205">
        <v>3118661</v>
      </c>
      <c r="N205" s="13">
        <f t="shared" si="20"/>
        <v>0.16348499800003144</v>
      </c>
      <c r="O205" s="13">
        <f t="shared" si="21"/>
        <v>0.16296845772199028</v>
      </c>
      <c r="P205" s="11">
        <f t="shared" si="22"/>
        <v>9.0570688892017415E-3</v>
      </c>
      <c r="Q205" s="11">
        <f t="shared" si="23"/>
        <v>1.8578404180306894E-2</v>
      </c>
      <c r="R205" s="11">
        <f t="shared" si="24"/>
        <v>2.4849719696004777E-2</v>
      </c>
      <c r="S205" s="11">
        <f t="shared" si="25"/>
        <v>2.2000741792468689E-2</v>
      </c>
    </row>
    <row r="206" spans="11:19">
      <c r="K206" t="s">
        <v>463</v>
      </c>
      <c r="L206">
        <v>245571</v>
      </c>
      <c r="M206">
        <v>2579552</v>
      </c>
      <c r="N206" s="13">
        <f t="shared" si="20"/>
        <v>0.66492233040546311</v>
      </c>
      <c r="O206" s="13">
        <f t="shared" si="21"/>
        <v>0.66282146996184399</v>
      </c>
      <c r="P206" s="11">
        <f t="shared" si="22"/>
        <v>3.6836697104462655E-2</v>
      </c>
      <c r="Q206" s="11">
        <f t="shared" si="23"/>
        <v>7.5561647575650218E-2</v>
      </c>
      <c r="R206" s="11">
        <f t="shared" si="24"/>
        <v>0.10106819422163039</v>
      </c>
      <c r="S206" s="11">
        <f t="shared" si="25"/>
        <v>8.9480898444848939E-2</v>
      </c>
    </row>
    <row r="207" spans="11:19">
      <c r="K207" t="s">
        <v>464</v>
      </c>
      <c r="L207">
        <v>839265</v>
      </c>
      <c r="M207">
        <v>3996024</v>
      </c>
      <c r="N207" s="13">
        <f t="shared" si="20"/>
        <v>0.30139267001483439</v>
      </c>
      <c r="O207" s="13">
        <f t="shared" si="21"/>
        <v>0.30044040249504028</v>
      </c>
      <c r="P207" s="11">
        <f t="shared" si="22"/>
        <v>1.6697153918821823E-2</v>
      </c>
      <c r="Q207" s="11">
        <f t="shared" si="23"/>
        <v>3.4250205884434594E-2</v>
      </c>
      <c r="R207" s="11">
        <f t="shared" si="24"/>
        <v>4.5811685842254826E-2</v>
      </c>
      <c r="S207" s="11">
        <f t="shared" si="25"/>
        <v>4.055945433683044E-2</v>
      </c>
    </row>
    <row r="208" spans="11:19">
      <c r="K208" t="s">
        <v>465</v>
      </c>
      <c r="L208">
        <v>2060968</v>
      </c>
      <c r="M208" s="14">
        <v>15500000</v>
      </c>
      <c r="N208" s="13">
        <f t="shared" si="20"/>
        <v>0.476062704515548</v>
      </c>
      <c r="O208" s="13">
        <f t="shared" si="21"/>
        <v>0.47455855694993815</v>
      </c>
      <c r="P208" s="11">
        <f t="shared" si="22"/>
        <v>2.6373873830161359E-2</v>
      </c>
      <c r="Q208" s="11">
        <f t="shared" si="23"/>
        <v>5.4099675492292949E-2</v>
      </c>
      <c r="R208" s="11">
        <f t="shared" si="24"/>
        <v>7.2361531086363298E-2</v>
      </c>
      <c r="S208" s="11">
        <f t="shared" si="25"/>
        <v>6.406540518824165E-2</v>
      </c>
    </row>
    <row r="209" spans="11:19">
      <c r="K209" t="s">
        <v>466</v>
      </c>
      <c r="L209">
        <v>162099</v>
      </c>
      <c r="M209">
        <v>546381</v>
      </c>
      <c r="N209" s="13">
        <f t="shared" si="20"/>
        <v>0.21336292821053798</v>
      </c>
      <c r="O209" s="13">
        <f t="shared" si="21"/>
        <v>0.21268879573593916</v>
      </c>
      <c r="P209" s="11">
        <f t="shared" si="22"/>
        <v>1.1820306222863803E-2</v>
      </c>
      <c r="Q209" s="11">
        <f t="shared" si="23"/>
        <v>2.4246522713897066E-2</v>
      </c>
      <c r="R209" s="11">
        <f t="shared" si="24"/>
        <v>3.243116508800177E-2</v>
      </c>
      <c r="S209" s="11">
        <f t="shared" si="25"/>
        <v>2.8712987424351789E-2</v>
      </c>
    </row>
    <row r="210" spans="11:19">
      <c r="K210" t="s">
        <v>467</v>
      </c>
      <c r="L210">
        <v>794778</v>
      </c>
      <c r="M210">
        <v>3115667</v>
      </c>
      <c r="N210" s="13">
        <f t="shared" si="20"/>
        <v>0.24814693046360115</v>
      </c>
      <c r="O210" s="13">
        <f t="shared" si="21"/>
        <v>0.24736289592817115</v>
      </c>
      <c r="P210" s="11">
        <f t="shared" si="22"/>
        <v>1.3747339947683504E-2</v>
      </c>
      <c r="Q210" s="11">
        <f t="shared" si="23"/>
        <v>2.8199370135811513E-2</v>
      </c>
      <c r="R210" s="11">
        <f t="shared" si="24"/>
        <v>3.771833343046737E-2</v>
      </c>
      <c r="S210" s="11">
        <f t="shared" si="25"/>
        <v>3.3393990950303105E-2</v>
      </c>
    </row>
    <row r="211" spans="11:19">
      <c r="K211" t="s">
        <v>468</v>
      </c>
      <c r="L211">
        <v>536314</v>
      </c>
      <c r="M211">
        <v>1321461</v>
      </c>
      <c r="N211" s="13">
        <f t="shared" si="20"/>
        <v>0.15596922940665356</v>
      </c>
      <c r="O211" s="13">
        <f t="shared" si="21"/>
        <v>0.15547643563285687</v>
      </c>
      <c r="P211" s="11">
        <f t="shared" si="22"/>
        <v>8.6406953091286067E-3</v>
      </c>
      <c r="Q211" s="11">
        <f t="shared" si="23"/>
        <v>1.7724313662145684E-2</v>
      </c>
      <c r="R211" s="11">
        <f t="shared" si="24"/>
        <v>2.370732286981134E-2</v>
      </c>
      <c r="S211" s="11">
        <f t="shared" si="25"/>
        <v>2.098931881043568E-2</v>
      </c>
    </row>
    <row r="212" spans="11:19">
      <c r="K212" t="s">
        <v>469</v>
      </c>
      <c r="L212">
        <v>163802</v>
      </c>
      <c r="M212">
        <v>970608</v>
      </c>
      <c r="N212" s="13">
        <f t="shared" si="20"/>
        <v>0.37508385978193182</v>
      </c>
      <c r="O212" s="13">
        <f t="shared" si="21"/>
        <v>0.37389876069889255</v>
      </c>
      <c r="P212" s="11">
        <f t="shared" si="22"/>
        <v>2.0779645831919023E-2</v>
      </c>
      <c r="Q212" s="11">
        <f t="shared" si="23"/>
        <v>4.2624458719673755E-2</v>
      </c>
      <c r="R212" s="11">
        <f t="shared" si="24"/>
        <v>5.7012746686853633E-2</v>
      </c>
      <c r="S212" s="11">
        <f t="shared" si="25"/>
        <v>5.0476332694350499E-2</v>
      </c>
    </row>
    <row r="213" spans="11:19">
      <c r="K213" t="s">
        <v>470</v>
      </c>
      <c r="L213">
        <v>453132</v>
      </c>
      <c r="M213">
        <v>2097217</v>
      </c>
      <c r="N213" s="13">
        <f t="shared" si="20"/>
        <v>0.29296945724424667</v>
      </c>
      <c r="O213" s="13">
        <f t="shared" si="21"/>
        <v>0.29204380335089997</v>
      </c>
      <c r="P213" s="11">
        <f t="shared" si="22"/>
        <v>1.6230507931331264E-2</v>
      </c>
      <c r="Q213" s="11">
        <f t="shared" si="23"/>
        <v>3.3292993582002599E-2</v>
      </c>
      <c r="R213" s="11">
        <f t="shared" si="24"/>
        <v>4.4531357501125489E-2</v>
      </c>
      <c r="S213" s="11">
        <f t="shared" si="25"/>
        <v>3.9425913452371501E-2</v>
      </c>
    </row>
    <row r="214" spans="11:19">
      <c r="K214" t="s">
        <v>471</v>
      </c>
      <c r="L214">
        <v>372638</v>
      </c>
      <c r="M214">
        <v>1835964</v>
      </c>
      <c r="N214" s="13">
        <f t="shared" si="20"/>
        <v>0.31187512062645245</v>
      </c>
      <c r="O214" s="13">
        <f t="shared" si="21"/>
        <v>0.31088973319951269</v>
      </c>
      <c r="P214" s="11">
        <f t="shared" si="22"/>
        <v>1.7277881682705463E-2</v>
      </c>
      <c r="Q214" s="11">
        <f t="shared" si="23"/>
        <v>3.5441429584744451E-2</v>
      </c>
      <c r="R214" s="11">
        <f t="shared" si="24"/>
        <v>4.7405018335220768E-2</v>
      </c>
      <c r="S214" s="11">
        <f t="shared" si="25"/>
        <v>4.1970113981934218E-2</v>
      </c>
    </row>
    <row r="215" spans="11:19">
      <c r="K215" t="s">
        <v>312</v>
      </c>
      <c r="L215">
        <v>5940496</v>
      </c>
      <c r="M215" s="14">
        <v>60600000</v>
      </c>
      <c r="N215" s="13">
        <f t="shared" si="20"/>
        <v>0.64573395891521512</v>
      </c>
      <c r="O215" s="13">
        <f t="shared" si="21"/>
        <v>0.64369372523775792</v>
      </c>
      <c r="P215" s="11">
        <f t="shared" si="22"/>
        <v>3.5773661323902917E-2</v>
      </c>
      <c r="Q215" s="11">
        <f t="shared" si="23"/>
        <v>7.33810846771044E-2</v>
      </c>
      <c r="R215" s="11">
        <f t="shared" si="24"/>
        <v>9.8151561755112693E-2</v>
      </c>
      <c r="S215" s="11">
        <f t="shared" si="25"/>
        <v>8.6898652907097321E-2</v>
      </c>
    </row>
    <row r="216" spans="11:19">
      <c r="K216" t="s">
        <v>472</v>
      </c>
      <c r="L216">
        <v>4287323</v>
      </c>
      <c r="M216" s="14">
        <v>38400000</v>
      </c>
      <c r="N216" s="13">
        <f t="shared" si="20"/>
        <v>0.56695518392246158</v>
      </c>
      <c r="O216" s="13">
        <f t="shared" si="21"/>
        <v>0.56516385632712995</v>
      </c>
      <c r="P216" s="11">
        <f t="shared" si="22"/>
        <v>3.140931718930437E-2</v>
      </c>
      <c r="Q216" s="11">
        <f t="shared" si="23"/>
        <v>6.4428679621292811E-2</v>
      </c>
      <c r="R216" s="11">
        <f t="shared" si="24"/>
        <v>8.6177187956214152E-2</v>
      </c>
      <c r="S216" s="11">
        <f t="shared" si="25"/>
        <v>7.6297120604162549E-2</v>
      </c>
    </row>
    <row r="217" spans="11:19">
      <c r="K217" t="s">
        <v>313</v>
      </c>
      <c r="L217">
        <v>2355391</v>
      </c>
      <c r="M217" s="14">
        <v>27800000</v>
      </c>
      <c r="N217" s="13">
        <f t="shared" si="20"/>
        <v>0.7471116260527445</v>
      </c>
      <c r="O217" s="13">
        <f t="shared" si="21"/>
        <v>0.74475108379033472</v>
      </c>
      <c r="P217" s="11">
        <f t="shared" si="22"/>
        <v>4.1389984083322041E-2</v>
      </c>
      <c r="Q217" s="11">
        <f t="shared" si="23"/>
        <v>8.4901623552098168E-2</v>
      </c>
      <c r="R217" s="11">
        <f t="shared" si="24"/>
        <v>0.11356096716001716</v>
      </c>
      <c r="S217" s="11">
        <f t="shared" si="25"/>
        <v>0.10054139631169519</v>
      </c>
    </row>
    <row r="218" spans="11:19">
      <c r="K218" t="s">
        <v>473</v>
      </c>
      <c r="L218">
        <v>88984</v>
      </c>
      <c r="M218">
        <v>296787</v>
      </c>
      <c r="N218" s="13">
        <f t="shared" si="20"/>
        <v>0.21112354018699989</v>
      </c>
      <c r="O218" s="13">
        <f t="shared" si="21"/>
        <v>0.21045648318798885</v>
      </c>
      <c r="P218" s="11">
        <f t="shared" si="22"/>
        <v>1.1696244126359794E-2</v>
      </c>
      <c r="Q218" s="11">
        <f t="shared" si="23"/>
        <v>2.3992039083430731E-2</v>
      </c>
      <c r="R218" s="11">
        <f t="shared" si="24"/>
        <v>3.2090778108423978E-2</v>
      </c>
      <c r="S218" s="11">
        <f t="shared" si="25"/>
        <v>2.8411625230378497E-2</v>
      </c>
    </row>
    <row r="219" spans="11:19">
      <c r="K219" t="s">
        <v>474</v>
      </c>
      <c r="L219">
        <v>404726</v>
      </c>
      <c r="M219">
        <v>247015</v>
      </c>
      <c r="N219" s="13">
        <f t="shared" si="20"/>
        <v>3.8633666974693989E-2</v>
      </c>
      <c r="O219" s="13">
        <f t="shared" si="21"/>
        <v>3.8511601676195752E-2</v>
      </c>
      <c r="P219" s="11">
        <f t="shared" si="22"/>
        <v>2.1403051503980468E-3</v>
      </c>
      <c r="Q219" s="11">
        <f t="shared" si="23"/>
        <v>4.3903225910863156E-3</v>
      </c>
      <c r="R219" s="11">
        <f t="shared" si="24"/>
        <v>5.8723173801534861E-3</v>
      </c>
      <c r="S219" s="11">
        <f t="shared" si="25"/>
        <v>5.1990662262864267E-3</v>
      </c>
    </row>
    <row r="220" spans="11:19">
      <c r="K220" t="s">
        <v>315</v>
      </c>
      <c r="L220">
        <v>2203745</v>
      </c>
      <c r="M220" s="14">
        <v>31600000</v>
      </c>
      <c r="N220" s="13">
        <f t="shared" si="20"/>
        <v>0.90767307469784386</v>
      </c>
      <c r="O220" s="13">
        <f t="shared" si="21"/>
        <v>0.90480522928015727</v>
      </c>
      <c r="P220" s="11">
        <f t="shared" si="22"/>
        <v>5.028508833826055E-2</v>
      </c>
      <c r="Q220" s="11">
        <f t="shared" si="23"/>
        <v>0.10314779613793794</v>
      </c>
      <c r="R220" s="11">
        <f t="shared" si="24"/>
        <v>0.13796630735407225</v>
      </c>
      <c r="S220" s="11">
        <f t="shared" si="25"/>
        <v>0.12214870595282123</v>
      </c>
    </row>
    <row r="221" spans="11:19">
      <c r="K221" t="s">
        <v>475</v>
      </c>
      <c r="L221">
        <v>672020</v>
      </c>
      <c r="M221">
        <v>2750456</v>
      </c>
      <c r="N221" s="13">
        <f t="shared" si="20"/>
        <v>0.25907542156483437</v>
      </c>
      <c r="O221" s="13">
        <f t="shared" si="21"/>
        <v>0.25825685783161217</v>
      </c>
      <c r="P221" s="11">
        <f t="shared" si="22"/>
        <v>1.4352778354691825E-2</v>
      </c>
      <c r="Q221" s="11">
        <f t="shared" si="23"/>
        <v>2.9441281792803788E-2</v>
      </c>
      <c r="R221" s="11">
        <f t="shared" si="24"/>
        <v>3.9379464077854823E-2</v>
      </c>
      <c r="S221" s="11">
        <f t="shared" si="25"/>
        <v>3.4864675807267646E-2</v>
      </c>
    </row>
    <row r="222" spans="11:19">
      <c r="K222" t="s">
        <v>317</v>
      </c>
      <c r="L222">
        <v>1599312</v>
      </c>
      <c r="M222">
        <v>9264064</v>
      </c>
      <c r="N222" s="13">
        <f t="shared" si="20"/>
        <v>0.36666719889552507</v>
      </c>
      <c r="O222" s="13">
        <f t="shared" si="21"/>
        <v>0.36550869273787728</v>
      </c>
      <c r="P222" s="11">
        <f t="shared" si="22"/>
        <v>2.0313362818812089E-2</v>
      </c>
      <c r="Q222" s="11">
        <f t="shared" si="23"/>
        <v>4.1667990972118013E-2</v>
      </c>
      <c r="R222" s="11">
        <f t="shared" si="24"/>
        <v>5.5733414232119811E-2</v>
      </c>
      <c r="S222" s="11">
        <f t="shared" si="25"/>
        <v>4.9343673519613433E-2</v>
      </c>
    </row>
    <row r="223" spans="11:19">
      <c r="K223" t="s">
        <v>476</v>
      </c>
      <c r="L223">
        <v>156009</v>
      </c>
      <c r="M223">
        <v>552039</v>
      </c>
      <c r="N223" s="13">
        <f t="shared" si="20"/>
        <v>0.22398751802780606</v>
      </c>
      <c r="O223" s="13">
        <f t="shared" si="21"/>
        <v>0.22327981654904525</v>
      </c>
      <c r="P223" s="11">
        <f t="shared" si="22"/>
        <v>1.2408908498740455E-2</v>
      </c>
      <c r="Q223" s="11">
        <f t="shared" si="23"/>
        <v>2.545389908659116E-2</v>
      </c>
      <c r="R223" s="11">
        <f t="shared" si="24"/>
        <v>3.4046102740226521E-2</v>
      </c>
      <c r="S223" s="11">
        <f t="shared" si="25"/>
        <v>3.0142775234121112E-2</v>
      </c>
    </row>
    <row r="224" spans="11:19">
      <c r="K224" t="s">
        <v>775</v>
      </c>
      <c r="L224">
        <v>157736</v>
      </c>
      <c r="M224">
        <v>0</v>
      </c>
      <c r="N224" s="13">
        <f t="shared" si="20"/>
        <v>0</v>
      </c>
      <c r="O224" s="13">
        <f t="shared" si="21"/>
        <v>0</v>
      </c>
      <c r="P224" s="11">
        <f t="shared" si="22"/>
        <v>0</v>
      </c>
      <c r="Q224" s="11">
        <f t="shared" si="23"/>
        <v>0</v>
      </c>
      <c r="R224" s="11">
        <f t="shared" si="24"/>
        <v>0</v>
      </c>
      <c r="S224" s="11">
        <f t="shared" si="25"/>
        <v>0</v>
      </c>
    </row>
    <row r="225" spans="11:19">
      <c r="K225" t="s">
        <v>477</v>
      </c>
      <c r="L225">
        <v>200109</v>
      </c>
      <c r="M225">
        <v>1160421</v>
      </c>
      <c r="N225" s="13">
        <f t="shared" si="20"/>
        <v>0.36707319161057222</v>
      </c>
      <c r="O225" s="13">
        <f t="shared" si="21"/>
        <v>0.36591340269553096</v>
      </c>
      <c r="P225" s="11">
        <f t="shared" si="22"/>
        <v>2.03358548152257E-2</v>
      </c>
      <c r="Q225" s="11">
        <f t="shared" si="23"/>
        <v>4.1714127907290531E-2</v>
      </c>
      <c r="R225" s="11">
        <f t="shared" si="24"/>
        <v>5.5795125124806978E-2</v>
      </c>
      <c r="S225" s="11">
        <f t="shared" si="25"/>
        <v>4.9398309363896685E-2</v>
      </c>
    </row>
    <row r="226" spans="11:19">
      <c r="K226" t="s">
        <v>478</v>
      </c>
      <c r="L226">
        <v>122697</v>
      </c>
      <c r="M226">
        <v>210608</v>
      </c>
      <c r="N226" s="13">
        <f t="shared" si="20"/>
        <v>0.10865372747499938</v>
      </c>
      <c r="O226" s="13">
        <f t="shared" si="21"/>
        <v>0.10831042975785879</v>
      </c>
      <c r="P226" s="11">
        <f t="shared" si="22"/>
        <v>6.0194165021149656E-3</v>
      </c>
      <c r="Q226" s="11">
        <f t="shared" si="23"/>
        <v>1.2347388992395902E-2</v>
      </c>
      <c r="R226" s="11">
        <f t="shared" si="24"/>
        <v>1.6515366576199904E-2</v>
      </c>
      <c r="S226" s="11">
        <f t="shared" si="25"/>
        <v>1.4621908017310937E-2</v>
      </c>
    </row>
    <row r="227" spans="11:19">
      <c r="K227" s="3" t="s">
        <v>479</v>
      </c>
      <c r="L227" s="3">
        <v>404771</v>
      </c>
      <c r="M227" s="3">
        <v>1513281</v>
      </c>
      <c r="N227" s="13">
        <f t="shared" ref="N227:N290" si="26">+M227/L227*$B$25</f>
        <v>0.23665402733891508</v>
      </c>
      <c r="O227" s="13">
        <f t="shared" ref="O227:O290" si="27">+M227/L227*$C$25</f>
        <v>0.23590630529361048</v>
      </c>
      <c r="P227" s="11">
        <f t="shared" ref="P227:P290" si="28">+N227*$B$12</f>
        <v>1.3110633114575896E-2</v>
      </c>
      <c r="Q227" s="11">
        <f t="shared" ref="Q227:Q290" si="29">+O227*$D$12</f>
        <v>2.6893318803471594E-2</v>
      </c>
      <c r="R227" s="11">
        <f t="shared" ref="R227:R290" si="30">+N227*$C$12</f>
        <v>3.5971412155515088E-2</v>
      </c>
      <c r="S227" s="11">
        <f t="shared" ref="S227:S290" si="31">+O227*$E$12</f>
        <v>3.1847351214637415E-2</v>
      </c>
    </row>
    <row r="228" spans="11:19">
      <c r="K228" t="s">
        <v>480</v>
      </c>
      <c r="L228">
        <v>180515</v>
      </c>
      <c r="M228">
        <v>687880</v>
      </c>
      <c r="N228" s="13">
        <f t="shared" si="26"/>
        <v>0.2412143256793064</v>
      </c>
      <c r="O228" s="13">
        <f t="shared" si="27"/>
        <v>0.24045219510843974</v>
      </c>
      <c r="P228" s="11">
        <f t="shared" si="28"/>
        <v>1.3363273642633573E-2</v>
      </c>
      <c r="Q228" s="11">
        <f t="shared" si="29"/>
        <v>2.741155024236213E-2</v>
      </c>
      <c r="R228" s="11">
        <f t="shared" si="30"/>
        <v>3.6664577503254574E-2</v>
      </c>
      <c r="S228" s="11">
        <f t="shared" si="31"/>
        <v>3.2461046339639366E-2</v>
      </c>
    </row>
    <row r="229" spans="11:19">
      <c r="K229" t="s">
        <v>481</v>
      </c>
      <c r="L229">
        <v>416657</v>
      </c>
      <c r="M229">
        <v>7219914</v>
      </c>
      <c r="N229" s="13">
        <f t="shared" si="26"/>
        <v>1.096874782374951</v>
      </c>
      <c r="O229" s="13">
        <f t="shared" si="27"/>
        <v>1.0934091432521236</v>
      </c>
      <c r="P229" s="11">
        <f t="shared" si="28"/>
        <v>6.0766862943572281E-2</v>
      </c>
      <c r="Q229" s="11">
        <f t="shared" si="29"/>
        <v>0.12464864233074209</v>
      </c>
      <c r="R229" s="11">
        <f t="shared" si="30"/>
        <v>0.16672496692099253</v>
      </c>
      <c r="S229" s="11">
        <f t="shared" si="31"/>
        <v>0.14761023433903669</v>
      </c>
    </row>
    <row r="230" spans="11:19">
      <c r="K230" t="s">
        <v>482</v>
      </c>
      <c r="L230">
        <v>1227115</v>
      </c>
      <c r="M230">
        <v>418260</v>
      </c>
      <c r="N230" s="13">
        <f t="shared" si="26"/>
        <v>2.1575694209589154E-2</v>
      </c>
      <c r="O230" s="13">
        <f t="shared" si="27"/>
        <v>2.150752455963785E-2</v>
      </c>
      <c r="P230" s="11">
        <f t="shared" si="28"/>
        <v>1.1952934592112392E-3</v>
      </c>
      <c r="Q230" s="11">
        <f t="shared" si="29"/>
        <v>2.4518577997987151E-3</v>
      </c>
      <c r="R230" s="11">
        <f t="shared" si="30"/>
        <v>3.2795055198575514E-3</v>
      </c>
      <c r="S230" s="11">
        <f t="shared" si="31"/>
        <v>2.9035158155511099E-3</v>
      </c>
    </row>
    <row r="231" spans="11:19">
      <c r="K231" t="s">
        <v>483</v>
      </c>
      <c r="L231">
        <v>4092831</v>
      </c>
      <c r="M231" s="14">
        <v>11900000</v>
      </c>
      <c r="N231" s="13">
        <f t="shared" si="26"/>
        <v>0.1840462017610793</v>
      </c>
      <c r="O231" s="13">
        <f t="shared" si="27"/>
        <v>0.18346469717415648</v>
      </c>
      <c r="P231" s="11">
        <f t="shared" si="28"/>
        <v>1.0196159577563793E-2</v>
      </c>
      <c r="Q231" s="11">
        <f t="shared" si="29"/>
        <v>2.0914975477853839E-2</v>
      </c>
      <c r="R231" s="11">
        <f t="shared" si="30"/>
        <v>2.7975022667684053E-2</v>
      </c>
      <c r="S231" s="11">
        <f t="shared" si="31"/>
        <v>2.4767734118511128E-2</v>
      </c>
    </row>
    <row r="232" spans="11:19">
      <c r="K232" t="s">
        <v>484</v>
      </c>
      <c r="L232">
        <v>298920</v>
      </c>
      <c r="M232">
        <v>3015018</v>
      </c>
      <c r="N232" s="13">
        <f t="shared" si="26"/>
        <v>0.63846728020875143</v>
      </c>
      <c r="O232" s="13">
        <f t="shared" si="27"/>
        <v>0.63645000602167801</v>
      </c>
      <c r="P232" s="11">
        <f t="shared" si="28"/>
        <v>3.537108732356483E-2</v>
      </c>
      <c r="Q232" s="11">
        <f t="shared" si="29"/>
        <v>7.25553006864713E-2</v>
      </c>
      <c r="R232" s="11">
        <f t="shared" si="30"/>
        <v>9.7047026591730215E-2</v>
      </c>
      <c r="S232" s="11">
        <f t="shared" si="31"/>
        <v>8.5920750812926536E-2</v>
      </c>
    </row>
    <row r="233" spans="11:19">
      <c r="K233" t="s">
        <v>485</v>
      </c>
      <c r="L233">
        <v>183394</v>
      </c>
      <c r="M233">
        <v>981866</v>
      </c>
      <c r="N233" s="13">
        <f t="shared" si="26"/>
        <v>0.33889940674176905</v>
      </c>
      <c r="O233" s="13">
        <f t="shared" si="27"/>
        <v>0.33782863452457551</v>
      </c>
      <c r="P233" s="11">
        <f t="shared" si="28"/>
        <v>1.8775027133494004E-2</v>
      </c>
      <c r="Q233" s="11">
        <f t="shared" si="29"/>
        <v>3.8512464335801612E-2</v>
      </c>
      <c r="R233" s="11">
        <f t="shared" si="30"/>
        <v>5.1512709824748891E-2</v>
      </c>
      <c r="S233" s="11">
        <f t="shared" si="31"/>
        <v>4.5606865660817696E-2</v>
      </c>
    </row>
    <row r="234" spans="11:19">
      <c r="K234" t="s">
        <v>486</v>
      </c>
      <c r="L234">
        <v>1033155</v>
      </c>
      <c r="M234">
        <v>5122614</v>
      </c>
      <c r="N234" s="13">
        <f t="shared" si="26"/>
        <v>0.3138555843024522</v>
      </c>
      <c r="O234" s="13">
        <f t="shared" si="27"/>
        <v>0.31286393948633073</v>
      </c>
      <c r="P234" s="11">
        <f t="shared" si="28"/>
        <v>1.738759937035585E-2</v>
      </c>
      <c r="Q234" s="11">
        <f t="shared" si="29"/>
        <v>3.5666489101441705E-2</v>
      </c>
      <c r="R234" s="11">
        <f t="shared" si="30"/>
        <v>4.770604881397273E-2</v>
      </c>
      <c r="S234" s="11">
        <f t="shared" si="31"/>
        <v>4.2236631830654653E-2</v>
      </c>
    </row>
    <row r="235" spans="11:19">
      <c r="K235" t="s">
        <v>487</v>
      </c>
      <c r="L235">
        <v>353381</v>
      </c>
      <c r="M235" s="14">
        <v>1286854</v>
      </c>
      <c r="N235" s="13">
        <f t="shared" si="26"/>
        <v>0.23051001100794891</v>
      </c>
      <c r="O235" s="13">
        <f t="shared" si="27"/>
        <v>0.22978170133651782</v>
      </c>
      <c r="P235" s="11">
        <f t="shared" si="28"/>
        <v>1.2770254609840369E-2</v>
      </c>
      <c r="Q235" s="11">
        <f t="shared" si="29"/>
        <v>2.6195113952363031E-2</v>
      </c>
      <c r="R235" s="11">
        <f t="shared" si="30"/>
        <v>3.5037521673208234E-2</v>
      </c>
      <c r="S235" s="11">
        <f t="shared" si="31"/>
        <v>3.1020529680429908E-2</v>
      </c>
    </row>
    <row r="236" spans="11:19">
      <c r="K236" t="s">
        <v>488</v>
      </c>
      <c r="L236">
        <v>95696</v>
      </c>
      <c r="M236" s="14">
        <v>472359</v>
      </c>
      <c r="N236" s="13">
        <f t="shared" si="26"/>
        <v>0.31245114424845344</v>
      </c>
      <c r="O236" s="13">
        <f t="shared" si="27"/>
        <v>0.31146393684166529</v>
      </c>
      <c r="P236" s="11">
        <f t="shared" si="28"/>
        <v>1.730979339136432E-2</v>
      </c>
      <c r="Q236" s="11">
        <f t="shared" si="29"/>
        <v>3.5506888799949843E-2</v>
      </c>
      <c r="R236" s="11">
        <f t="shared" si="30"/>
        <v>4.7492573925764919E-2</v>
      </c>
      <c r="S236" s="11">
        <f t="shared" si="31"/>
        <v>4.2047631473624815E-2</v>
      </c>
    </row>
    <row r="237" spans="11:19">
      <c r="K237" s="3" t="s">
        <v>319</v>
      </c>
      <c r="L237" s="3">
        <v>2101138</v>
      </c>
      <c r="M237" s="14">
        <v>18100000</v>
      </c>
      <c r="N237" s="13">
        <f t="shared" si="26"/>
        <v>0.54529021891946172</v>
      </c>
      <c r="O237" s="13">
        <f t="shared" si="27"/>
        <v>0.54356734303030074</v>
      </c>
      <c r="P237" s="11">
        <f t="shared" si="28"/>
        <v>3.0209078128138177E-2</v>
      </c>
      <c r="Q237" s="11">
        <f t="shared" si="29"/>
        <v>6.1966677105454289E-2</v>
      </c>
      <c r="R237" s="11">
        <f t="shared" si="30"/>
        <v>8.2884113275758176E-2</v>
      </c>
      <c r="S237" s="11">
        <f t="shared" si="31"/>
        <v>7.338159130909061E-2</v>
      </c>
    </row>
    <row r="238" spans="11:19">
      <c r="K238" s="3" t="s">
        <v>489</v>
      </c>
      <c r="L238" s="3">
        <v>200858</v>
      </c>
      <c r="M238" s="3">
        <v>705698</v>
      </c>
      <c r="N238" s="13">
        <f t="shared" si="26"/>
        <v>0.22239932390046699</v>
      </c>
      <c r="O238" s="13">
        <f t="shared" si="27"/>
        <v>0.22169664041262982</v>
      </c>
      <c r="P238" s="11">
        <f t="shared" si="28"/>
        <v>1.232092254408587E-2</v>
      </c>
      <c r="Q238" s="11">
        <f t="shared" si="29"/>
        <v>2.5273417007039799E-2</v>
      </c>
      <c r="R238" s="11">
        <f t="shared" si="30"/>
        <v>3.3804697232870981E-2</v>
      </c>
      <c r="S238" s="11">
        <f t="shared" si="31"/>
        <v>2.9929046455705027E-2</v>
      </c>
    </row>
    <row r="239" spans="11:19">
      <c r="K239" t="s">
        <v>490</v>
      </c>
      <c r="L239">
        <v>390561</v>
      </c>
      <c r="M239">
        <v>2150744</v>
      </c>
      <c r="N239" s="13">
        <f t="shared" si="26"/>
        <v>0.34858087520259318</v>
      </c>
      <c r="O239" s="13">
        <f t="shared" si="27"/>
        <v>0.34747951382754555</v>
      </c>
      <c r="P239" s="11">
        <f t="shared" si="28"/>
        <v>1.9311380486223662E-2</v>
      </c>
      <c r="Q239" s="11">
        <f t="shared" si="29"/>
        <v>3.9612664576340197E-2</v>
      </c>
      <c r="R239" s="11">
        <f t="shared" si="30"/>
        <v>5.2984293030794161E-2</v>
      </c>
      <c r="S239" s="11">
        <f t="shared" si="31"/>
        <v>4.690973436671865E-2</v>
      </c>
    </row>
    <row r="240" spans="11:19">
      <c r="K240" t="s">
        <v>323</v>
      </c>
      <c r="L240">
        <v>1111600</v>
      </c>
      <c r="M240" s="14">
        <v>18400000</v>
      </c>
      <c r="N240" s="13">
        <f t="shared" si="26"/>
        <v>1.0477869737315582</v>
      </c>
      <c r="O240" s="13">
        <f t="shared" si="27"/>
        <v>1.0444764303706371</v>
      </c>
      <c r="P240" s="11">
        <f t="shared" si="28"/>
        <v>5.8047398344728322E-2</v>
      </c>
      <c r="Q240" s="11">
        <f t="shared" si="29"/>
        <v>0.11907031306225263</v>
      </c>
      <c r="R240" s="11">
        <f t="shared" si="30"/>
        <v>0.15926362000719685</v>
      </c>
      <c r="S240" s="11">
        <f t="shared" si="31"/>
        <v>0.14100431810003602</v>
      </c>
    </row>
    <row r="241" spans="11:19">
      <c r="K241" t="s">
        <v>491</v>
      </c>
      <c r="L241">
        <v>109152</v>
      </c>
      <c r="M241">
        <v>363964</v>
      </c>
      <c r="N241" s="13">
        <f t="shared" si="26"/>
        <v>0.21107191072999121</v>
      </c>
      <c r="O241" s="13">
        <f t="shared" si="27"/>
        <v>0.21040501685722662</v>
      </c>
      <c r="P241" s="11">
        <f t="shared" si="28"/>
        <v>1.1693383854441512E-2</v>
      </c>
      <c r="Q241" s="11">
        <f t="shared" si="29"/>
        <v>2.3986171921723837E-2</v>
      </c>
      <c r="R241" s="11">
        <f t="shared" si="30"/>
        <v>3.208293043095866E-2</v>
      </c>
      <c r="S241" s="11">
        <f t="shared" si="31"/>
        <v>2.8404677275725595E-2</v>
      </c>
    </row>
    <row r="242" spans="11:19">
      <c r="K242" t="s">
        <v>492</v>
      </c>
      <c r="L242">
        <v>2030691</v>
      </c>
      <c r="M242" s="14">
        <v>19600000</v>
      </c>
      <c r="N242" s="13">
        <f t="shared" si="26"/>
        <v>0.61096444510760128</v>
      </c>
      <c r="O242" s="13">
        <f t="shared" si="27"/>
        <v>0.60903406771389645</v>
      </c>
      <c r="P242" s="11">
        <f t="shared" si="28"/>
        <v>3.3847430258961107E-2</v>
      </c>
      <c r="Q242" s="11">
        <f t="shared" si="29"/>
        <v>6.9429883719384203E-2</v>
      </c>
      <c r="R242" s="11">
        <f t="shared" si="30"/>
        <v>9.2866595656355397E-2</v>
      </c>
      <c r="S242" s="11">
        <f t="shared" si="31"/>
        <v>8.2219599141376026E-2</v>
      </c>
    </row>
    <row r="243" spans="11:19">
      <c r="K243" t="s">
        <v>325</v>
      </c>
      <c r="L243">
        <v>3019274</v>
      </c>
      <c r="M243" s="14">
        <v>30300000</v>
      </c>
      <c r="N243" s="13">
        <f t="shared" si="26"/>
        <v>0.63524873860404851</v>
      </c>
      <c r="O243" s="13">
        <f t="shared" si="27"/>
        <v>0.63324163358476249</v>
      </c>
      <c r="P243" s="11">
        <f t="shared" si="28"/>
        <v>3.5192780118664287E-2</v>
      </c>
      <c r="Q243" s="11">
        <f t="shared" si="29"/>
        <v>7.2189546228662929E-2</v>
      </c>
      <c r="R243" s="11">
        <f t="shared" si="30"/>
        <v>9.6557808267815376E-2</v>
      </c>
      <c r="S243" s="11">
        <f t="shared" si="31"/>
        <v>8.5487620533942946E-2</v>
      </c>
    </row>
    <row r="244" spans="11:19">
      <c r="K244" t="s">
        <v>327</v>
      </c>
      <c r="L244">
        <v>4260236</v>
      </c>
      <c r="M244" s="14">
        <v>106000000</v>
      </c>
      <c r="N244" s="13">
        <f t="shared" si="26"/>
        <v>1.5749831699464534</v>
      </c>
      <c r="O244" s="13">
        <f t="shared" si="27"/>
        <v>1.5700069198044428</v>
      </c>
      <c r="P244" s="11">
        <f t="shared" si="28"/>
        <v>8.7254067615033515E-2</v>
      </c>
      <c r="Q244" s="11">
        <f t="shared" si="29"/>
        <v>0.17898078885770649</v>
      </c>
      <c r="R244" s="11">
        <f t="shared" si="30"/>
        <v>0.2393974418318609</v>
      </c>
      <c r="S244" s="11">
        <f t="shared" si="31"/>
        <v>0.21195093417359981</v>
      </c>
    </row>
    <row r="245" spans="11:19">
      <c r="K245" t="s">
        <v>329</v>
      </c>
      <c r="L245">
        <v>1810646</v>
      </c>
      <c r="M245" s="14">
        <v>23100000</v>
      </c>
      <c r="N245" s="13">
        <f t="shared" si="26"/>
        <v>0.80757365050926566</v>
      </c>
      <c r="O245" s="13">
        <f t="shared" si="27"/>
        <v>0.80502207499422862</v>
      </c>
      <c r="P245" s="11">
        <f t="shared" si="28"/>
        <v>4.4739580238213318E-2</v>
      </c>
      <c r="Q245" s="11">
        <f t="shared" si="29"/>
        <v>9.177251654934207E-2</v>
      </c>
      <c r="R245" s="11">
        <f t="shared" si="30"/>
        <v>0.12275119487740838</v>
      </c>
      <c r="S245" s="11">
        <f t="shared" si="31"/>
        <v>0.10867798012422088</v>
      </c>
    </row>
    <row r="246" spans="11:19">
      <c r="K246" t="s">
        <v>493</v>
      </c>
      <c r="L246">
        <v>265134</v>
      </c>
      <c r="M246">
        <v>381608</v>
      </c>
      <c r="N246" s="13">
        <f t="shared" si="26"/>
        <v>9.1107841317975044E-2</v>
      </c>
      <c r="O246" s="13">
        <f t="shared" si="27"/>
        <v>9.081998083987719E-2</v>
      </c>
      <c r="P246" s="11">
        <f t="shared" si="28"/>
        <v>5.0473744090158172E-3</v>
      </c>
      <c r="Q246" s="11">
        <f t="shared" si="29"/>
        <v>1.0353477815746E-2</v>
      </c>
      <c r="R246" s="11">
        <f t="shared" si="30"/>
        <v>1.3848391880332206E-2</v>
      </c>
      <c r="S246" s="11">
        <f t="shared" si="31"/>
        <v>1.2260697413383422E-2</v>
      </c>
    </row>
    <row r="247" spans="11:19">
      <c r="K247" t="s">
        <v>776</v>
      </c>
      <c r="L247">
        <v>77339</v>
      </c>
      <c r="M247">
        <v>0</v>
      </c>
      <c r="N247" s="13">
        <f t="shared" si="26"/>
        <v>0</v>
      </c>
      <c r="O247" s="13">
        <f t="shared" si="27"/>
        <v>0</v>
      </c>
      <c r="P247" s="11">
        <f t="shared" si="28"/>
        <v>0</v>
      </c>
      <c r="Q247" s="11">
        <f t="shared" si="29"/>
        <v>0</v>
      </c>
      <c r="R247" s="11">
        <f t="shared" si="30"/>
        <v>0</v>
      </c>
      <c r="S247" s="11">
        <f t="shared" si="31"/>
        <v>0</v>
      </c>
    </row>
    <row r="248" spans="11:19">
      <c r="K248" t="s">
        <v>494</v>
      </c>
      <c r="L248">
        <v>403655</v>
      </c>
      <c r="M248">
        <v>6794534</v>
      </c>
      <c r="N248" s="13">
        <f t="shared" si="26"/>
        <v>1.0654990083115532</v>
      </c>
      <c r="O248" s="13">
        <f t="shared" si="27"/>
        <v>1.0621325027560666</v>
      </c>
      <c r="P248" s="11">
        <f t="shared" si="28"/>
        <v>5.9028645060460044E-2</v>
      </c>
      <c r="Q248" s="11">
        <f t="shared" si="29"/>
        <v>0.1210831053141916</v>
      </c>
      <c r="R248" s="11">
        <f t="shared" si="30"/>
        <v>0.16195584926335607</v>
      </c>
      <c r="S248" s="11">
        <f t="shared" si="31"/>
        <v>0.14338788787206899</v>
      </c>
    </row>
    <row r="249" spans="11:19">
      <c r="K249" t="s">
        <v>495</v>
      </c>
      <c r="L249">
        <v>252929</v>
      </c>
      <c r="M249">
        <v>6532034</v>
      </c>
      <c r="N249" s="13">
        <f t="shared" si="26"/>
        <v>1.6347581819403862</v>
      </c>
      <c r="O249" s="13">
        <f t="shared" si="27"/>
        <v>1.6295930692012384</v>
      </c>
      <c r="P249" s="11">
        <f t="shared" si="28"/>
        <v>9.0565603279497392E-2</v>
      </c>
      <c r="Q249" s="11">
        <f t="shared" si="29"/>
        <v>0.18577360988894118</v>
      </c>
      <c r="R249" s="11">
        <f t="shared" si="30"/>
        <v>0.24848324365493871</v>
      </c>
      <c r="S249" s="11">
        <f t="shared" si="31"/>
        <v>0.2199950643421672</v>
      </c>
    </row>
    <row r="250" spans="11:19">
      <c r="K250" t="s">
        <v>496</v>
      </c>
      <c r="L250">
        <v>145362</v>
      </c>
      <c r="M250">
        <v>868322</v>
      </c>
      <c r="N250" s="13">
        <f t="shared" si="26"/>
        <v>0.37812346142733311</v>
      </c>
      <c r="O250" s="13">
        <f t="shared" si="27"/>
        <v>0.37692875854762597</v>
      </c>
      <c r="P250" s="11">
        <f t="shared" si="28"/>
        <v>2.0948039763074255E-2</v>
      </c>
      <c r="Q250" s="11">
        <f t="shared" si="29"/>
        <v>4.296987847442936E-2</v>
      </c>
      <c r="R250" s="11">
        <f t="shared" si="30"/>
        <v>5.7474766136954632E-2</v>
      </c>
      <c r="S250" s="11">
        <f t="shared" si="31"/>
        <v>5.0885382403929508E-2</v>
      </c>
    </row>
    <row r="251" spans="11:19">
      <c r="K251" t="s">
        <v>497</v>
      </c>
      <c r="L251">
        <v>466424</v>
      </c>
      <c r="M251">
        <v>5472260</v>
      </c>
      <c r="N251" s="13">
        <f t="shared" si="26"/>
        <v>0.74265916419395217</v>
      </c>
      <c r="O251" s="13">
        <f t="shared" si="27"/>
        <v>0.74031268974152276</v>
      </c>
      <c r="P251" s="11">
        <f t="shared" si="28"/>
        <v>4.1143317696344946E-2</v>
      </c>
      <c r="Q251" s="11">
        <f t="shared" si="29"/>
        <v>8.4395646630533602E-2</v>
      </c>
      <c r="R251" s="11">
        <f t="shared" si="30"/>
        <v>0.11288419295748073</v>
      </c>
      <c r="S251" s="11">
        <f t="shared" si="31"/>
        <v>9.994221311510558E-2</v>
      </c>
    </row>
    <row r="252" spans="11:19">
      <c r="K252" t="s">
        <v>498</v>
      </c>
      <c r="L252">
        <v>334562</v>
      </c>
      <c r="M252">
        <v>2540001</v>
      </c>
      <c r="N252" s="13">
        <f t="shared" si="26"/>
        <v>0.48057479121956465</v>
      </c>
      <c r="O252" s="13">
        <f t="shared" si="27"/>
        <v>0.47905638745583784</v>
      </c>
      <c r="P252" s="11">
        <f t="shared" si="28"/>
        <v>2.662384343356388E-2</v>
      </c>
      <c r="Q252" s="11">
        <f t="shared" si="29"/>
        <v>5.4612428169965518E-2</v>
      </c>
      <c r="R252" s="11">
        <f t="shared" si="30"/>
        <v>7.3047368265373822E-2</v>
      </c>
      <c r="S252" s="11">
        <f t="shared" si="31"/>
        <v>6.4672612306538119E-2</v>
      </c>
    </row>
    <row r="253" spans="11:19">
      <c r="K253" t="s">
        <v>499</v>
      </c>
      <c r="L253">
        <v>549321</v>
      </c>
      <c r="M253">
        <v>2073158</v>
      </c>
      <c r="N253" s="13">
        <f t="shared" si="26"/>
        <v>0.23889656758070416</v>
      </c>
      <c r="O253" s="13">
        <f t="shared" si="27"/>
        <v>0.23814176010019644</v>
      </c>
      <c r="P253" s="11">
        <f t="shared" si="28"/>
        <v>1.3234869843971009E-2</v>
      </c>
      <c r="Q253" s="11">
        <f t="shared" si="29"/>
        <v>2.7148160651422396E-2</v>
      </c>
      <c r="R253" s="11">
        <f t="shared" si="30"/>
        <v>3.6312278272267032E-2</v>
      </c>
      <c r="S253" s="11">
        <f t="shared" si="31"/>
        <v>3.2149137613526522E-2</v>
      </c>
    </row>
    <row r="254" spans="11:19">
      <c r="K254" t="s">
        <v>331</v>
      </c>
      <c r="L254">
        <v>3356637</v>
      </c>
      <c r="M254" s="14">
        <v>60600000</v>
      </c>
      <c r="N254" s="13">
        <f t="shared" si="26"/>
        <v>1.1428045391860961</v>
      </c>
      <c r="O254" s="13">
        <f t="shared" si="27"/>
        <v>1.1391937823482254</v>
      </c>
      <c r="P254" s="11">
        <f t="shared" si="28"/>
        <v>6.3311371470909719E-2</v>
      </c>
      <c r="Q254" s="11">
        <f t="shared" si="29"/>
        <v>0.12986809118769771</v>
      </c>
      <c r="R254" s="11">
        <f t="shared" si="30"/>
        <v>0.17370628995628662</v>
      </c>
      <c r="S254" s="11">
        <f t="shared" si="31"/>
        <v>0.15379116061701045</v>
      </c>
    </row>
    <row r="255" spans="11:19">
      <c r="K255" t="s">
        <v>500</v>
      </c>
      <c r="L255">
        <v>134293</v>
      </c>
      <c r="M255">
        <v>296956</v>
      </c>
      <c r="N255" s="13">
        <f t="shared" si="26"/>
        <v>0.1399724095820333</v>
      </c>
      <c r="O255" s="13">
        <f t="shared" si="27"/>
        <v>0.13953015868287999</v>
      </c>
      <c r="P255" s="11">
        <f t="shared" si="28"/>
        <v>7.7544714908446451E-3</v>
      </c>
      <c r="Q255" s="11">
        <f t="shared" si="29"/>
        <v>1.5906438089848318E-2</v>
      </c>
      <c r="R255" s="11">
        <f t="shared" si="30"/>
        <v>2.1275806256469063E-2</v>
      </c>
      <c r="S255" s="11">
        <f t="shared" si="31"/>
        <v>1.8836571422188801E-2</v>
      </c>
    </row>
    <row r="256" spans="11:19">
      <c r="K256" t="s">
        <v>501</v>
      </c>
      <c r="L256">
        <v>114458</v>
      </c>
      <c r="M256">
        <v>589276</v>
      </c>
      <c r="N256" s="13">
        <f t="shared" si="26"/>
        <v>0.32589395935627041</v>
      </c>
      <c r="O256" s="13">
        <f t="shared" si="27"/>
        <v>0.32486427860001049</v>
      </c>
      <c r="P256" s="11">
        <f t="shared" si="28"/>
        <v>1.8054525348337382E-2</v>
      </c>
      <c r="Q256" s="11">
        <f t="shared" si="29"/>
        <v>3.7034527760401198E-2</v>
      </c>
      <c r="R256" s="11">
        <f t="shared" si="30"/>
        <v>4.9535881822153099E-2</v>
      </c>
      <c r="S256" s="11">
        <f t="shared" si="31"/>
        <v>4.385667761100142E-2</v>
      </c>
    </row>
    <row r="257" spans="11:19">
      <c r="K257" t="s">
        <v>502</v>
      </c>
      <c r="L257">
        <v>118786</v>
      </c>
      <c r="M257">
        <v>229376</v>
      </c>
      <c r="N257" s="13">
        <f t="shared" si="26"/>
        <v>0.12223242469651305</v>
      </c>
      <c r="O257" s="13">
        <f t="shared" si="27"/>
        <v>0.12184622430252724</v>
      </c>
      <c r="P257" s="11">
        <f t="shared" si="28"/>
        <v>6.7716763281868222E-3</v>
      </c>
      <c r="Q257" s="11">
        <f t="shared" si="29"/>
        <v>1.3890469570488105E-2</v>
      </c>
      <c r="R257" s="11">
        <f t="shared" si="30"/>
        <v>1.8579328553869984E-2</v>
      </c>
      <c r="S257" s="11">
        <f t="shared" si="31"/>
        <v>1.6449240280841177E-2</v>
      </c>
    </row>
    <row r="258" spans="11:19">
      <c r="K258" t="s">
        <v>503</v>
      </c>
      <c r="L258">
        <v>389389</v>
      </c>
      <c r="M258">
        <v>2336216</v>
      </c>
      <c r="N258" s="13">
        <f t="shared" si="26"/>
        <v>0.37978081763994359</v>
      </c>
      <c r="O258" s="13">
        <f t="shared" si="27"/>
        <v>0.3785808782477163</v>
      </c>
      <c r="P258" s="11">
        <f t="shared" si="28"/>
        <v>2.1039857297252874E-2</v>
      </c>
      <c r="Q258" s="11">
        <f t="shared" si="29"/>
        <v>4.3158220120239663E-2</v>
      </c>
      <c r="R258" s="11">
        <f t="shared" si="30"/>
        <v>5.7726684281271423E-2</v>
      </c>
      <c r="S258" s="11">
        <f t="shared" si="31"/>
        <v>5.1108418563441706E-2</v>
      </c>
    </row>
    <row r="259" spans="11:19">
      <c r="K259" t="s">
        <v>504</v>
      </c>
      <c r="L259">
        <v>142764</v>
      </c>
      <c r="M259">
        <v>507019</v>
      </c>
      <c r="N259" s="13">
        <f t="shared" si="26"/>
        <v>0.22480669286374716</v>
      </c>
      <c r="O259" s="13">
        <f t="shared" si="27"/>
        <v>0.22409640315485699</v>
      </c>
      <c r="P259" s="11">
        <f t="shared" si="28"/>
        <v>1.2454290784651592E-2</v>
      </c>
      <c r="Q259" s="11">
        <f t="shared" si="29"/>
        <v>2.5546989959653696E-2</v>
      </c>
      <c r="R259" s="11">
        <f t="shared" si="30"/>
        <v>3.4170617315289566E-2</v>
      </c>
      <c r="S259" s="11">
        <f t="shared" si="31"/>
        <v>3.0253014425905694E-2</v>
      </c>
    </row>
    <row r="260" spans="11:19">
      <c r="K260" t="s">
        <v>505</v>
      </c>
      <c r="L260">
        <v>233503</v>
      </c>
      <c r="M260">
        <v>719079</v>
      </c>
      <c r="N260" s="13">
        <f t="shared" si="26"/>
        <v>0.1949341151933808</v>
      </c>
      <c r="O260" s="13">
        <f t="shared" si="27"/>
        <v>0.19431820961615054</v>
      </c>
      <c r="P260" s="11">
        <f t="shared" si="28"/>
        <v>1.0799349981713295E-2</v>
      </c>
      <c r="Q260" s="11">
        <f t="shared" si="29"/>
        <v>2.2152275896241164E-2</v>
      </c>
      <c r="R260" s="11">
        <f t="shared" si="30"/>
        <v>2.9629985509393882E-2</v>
      </c>
      <c r="S260" s="11">
        <f t="shared" si="31"/>
        <v>2.6232958298180325E-2</v>
      </c>
    </row>
    <row r="261" spans="11:19">
      <c r="K261" t="s">
        <v>506</v>
      </c>
      <c r="L261">
        <v>318129</v>
      </c>
      <c r="M261">
        <v>1760451</v>
      </c>
      <c r="N261" s="13">
        <f t="shared" si="26"/>
        <v>0.35028729949171561</v>
      </c>
      <c r="O261" s="13">
        <f t="shared" si="27"/>
        <v>0.34918054657073078</v>
      </c>
      <c r="P261" s="11">
        <f t="shared" si="28"/>
        <v>1.9405916391841044E-2</v>
      </c>
      <c r="Q261" s="11">
        <f t="shared" si="29"/>
        <v>3.980658230906331E-2</v>
      </c>
      <c r="R261" s="11">
        <f t="shared" si="30"/>
        <v>5.3243669522740775E-2</v>
      </c>
      <c r="S261" s="11">
        <f t="shared" si="31"/>
        <v>4.7139373787048661E-2</v>
      </c>
    </row>
    <row r="262" spans="11:19">
      <c r="K262" t="s">
        <v>507</v>
      </c>
      <c r="L262">
        <v>282520</v>
      </c>
      <c r="M262">
        <v>273089</v>
      </c>
      <c r="N262" s="13">
        <f t="shared" si="26"/>
        <v>6.1186937915899756E-2</v>
      </c>
      <c r="O262" s="13">
        <f t="shared" si="27"/>
        <v>6.0993614257397709E-2</v>
      </c>
      <c r="P262" s="11">
        <f t="shared" si="28"/>
        <v>3.3897563605408462E-3</v>
      </c>
      <c r="Q262" s="11">
        <f t="shared" si="29"/>
        <v>6.9532720253433393E-3</v>
      </c>
      <c r="R262" s="11">
        <f t="shared" si="30"/>
        <v>9.3004145632167631E-3</v>
      </c>
      <c r="S262" s="11">
        <f t="shared" si="31"/>
        <v>8.2341379247486916E-3</v>
      </c>
    </row>
    <row r="263" spans="11:19">
      <c r="K263" t="s">
        <v>508</v>
      </c>
      <c r="L263">
        <v>462408</v>
      </c>
      <c r="M263">
        <v>5718006</v>
      </c>
      <c r="N263" s="13">
        <f t="shared" si="26"/>
        <v>0.7827498222349093</v>
      </c>
      <c r="O263" s="13">
        <f t="shared" si="27"/>
        <v>0.78027667903669484</v>
      </c>
      <c r="P263" s="11">
        <f t="shared" si="28"/>
        <v>4.3364340151813972E-2</v>
      </c>
      <c r="Q263" s="11">
        <f t="shared" si="29"/>
        <v>8.8951541410183216E-2</v>
      </c>
      <c r="R263" s="11">
        <f t="shared" si="30"/>
        <v>0.11897797297970621</v>
      </c>
      <c r="S263" s="11">
        <f t="shared" si="31"/>
        <v>0.10533735166995381</v>
      </c>
    </row>
    <row r="264" spans="11:19">
      <c r="K264" t="s">
        <v>509</v>
      </c>
      <c r="L264" s="3">
        <v>207305</v>
      </c>
      <c r="M264">
        <v>1203481</v>
      </c>
      <c r="N264" s="13">
        <f t="shared" si="26"/>
        <v>0.36747954607944811</v>
      </c>
      <c r="O264" s="13">
        <f t="shared" si="27"/>
        <v>0.36631847326403127</v>
      </c>
      <c r="P264" s="11">
        <f t="shared" si="28"/>
        <v>2.0358366852801422E-2</v>
      </c>
      <c r="Q264" s="11">
        <f t="shared" si="29"/>
        <v>4.1760305952099563E-2</v>
      </c>
      <c r="R264" s="11">
        <f t="shared" si="30"/>
        <v>5.5856891004076113E-2</v>
      </c>
      <c r="S264" s="11">
        <f t="shared" si="31"/>
        <v>4.9452993890644226E-2</v>
      </c>
    </row>
    <row r="265" spans="11:19">
      <c r="K265" t="s">
        <v>510</v>
      </c>
      <c r="L265" s="3">
        <v>426125</v>
      </c>
      <c r="M265">
        <v>1066287</v>
      </c>
      <c r="N265" s="13">
        <f t="shared" si="26"/>
        <v>0.15839475998826635</v>
      </c>
      <c r="O265" s="13">
        <f t="shared" si="27"/>
        <v>0.15789430261073631</v>
      </c>
      <c r="P265" s="11">
        <f t="shared" si="28"/>
        <v>8.7750697033499563E-3</v>
      </c>
      <c r="Q265" s="11">
        <f t="shared" si="29"/>
        <v>1.7999950497623939E-2</v>
      </c>
      <c r="R265" s="11">
        <f t="shared" si="30"/>
        <v>2.4076003518216486E-2</v>
      </c>
      <c r="S265" s="11">
        <f t="shared" si="31"/>
        <v>2.1315730852449404E-2</v>
      </c>
    </row>
    <row r="266" spans="11:19">
      <c r="K266" t="s">
        <v>511</v>
      </c>
      <c r="L266" s="3">
        <v>139818</v>
      </c>
      <c r="M266">
        <v>233650</v>
      </c>
      <c r="N266" s="13">
        <f t="shared" si="26"/>
        <v>0.10578069347294339</v>
      </c>
      <c r="O266" s="13">
        <f t="shared" si="27"/>
        <v>0.10544647327239698</v>
      </c>
      <c r="P266" s="11">
        <f t="shared" si="28"/>
        <v>5.8602504184010638E-3</v>
      </c>
      <c r="Q266" s="11">
        <f t="shared" si="29"/>
        <v>1.2020897953053255E-2</v>
      </c>
      <c r="R266" s="11">
        <f t="shared" si="30"/>
        <v>1.6078665407887393E-2</v>
      </c>
      <c r="S266" s="11">
        <f t="shared" si="31"/>
        <v>1.4235273891773594E-2</v>
      </c>
    </row>
    <row r="267" spans="11:19">
      <c r="K267" s="3" t="s">
        <v>512</v>
      </c>
      <c r="L267">
        <v>187672</v>
      </c>
      <c r="M267" s="3">
        <v>1069852</v>
      </c>
      <c r="N267" s="13">
        <f t="shared" si="26"/>
        <v>0.36085101453599894</v>
      </c>
      <c r="O267" s="13">
        <f t="shared" si="27"/>
        <v>0.35971088494820752</v>
      </c>
      <c r="P267" s="11">
        <f t="shared" si="28"/>
        <v>1.9991146205294342E-2</v>
      </c>
      <c r="Q267" s="11">
        <f t="shared" si="29"/>
        <v>4.1007040884095659E-2</v>
      </c>
      <c r="R267" s="11">
        <f t="shared" si="30"/>
        <v>5.4849354209471839E-2</v>
      </c>
      <c r="S267" s="11">
        <f t="shared" si="31"/>
        <v>4.8560969468008017E-2</v>
      </c>
    </row>
    <row r="268" spans="11:19">
      <c r="K268" s="3" t="s">
        <v>513</v>
      </c>
      <c r="L268">
        <v>126051</v>
      </c>
      <c r="M268" s="3">
        <v>771112</v>
      </c>
      <c r="N268" s="13">
        <f t="shared" si="26"/>
        <v>0.38723524287788275</v>
      </c>
      <c r="O268" s="13">
        <f t="shared" si="27"/>
        <v>0.38601175079927968</v>
      </c>
      <c r="P268" s="11">
        <f t="shared" si="28"/>
        <v>2.1452832455434702E-2</v>
      </c>
      <c r="Q268" s="11">
        <f t="shared" si="29"/>
        <v>4.4005339591117888E-2</v>
      </c>
      <c r="R268" s="11">
        <f t="shared" si="30"/>
        <v>5.8859756917438173E-2</v>
      </c>
      <c r="S268" s="11">
        <f t="shared" si="31"/>
        <v>5.2111586357902757E-2</v>
      </c>
    </row>
    <row r="269" spans="11:19">
      <c r="K269" s="3" t="s">
        <v>321</v>
      </c>
      <c r="L269">
        <v>2818688</v>
      </c>
      <c r="M269" s="14">
        <v>24000000</v>
      </c>
      <c r="N269" s="13">
        <f t="shared" si="26"/>
        <v>0.53897416102810947</v>
      </c>
      <c r="O269" s="13">
        <f t="shared" si="27"/>
        <v>0.53727124108805235</v>
      </c>
      <c r="P269" s="11">
        <f t="shared" si="28"/>
        <v>2.9859168520957262E-2</v>
      </c>
      <c r="Q269" s="11">
        <f t="shared" si="29"/>
        <v>6.1248921484037967E-2</v>
      </c>
      <c r="R269" s="11">
        <f t="shared" si="30"/>
        <v>8.1924072476272633E-2</v>
      </c>
      <c r="S269" s="11">
        <f t="shared" si="31"/>
        <v>7.253161754688707E-2</v>
      </c>
    </row>
    <row r="270" spans="11:19">
      <c r="K270" t="s">
        <v>514</v>
      </c>
      <c r="L270">
        <v>145550</v>
      </c>
      <c r="M270">
        <v>1298380</v>
      </c>
      <c r="N270" s="13">
        <f t="shared" si="26"/>
        <v>0.56466818275506692</v>
      </c>
      <c r="O270" s="13">
        <f t="shared" si="27"/>
        <v>0.56288408107179666</v>
      </c>
      <c r="P270" s="11">
        <f t="shared" si="28"/>
        <v>3.1282617324630703E-2</v>
      </c>
      <c r="Q270" s="11">
        <f t="shared" si="29"/>
        <v>6.416878524218482E-2</v>
      </c>
      <c r="R270" s="11">
        <f t="shared" si="30"/>
        <v>8.5829563778770171E-2</v>
      </c>
      <c r="S270" s="11">
        <f t="shared" si="31"/>
        <v>7.5989350944692557E-2</v>
      </c>
    </row>
    <row r="271" spans="11:19">
      <c r="K271" t="s">
        <v>515</v>
      </c>
      <c r="L271">
        <v>668753</v>
      </c>
      <c r="M271">
        <v>4127514</v>
      </c>
      <c r="N271" s="13">
        <f t="shared" si="26"/>
        <v>0.39068480619900015</v>
      </c>
      <c r="O271" s="13">
        <f t="shared" si="27"/>
        <v>0.38945041502617556</v>
      </c>
      <c r="P271" s="11">
        <f t="shared" si="28"/>
        <v>2.1643938263424606E-2</v>
      </c>
      <c r="Q271" s="11">
        <f t="shared" si="29"/>
        <v>4.4397347312984017E-2</v>
      </c>
      <c r="R271" s="11">
        <f t="shared" si="30"/>
        <v>5.9384090542248018E-2</v>
      </c>
      <c r="S271" s="11">
        <f t="shared" si="31"/>
        <v>5.2575806028533706E-2</v>
      </c>
    </row>
    <row r="272" spans="11:19">
      <c r="K272" t="s">
        <v>516</v>
      </c>
      <c r="L272">
        <v>104313</v>
      </c>
      <c r="M272">
        <v>540809</v>
      </c>
      <c r="N272" s="13">
        <f t="shared" si="26"/>
        <v>0.32817778896206606</v>
      </c>
      <c r="O272" s="13">
        <f t="shared" si="27"/>
        <v>0.32714089231447663</v>
      </c>
      <c r="P272" s="11">
        <f t="shared" si="28"/>
        <v>1.818104950849846E-2</v>
      </c>
      <c r="Q272" s="11">
        <f t="shared" si="29"/>
        <v>3.7294061723850337E-2</v>
      </c>
      <c r="R272" s="11">
        <f t="shared" si="30"/>
        <v>4.9883023922234038E-2</v>
      </c>
      <c r="S272" s="11">
        <f t="shared" si="31"/>
        <v>4.4164020462454351E-2</v>
      </c>
    </row>
    <row r="273" spans="11:19">
      <c r="K273" t="s">
        <v>517</v>
      </c>
      <c r="L273">
        <v>645016</v>
      </c>
      <c r="M273">
        <v>6064361</v>
      </c>
      <c r="N273" s="13">
        <f t="shared" si="26"/>
        <v>0.59513880477383496</v>
      </c>
      <c r="O273" s="13">
        <f t="shared" si="27"/>
        <v>0.59325842940330165</v>
      </c>
      <c r="P273" s="11">
        <f t="shared" si="28"/>
        <v>3.2970689784470458E-2</v>
      </c>
      <c r="Q273" s="11">
        <f t="shared" si="29"/>
        <v>6.7631460951976391E-2</v>
      </c>
      <c r="R273" s="11">
        <f t="shared" si="30"/>
        <v>9.0461098325622907E-2</v>
      </c>
      <c r="S273" s="11">
        <f t="shared" si="31"/>
        <v>8.0089887969445731E-2</v>
      </c>
    </row>
    <row r="274" spans="11:19">
      <c r="K274" t="s">
        <v>518</v>
      </c>
      <c r="L274">
        <v>357171</v>
      </c>
      <c r="M274">
        <v>1865534</v>
      </c>
      <c r="N274" s="13">
        <f t="shared" si="26"/>
        <v>0.33062119320997502</v>
      </c>
      <c r="O274" s="13">
        <f t="shared" si="27"/>
        <v>0.32957657648577293</v>
      </c>
      <c r="P274" s="11">
        <f t="shared" si="28"/>
        <v>1.8316414103832616E-2</v>
      </c>
      <c r="Q274" s="11">
        <f t="shared" si="29"/>
        <v>3.7571729719378118E-2</v>
      </c>
      <c r="R274" s="11">
        <f t="shared" si="30"/>
        <v>5.0254421367916198E-2</v>
      </c>
      <c r="S274" s="11">
        <f t="shared" si="31"/>
        <v>4.4492837825579348E-2</v>
      </c>
    </row>
    <row r="275" spans="11:19">
      <c r="K275" t="s">
        <v>333</v>
      </c>
      <c r="L275">
        <v>2730007</v>
      </c>
      <c r="M275" s="14">
        <v>18000000</v>
      </c>
      <c r="N275" s="13">
        <f t="shared" si="26"/>
        <v>0.41736156720477269</v>
      </c>
      <c r="O275" s="13">
        <f t="shared" si="27"/>
        <v>0.41604288926731692</v>
      </c>
      <c r="P275" s="11">
        <f t="shared" si="28"/>
        <v>2.3121830823144406E-2</v>
      </c>
      <c r="Q275" s="11">
        <f t="shared" si="29"/>
        <v>4.7428889376474132E-2</v>
      </c>
      <c r="R275" s="11">
        <f t="shared" si="30"/>
        <v>6.3438958215125449E-2</v>
      </c>
      <c r="S275" s="11">
        <f t="shared" si="31"/>
        <v>5.6165790051087787E-2</v>
      </c>
    </row>
    <row r="276" spans="11:19">
      <c r="K276" t="s">
        <v>519</v>
      </c>
      <c r="L276">
        <v>169812</v>
      </c>
      <c r="M276">
        <v>407824</v>
      </c>
      <c r="N276" s="13">
        <f t="shared" si="26"/>
        <v>0.15202258497632673</v>
      </c>
      <c r="O276" s="13">
        <f t="shared" si="27"/>
        <v>0.15154226085317882</v>
      </c>
      <c r="P276" s="11">
        <f t="shared" si="28"/>
        <v>8.4220512076884999E-3</v>
      </c>
      <c r="Q276" s="11">
        <f t="shared" si="29"/>
        <v>1.7275817737262385E-2</v>
      </c>
      <c r="R276" s="11">
        <f t="shared" si="30"/>
        <v>2.3107432916401664E-2</v>
      </c>
      <c r="S276" s="11">
        <f t="shared" si="31"/>
        <v>2.0458205215179142E-2</v>
      </c>
    </row>
    <row r="277" spans="11:19">
      <c r="K277" t="s">
        <v>520</v>
      </c>
      <c r="L277">
        <v>673345</v>
      </c>
      <c r="M277">
        <v>3567496</v>
      </c>
      <c r="N277" s="13">
        <f t="shared" si="26"/>
        <v>0.33537413480459494</v>
      </c>
      <c r="O277" s="13">
        <f t="shared" si="27"/>
        <v>0.33431450088736087</v>
      </c>
      <c r="P277" s="11">
        <f t="shared" si="28"/>
        <v>1.857972706817456E-2</v>
      </c>
      <c r="Q277" s="11">
        <f t="shared" si="29"/>
        <v>3.8111853101159138E-2</v>
      </c>
      <c r="R277" s="11">
        <f t="shared" si="30"/>
        <v>5.0976868490298428E-2</v>
      </c>
      <c r="S277" s="11">
        <f t="shared" si="31"/>
        <v>4.5132457619793717E-2</v>
      </c>
    </row>
    <row r="278" spans="11:19">
      <c r="K278" t="s">
        <v>521</v>
      </c>
      <c r="L278">
        <v>229774</v>
      </c>
      <c r="M278">
        <v>977573</v>
      </c>
      <c r="N278" s="13">
        <f t="shared" si="26"/>
        <v>0.26930971693925332</v>
      </c>
      <c r="O278" s="13">
        <f t="shared" si="27"/>
        <v>0.26845881735966642</v>
      </c>
      <c r="P278" s="11">
        <f t="shared" si="28"/>
        <v>1.4919758318434633E-2</v>
      </c>
      <c r="Q278" s="11">
        <f t="shared" si="29"/>
        <v>3.0604305179001975E-2</v>
      </c>
      <c r="R278" s="11">
        <f t="shared" si="30"/>
        <v>4.0935076974766504E-2</v>
      </c>
      <c r="S278" s="11">
        <f t="shared" si="31"/>
        <v>3.6241940343554969E-2</v>
      </c>
    </row>
    <row r="279" spans="11:19">
      <c r="K279" t="s">
        <v>522</v>
      </c>
      <c r="L279">
        <v>1009832</v>
      </c>
      <c r="M279">
        <v>7560203</v>
      </c>
      <c r="N279" s="13">
        <f t="shared" si="26"/>
        <v>0.47390145083538643</v>
      </c>
      <c r="O279" s="13">
        <f t="shared" si="27"/>
        <v>0.47240413187540109</v>
      </c>
      <c r="P279" s="11">
        <f t="shared" si="28"/>
        <v>2.6254140376280408E-2</v>
      </c>
      <c r="Q279" s="11">
        <f t="shared" si="29"/>
        <v>5.3854071033795727E-2</v>
      </c>
      <c r="R279" s="11">
        <f t="shared" si="30"/>
        <v>7.2033020526978742E-2</v>
      </c>
      <c r="S279" s="11">
        <f t="shared" si="31"/>
        <v>6.3774557803179158E-2</v>
      </c>
    </row>
    <row r="280" spans="11:19">
      <c r="K280" t="s">
        <v>523</v>
      </c>
      <c r="L280">
        <v>916037</v>
      </c>
      <c r="M280">
        <v>2611001</v>
      </c>
      <c r="N280" s="13">
        <f t="shared" si="26"/>
        <v>0.18042542309972195</v>
      </c>
      <c r="O280" s="13">
        <f t="shared" si="27"/>
        <v>0.17985535857176077</v>
      </c>
      <c r="P280" s="11">
        <f t="shared" si="28"/>
        <v>9.9955684397245951E-3</v>
      </c>
      <c r="Q280" s="11">
        <f t="shared" si="29"/>
        <v>2.050351087718073E-2</v>
      </c>
      <c r="R280" s="11">
        <f t="shared" si="30"/>
        <v>2.7424664311157736E-2</v>
      </c>
      <c r="S280" s="11">
        <f t="shared" si="31"/>
        <v>2.4280473407187704E-2</v>
      </c>
    </row>
    <row r="281" spans="11:19">
      <c r="K281" t="s">
        <v>524</v>
      </c>
      <c r="L281">
        <v>208902</v>
      </c>
      <c r="M281">
        <v>236131</v>
      </c>
      <c r="N281" s="13">
        <f t="shared" si="26"/>
        <v>7.1550738145158971E-2</v>
      </c>
      <c r="O281" s="13">
        <f t="shared" si="27"/>
        <v>7.1324669462235882E-2</v>
      </c>
      <c r="P281" s="11">
        <f t="shared" si="28"/>
        <v>3.9639108932418071E-3</v>
      </c>
      <c r="Q281" s="11">
        <f t="shared" si="29"/>
        <v>8.1310123186948916E-3</v>
      </c>
      <c r="R281" s="11">
        <f t="shared" si="30"/>
        <v>1.0875712198064163E-2</v>
      </c>
      <c r="S281" s="11">
        <f t="shared" si="31"/>
        <v>9.6288303774018438E-3</v>
      </c>
    </row>
    <row r="282" spans="11:19">
      <c r="K282" t="s">
        <v>525</v>
      </c>
      <c r="L282">
        <v>292833</v>
      </c>
      <c r="M282">
        <v>1066067</v>
      </c>
      <c r="N282" s="13">
        <f t="shared" si="26"/>
        <v>0.2304454795053836</v>
      </c>
      <c r="O282" s="13">
        <f t="shared" si="27"/>
        <v>0.22971737372495588</v>
      </c>
      <c r="P282" s="11">
        <f t="shared" si="28"/>
        <v>1.2766679564598251E-2</v>
      </c>
      <c r="Q282" s="11">
        <f t="shared" si="29"/>
        <v>2.618778060464497E-2</v>
      </c>
      <c r="R282" s="11">
        <f t="shared" si="30"/>
        <v>3.5027712884818304E-2</v>
      </c>
      <c r="S282" s="11">
        <f t="shared" si="31"/>
        <v>3.1011845452869044E-2</v>
      </c>
    </row>
    <row r="283" spans="11:19">
      <c r="K283" t="s">
        <v>526</v>
      </c>
      <c r="L283">
        <v>114256</v>
      </c>
      <c r="M283">
        <v>359433</v>
      </c>
      <c r="N283" s="13">
        <f t="shared" si="26"/>
        <v>0.19913272738411986</v>
      </c>
      <c r="O283" s="13">
        <f t="shared" si="27"/>
        <v>0.1985035560495729</v>
      </c>
      <c r="P283" s="11">
        <f t="shared" si="28"/>
        <v>1.103195309708024E-2</v>
      </c>
      <c r="Q283" s="11">
        <f t="shared" si="29"/>
        <v>2.2629405389651313E-2</v>
      </c>
      <c r="R283" s="11">
        <f t="shared" si="30"/>
        <v>3.0268174562386216E-2</v>
      </c>
      <c r="S283" s="11">
        <f t="shared" si="31"/>
        <v>2.6797980066692342E-2</v>
      </c>
    </row>
    <row r="284" spans="11:19">
      <c r="K284" t="s">
        <v>527</v>
      </c>
      <c r="L284">
        <v>1670225</v>
      </c>
      <c r="M284" s="14">
        <v>12100000</v>
      </c>
      <c r="N284" s="13">
        <f t="shared" si="26"/>
        <v>0.45857893397596128</v>
      </c>
      <c r="O284" s="13">
        <f t="shared" si="27"/>
        <v>0.45713002739151914</v>
      </c>
      <c r="P284" s="11">
        <f t="shared" si="28"/>
        <v>2.5405272942268253E-2</v>
      </c>
      <c r="Q284" s="11">
        <f t="shared" si="29"/>
        <v>5.2112823122633184E-2</v>
      </c>
      <c r="R284" s="11">
        <f t="shared" si="30"/>
        <v>6.9703997964346107E-2</v>
      </c>
      <c r="S284" s="11">
        <f t="shared" si="31"/>
        <v>6.171255369785509E-2</v>
      </c>
    </row>
    <row r="285" spans="11:19">
      <c r="K285" t="s">
        <v>528</v>
      </c>
      <c r="L285">
        <v>422343</v>
      </c>
      <c r="M285">
        <v>1484454</v>
      </c>
      <c r="N285" s="13">
        <f t="shared" si="26"/>
        <v>0.22248726319602785</v>
      </c>
      <c r="O285" s="13">
        <f t="shared" si="27"/>
        <v>0.22178430185891562</v>
      </c>
      <c r="P285" s="11">
        <f t="shared" si="28"/>
        <v>1.2325794381059943E-2</v>
      </c>
      <c r="Q285" s="11">
        <f t="shared" si="29"/>
        <v>2.5283410411916382E-2</v>
      </c>
      <c r="R285" s="11">
        <f t="shared" si="30"/>
        <v>3.3818064005796233E-2</v>
      </c>
      <c r="S285" s="11">
        <f t="shared" si="31"/>
        <v>2.9940880750953611E-2</v>
      </c>
    </row>
    <row r="286" spans="11:19">
      <c r="K286" t="s">
        <v>529</v>
      </c>
      <c r="L286">
        <v>230849</v>
      </c>
      <c r="M286">
        <v>774477</v>
      </c>
      <c r="N286" s="13">
        <f t="shared" si="26"/>
        <v>0.21236563337939515</v>
      </c>
      <c r="O286" s="13">
        <f t="shared" si="27"/>
        <v>0.21169465191532127</v>
      </c>
      <c r="P286" s="11">
        <f t="shared" si="28"/>
        <v>1.1765056089218491E-2</v>
      </c>
      <c r="Q286" s="11">
        <f t="shared" si="29"/>
        <v>2.4133190318346626E-2</v>
      </c>
      <c r="R286" s="11">
        <f t="shared" si="30"/>
        <v>3.2279576273668065E-2</v>
      </c>
      <c r="S286" s="11">
        <f t="shared" si="31"/>
        <v>2.8578778008568374E-2</v>
      </c>
    </row>
    <row r="287" spans="11:19">
      <c r="K287" t="s">
        <v>337</v>
      </c>
      <c r="L287">
        <v>5377936</v>
      </c>
      <c r="M287" s="14">
        <v>120000000</v>
      </c>
      <c r="N287" s="13">
        <f t="shared" si="26"/>
        <v>1.4124377828222574</v>
      </c>
      <c r="O287" s="13">
        <f t="shared" si="27"/>
        <v>1.4079751042035458</v>
      </c>
      <c r="P287" s="11">
        <f t="shared" si="28"/>
        <v>7.8249053168353053E-2</v>
      </c>
      <c r="Q287" s="11">
        <f t="shared" si="29"/>
        <v>0.16050916187920422</v>
      </c>
      <c r="R287" s="11">
        <f t="shared" si="30"/>
        <v>0.21469054298898313</v>
      </c>
      <c r="S287" s="11">
        <f t="shared" si="31"/>
        <v>0.19007663906747868</v>
      </c>
    </row>
    <row r="288" spans="11:19">
      <c r="K288" t="s">
        <v>530</v>
      </c>
      <c r="L288">
        <v>163659</v>
      </c>
      <c r="M288">
        <v>621321</v>
      </c>
      <c r="N288" s="13">
        <f t="shared" si="26"/>
        <v>0.24031443000384944</v>
      </c>
      <c r="O288" s="13">
        <f t="shared" si="27"/>
        <v>0.2395551427052591</v>
      </c>
      <c r="P288" s="11">
        <f t="shared" si="28"/>
        <v>1.3313419422213259E-2</v>
      </c>
      <c r="Q288" s="11">
        <f t="shared" si="29"/>
        <v>2.7309286268399537E-2</v>
      </c>
      <c r="R288" s="11">
        <f t="shared" si="30"/>
        <v>3.6527793360585113E-2</v>
      </c>
      <c r="S288" s="11">
        <f t="shared" si="31"/>
        <v>3.2339944265209981E-2</v>
      </c>
    </row>
    <row r="289" spans="11:19">
      <c r="K289" t="s">
        <v>531</v>
      </c>
      <c r="L289">
        <v>131043</v>
      </c>
      <c r="M289">
        <v>569706</v>
      </c>
      <c r="N289" s="13">
        <f t="shared" si="26"/>
        <v>0.27519508710881158</v>
      </c>
      <c r="O289" s="13">
        <f t="shared" si="27"/>
        <v>0.27432559236281223</v>
      </c>
      <c r="P289" s="11">
        <f t="shared" si="28"/>
        <v>1.5245807825828161E-2</v>
      </c>
      <c r="Q289" s="11">
        <f t="shared" si="29"/>
        <v>3.1273117529360593E-2</v>
      </c>
      <c r="R289" s="11">
        <f t="shared" si="30"/>
        <v>4.1829653240539361E-2</v>
      </c>
      <c r="S289" s="11">
        <f t="shared" si="31"/>
        <v>3.7033954968979654E-2</v>
      </c>
    </row>
    <row r="290" spans="11:19">
      <c r="K290" t="s">
        <v>532</v>
      </c>
      <c r="L290">
        <v>108301</v>
      </c>
      <c r="M290">
        <v>1697195</v>
      </c>
      <c r="N290" s="13">
        <f t="shared" si="26"/>
        <v>0.99198016177135928</v>
      </c>
      <c r="O290" s="13">
        <f t="shared" si="27"/>
        <v>0.98884594325075481</v>
      </c>
      <c r="P290" s="11">
        <f t="shared" si="28"/>
        <v>5.49557009621333E-2</v>
      </c>
      <c r="Q290" s="11">
        <f t="shared" si="29"/>
        <v>0.11272843753058605</v>
      </c>
      <c r="R290" s="11">
        <f t="shared" si="30"/>
        <v>0.1507809845892466</v>
      </c>
      <c r="S290" s="11">
        <f t="shared" si="31"/>
        <v>0.1334942023388519</v>
      </c>
    </row>
    <row r="291" spans="11:19">
      <c r="K291" t="s">
        <v>533</v>
      </c>
      <c r="L291">
        <v>144986</v>
      </c>
      <c r="M291">
        <v>672019</v>
      </c>
      <c r="N291" s="13">
        <f t="shared" ref="N291:N298" si="32">+M291/L291*$B$25</f>
        <v>0.29339938131957566</v>
      </c>
      <c r="O291" s="13">
        <f t="shared" ref="O291:O298" si="33">+M291/L291*$C$25</f>
        <v>0.29247236905632273</v>
      </c>
      <c r="P291" s="11">
        <f t="shared" ref="P291:P298" si="34">+N291*$B$12</f>
        <v>1.625432572510449E-2</v>
      </c>
      <c r="Q291" s="11">
        <f t="shared" ref="Q291:Q298" si="35">+O291*$D$12</f>
        <v>3.3341850072420791E-2</v>
      </c>
      <c r="R291" s="11">
        <f t="shared" ref="R291:R298" si="36">+N291*$C$12</f>
        <v>4.4596705960575501E-2</v>
      </c>
      <c r="S291" s="11">
        <f t="shared" ref="S291:S298" si="37">+O291*$E$12</f>
        <v>3.948376982260357E-2</v>
      </c>
    </row>
    <row r="292" spans="11:19">
      <c r="K292" t="s">
        <v>534</v>
      </c>
      <c r="L292">
        <v>603205</v>
      </c>
      <c r="M292">
        <v>1597108</v>
      </c>
      <c r="N292" s="13">
        <f t="shared" si="32"/>
        <v>0.16759963262903987</v>
      </c>
      <c r="O292" s="13">
        <f t="shared" si="33"/>
        <v>0.1670700919256306</v>
      </c>
      <c r="P292" s="11">
        <f t="shared" si="34"/>
        <v>9.2850196476488081E-3</v>
      </c>
      <c r="Q292" s="11">
        <f t="shared" si="35"/>
        <v>1.904599047952189E-2</v>
      </c>
      <c r="R292" s="11">
        <f t="shared" si="36"/>
        <v>2.547514415961406E-2</v>
      </c>
      <c r="S292" s="11">
        <f t="shared" si="37"/>
        <v>2.2554462409960133E-2</v>
      </c>
    </row>
    <row r="293" spans="11:19">
      <c r="K293" t="s">
        <v>535</v>
      </c>
      <c r="L293">
        <v>116666</v>
      </c>
      <c r="M293">
        <v>818180</v>
      </c>
      <c r="N293" s="13">
        <f t="shared" si="32"/>
        <v>0.44392362813501784</v>
      </c>
      <c r="O293" s="13">
        <f t="shared" si="33"/>
        <v>0.44252102583443337</v>
      </c>
      <c r="P293" s="11">
        <f t="shared" si="34"/>
        <v>2.4593368998679987E-2</v>
      </c>
      <c r="Q293" s="11">
        <f t="shared" si="35"/>
        <v>5.0447396945125407E-2</v>
      </c>
      <c r="R293" s="11">
        <f t="shared" si="36"/>
        <v>6.7476391476522707E-2</v>
      </c>
      <c r="S293" s="11">
        <f t="shared" si="37"/>
        <v>5.9740338487648509E-2</v>
      </c>
    </row>
    <row r="294" spans="11:19">
      <c r="K294" t="s">
        <v>536</v>
      </c>
      <c r="L294">
        <v>234881</v>
      </c>
      <c r="M294">
        <v>830972</v>
      </c>
      <c r="N294" s="13">
        <f t="shared" si="32"/>
        <v>0.22394543449661741</v>
      </c>
      <c r="O294" s="13">
        <f t="shared" si="33"/>
        <v>0.22323786598320003</v>
      </c>
      <c r="P294" s="11">
        <f t="shared" si="34"/>
        <v>1.2406577071112604E-2</v>
      </c>
      <c r="Q294" s="11">
        <f t="shared" si="35"/>
        <v>2.5449116722084806E-2</v>
      </c>
      <c r="R294" s="11">
        <f t="shared" si="36"/>
        <v>3.4039706043485843E-2</v>
      </c>
      <c r="S294" s="11">
        <f t="shared" si="37"/>
        <v>3.0137111907732005E-2</v>
      </c>
    </row>
    <row r="295" spans="11:19">
      <c r="K295" t="s">
        <v>537</v>
      </c>
      <c r="L295">
        <v>425766</v>
      </c>
      <c r="M295">
        <v>1358543</v>
      </c>
      <c r="N295" s="13">
        <f t="shared" si="32"/>
        <v>0.20197895534166654</v>
      </c>
      <c r="O295" s="13">
        <f t="shared" si="33"/>
        <v>0.20134079118576872</v>
      </c>
      <c r="P295" s="11">
        <f t="shared" si="34"/>
        <v>1.1189634125928325E-2</v>
      </c>
      <c r="Q295" s="11">
        <f t="shared" si="35"/>
        <v>2.2952850195177635E-2</v>
      </c>
      <c r="R295" s="11">
        <f t="shared" si="36"/>
        <v>3.0700801211933314E-2</v>
      </c>
      <c r="S295" s="11">
        <f t="shared" si="37"/>
        <v>2.7181006810078779E-2</v>
      </c>
    </row>
    <row r="296" spans="11:19">
      <c r="K296" t="s">
        <v>538</v>
      </c>
      <c r="L296">
        <v>566425</v>
      </c>
      <c r="M296">
        <v>690687</v>
      </c>
      <c r="N296" s="13">
        <f t="shared" si="32"/>
        <v>7.7186718630003967E-2</v>
      </c>
      <c r="O296" s="13">
        <f t="shared" si="33"/>
        <v>7.6942842741757514E-2</v>
      </c>
      <c r="P296" s="11">
        <f t="shared" si="34"/>
        <v>4.2761442121022194E-3</v>
      </c>
      <c r="Q296" s="11">
        <f t="shared" si="35"/>
        <v>8.7714840725603566E-3</v>
      </c>
      <c r="R296" s="11">
        <f t="shared" si="36"/>
        <v>1.1732381231760602E-2</v>
      </c>
      <c r="S296" s="11">
        <f t="shared" si="37"/>
        <v>1.0387283770137265E-2</v>
      </c>
    </row>
    <row r="297" spans="11:19">
      <c r="K297" t="s">
        <v>539</v>
      </c>
      <c r="L297">
        <v>164992</v>
      </c>
      <c r="M297">
        <v>818525</v>
      </c>
      <c r="N297" s="13">
        <f t="shared" si="32"/>
        <v>0.31403118029965083</v>
      </c>
      <c r="O297" s="13">
        <f t="shared" si="33"/>
        <v>0.31303898067785102</v>
      </c>
      <c r="P297" s="11">
        <f t="shared" si="34"/>
        <v>1.7397327388600656E-2</v>
      </c>
      <c r="Q297" s="11">
        <f t="shared" si="35"/>
        <v>3.5686443797275015E-2</v>
      </c>
      <c r="R297" s="11">
        <f t="shared" si="36"/>
        <v>4.7732739405546926E-2</v>
      </c>
      <c r="S297" s="11">
        <f t="shared" si="37"/>
        <v>4.2260262391509894E-2</v>
      </c>
    </row>
    <row r="298" spans="11:19">
      <c r="K298" t="s">
        <v>540</v>
      </c>
      <c r="L298">
        <v>193299</v>
      </c>
      <c r="M298">
        <v>544762</v>
      </c>
      <c r="N298" s="13">
        <f t="shared" si="32"/>
        <v>0.1783942731209163</v>
      </c>
      <c r="O298" s="13">
        <f t="shared" si="33"/>
        <v>0.17783062612843317</v>
      </c>
      <c r="P298" s="11">
        <f t="shared" si="34"/>
        <v>9.8830427308987633E-3</v>
      </c>
      <c r="Q298" s="11">
        <f t="shared" si="35"/>
        <v>2.0272691378641381E-2</v>
      </c>
      <c r="R298" s="11">
        <f t="shared" si="36"/>
        <v>2.7115929514379276E-2</v>
      </c>
      <c r="S298" s="11">
        <f t="shared" si="37"/>
        <v>2.4007134527338481E-2</v>
      </c>
    </row>
    <row r="299" spans="11:19">
      <c r="K299" s="3"/>
      <c r="L299" s="3"/>
      <c r="M299" s="14"/>
    </row>
    <row r="300" spans="11:19">
      <c r="K300" s="3"/>
      <c r="L300" s="3"/>
      <c r="M300" s="3"/>
    </row>
    <row r="301" spans="11:19">
      <c r="L301" s="3"/>
      <c r="M301" s="3"/>
    </row>
    <row r="302" spans="11:19">
      <c r="L302" s="3"/>
      <c r="M302" s="3"/>
    </row>
    <row r="303" spans="11:19">
      <c r="L303" s="3"/>
    </row>
    <row r="304" spans="11:19">
      <c r="L304" s="3"/>
    </row>
    <row r="305" spans="12:13">
      <c r="L305" s="3"/>
      <c r="M305" s="14"/>
    </row>
    <row r="306" spans="12:13">
      <c r="L306" s="3"/>
      <c r="M306" s="14"/>
    </row>
    <row r="307" spans="12:13">
      <c r="L307" s="3"/>
    </row>
    <row r="308" spans="12:13">
      <c r="L308" s="3"/>
    </row>
    <row r="309" spans="12:13">
      <c r="L309" s="3"/>
    </row>
    <row r="310" spans="12:13">
      <c r="L310" s="3"/>
    </row>
    <row r="311" spans="12:13">
      <c r="L311" s="3"/>
    </row>
    <row r="312" spans="12:13">
      <c r="L312" s="3"/>
    </row>
    <row r="313" spans="12:13">
      <c r="L313" s="3"/>
    </row>
    <row r="314" spans="12:13">
      <c r="L314" s="3"/>
    </row>
    <row r="315" spans="12:13">
      <c r="L315" s="3"/>
    </row>
    <row r="316" spans="12:13">
      <c r="L316" s="3"/>
    </row>
    <row r="317" spans="12:13">
      <c r="L317" s="3"/>
    </row>
    <row r="318" spans="12:13">
      <c r="L318" s="3"/>
    </row>
    <row r="319" spans="12:13">
      <c r="L319" s="3"/>
    </row>
    <row r="320" spans="12:13">
      <c r="L320" s="3"/>
    </row>
    <row r="321" spans="12:13">
      <c r="L321" s="3"/>
    </row>
    <row r="322" spans="12:13">
      <c r="L322" s="3"/>
    </row>
    <row r="323" spans="12:13">
      <c r="L323" s="3"/>
    </row>
    <row r="324" spans="12:13">
      <c r="L324" s="3"/>
    </row>
    <row r="325" spans="12:13">
      <c r="L325" s="3"/>
      <c r="M325" s="14"/>
    </row>
    <row r="326" spans="12:13">
      <c r="L326" s="3"/>
    </row>
    <row r="327" spans="12:13">
      <c r="L327" s="3"/>
    </row>
    <row r="328" spans="12:13">
      <c r="L328" s="3"/>
    </row>
    <row r="329" spans="12:13">
      <c r="L329" s="3"/>
      <c r="M329" s="14"/>
    </row>
    <row r="330" spans="12:13">
      <c r="L330" s="3"/>
    </row>
    <row r="331" spans="12:13">
      <c r="L331" s="3"/>
    </row>
    <row r="332" spans="12:13">
      <c r="L332" s="3"/>
    </row>
    <row r="333" spans="12:13">
      <c r="L333" s="3"/>
      <c r="M333" s="14"/>
    </row>
    <row r="334" spans="12:13">
      <c r="L334" s="3"/>
    </row>
    <row r="335" spans="12:13">
      <c r="L335" s="3"/>
      <c r="M335" s="14"/>
    </row>
    <row r="336" spans="12:13">
      <c r="L336" s="3"/>
    </row>
    <row r="337" spans="2:13">
      <c r="L337" s="3"/>
    </row>
    <row r="338" spans="2:13">
      <c r="L338" s="3"/>
    </row>
    <row r="340" spans="2:13">
      <c r="B340" s="3"/>
      <c r="M340" s="14"/>
    </row>
    <row r="341" spans="2:13">
      <c r="B341" s="3"/>
      <c r="M341" s="14"/>
    </row>
    <row r="342" spans="2:13">
      <c r="B342" s="3"/>
    </row>
    <row r="343" spans="2:13">
      <c r="B343" s="3"/>
    </row>
    <row r="344" spans="2:13">
      <c r="B344" s="3"/>
    </row>
    <row r="345" spans="2:13">
      <c r="B345" s="3"/>
    </row>
    <row r="346" spans="2:13">
      <c r="B346" s="3"/>
    </row>
    <row r="347" spans="2:13">
      <c r="B347" s="3"/>
    </row>
    <row r="348" spans="2:13">
      <c r="B348" s="3"/>
    </row>
    <row r="349" spans="2:13">
      <c r="B349" s="3"/>
      <c r="M349" s="14"/>
    </row>
    <row r="350" spans="2:13">
      <c r="B350" s="3"/>
    </row>
    <row r="351" spans="2:13">
      <c r="B351" s="3"/>
    </row>
    <row r="352" spans="2:13">
      <c r="B352" s="3"/>
      <c r="M352" s="14"/>
    </row>
    <row r="353" spans="2:13">
      <c r="B353" s="3"/>
      <c r="M353" s="14"/>
    </row>
    <row r="354" spans="2:13">
      <c r="B354" s="3"/>
    </row>
    <row r="355" spans="2:13">
      <c r="B355" s="3"/>
    </row>
    <row r="356" spans="2:13">
      <c r="B356" s="3"/>
    </row>
    <row r="357" spans="2:13">
      <c r="B357" s="3"/>
    </row>
    <row r="358" spans="2:13">
      <c r="B358" s="3"/>
    </row>
    <row r="359" spans="2:13">
      <c r="B359" s="3"/>
      <c r="L359" s="3"/>
    </row>
    <row r="360" spans="2:13">
      <c r="B360" s="3"/>
      <c r="K360" s="3"/>
      <c r="L360" s="3"/>
      <c r="M360" s="3"/>
    </row>
    <row r="361" spans="2:13">
      <c r="B361" s="3"/>
      <c r="L361" s="3"/>
    </row>
    <row r="362" spans="2:13">
      <c r="B362" s="3"/>
      <c r="L362" s="3"/>
    </row>
    <row r="363" spans="2:13">
      <c r="B363" s="3"/>
    </row>
    <row r="364" spans="2:13">
      <c r="B364" s="3"/>
    </row>
    <row r="365" spans="2:13">
      <c r="B365" s="3"/>
    </row>
    <row r="366" spans="2:13">
      <c r="B366" s="3"/>
    </row>
    <row r="367" spans="2:13">
      <c r="B367" s="3"/>
    </row>
    <row r="368" spans="2:13">
      <c r="B368" s="3"/>
    </row>
    <row r="369" spans="2:2">
      <c r="B369" s="3"/>
    </row>
    <row r="370" spans="2:2">
      <c r="B370" s="3"/>
    </row>
    <row r="371" spans="2:2">
      <c r="B371" s="3"/>
    </row>
    <row r="372" spans="2:2">
      <c r="B372" s="3"/>
    </row>
    <row r="373" spans="2:2">
      <c r="B373" s="3"/>
    </row>
    <row r="374" spans="2:2">
      <c r="B374" s="3"/>
    </row>
    <row r="375" spans="2:2">
      <c r="B375" s="3"/>
    </row>
    <row r="376" spans="2:2">
      <c r="B376" s="3"/>
    </row>
    <row r="377" spans="2:2">
      <c r="B377" s="3"/>
    </row>
    <row r="378" spans="2:2">
      <c r="B378" s="3"/>
    </row>
    <row r="379" spans="2:2">
      <c r="B379" s="3"/>
    </row>
  </sheetData>
  <mergeCells count="10">
    <mergeCell ref="B15:C15"/>
    <mergeCell ref="D15:E15"/>
    <mergeCell ref="F31:I31"/>
    <mergeCell ref="P31:S31"/>
    <mergeCell ref="D32:E32"/>
    <mergeCell ref="F32:G32"/>
    <mergeCell ref="H32:I32"/>
    <mergeCell ref="N32:O32"/>
    <mergeCell ref="P32:Q32"/>
    <mergeCell ref="R32:S32"/>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dimension ref="A1:DB455"/>
  <sheetViews>
    <sheetView workbookViewId="0"/>
  </sheetViews>
  <sheetFormatPr defaultRowHeight="15"/>
  <cols>
    <col min="1" max="1" width="46" customWidth="1"/>
    <col min="2" max="2" width="21.140625" customWidth="1"/>
    <col min="3" max="3" width="13.5703125" customWidth="1"/>
    <col min="4" max="4" width="13.85546875" customWidth="1"/>
    <col min="5" max="5" width="26" customWidth="1"/>
    <col min="6" max="7" width="13.85546875" customWidth="1"/>
    <col min="8" max="8" width="13.5703125" customWidth="1"/>
    <col min="9" max="9" width="11" customWidth="1"/>
    <col min="10" max="10" width="10.85546875" customWidth="1"/>
    <col min="11" max="11" width="10.140625" customWidth="1"/>
    <col min="12" max="12" width="10.42578125" customWidth="1"/>
    <col min="13" max="13" width="12.140625" customWidth="1"/>
    <col min="14" max="14" width="17.140625" customWidth="1"/>
    <col min="15" max="15" width="19" customWidth="1"/>
    <col min="16" max="16" width="17.140625" customWidth="1"/>
    <col min="17" max="17" width="19" customWidth="1"/>
    <col min="18" max="20" width="18.140625" customWidth="1"/>
    <col min="23" max="23" width="35.42578125" customWidth="1"/>
    <col min="24" max="24" width="19.7109375" customWidth="1"/>
    <col min="25" max="25" width="17.7109375" customWidth="1"/>
    <col min="26" max="26" width="16.42578125" customWidth="1"/>
    <col min="27" max="27" width="16.28515625" customWidth="1"/>
    <col min="28" max="28" width="15.85546875" customWidth="1"/>
    <col min="29" max="29" width="16.7109375" customWidth="1"/>
    <col min="30" max="30" width="13.5703125" customWidth="1"/>
    <col min="31" max="31" width="11" customWidth="1"/>
    <col min="32" max="32" width="10.140625" customWidth="1"/>
    <col min="33" max="33" width="10.28515625" customWidth="1"/>
    <col min="34" max="34" width="9.140625" customWidth="1"/>
    <col min="35" max="35" width="10.28515625" customWidth="1"/>
    <col min="36" max="36" width="13.5703125" customWidth="1"/>
    <col min="37" max="37" width="19" customWidth="1"/>
    <col min="38" max="38" width="16" customWidth="1"/>
    <col min="39" max="42" width="16.85546875" customWidth="1"/>
    <col min="44" max="45" width="8.85546875" style="52"/>
    <col min="46" max="46" width="46" customWidth="1"/>
    <col min="50" max="50" width="13.140625" customWidth="1"/>
    <col min="51" max="57" width="17.85546875" customWidth="1"/>
    <col min="60" max="60" width="35.42578125" customWidth="1"/>
    <col min="61" max="61" width="19.7109375" customWidth="1"/>
    <col min="62" max="62" width="17.7109375" customWidth="1"/>
    <col min="63" max="63" width="16.42578125" customWidth="1"/>
    <col min="64" max="64" width="16.28515625" customWidth="1"/>
    <col min="65" max="65" width="15.85546875" customWidth="1"/>
    <col min="66" max="66" width="16.7109375" customWidth="1"/>
    <col min="67" max="67" width="13.5703125" customWidth="1"/>
    <col min="68" max="68" width="11" customWidth="1"/>
    <col min="69" max="69" width="10.140625" customWidth="1"/>
    <col min="70" max="70" width="10.28515625" customWidth="1"/>
    <col min="71" max="71" width="9.140625" customWidth="1"/>
    <col min="72" max="72" width="10.28515625" customWidth="1"/>
    <col min="73" max="73" width="13.5703125" customWidth="1"/>
    <col min="74" max="74" width="19" customWidth="1"/>
    <col min="75" max="75" width="16" customWidth="1"/>
    <col min="76" max="79" width="16.85546875" customWidth="1"/>
  </cols>
  <sheetData>
    <row r="1" spans="1:106">
      <c r="A1" s="3"/>
      <c r="B1" t="s">
        <v>572</v>
      </c>
      <c r="C1" s="29">
        <v>0.01</v>
      </c>
      <c r="Y1" s="10"/>
      <c r="AT1" s="3"/>
      <c r="AU1" s="30" t="s">
        <v>783</v>
      </c>
      <c r="BJ1" s="10"/>
      <c r="CD1" t="s">
        <v>1275</v>
      </c>
      <c r="CQ1" t="s">
        <v>273</v>
      </c>
    </row>
    <row r="2" spans="1:106" ht="57.6" customHeight="1">
      <c r="A2" s="3"/>
      <c r="J2" s="30" t="s">
        <v>777</v>
      </c>
      <c r="N2" s="39" t="s">
        <v>778</v>
      </c>
      <c r="O2" s="39" t="s">
        <v>569</v>
      </c>
      <c r="P2" s="39" t="s">
        <v>778</v>
      </c>
      <c r="Q2" s="39" t="s">
        <v>569</v>
      </c>
      <c r="R2" s="39" t="s">
        <v>779</v>
      </c>
      <c r="S2" s="39" t="s">
        <v>580</v>
      </c>
      <c r="T2" s="39" t="s">
        <v>779</v>
      </c>
      <c r="U2" s="39" t="s">
        <v>580</v>
      </c>
      <c r="AF2" s="263" t="s">
        <v>780</v>
      </c>
      <c r="AG2" s="261"/>
      <c r="AH2" s="261"/>
      <c r="AI2" s="261"/>
      <c r="AJ2" s="39" t="s">
        <v>781</v>
      </c>
      <c r="AK2" s="39" t="s">
        <v>569</v>
      </c>
      <c r="AL2" s="39" t="s">
        <v>781</v>
      </c>
      <c r="AM2" s="39" t="s">
        <v>569</v>
      </c>
      <c r="AN2" s="39" t="s">
        <v>782</v>
      </c>
      <c r="AO2" s="39" t="s">
        <v>580</v>
      </c>
      <c r="AP2" s="39" t="s">
        <v>782</v>
      </c>
      <c r="AQ2" s="39" t="s">
        <v>580</v>
      </c>
      <c r="AR2" s="46"/>
      <c r="AS2" s="46"/>
      <c r="AT2" s="3"/>
      <c r="AU2" s="264" t="s">
        <v>865</v>
      </c>
      <c r="AV2" s="261"/>
      <c r="AW2" s="261"/>
      <c r="AX2" s="261"/>
      <c r="AY2" s="39" t="s">
        <v>1273</v>
      </c>
      <c r="AZ2" s="39" t="s">
        <v>569</v>
      </c>
      <c r="BA2" s="39" t="s">
        <v>1273</v>
      </c>
      <c r="BB2" s="39" t="s">
        <v>569</v>
      </c>
      <c r="BC2" s="39" t="s">
        <v>1274</v>
      </c>
      <c r="BD2" s="39" t="s">
        <v>580</v>
      </c>
      <c r="BE2" s="39" t="s">
        <v>1274</v>
      </c>
      <c r="BF2" s="39" t="s">
        <v>580</v>
      </c>
      <c r="BQ2" s="263" t="s">
        <v>864</v>
      </c>
      <c r="BR2" s="261"/>
      <c r="BS2" s="261"/>
      <c r="BT2" s="261"/>
      <c r="BU2" s="39" t="s">
        <v>781</v>
      </c>
      <c r="BV2" s="39" t="s">
        <v>569</v>
      </c>
      <c r="BW2" s="39" t="s">
        <v>781</v>
      </c>
      <c r="BX2" s="39" t="s">
        <v>569</v>
      </c>
      <c r="BY2" s="39" t="s">
        <v>782</v>
      </c>
      <c r="BZ2" s="39" t="s">
        <v>580</v>
      </c>
      <c r="CA2" s="39" t="s">
        <v>782</v>
      </c>
      <c r="CB2" s="39" t="s">
        <v>580</v>
      </c>
      <c r="CD2" s="265" t="s">
        <v>1271</v>
      </c>
      <c r="CE2" s="266"/>
      <c r="CF2" s="266"/>
      <c r="CG2" s="266"/>
      <c r="CH2" s="266"/>
      <c r="CI2" s="267"/>
      <c r="CJ2" s="268" t="s">
        <v>1272</v>
      </c>
      <c r="CK2" s="261"/>
      <c r="CL2" s="261"/>
      <c r="CM2" s="261"/>
      <c r="CN2" s="261"/>
      <c r="CO2" s="261"/>
      <c r="CQ2" s="265" t="s">
        <v>1271</v>
      </c>
      <c r="CR2" s="266"/>
      <c r="CS2" s="266"/>
      <c r="CT2" s="266"/>
      <c r="CU2" s="266"/>
      <c r="CV2" s="267"/>
      <c r="CW2" s="268" t="s">
        <v>1272</v>
      </c>
      <c r="CX2" s="261"/>
      <c r="CY2" s="261"/>
      <c r="CZ2" s="261"/>
      <c r="DA2" s="261"/>
      <c r="DB2" s="261"/>
    </row>
    <row r="3" spans="1:106" ht="59.25" customHeight="1">
      <c r="A3" t="s">
        <v>571</v>
      </c>
      <c r="B3" s="3" t="s">
        <v>130</v>
      </c>
      <c r="C3" s="10" t="s">
        <v>563</v>
      </c>
      <c r="D3" s="10" t="s">
        <v>564</v>
      </c>
      <c r="E3" s="10" t="s">
        <v>565</v>
      </c>
      <c r="F3" s="10" t="s">
        <v>583</v>
      </c>
      <c r="G3" s="10" t="s">
        <v>584</v>
      </c>
      <c r="H3" s="10" t="s">
        <v>765</v>
      </c>
      <c r="I3" s="10" t="s">
        <v>567</v>
      </c>
      <c r="J3" s="43" t="s">
        <v>573</v>
      </c>
      <c r="K3" s="43" t="s">
        <v>574</v>
      </c>
      <c r="L3" s="43" t="s">
        <v>575</v>
      </c>
      <c r="M3" s="43" t="s">
        <v>576</v>
      </c>
      <c r="N3" s="43" t="s">
        <v>578</v>
      </c>
      <c r="P3" s="43" t="s">
        <v>574</v>
      </c>
      <c r="R3" s="43" t="s">
        <v>581</v>
      </c>
      <c r="T3" s="43" t="s">
        <v>582</v>
      </c>
      <c r="U3" s="43"/>
      <c r="V3" s="30"/>
      <c r="W3" s="42" t="s">
        <v>274</v>
      </c>
      <c r="X3" s="3" t="s">
        <v>130</v>
      </c>
      <c r="Y3" s="42" t="s">
        <v>563</v>
      </c>
      <c r="Z3" s="10" t="s">
        <v>564</v>
      </c>
      <c r="AA3" s="10" t="s">
        <v>565</v>
      </c>
      <c r="AB3" s="10" t="s">
        <v>583</v>
      </c>
      <c r="AC3" s="10" t="s">
        <v>584</v>
      </c>
      <c r="AD3" s="10" t="s">
        <v>272</v>
      </c>
      <c r="AE3" s="10" t="s">
        <v>567</v>
      </c>
      <c r="AF3" s="43" t="s">
        <v>573</v>
      </c>
      <c r="AG3" s="43" t="s">
        <v>574</v>
      </c>
      <c r="AH3" s="43" t="s">
        <v>575</v>
      </c>
      <c r="AI3" s="43" t="s">
        <v>576</v>
      </c>
      <c r="AJ3" s="43" t="s">
        <v>573</v>
      </c>
      <c r="AL3" s="43" t="s">
        <v>574</v>
      </c>
      <c r="AN3" s="43" t="s">
        <v>575</v>
      </c>
      <c r="AP3" s="43" t="s">
        <v>576</v>
      </c>
      <c r="AT3" t="s">
        <v>571</v>
      </c>
      <c r="AU3" s="43" t="s">
        <v>573</v>
      </c>
      <c r="AV3" s="43" t="s">
        <v>574</v>
      </c>
      <c r="AW3" s="43" t="s">
        <v>575</v>
      </c>
      <c r="AX3" s="43" t="s">
        <v>576</v>
      </c>
      <c r="AY3" s="43" t="s">
        <v>573</v>
      </c>
      <c r="BA3" s="43" t="s">
        <v>574</v>
      </c>
      <c r="BC3" s="43" t="s">
        <v>575</v>
      </c>
      <c r="BE3" s="43" t="s">
        <v>576</v>
      </c>
      <c r="BH3" s="42" t="s">
        <v>274</v>
      </c>
      <c r="BI3" s="3" t="s">
        <v>130</v>
      </c>
      <c r="BJ3" s="42" t="s">
        <v>563</v>
      </c>
      <c r="BK3" s="10" t="s">
        <v>564</v>
      </c>
      <c r="BL3" s="10" t="s">
        <v>565</v>
      </c>
      <c r="BM3" s="10" t="s">
        <v>583</v>
      </c>
      <c r="BN3" s="10" t="s">
        <v>584</v>
      </c>
      <c r="BO3" s="10" t="s">
        <v>272</v>
      </c>
      <c r="BP3" s="10" t="s">
        <v>567</v>
      </c>
      <c r="BQ3" s="43" t="s">
        <v>573</v>
      </c>
      <c r="BR3" s="43" t="s">
        <v>574</v>
      </c>
      <c r="BS3" s="43" t="s">
        <v>575</v>
      </c>
      <c r="BT3" s="43" t="s">
        <v>576</v>
      </c>
      <c r="BU3" s="43" t="s">
        <v>573</v>
      </c>
      <c r="BW3" s="43" t="s">
        <v>574</v>
      </c>
      <c r="BY3" s="43" t="s">
        <v>575</v>
      </c>
      <c r="CA3" s="43" t="s">
        <v>576</v>
      </c>
      <c r="CD3" s="72" t="s">
        <v>1265</v>
      </c>
      <c r="CE3" s="72" t="s">
        <v>1266</v>
      </c>
      <c r="CF3" s="72" t="s">
        <v>1267</v>
      </c>
      <c r="CG3" s="72" t="s">
        <v>1268</v>
      </c>
      <c r="CH3" s="72" t="s">
        <v>1269</v>
      </c>
      <c r="CI3" s="73" t="s">
        <v>1270</v>
      </c>
      <c r="CJ3" t="s">
        <v>1265</v>
      </c>
      <c r="CK3" t="s">
        <v>1266</v>
      </c>
      <c r="CL3" t="s">
        <v>1267</v>
      </c>
      <c r="CM3" t="s">
        <v>1268</v>
      </c>
      <c r="CN3" t="s">
        <v>1269</v>
      </c>
      <c r="CO3" t="s">
        <v>1270</v>
      </c>
      <c r="CQ3" s="72" t="s">
        <v>1265</v>
      </c>
      <c r="CR3" s="72" t="s">
        <v>1266</v>
      </c>
      <c r="CS3" s="72" t="s">
        <v>1267</v>
      </c>
      <c r="CT3" s="72" t="s">
        <v>1268</v>
      </c>
      <c r="CU3" s="72" t="s">
        <v>1269</v>
      </c>
      <c r="CV3" s="73" t="s">
        <v>1270</v>
      </c>
      <c r="CW3" t="s">
        <v>1265</v>
      </c>
      <c r="CX3" t="s">
        <v>1266</v>
      </c>
      <c r="CY3" t="s">
        <v>1267</v>
      </c>
      <c r="CZ3" t="s">
        <v>1268</v>
      </c>
      <c r="DA3" t="s">
        <v>1269</v>
      </c>
      <c r="DB3" t="s">
        <v>1270</v>
      </c>
    </row>
    <row r="4" spans="1:106">
      <c r="A4" s="3" t="s">
        <v>280</v>
      </c>
      <c r="B4" s="3">
        <v>5385586</v>
      </c>
      <c r="C4" s="3">
        <v>3235326</v>
      </c>
      <c r="D4" s="34">
        <v>44729.85</v>
      </c>
      <c r="E4" s="32">
        <f t="shared" ref="E4:E32" si="0">C4*D4</f>
        <v>144715646681.10001</v>
      </c>
      <c r="F4" s="32">
        <v>244325</v>
      </c>
      <c r="G4" s="37">
        <f t="shared" ref="G4:G32" si="1">+F4/B4</f>
        <v>4.5366465227739378E-2</v>
      </c>
      <c r="H4" s="50">
        <f>+'Revenue mile elasticities'!C33</f>
        <v>4349928</v>
      </c>
      <c r="I4" s="3">
        <f t="shared" ref="I4:I29" si="2">+H4*$C$1</f>
        <v>43499.28</v>
      </c>
      <c r="J4" s="16">
        <f>+'Revenue mile elasticities'!F33</f>
        <v>4.7108774983074227E-3</v>
      </c>
      <c r="K4" s="16">
        <f>+'Revenue mile elasticities'!G33</f>
        <v>1.6066858817367757E-2</v>
      </c>
      <c r="L4" s="16">
        <f>+'Revenue mile elasticities'!H33</f>
        <v>1.2925151258894013E-2</v>
      </c>
      <c r="M4" s="16">
        <f>+'Revenue mile elasticities'!I33</f>
        <v>1.9026543336356554E-2</v>
      </c>
      <c r="N4" s="32">
        <f>J4*$C$1*E4</f>
        <v>6817376.8360300129</v>
      </c>
      <c r="O4" s="35">
        <f>N4/E4</f>
        <v>4.7108774983074225E-5</v>
      </c>
      <c r="P4" s="36">
        <f>+K4*$C$1*E4</f>
        <v>23251258.638893086</v>
      </c>
      <c r="Q4" s="35">
        <f>P4/E4</f>
        <v>1.6066858817367758E-4</v>
      </c>
      <c r="R4" s="36">
        <f>+L4*$C$1*G4*1000000*B4</f>
        <v>31579375.813292798</v>
      </c>
      <c r="S4" s="33">
        <f>+R4/F4/1000000</f>
        <v>1.2925151258894014E-4</v>
      </c>
      <c r="T4" s="36">
        <f>+M4*$C$1*G4*1000000*B4</f>
        <v>46486602.006553151</v>
      </c>
      <c r="U4" s="33">
        <f>+T4/F4/1000000</f>
        <v>1.9026543336356553E-4</v>
      </c>
      <c r="V4" s="13"/>
      <c r="W4" s="3" t="s">
        <v>279</v>
      </c>
      <c r="X4" s="3">
        <v>159059</v>
      </c>
      <c r="Y4" s="3">
        <v>101226</v>
      </c>
      <c r="Z4" s="51">
        <v>30197.81</v>
      </c>
      <c r="AA4" s="32">
        <f t="shared" ref="AA4:AA67" si="3">Y4*Z4</f>
        <v>3056803515.0599999</v>
      </c>
      <c r="AB4" s="3">
        <v>4396</v>
      </c>
      <c r="AC4" s="37">
        <f t="shared" ref="AC4:AC67" si="4">+AB4/X4</f>
        <v>2.7637543301542195E-2</v>
      </c>
      <c r="AD4" s="50">
        <f>+'Revenue mile elasticities'!M33</f>
        <v>422323</v>
      </c>
      <c r="AE4" s="3">
        <f>+AD4*$C$1</f>
        <v>4223.2300000000005</v>
      </c>
      <c r="AF4" s="11">
        <f>+'Revenue mile elasticities'!P33</f>
        <v>5.330180102492033E-4</v>
      </c>
      <c r="AG4" s="11">
        <f>+'Revenue mile elasticities'!Q33</f>
        <v>2.1052784174727295E-3</v>
      </c>
      <c r="AH4" s="11">
        <f>+'Revenue mile elasticities'!R33</f>
        <v>1.4624320858822907E-3</v>
      </c>
      <c r="AI4" s="11">
        <f>+'Revenue mile elasticities'!S33</f>
        <v>2.4930928627966533E-3</v>
      </c>
      <c r="AJ4" s="32">
        <f>AA4*$C$1*AF4</f>
        <v>16293.313273200518</v>
      </c>
      <c r="AK4" s="33">
        <f>AJ4/AA4</f>
        <v>5.3301801024920332E-6</v>
      </c>
      <c r="AL4" s="40">
        <f>+AA4*$C$1*AG4</f>
        <v>64354.22466710594</v>
      </c>
      <c r="AM4" s="33">
        <f>AL4/AA4</f>
        <v>2.1052784174727297E-5</v>
      </c>
      <c r="AN4" s="40">
        <f>+AH4*$C$1*AC4*X4*1000000</f>
        <v>64288.514495385498</v>
      </c>
      <c r="AO4" s="41">
        <f>+AN4/AB4/1000000</f>
        <v>1.4624320858822907E-5</v>
      </c>
      <c r="AP4" s="40">
        <f>+AI4*AC4*X4*$C$1*1000000</f>
        <v>109596.36224854087</v>
      </c>
      <c r="AQ4" s="41">
        <f>+AP4/AB4/1000000</f>
        <v>2.4930928627966529E-5</v>
      </c>
      <c r="AR4" s="53"/>
      <c r="AS4" s="53"/>
      <c r="AT4" s="3" t="s">
        <v>280</v>
      </c>
      <c r="AU4" s="11">
        <f>+'Rev mile pop elasticities'!F34</f>
        <v>1.3513436677531469E-2</v>
      </c>
      <c r="AV4" s="11">
        <f>+'Rev mile pop elasticities'!G34</f>
        <v>2.9648984720325705E-2</v>
      </c>
      <c r="AW4" s="11">
        <f>+'Rev mile pop elasticities'!H34</f>
        <v>3.7076577165790311E-2</v>
      </c>
      <c r="AX4" s="11">
        <f>+'Rev mile pop elasticities'!I34</f>
        <v>3.5110639800385701E-2</v>
      </c>
      <c r="AY4" s="32">
        <f>E4*$C$1*AU4</f>
        <v>19556057.276730619</v>
      </c>
      <c r="AZ4" s="33">
        <f>AY4/E4</f>
        <v>1.3513436677531468E-4</v>
      </c>
      <c r="BA4" s="40">
        <f>+E4*$C$1*AV4</f>
        <v>42906719.972399876</v>
      </c>
      <c r="BB4" s="33">
        <f>BA4/E4</f>
        <v>2.9648984720325708E-4</v>
      </c>
      <c r="BC4" s="40">
        <f>+AW4*$C$1*B4*G4*1000000</f>
        <v>90587347.160317183</v>
      </c>
      <c r="BD4" s="41">
        <f>+BC4/F4/1000000</f>
        <v>3.7076577165790316E-4</v>
      </c>
      <c r="BE4" s="40">
        <f>+AX4*B4*G4*$C$1*1000000</f>
        <v>85784070.692292377</v>
      </c>
      <c r="BF4" s="41">
        <f>+BE4/F4/1000000</f>
        <v>3.5110639800385704E-4</v>
      </c>
      <c r="BH4" s="3" t="s">
        <v>279</v>
      </c>
      <c r="BI4" s="3">
        <v>159059</v>
      </c>
      <c r="BJ4" s="3">
        <v>101226</v>
      </c>
      <c r="BK4" s="51">
        <v>30197.81</v>
      </c>
      <c r="BL4" s="32">
        <f t="shared" ref="BL4:BL67" si="5">BJ4*BK4</f>
        <v>3056803515.0599999</v>
      </c>
      <c r="BM4" s="3">
        <v>4396</v>
      </c>
      <c r="BN4" s="37">
        <f t="shared" ref="BN4:BN67" si="6">+BM4/BI4</f>
        <v>2.7637543301542195E-2</v>
      </c>
      <c r="BO4" s="50">
        <f>+AD4</f>
        <v>422323</v>
      </c>
      <c r="BP4" s="3">
        <f>+BO4*$C$1</f>
        <v>4223.2300000000005</v>
      </c>
      <c r="BQ4" s="11">
        <f>+'Rev mile pop elasticities'!P34</f>
        <v>9.3110779198913602E-3</v>
      </c>
      <c r="BR4" s="11">
        <f>+'Rev mile pop elasticities'!Q34</f>
        <v>1.9099442774064973E-2</v>
      </c>
      <c r="BS4" s="11">
        <f>+'Rev mile pop elasticities'!R34</f>
        <v>2.5546639780207343E-2</v>
      </c>
      <c r="BT4" s="11">
        <f>+'Rev mile pop elasticities'!S34</f>
        <v>2.2617761179813786E-2</v>
      </c>
      <c r="BU4" s="32">
        <f>BL4*$C$1*BQ4</f>
        <v>284621.35714521463</v>
      </c>
      <c r="BV4" s="33">
        <f>BU4/BL4</f>
        <v>9.3110779198913598E-5</v>
      </c>
      <c r="BW4" s="40">
        <f>+BL4*$C$1*BR4</f>
        <v>583832.43807449134</v>
      </c>
      <c r="BX4" s="33">
        <f>BW4/BL4</f>
        <v>1.9099442774064975E-4</v>
      </c>
      <c r="BY4" s="40">
        <f>+BS4*$C$1*BN4*BI4*1000000</f>
        <v>1123030.2847379148</v>
      </c>
      <c r="BZ4" s="41">
        <f>+BY4/BM4/1000000</f>
        <v>2.5546639780207344E-4</v>
      </c>
      <c r="CA4" s="40">
        <f>+BT4*BN4*BI4*$C$1*1000000</f>
        <v>994276.78146461409</v>
      </c>
      <c r="CB4" s="41">
        <f>+CA4/BM4/1000000</f>
        <v>2.2617761179813785E-4</v>
      </c>
      <c r="CD4" s="70">
        <f>+N4/C4</f>
        <v>2.1071684386766627</v>
      </c>
      <c r="CE4" s="70">
        <f>+AY4/C4</f>
        <v>6.0445399557048098</v>
      </c>
      <c r="CF4" s="70">
        <f>+(CD4+CE4)</f>
        <v>8.1517083943814725</v>
      </c>
      <c r="CG4" s="70">
        <f>+P4/C4</f>
        <v>7.1866818487203723</v>
      </c>
      <c r="CH4" s="70">
        <f>+BA4/C4</f>
        <v>13.261946391924608</v>
      </c>
      <c r="CI4" s="70">
        <f>+(CG4+CH4)</f>
        <v>20.448628240644979</v>
      </c>
      <c r="CJ4" s="69">
        <f>+R4/C4</f>
        <v>9.7608017903892215</v>
      </c>
      <c r="CK4" s="69">
        <f>+BC4/C4</f>
        <v>27.999449564067788</v>
      </c>
      <c r="CL4" s="70">
        <f>+(CJ4+CK4)</f>
        <v>37.760251354457012</v>
      </c>
      <c r="CM4" s="69">
        <f>+T4/C4</f>
        <v>14.36844448026355</v>
      </c>
      <c r="CN4" s="69">
        <f>+BE4/C4</f>
        <v>26.514815104348799</v>
      </c>
      <c r="CO4" s="70">
        <f>+(CM4+CN4)</f>
        <v>40.883259584612347</v>
      </c>
      <c r="CQ4" s="70">
        <f>+AJ4/Y4</f>
        <v>0.16095976600083495</v>
      </c>
      <c r="CR4" s="70">
        <f>+BU4/Y4</f>
        <v>2.8117416192007449</v>
      </c>
      <c r="CS4" s="70">
        <f>+(CQ4+CR4)</f>
        <v>2.9727013852015798</v>
      </c>
      <c r="CT4" s="70">
        <f>+AL4/Y4</f>
        <v>0.63574797647942172</v>
      </c>
      <c r="CU4" s="70">
        <f>+BW4/Y4</f>
        <v>5.7676134399708703</v>
      </c>
      <c r="CV4" s="70">
        <f>+(CT4+CU4)</f>
        <v>6.4033614164502923</v>
      </c>
      <c r="CW4" s="69">
        <f>+AN4/Y4</f>
        <v>0.63509883325811056</v>
      </c>
      <c r="CX4" s="69">
        <f>+BY4/Y4</f>
        <v>11.094286890106442</v>
      </c>
      <c r="CY4" s="70">
        <f>+(CW4+CX4)</f>
        <v>11.729385723364553</v>
      </c>
      <c r="CZ4" s="69">
        <f>+AP4/Y4</f>
        <v>1.0826898449858817</v>
      </c>
      <c r="DA4" s="69">
        <f>+CA4/Y4</f>
        <v>9.8223458544703348</v>
      </c>
      <c r="DB4" s="70">
        <f>+(CZ4+DA4)</f>
        <v>10.905035699456217</v>
      </c>
    </row>
    <row r="5" spans="1:106">
      <c r="A5" s="3" t="s">
        <v>282</v>
      </c>
      <c r="B5" s="3">
        <v>2677712</v>
      </c>
      <c r="C5" s="3">
        <v>1711130</v>
      </c>
      <c r="D5" s="34">
        <v>44573.68</v>
      </c>
      <c r="E5" s="32">
        <f t="shared" si="0"/>
        <v>76271361058.399994</v>
      </c>
      <c r="F5" s="32">
        <v>108896</v>
      </c>
      <c r="G5" s="37">
        <f t="shared" si="1"/>
        <v>4.0667554987242838E-2</v>
      </c>
      <c r="H5" s="50">
        <f>+'Revenue mile elasticities'!C34</f>
        <v>3540657</v>
      </c>
      <c r="I5" s="3">
        <f t="shared" si="2"/>
        <v>35406.57</v>
      </c>
      <c r="J5" s="16">
        <f>+'Revenue mile elasticities'!F34</f>
        <v>2.6725584067167291E-3</v>
      </c>
      <c r="K5" s="16">
        <f>+'Revenue mile elasticities'!G34</f>
        <v>9.1149936752366895E-3</v>
      </c>
      <c r="L5" s="16">
        <f>+'Revenue mile elasticities'!H34</f>
        <v>7.3326512242047441E-3</v>
      </c>
      <c r="M5" s="16">
        <f>+'Revenue mile elasticities'!I34</f>
        <v>1.0794071457517132E-2</v>
      </c>
      <c r="N5" s="32">
        <f t="shared" ref="N5:N32" si="7">J5*$C$1*E5</f>
        <v>2038396.6718835386</v>
      </c>
      <c r="O5" s="35">
        <f t="shared" ref="O5:O32" si="8">N5/E5</f>
        <v>2.672558406716729E-5</v>
      </c>
      <c r="P5" s="36">
        <f t="shared" ref="P5:P32" si="9">+K5*$C$1*E5</f>
        <v>6952129.7364900988</v>
      </c>
      <c r="Q5" s="35">
        <f t="shared" ref="Q5:Q32" si="10">P5/E5</f>
        <v>9.1149936752366896E-5</v>
      </c>
      <c r="R5" s="36">
        <f t="shared" ref="R5:R32" si="11">+L5*$C$1*G5*1000000*B5</f>
        <v>7984963.8771099979</v>
      </c>
      <c r="S5" s="33">
        <f t="shared" ref="S5:S32" si="12">+R5/F5/1000000</f>
        <v>7.332651224204744E-5</v>
      </c>
      <c r="T5" s="36">
        <f t="shared" ref="T5:T32" si="13">+M5*$C$1*G5*1000000*B5</f>
        <v>11754312.054377858</v>
      </c>
      <c r="U5" s="33">
        <f t="shared" ref="U5:U32" si="14">+T5/F5/1000000</f>
        <v>1.0794071457517133E-4</v>
      </c>
      <c r="V5" s="13"/>
      <c r="W5" s="3" t="s">
        <v>281</v>
      </c>
      <c r="X5" s="3">
        <v>164488</v>
      </c>
      <c r="Y5" s="3">
        <v>82255</v>
      </c>
      <c r="Z5" s="51">
        <v>29913.37</v>
      </c>
      <c r="AA5" s="32">
        <f t="shared" si="3"/>
        <v>2460524249.3499999</v>
      </c>
      <c r="AB5" s="3">
        <v>3698</v>
      </c>
      <c r="AC5" s="37">
        <f t="shared" si="4"/>
        <v>2.2481883176888283E-2</v>
      </c>
      <c r="AD5" s="50">
        <f>+'Revenue mile elasticities'!M34</f>
        <v>532011</v>
      </c>
      <c r="AE5" s="3">
        <f t="shared" ref="AE5:AE68" si="15">+AD5*$C$1</f>
        <v>5320.11</v>
      </c>
      <c r="AF5" s="11">
        <f>+'Revenue mile elasticities'!P34</f>
        <v>8.2105429569280118E-4</v>
      </c>
      <c r="AG5" s="11">
        <f>+'Revenue mile elasticities'!Q34</f>
        <v>3.2429446192393649E-3</v>
      </c>
      <c r="AH5" s="11">
        <f>+'Revenue mile elasticities'!R34</f>
        <v>2.25271214702718E-3</v>
      </c>
      <c r="AI5" s="11">
        <f>+'Revenue mile elasticities'!S34</f>
        <v>3.8403291543624061E-3</v>
      </c>
      <c r="AJ5" s="32">
        <f t="shared" ref="AJ5:AJ68" si="16">AA5*$C$1*AF5</f>
        <v>20202.240045851224</v>
      </c>
      <c r="AK5" s="33">
        <f t="shared" ref="AK5:AK68" si="17">AJ5/AA5</f>
        <v>8.2105429569280118E-6</v>
      </c>
      <c r="AL5" s="40">
        <f t="shared" ref="AL5:AL68" si="18">+AA5*$C$1*AG5</f>
        <v>79793.438749375593</v>
      </c>
      <c r="AM5" s="33">
        <f t="shared" ref="AM5:AM68" si="19">AL5/AA5</f>
        <v>3.2429446192393645E-5</v>
      </c>
      <c r="AN5" s="40">
        <f t="shared" ref="AN5:AN68" si="20">+AH5*$C$1*AC5*X5*1000000</f>
        <v>83305.295197065119</v>
      </c>
      <c r="AO5" s="41">
        <f t="shared" ref="AO5:AO68" si="21">+AN5/AB5/1000000</f>
        <v>2.2527121470271802E-5</v>
      </c>
      <c r="AP5" s="40">
        <f t="shared" ref="AP5:AP68" si="22">+AI5*AC5*X5*$C$1*1000000</f>
        <v>142015.37212832176</v>
      </c>
      <c r="AQ5" s="41">
        <f t="shared" ref="AQ5:AQ68" si="23">+AP5/AB5/1000000</f>
        <v>3.8403291543624059E-5</v>
      </c>
      <c r="AR5" s="53"/>
      <c r="AS5" s="53"/>
      <c r="AT5" s="3" t="s">
        <v>282</v>
      </c>
      <c r="AU5" s="11">
        <f>+'Rev mile pop elasticities'!F35</f>
        <v>2.2122627129280516E-2</v>
      </c>
      <c r="AV5" s="11">
        <f>+'Rev mile pop elasticities'!G35</f>
        <v>4.8537870075646673E-2</v>
      </c>
      <c r="AW5" s="11">
        <f>+'Rev mile pop elasticities'!H35</f>
        <v>6.0697460715715502E-2</v>
      </c>
      <c r="AX5" s="11">
        <f>+'Rev mile pop elasticities'!I35</f>
        <v>5.7479056668528955E-2</v>
      </c>
      <c r="AY5" s="32">
        <f t="shared" ref="AY5:AY32" si="24">E5*$C$1*AU5</f>
        <v>16873228.813377094</v>
      </c>
      <c r="AZ5" s="33">
        <f t="shared" ref="AZ5:AZ32" si="25">AY5/E5</f>
        <v>2.2122627129280518E-4</v>
      </c>
      <c r="BA5" s="40">
        <f t="shared" ref="BA5:BA32" si="26">+E5*$C$1*AV5</f>
        <v>37020494.135453559</v>
      </c>
      <c r="BB5" s="33">
        <f t="shared" ref="BB5:BB32" si="27">BA5/E5</f>
        <v>4.853787007564667E-4</v>
      </c>
      <c r="BC5" s="40">
        <f t="shared" ref="BC5:BC32" si="28">+AW5*$C$1*B5*G5*1000000</f>
        <v>66097106.820985548</v>
      </c>
      <c r="BD5" s="41">
        <f t="shared" ref="BD5:BD32" si="29">+BC5/F5/1000000</f>
        <v>6.0697460715715499E-4</v>
      </c>
      <c r="BE5" s="40">
        <f t="shared" ref="BE5:BE32" si="30">+AX5*B5*G5*$C$1*1000000</f>
        <v>62592393.549761288</v>
      </c>
      <c r="BF5" s="41">
        <f t="shared" ref="BF5:BF32" si="31">+BE5/F5/1000000</f>
        <v>5.7479056668528945E-4</v>
      </c>
      <c r="BH5" s="3" t="s">
        <v>281</v>
      </c>
      <c r="BI5" s="3">
        <v>164488</v>
      </c>
      <c r="BJ5" s="3">
        <v>82255</v>
      </c>
      <c r="BK5" s="51">
        <v>29913.37</v>
      </c>
      <c r="BL5" s="32">
        <f t="shared" si="5"/>
        <v>2460524249.3499999</v>
      </c>
      <c r="BM5" s="3">
        <v>3698</v>
      </c>
      <c r="BN5" s="37">
        <f t="shared" si="6"/>
        <v>2.2481883176888283E-2</v>
      </c>
      <c r="BO5" s="50">
        <f t="shared" ref="BO5:BO68" si="32">+AD5</f>
        <v>532011</v>
      </c>
      <c r="BP5" s="3">
        <f t="shared" ref="BP5:BP68" si="33">+BO5*$C$1</f>
        <v>5320.11</v>
      </c>
      <c r="BQ5" s="11">
        <f>+'Rev mile pop elasticities'!P35</f>
        <v>1.1342267004401536E-2</v>
      </c>
      <c r="BR5" s="11">
        <f>+'Rev mile pop elasticities'!Q35</f>
        <v>2.3265939931180393E-2</v>
      </c>
      <c r="BS5" s="11">
        <f>+'Rev mile pop elasticities'!R35</f>
        <v>3.1119577340596272E-2</v>
      </c>
      <c r="BT5" s="11">
        <f>+'Rev mile pop elasticities'!S35</f>
        <v>2.7551770971134676E-2</v>
      </c>
      <c r="BU5" s="32">
        <f t="shared" ref="BU5:BU68" si="34">BL5*$C$1*BQ5</f>
        <v>279079.23006932362</v>
      </c>
      <c r="BV5" s="33">
        <f t="shared" ref="BV5:BV68" si="35">BU5/BL5</f>
        <v>1.1342267004401536E-4</v>
      </c>
      <c r="BW5" s="40">
        <f t="shared" ref="BW5:BW68" si="36">+BL5*$C$1*BR5</f>
        <v>572464.09384589817</v>
      </c>
      <c r="BX5" s="33">
        <f t="shared" ref="BX5:BX68" si="37">BW5/BL5</f>
        <v>2.3265939931180389E-4</v>
      </c>
      <c r="BY5" s="40">
        <f t="shared" ref="BY5:BY68" si="38">+BS5*$C$1*BN5*BI5*1000000</f>
        <v>1150801.97005525</v>
      </c>
      <c r="BZ5" s="41">
        <f t="shared" ref="BZ5:BZ68" si="39">+BY5/BM5/1000000</f>
        <v>3.1119577340596265E-4</v>
      </c>
      <c r="CA5" s="40">
        <f t="shared" ref="CA5:CA68" si="40">+BT5*BN5*BI5*$C$1*1000000</f>
        <v>1018864.4905125604</v>
      </c>
      <c r="CB5" s="41">
        <f t="shared" ref="CB5:CB68" si="41">+CA5/BM5/1000000</f>
        <v>2.7551770971134674E-4</v>
      </c>
      <c r="CD5" s="70">
        <f t="shared" ref="CD5:CD32" si="42">+N5/C5</f>
        <v>1.1912576320230133</v>
      </c>
      <c r="CE5" s="70">
        <f t="shared" ref="CE5:CE32" si="43">+AY5/C5</f>
        <v>9.8608690241986832</v>
      </c>
      <c r="CF5" s="70">
        <f t="shared" ref="CF5:CF32" si="44">+(CD5+CE5)</f>
        <v>11.052126656221697</v>
      </c>
      <c r="CG5" s="70">
        <f t="shared" ref="CG5:CG32" si="45">+P5/C5</f>
        <v>4.0628881128202412</v>
      </c>
      <c r="CH5" s="70">
        <f t="shared" ref="CH5:CH32" si="46">+BA5/C5</f>
        <v>21.635114886334502</v>
      </c>
      <c r="CI5" s="70">
        <f t="shared" ref="CI5:CI32" si="47">+(CG5+CH5)</f>
        <v>25.698002999154745</v>
      </c>
      <c r="CJ5" s="69">
        <f t="shared" ref="CJ5:CJ32" si="48">+R5/C5</f>
        <v>4.6664858176234407</v>
      </c>
      <c r="CK5" s="69">
        <f t="shared" ref="CK5:CK32" si="49">+BC5/C5</f>
        <v>38.627752900706284</v>
      </c>
      <c r="CL5" s="70">
        <f t="shared" ref="CL5:CL32" si="50">+(CJ5+CK5)</f>
        <v>43.294238718329723</v>
      </c>
      <c r="CM5" s="69">
        <f t="shared" ref="CM5:CM32" si="51">+T5/C5</f>
        <v>6.8693273184257526</v>
      </c>
      <c r="CN5" s="69">
        <f t="shared" ref="CN5:CN32" si="52">+BE5/C5</f>
        <v>36.57956645594507</v>
      </c>
      <c r="CO5" s="70">
        <f t="shared" ref="CO5:CO32" si="53">+(CM5+CN5)</f>
        <v>43.448893774370823</v>
      </c>
      <c r="CQ5" s="70">
        <f t="shared" ref="CQ5:CQ68" si="54">+AJ5/Y5</f>
        <v>0.24560500937148166</v>
      </c>
      <c r="CR5" s="70">
        <f t="shared" ref="CR5:CR68" si="55">+BU5/Y5</f>
        <v>3.3928542954145477</v>
      </c>
      <c r="CS5" s="70">
        <f t="shared" ref="CS5:CS68" si="56">+(CQ5+CR5)</f>
        <v>3.6384593047860294</v>
      </c>
      <c r="CT5" s="70">
        <f t="shared" ref="CT5:CT68" si="57">+AL5/Y5</f>
        <v>0.97007402284816235</v>
      </c>
      <c r="CU5" s="70">
        <f t="shared" ref="CU5:CU68" si="58">+BW5/Y5</f>
        <v>6.9596266955917354</v>
      </c>
      <c r="CV5" s="70">
        <f t="shared" ref="CV5:CV68" si="59">+(CT5+CU5)</f>
        <v>7.9297007184398982</v>
      </c>
      <c r="CW5" s="69">
        <f t="shared" ref="CW5:CW68" si="60">+AN5/Y5</f>
        <v>1.0127687702518402</v>
      </c>
      <c r="CX5" s="69">
        <f t="shared" ref="CX5:CX68" si="61">+BY5/Y5</f>
        <v>13.990662817521731</v>
      </c>
      <c r="CY5" s="70">
        <f t="shared" ref="CY5:CY68" si="62">+(CW5+CX5)</f>
        <v>15.003431587773571</v>
      </c>
      <c r="CZ5" s="69">
        <f t="shared" ref="CZ5:CZ68" si="63">+AP5/Y5</f>
        <v>1.7265257082040211</v>
      </c>
      <c r="DA5" s="69">
        <f t="shared" ref="DA5:DA68" si="64">+CA5/Y5</f>
        <v>12.386657230716192</v>
      </c>
      <c r="DB5" s="70">
        <f t="shared" ref="DB5:DB68" si="65">+(CZ5+DA5)</f>
        <v>14.113182938920213</v>
      </c>
    </row>
    <row r="6" spans="1:106">
      <c r="A6" s="3" t="s">
        <v>284</v>
      </c>
      <c r="B6" s="3">
        <v>1124055</v>
      </c>
      <c r="C6" s="3">
        <v>658725</v>
      </c>
      <c r="D6" s="34">
        <v>35849.879999999997</v>
      </c>
      <c r="E6" s="32">
        <f t="shared" si="0"/>
        <v>23615212203</v>
      </c>
      <c r="F6" s="32">
        <v>37554</v>
      </c>
      <c r="G6" s="37">
        <f t="shared" si="1"/>
        <v>3.340939722700402E-2</v>
      </c>
      <c r="H6" s="50">
        <f>+'Revenue mile elasticities'!C35</f>
        <v>378343</v>
      </c>
      <c r="I6" s="3">
        <f t="shared" si="2"/>
        <v>3783.4300000000003</v>
      </c>
      <c r="J6" s="16">
        <f>+'Revenue mile elasticities'!F35</f>
        <v>4.8974361030206144E-4</v>
      </c>
      <c r="K6" s="16">
        <f>+'Revenue mile elasticities'!G35</f>
        <v>1.6703133219359511E-3</v>
      </c>
      <c r="L6" s="16">
        <f>+'Revenue mile elasticities'!H35</f>
        <v>1.3437008802511434E-3</v>
      </c>
      <c r="M6" s="16">
        <f>+'Revenue mile elasticities'!I35</f>
        <v>1.9780026180820473E-3</v>
      </c>
      <c r="N6" s="32">
        <f t="shared" si="7"/>
        <v>115653.99282346517</v>
      </c>
      <c r="O6" s="35">
        <f t="shared" si="8"/>
        <v>4.8974361030206143E-6</v>
      </c>
      <c r="P6" s="36">
        <f t="shared" si="9"/>
        <v>394448.03543015337</v>
      </c>
      <c r="Q6" s="35">
        <f t="shared" si="10"/>
        <v>1.670313321935951E-5</v>
      </c>
      <c r="R6" s="36">
        <f t="shared" si="11"/>
        <v>504613.42856951448</v>
      </c>
      <c r="S6" s="33">
        <f t="shared" si="12"/>
        <v>1.3437008802511436E-5</v>
      </c>
      <c r="T6" s="36">
        <f t="shared" si="13"/>
        <v>742819.10319453222</v>
      </c>
      <c r="U6" s="33">
        <f t="shared" si="14"/>
        <v>1.9780026180820478E-5</v>
      </c>
      <c r="V6" s="13"/>
      <c r="W6" s="3" t="s">
        <v>283</v>
      </c>
      <c r="X6" s="3">
        <v>854301</v>
      </c>
      <c r="Y6" s="3">
        <v>554009</v>
      </c>
      <c r="Z6" s="51">
        <v>39400.06</v>
      </c>
      <c r="AA6" s="32">
        <f t="shared" si="3"/>
        <v>21827987840.539997</v>
      </c>
      <c r="AB6" s="3">
        <v>31218</v>
      </c>
      <c r="AC6" s="37">
        <f t="shared" si="4"/>
        <v>3.6542155516615341E-2</v>
      </c>
      <c r="AD6" s="50">
        <f>+'Revenue mile elasticities'!M35</f>
        <v>7290739</v>
      </c>
      <c r="AE6" s="3">
        <f t="shared" si="15"/>
        <v>72907.39</v>
      </c>
      <c r="AF6" s="11">
        <f>+'Revenue mile elasticities'!P35</f>
        <v>2.3405165863218339E-3</v>
      </c>
      <c r="AG6" s="11">
        <f>+'Revenue mile elasticities'!Q35</f>
        <v>9.2444138099884565E-3</v>
      </c>
      <c r="AH6" s="11">
        <f>+'Revenue mile elasticities'!R35</f>
        <v>6.4216339552512413E-3</v>
      </c>
      <c r="AI6" s="11">
        <f>+'Revenue mile elasticities'!S35</f>
        <v>1.0947332143407384E-2</v>
      </c>
      <c r="AJ6" s="32">
        <f t="shared" si="16"/>
        <v>510887.67586815177</v>
      </c>
      <c r="AK6" s="33">
        <f t="shared" si="17"/>
        <v>2.3405165863218339E-5</v>
      </c>
      <c r="AL6" s="40">
        <f t="shared" si="18"/>
        <v>2017869.5223734807</v>
      </c>
      <c r="AM6" s="33">
        <f t="shared" si="19"/>
        <v>9.2444138099884567E-5</v>
      </c>
      <c r="AN6" s="40">
        <f t="shared" si="20"/>
        <v>2004705.688150333</v>
      </c>
      <c r="AO6" s="41">
        <f t="shared" si="21"/>
        <v>6.4216339552512419E-5</v>
      </c>
      <c r="AP6" s="40">
        <f t="shared" si="22"/>
        <v>3417538.1485289172</v>
      </c>
      <c r="AQ6" s="41">
        <f t="shared" si="23"/>
        <v>1.0947332143407384E-4</v>
      </c>
      <c r="AR6" s="53"/>
      <c r="AS6" s="53"/>
      <c r="AT6" s="3" t="s">
        <v>284</v>
      </c>
      <c r="AU6" s="11">
        <f>+'Rev mile pop elasticities'!F36</f>
        <v>5.631380194385506E-3</v>
      </c>
      <c r="AV6" s="11">
        <f>+'Rev mile pop elasticities'!G36</f>
        <v>1.2355458446428333E-2</v>
      </c>
      <c r="AW6" s="11">
        <f>+'Rev mile pop elasticities'!H36</f>
        <v>1.545071822286276E-2</v>
      </c>
      <c r="AX6" s="11">
        <f>+'Rev mile pop elasticities'!I36</f>
        <v>1.4631463949717764E-2</v>
      </c>
      <c r="AY6" s="32">
        <f t="shared" si="24"/>
        <v>1329862.3828618512</v>
      </c>
      <c r="AZ6" s="33">
        <f t="shared" si="25"/>
        <v>5.6313801943855066E-5</v>
      </c>
      <c r="BA6" s="40">
        <f t="shared" si="26"/>
        <v>2917767.7307775379</v>
      </c>
      <c r="BB6" s="33">
        <f t="shared" si="27"/>
        <v>1.2355458446428334E-4</v>
      </c>
      <c r="BC6" s="40">
        <f t="shared" si="28"/>
        <v>5802362.7214138815</v>
      </c>
      <c r="BD6" s="41">
        <f t="shared" si="29"/>
        <v>1.545071822286276E-4</v>
      </c>
      <c r="BE6" s="40">
        <f t="shared" si="30"/>
        <v>5494699.9716770099</v>
      </c>
      <c r="BF6" s="41">
        <f t="shared" si="31"/>
        <v>1.4631463949717766E-4</v>
      </c>
      <c r="BH6" s="3" t="s">
        <v>283</v>
      </c>
      <c r="BI6" s="3">
        <v>854301</v>
      </c>
      <c r="BJ6" s="3">
        <v>554009</v>
      </c>
      <c r="BK6" s="51">
        <v>39400.06</v>
      </c>
      <c r="BL6" s="32">
        <f t="shared" si="5"/>
        <v>21827987840.539997</v>
      </c>
      <c r="BM6" s="3">
        <v>31218</v>
      </c>
      <c r="BN6" s="37">
        <f t="shared" si="6"/>
        <v>3.6542155516615341E-2</v>
      </c>
      <c r="BO6" s="50">
        <f t="shared" si="32"/>
        <v>7290739</v>
      </c>
      <c r="BP6" s="3">
        <f t="shared" si="33"/>
        <v>72907.39</v>
      </c>
      <c r="BQ6" s="11">
        <f>+'Rev mile pop elasticities'!P36</f>
        <v>2.9927753028475914E-2</v>
      </c>
      <c r="BR6" s="11">
        <f>+'Rev mile pop elasticities'!Q36</f>
        <v>6.1389606148886645E-2</v>
      </c>
      <c r="BS6" s="11">
        <f>+'Rev mile pop elasticities'!R36</f>
        <v>8.2112246576323808E-2</v>
      </c>
      <c r="BT6" s="11">
        <f>+'Rev mile pop elasticities'!S36</f>
        <v>7.2698217807892082E-2</v>
      </c>
      <c r="BU6" s="32">
        <f t="shared" si="34"/>
        <v>6532626.2920025634</v>
      </c>
      <c r="BV6" s="33">
        <f t="shared" si="35"/>
        <v>2.9927753028475917E-4</v>
      </c>
      <c r="BW6" s="40">
        <f t="shared" si="36"/>
        <v>13400115.765534371</v>
      </c>
      <c r="BX6" s="33">
        <f t="shared" si="37"/>
        <v>6.1389606148886647E-4</v>
      </c>
      <c r="BY6" s="40">
        <f t="shared" si="38"/>
        <v>25633801.136196766</v>
      </c>
      <c r="BZ6" s="41">
        <f t="shared" si="39"/>
        <v>8.2112246576323807E-4</v>
      </c>
      <c r="CA6" s="40">
        <f t="shared" si="40"/>
        <v>22694929.635267753</v>
      </c>
      <c r="CB6" s="41">
        <f t="shared" si="41"/>
        <v>7.269821780789209E-4</v>
      </c>
      <c r="CD6" s="70">
        <f t="shared" si="42"/>
        <v>0.17557249660095667</v>
      </c>
      <c r="CE6" s="70">
        <f t="shared" si="43"/>
        <v>2.0188430420309706</v>
      </c>
      <c r="CF6" s="70">
        <f t="shared" si="44"/>
        <v>2.1944155386319273</v>
      </c>
      <c r="CG6" s="70">
        <f t="shared" si="45"/>
        <v>0.5988053215380521</v>
      </c>
      <c r="CH6" s="70">
        <f t="shared" si="46"/>
        <v>4.4294170264944217</v>
      </c>
      <c r="CI6" s="70">
        <f t="shared" si="47"/>
        <v>5.0282223480324735</v>
      </c>
      <c r="CJ6" s="69">
        <f t="shared" si="48"/>
        <v>0.76604566180046985</v>
      </c>
      <c r="CK6" s="69">
        <f t="shared" si="49"/>
        <v>8.8084750410472985</v>
      </c>
      <c r="CL6" s="70">
        <f t="shared" si="50"/>
        <v>9.574520702847769</v>
      </c>
      <c r="CM6" s="69">
        <f t="shared" si="51"/>
        <v>1.1276619275031801</v>
      </c>
      <c r="CN6" s="69">
        <f t="shared" si="52"/>
        <v>8.3414170885832633</v>
      </c>
      <c r="CO6" s="70">
        <f t="shared" si="53"/>
        <v>9.4690790160864431</v>
      </c>
      <c r="CQ6" s="70">
        <f t="shared" si="54"/>
        <v>0.92216493932075427</v>
      </c>
      <c r="CR6" s="70">
        <f t="shared" si="55"/>
        <v>11.791552649871326</v>
      </c>
      <c r="CS6" s="70">
        <f t="shared" si="56"/>
        <v>12.713717589192081</v>
      </c>
      <c r="CT6" s="70">
        <f t="shared" si="57"/>
        <v>3.6423045877837379</v>
      </c>
      <c r="CU6" s="70">
        <f t="shared" si="58"/>
        <v>24.187541656425022</v>
      </c>
      <c r="CV6" s="70">
        <f t="shared" si="59"/>
        <v>27.82984624420876</v>
      </c>
      <c r="CW6" s="69">
        <f t="shared" si="60"/>
        <v>3.6185435401777464</v>
      </c>
      <c r="CX6" s="69">
        <f t="shared" si="61"/>
        <v>46.269647489836387</v>
      </c>
      <c r="CY6" s="70">
        <f t="shared" si="62"/>
        <v>49.888191030014134</v>
      </c>
      <c r="CZ6" s="69">
        <f t="shared" si="63"/>
        <v>6.1687412091300269</v>
      </c>
      <c r="DA6" s="69">
        <f t="shared" si="64"/>
        <v>40.964911464015479</v>
      </c>
      <c r="DB6" s="70">
        <f t="shared" si="65"/>
        <v>47.133652673145505</v>
      </c>
    </row>
    <row r="7" spans="1:106">
      <c r="A7" s="3" t="s">
        <v>285</v>
      </c>
      <c r="B7" s="3">
        <v>1706469</v>
      </c>
      <c r="C7" s="3">
        <v>1111511</v>
      </c>
      <c r="D7" s="34">
        <v>44341.88</v>
      </c>
      <c r="E7" s="32">
        <f t="shared" si="0"/>
        <v>49286487380.68</v>
      </c>
      <c r="F7" s="32">
        <v>110738</v>
      </c>
      <c r="G7" s="37">
        <f t="shared" si="1"/>
        <v>6.4893062809813717E-2</v>
      </c>
      <c r="H7" s="50">
        <f>+'Revenue mile elasticities'!C36</f>
        <v>347660</v>
      </c>
      <c r="I7" s="3">
        <f t="shared" si="2"/>
        <v>3476.6</v>
      </c>
      <c r="J7" s="16">
        <f>+'Revenue mile elasticities'!F36</f>
        <v>1.4017069566515656E-3</v>
      </c>
      <c r="K7" s="16">
        <f>+'Revenue mile elasticities'!G36</f>
        <v>4.7806438999813813E-3</v>
      </c>
      <c r="L7" s="16">
        <f>+'Revenue mile elasticities'!H36</f>
        <v>3.8458385814266784E-3</v>
      </c>
      <c r="M7" s="16">
        <f>+'Revenue mile elasticities'!I36</f>
        <v>5.6612888289253194E-3</v>
      </c>
      <c r="N7" s="32">
        <f t="shared" si="7"/>
        <v>690852.12230418762</v>
      </c>
      <c r="O7" s="35">
        <f t="shared" si="8"/>
        <v>1.4017069566515658E-5</v>
      </c>
      <c r="P7" s="36">
        <f t="shared" si="9"/>
        <v>2356211.4524795716</v>
      </c>
      <c r="Q7" s="35">
        <f t="shared" si="10"/>
        <v>4.7806438999813812E-5</v>
      </c>
      <c r="R7" s="36">
        <f t="shared" si="11"/>
        <v>4258804.7283002743</v>
      </c>
      <c r="S7" s="33">
        <f t="shared" si="12"/>
        <v>3.8458385814266775E-5</v>
      </c>
      <c r="T7" s="36">
        <f t="shared" si="13"/>
        <v>6269198.0233753202</v>
      </c>
      <c r="U7" s="33">
        <f t="shared" si="14"/>
        <v>5.6612888289253195E-5</v>
      </c>
      <c r="V7" s="13"/>
      <c r="W7" s="3" t="s">
        <v>278</v>
      </c>
      <c r="X7" s="3">
        <v>846582</v>
      </c>
      <c r="Y7" s="3">
        <v>512994</v>
      </c>
      <c r="Z7" s="51">
        <v>35760.019999999997</v>
      </c>
      <c r="AA7" s="32">
        <f t="shared" si="3"/>
        <v>18344675699.879997</v>
      </c>
      <c r="AB7" s="3">
        <v>28740</v>
      </c>
      <c r="AC7" s="37">
        <f t="shared" si="4"/>
        <v>3.394827671743552E-2</v>
      </c>
      <c r="AD7" s="50">
        <f>+'Revenue mile elasticities'!M36</f>
        <v>5068244</v>
      </c>
      <c r="AE7" s="3">
        <f t="shared" si="15"/>
        <v>50682.44</v>
      </c>
      <c r="AF7" s="11">
        <f>+'Revenue mile elasticities'!P36</f>
        <v>2.7957760638390246E-3</v>
      </c>
      <c r="AG7" s="11">
        <f>+'Revenue mile elasticities'!Q36</f>
        <v>1.104256684410216E-2</v>
      </c>
      <c r="AH7" s="11">
        <f>+'Revenue mile elasticities'!R36</f>
        <v>7.6707213303886593E-3</v>
      </c>
      <c r="AI7" s="11">
        <f>+'Revenue mile elasticities'!S36</f>
        <v>1.3076723894331505E-2</v>
      </c>
      <c r="AJ7" s="32">
        <f t="shared" si="16"/>
        <v>512876.05220613902</v>
      </c>
      <c r="AK7" s="33">
        <f t="shared" si="17"/>
        <v>2.7957760638390246E-5</v>
      </c>
      <c r="AL7" s="40">
        <f t="shared" si="18"/>
        <v>2025723.0764930146</v>
      </c>
      <c r="AM7" s="33">
        <f t="shared" si="19"/>
        <v>1.1042566844102161E-4</v>
      </c>
      <c r="AN7" s="40">
        <f t="shared" si="20"/>
        <v>2204565.3103537001</v>
      </c>
      <c r="AO7" s="41">
        <f t="shared" si="21"/>
        <v>7.670721330388658E-5</v>
      </c>
      <c r="AP7" s="40">
        <f t="shared" si="22"/>
        <v>3758250.4472308746</v>
      </c>
      <c r="AQ7" s="41">
        <f t="shared" si="23"/>
        <v>1.3076723894331506E-4</v>
      </c>
      <c r="AR7" s="53"/>
      <c r="AS7" s="53"/>
      <c r="AT7" s="3" t="s">
        <v>285</v>
      </c>
      <c r="AU7" s="11">
        <f>+'Rev mile pop elasticities'!F37</f>
        <v>3.4085763808191063E-3</v>
      </c>
      <c r="AV7" s="11">
        <f>+'Rev mile pop elasticities'!G37</f>
        <v>7.4785438704131164E-3</v>
      </c>
      <c r="AW7" s="11">
        <f>+'Rev mile pop elasticities'!H37</f>
        <v>9.3520507199368972E-3</v>
      </c>
      <c r="AX7" s="11">
        <f>+'Rev mile pop elasticities'!I37</f>
        <v>8.8561703728576389E-3</v>
      </c>
      <c r="AY7" s="32">
        <f t="shared" si="24"/>
        <v>1679967.567793248</v>
      </c>
      <c r="AZ7" s="33">
        <f t="shared" si="25"/>
        <v>3.4085763808191063E-5</v>
      </c>
      <c r="BA7" s="40">
        <f t="shared" si="26"/>
        <v>3685911.5809497782</v>
      </c>
      <c r="BB7" s="33">
        <f t="shared" si="27"/>
        <v>7.4785438704131165E-5</v>
      </c>
      <c r="BC7" s="40">
        <f t="shared" si="28"/>
        <v>10356273.926243722</v>
      </c>
      <c r="BD7" s="41">
        <f t="shared" si="29"/>
        <v>9.3520507199368983E-5</v>
      </c>
      <c r="BE7" s="40">
        <f t="shared" si="30"/>
        <v>9807145.9474950917</v>
      </c>
      <c r="BF7" s="41">
        <f t="shared" si="31"/>
        <v>8.8561703728576383E-5</v>
      </c>
      <c r="BH7" s="3" t="s">
        <v>278</v>
      </c>
      <c r="BI7" s="3">
        <v>846582</v>
      </c>
      <c r="BJ7" s="3">
        <v>512994</v>
      </c>
      <c r="BK7" s="51">
        <v>35760.019999999997</v>
      </c>
      <c r="BL7" s="32">
        <f t="shared" si="5"/>
        <v>18344675699.879997</v>
      </c>
      <c r="BM7" s="3">
        <v>28740</v>
      </c>
      <c r="BN7" s="37">
        <f t="shared" si="6"/>
        <v>3.394827671743552E-2</v>
      </c>
      <c r="BO7" s="50">
        <f t="shared" si="32"/>
        <v>5068244</v>
      </c>
      <c r="BP7" s="3">
        <f t="shared" si="33"/>
        <v>50682.44</v>
      </c>
      <c r="BQ7" s="11">
        <f>+'Rev mile pop elasticities'!P37</f>
        <v>2.0994327098946112E-2</v>
      </c>
      <c r="BR7" s="11">
        <f>+'Rev mile pop elasticities'!Q37</f>
        <v>4.3064825840379323E-2</v>
      </c>
      <c r="BS7" s="11">
        <f>+'Rev mile pop elasticities'!R37</f>
        <v>5.7601763881585E-2</v>
      </c>
      <c r="BT7" s="11">
        <f>+'Rev mile pop elasticities'!S37</f>
        <v>5.0997820074133407E-2</v>
      </c>
      <c r="BU7" s="32">
        <f t="shared" si="34"/>
        <v>3851341.2216736889</v>
      </c>
      <c r="BV7" s="33">
        <f t="shared" si="35"/>
        <v>2.0994327098946113E-4</v>
      </c>
      <c r="BW7" s="40">
        <f t="shared" si="36"/>
        <v>7900102.6411357075</v>
      </c>
      <c r="BX7" s="33">
        <f t="shared" si="37"/>
        <v>4.3064825840379321E-4</v>
      </c>
      <c r="BY7" s="40">
        <f t="shared" si="38"/>
        <v>16554746.939567529</v>
      </c>
      <c r="BZ7" s="41">
        <f t="shared" si="39"/>
        <v>5.7601763881585E-4</v>
      </c>
      <c r="CA7" s="40">
        <f t="shared" si="40"/>
        <v>14656773.489305941</v>
      </c>
      <c r="CB7" s="41">
        <f t="shared" si="41"/>
        <v>5.0997820074133405E-4</v>
      </c>
      <c r="CD7" s="70">
        <f t="shared" si="42"/>
        <v>0.62154321667008927</v>
      </c>
      <c r="CE7" s="70">
        <f t="shared" si="43"/>
        <v>1.5114268484911513</v>
      </c>
      <c r="CF7" s="70">
        <f t="shared" si="44"/>
        <v>2.1329700651612407</v>
      </c>
      <c r="CG7" s="70">
        <f t="shared" si="45"/>
        <v>2.1198273813570641</v>
      </c>
      <c r="CH7" s="70">
        <f t="shared" si="46"/>
        <v>3.3161269487659397</v>
      </c>
      <c r="CI7" s="70">
        <f t="shared" si="47"/>
        <v>5.4359543301230033</v>
      </c>
      <c r="CJ7" s="69">
        <f t="shared" si="48"/>
        <v>3.8315452823231388</v>
      </c>
      <c r="CK7" s="69">
        <f t="shared" si="49"/>
        <v>9.3172932397823534</v>
      </c>
      <c r="CL7" s="70">
        <f t="shared" si="50"/>
        <v>13.148838522105493</v>
      </c>
      <c r="CM7" s="69">
        <f t="shared" si="51"/>
        <v>5.6402482956761748</v>
      </c>
      <c r="CN7" s="69">
        <f t="shared" si="52"/>
        <v>8.8232558629605027</v>
      </c>
      <c r="CO7" s="70">
        <f t="shared" si="53"/>
        <v>14.463504158636677</v>
      </c>
      <c r="CQ7" s="70">
        <f t="shared" si="54"/>
        <v>0.99977007958404784</v>
      </c>
      <c r="CR7" s="70">
        <f t="shared" si="55"/>
        <v>7.5075755694485489</v>
      </c>
      <c r="CS7" s="70">
        <f t="shared" si="56"/>
        <v>8.5073456490325974</v>
      </c>
      <c r="CT7" s="70">
        <f t="shared" si="57"/>
        <v>3.9488241119643011</v>
      </c>
      <c r="CU7" s="70">
        <f t="shared" si="58"/>
        <v>15.399990333484812</v>
      </c>
      <c r="CV7" s="70">
        <f t="shared" si="59"/>
        <v>19.348814445449115</v>
      </c>
      <c r="CW7" s="69">
        <f t="shared" si="60"/>
        <v>4.2974485283525734</v>
      </c>
      <c r="CX7" s="69">
        <f t="shared" si="61"/>
        <v>32.270839307219049</v>
      </c>
      <c r="CY7" s="70">
        <f t="shared" si="62"/>
        <v>36.568287835571624</v>
      </c>
      <c r="CZ7" s="69">
        <f t="shared" si="63"/>
        <v>7.3261099491044233</v>
      </c>
      <c r="DA7" s="69">
        <f t="shared" si="64"/>
        <v>28.571042720394278</v>
      </c>
      <c r="DB7" s="70">
        <f t="shared" si="65"/>
        <v>35.897152669498702</v>
      </c>
    </row>
    <row r="8" spans="1:106">
      <c r="A8" s="3" t="s">
        <v>287</v>
      </c>
      <c r="B8" s="3">
        <v>9515636</v>
      </c>
      <c r="C8" s="3">
        <v>5777274</v>
      </c>
      <c r="D8" s="34">
        <v>49692.34</v>
      </c>
      <c r="E8" s="32">
        <f t="shared" si="0"/>
        <v>287086263881.15997</v>
      </c>
      <c r="F8" s="32">
        <v>476895</v>
      </c>
      <c r="G8" s="37">
        <f t="shared" si="1"/>
        <v>5.0116986400068265E-2</v>
      </c>
      <c r="H8" s="50">
        <f>+'Revenue mile elasticities'!C37</f>
        <v>41200000</v>
      </c>
      <c r="I8" s="3">
        <f t="shared" si="2"/>
        <v>412000</v>
      </c>
      <c r="J8" s="16">
        <f>+'Revenue mile elasticities'!F37</f>
        <v>3.3986507445083289E-2</v>
      </c>
      <c r="K8" s="16">
        <f>+'Revenue mile elasticities'!G37</f>
        <v>0.11591394957983193</v>
      </c>
      <c r="L8" s="16">
        <f>+'Revenue mile elasticities'!H37</f>
        <v>9.324817927170867E-2</v>
      </c>
      <c r="M8" s="16">
        <f>+'Revenue mile elasticities'!I37</f>
        <v>0.13726651923927466</v>
      </c>
      <c r="N8" s="32">
        <f t="shared" si="7"/>
        <v>97570594.447781891</v>
      </c>
      <c r="O8" s="35">
        <f t="shared" si="8"/>
        <v>3.3986507445083288E-4</v>
      </c>
      <c r="P8" s="36">
        <f t="shared" si="9"/>
        <v>332773027.16583103</v>
      </c>
      <c r="Q8" s="35">
        <f t="shared" si="10"/>
        <v>1.1591394957983193E-3</v>
      </c>
      <c r="R8" s="36">
        <f t="shared" si="11"/>
        <v>444695904.53781503</v>
      </c>
      <c r="S8" s="33">
        <f t="shared" si="12"/>
        <v>9.3248179271708661E-4</v>
      </c>
      <c r="T8" s="36">
        <f t="shared" si="13"/>
        <v>654617166.92613888</v>
      </c>
      <c r="U8" s="33">
        <f t="shared" si="14"/>
        <v>1.3726651923927466E-3</v>
      </c>
      <c r="V8" s="13"/>
      <c r="W8" s="3" t="s">
        <v>286</v>
      </c>
      <c r="X8" s="3">
        <v>153451</v>
      </c>
      <c r="Y8" s="3">
        <v>85873</v>
      </c>
      <c r="Z8" s="51">
        <v>30911.47</v>
      </c>
      <c r="AA8" s="32">
        <f t="shared" si="3"/>
        <v>2654460663.3099999</v>
      </c>
      <c r="AB8" s="3">
        <v>4087</v>
      </c>
      <c r="AC8" s="37">
        <f t="shared" si="4"/>
        <v>2.6633909195769332E-2</v>
      </c>
      <c r="AD8" s="50">
        <f>+'Revenue mile elasticities'!M37</f>
        <v>520402</v>
      </c>
      <c r="AE8" s="3">
        <f t="shared" si="15"/>
        <v>5204.0200000000004</v>
      </c>
      <c r="AF8" s="11">
        <f>+'Revenue mile elasticities'!P37</f>
        <v>4.893416525129572E-4</v>
      </c>
      <c r="AG8" s="11">
        <f>+'Revenue mile elasticities'!Q37</f>
        <v>1.9327684993689356E-3</v>
      </c>
      <c r="AH8" s="11">
        <f>+'Revenue mile elasticities'!R37</f>
        <v>1.3425980357756227E-3</v>
      </c>
      <c r="AI8" s="11">
        <f>+'Revenue mile elasticities'!S37</f>
        <v>2.2888048018842658E-3</v>
      </c>
      <c r="AJ8" s="32">
        <f t="shared" si="16"/>
        <v>12989.381675147559</v>
      </c>
      <c r="AK8" s="33">
        <f t="shared" si="17"/>
        <v>4.8934165251295716E-6</v>
      </c>
      <c r="AL8" s="40">
        <f t="shared" si="18"/>
        <v>51304.579528595379</v>
      </c>
      <c r="AM8" s="33">
        <f t="shared" si="19"/>
        <v>1.9327684993689354E-5</v>
      </c>
      <c r="AN8" s="40">
        <f t="shared" si="20"/>
        <v>54871.981722149692</v>
      </c>
      <c r="AO8" s="41">
        <f t="shared" si="21"/>
        <v>1.3425980357756226E-5</v>
      </c>
      <c r="AP8" s="40">
        <f t="shared" si="22"/>
        <v>93543.452253009935</v>
      </c>
      <c r="AQ8" s="41">
        <f t="shared" si="23"/>
        <v>2.2888048018842658E-5</v>
      </c>
      <c r="AR8" s="53"/>
      <c r="AS8" s="53"/>
      <c r="AT8" s="3" t="s">
        <v>287</v>
      </c>
      <c r="AU8" s="11">
        <f>+'Rev mile pop elasticities'!F38</f>
        <v>7.2439609922027276E-2</v>
      </c>
      <c r="AV8" s="11">
        <f>+'Rev mile pop elasticities'!G38</f>
        <v>0.15893520937539016</v>
      </c>
      <c r="AW8" s="11">
        <f>+'Rev mile pop elasticities'!H38</f>
        <v>0.19875127632036366</v>
      </c>
      <c r="AX8" s="11">
        <f>+'Rev mile pop elasticities'!I38</f>
        <v>0.18821274794454099</v>
      </c>
      <c r="AY8" s="32">
        <f t="shared" si="24"/>
        <v>207964169.69523418</v>
      </c>
      <c r="AZ8" s="33">
        <f t="shared" si="25"/>
        <v>7.2439609922027282E-4</v>
      </c>
      <c r="BA8" s="40">
        <f t="shared" si="26"/>
        <v>456281154.58750671</v>
      </c>
      <c r="BB8" s="33">
        <f t="shared" si="27"/>
        <v>1.5893520937539016E-3</v>
      </c>
      <c r="BC8" s="40">
        <f t="shared" si="28"/>
        <v>947834899.20799804</v>
      </c>
      <c r="BD8" s="41">
        <f t="shared" si="29"/>
        <v>1.987512763203636E-3</v>
      </c>
      <c r="BE8" s="40">
        <f t="shared" si="30"/>
        <v>897577184.31011879</v>
      </c>
      <c r="BF8" s="41">
        <f t="shared" si="31"/>
        <v>1.88212747944541E-3</v>
      </c>
      <c r="BH8" s="3" t="s">
        <v>286</v>
      </c>
      <c r="BI8" s="3">
        <v>153451</v>
      </c>
      <c r="BJ8" s="3">
        <v>85873</v>
      </c>
      <c r="BK8" s="51">
        <v>30911.47</v>
      </c>
      <c r="BL8" s="32">
        <f t="shared" si="5"/>
        <v>2654460663.3099999</v>
      </c>
      <c r="BM8" s="3">
        <v>4087</v>
      </c>
      <c r="BN8" s="37">
        <f t="shared" si="6"/>
        <v>2.6633909195769332E-2</v>
      </c>
      <c r="BO8" s="50">
        <f t="shared" si="32"/>
        <v>520402</v>
      </c>
      <c r="BP8" s="3">
        <f t="shared" si="33"/>
        <v>5204.0200000000004</v>
      </c>
      <c r="BQ8" s="11">
        <f>+'Rev mile pop elasticities'!P38</f>
        <v>1.1892761478517571E-2</v>
      </c>
      <c r="BR8" s="11">
        <f>+'Rev mile pop elasticities'!Q38</f>
        <v>2.4395147290014404E-2</v>
      </c>
      <c r="BS8" s="11">
        <f>+'Rev mile pop elasticities'!R38</f>
        <v>3.2629959291239546E-2</v>
      </c>
      <c r="BT8" s="11">
        <f>+'Rev mile pop elasticities'!S38</f>
        <v>2.8888990211859162E-2</v>
      </c>
      <c r="BU8" s="32">
        <f t="shared" si="34"/>
        <v>315688.67522853368</v>
      </c>
      <c r="BV8" s="33">
        <f t="shared" si="35"/>
        <v>1.1892761478517571E-4</v>
      </c>
      <c r="BW8" s="40">
        <f t="shared" si="36"/>
        <v>647559.58856996777</v>
      </c>
      <c r="BX8" s="33">
        <f t="shared" si="37"/>
        <v>2.4395147290014402E-4</v>
      </c>
      <c r="BY8" s="40">
        <f t="shared" si="38"/>
        <v>1333586.4362329603</v>
      </c>
      <c r="BZ8" s="41">
        <f t="shared" si="39"/>
        <v>3.2629959291239551E-4</v>
      </c>
      <c r="CA8" s="40">
        <f t="shared" si="40"/>
        <v>1180693.029958684</v>
      </c>
      <c r="CB8" s="41">
        <f t="shared" si="41"/>
        <v>2.8888990211859165E-4</v>
      </c>
      <c r="CD8" s="70">
        <f t="shared" si="42"/>
        <v>16.888690833736099</v>
      </c>
      <c r="CE8" s="70">
        <f t="shared" si="43"/>
        <v>35.996937257127527</v>
      </c>
      <c r="CF8" s="70">
        <f t="shared" si="44"/>
        <v>52.885628090863626</v>
      </c>
      <c r="CG8" s="70">
        <f t="shared" si="45"/>
        <v>57.600353932638654</v>
      </c>
      <c r="CH8" s="70">
        <f t="shared" si="46"/>
        <v>78.978624622530745</v>
      </c>
      <c r="CI8" s="70">
        <f t="shared" si="47"/>
        <v>136.57897855516939</v>
      </c>
      <c r="CJ8" s="69">
        <f t="shared" si="48"/>
        <v>76.973310342873646</v>
      </c>
      <c r="CK8" s="69">
        <f t="shared" si="49"/>
        <v>164.06265294116187</v>
      </c>
      <c r="CL8" s="70">
        <f t="shared" si="50"/>
        <v>241.03596328403552</v>
      </c>
      <c r="CM8" s="69">
        <f t="shared" si="51"/>
        <v>113.30900471851238</v>
      </c>
      <c r="CN8" s="69">
        <f t="shared" si="52"/>
        <v>155.36344378163798</v>
      </c>
      <c r="CO8" s="70">
        <f t="shared" si="53"/>
        <v>268.67244850015038</v>
      </c>
      <c r="CQ8" s="70">
        <f t="shared" si="54"/>
        <v>0.151262698114047</v>
      </c>
      <c r="CR8" s="70">
        <f t="shared" si="55"/>
        <v>3.6762273966035153</v>
      </c>
      <c r="CS8" s="70">
        <f t="shared" si="56"/>
        <v>3.8274900947175623</v>
      </c>
      <c r="CT8" s="70">
        <f t="shared" si="57"/>
        <v>0.59744715485187871</v>
      </c>
      <c r="CU8" s="70">
        <f t="shared" si="58"/>
        <v>7.540898636008615</v>
      </c>
      <c r="CV8" s="70">
        <f t="shared" si="59"/>
        <v>8.1383457908604946</v>
      </c>
      <c r="CW8" s="69">
        <f t="shared" si="60"/>
        <v>0.63898992374960339</v>
      </c>
      <c r="CX8" s="69">
        <f t="shared" si="61"/>
        <v>15.529752497676339</v>
      </c>
      <c r="CY8" s="70">
        <f t="shared" si="62"/>
        <v>16.168742421425943</v>
      </c>
      <c r="CZ8" s="69">
        <f t="shared" si="63"/>
        <v>1.0893232128027428</v>
      </c>
      <c r="DA8" s="69">
        <f t="shared" si="64"/>
        <v>13.749292908815157</v>
      </c>
      <c r="DB8" s="70">
        <f t="shared" si="65"/>
        <v>14.8386161216179</v>
      </c>
    </row>
    <row r="9" spans="1:106">
      <c r="A9" s="3" t="s">
        <v>289</v>
      </c>
      <c r="B9" s="3">
        <v>2094051</v>
      </c>
      <c r="C9" s="3">
        <v>1316713</v>
      </c>
      <c r="D9" s="34">
        <v>41348.39</v>
      </c>
      <c r="E9" s="32">
        <f t="shared" si="0"/>
        <v>54443962642.07</v>
      </c>
      <c r="F9" s="32">
        <v>93805</v>
      </c>
      <c r="G9" s="37">
        <f t="shared" si="1"/>
        <v>4.4795948140709085E-2</v>
      </c>
      <c r="H9" s="50">
        <f>+'Revenue mile elasticities'!C38</f>
        <v>1969967</v>
      </c>
      <c r="I9" s="3">
        <f t="shared" si="2"/>
        <v>19699.670000000002</v>
      </c>
      <c r="J9" s="16">
        <f>+'Revenue mile elasticities'!F38</f>
        <v>2.3102947073512319E-3</v>
      </c>
      <c r="K9" s="16">
        <f>+'Revenue mile elasticities'!G38</f>
        <v>7.8794617144811764E-3</v>
      </c>
      <c r="L9" s="16">
        <f>+'Revenue mile elasticities'!H38</f>
        <v>6.3387147205304561E-3</v>
      </c>
      <c r="M9" s="16">
        <f>+'Revenue mile elasticities'!I38</f>
        <v>9.330941503990867E-3</v>
      </c>
      <c r="N9" s="32">
        <f t="shared" si="7"/>
        <v>1257815.9873920251</v>
      </c>
      <c r="O9" s="35">
        <f t="shared" si="8"/>
        <v>2.3102947073512316E-5</v>
      </c>
      <c r="P9" s="36">
        <f t="shared" si="9"/>
        <v>4289891.1922283405</v>
      </c>
      <c r="Q9" s="35">
        <f t="shared" si="10"/>
        <v>7.8794617144811781E-5</v>
      </c>
      <c r="R9" s="36">
        <f t="shared" si="11"/>
        <v>5946031.3435935955</v>
      </c>
      <c r="S9" s="33">
        <f t="shared" si="12"/>
        <v>6.3387147205304568E-5</v>
      </c>
      <c r="T9" s="36">
        <f t="shared" si="13"/>
        <v>8752889.6778186336</v>
      </c>
      <c r="U9" s="33">
        <f t="shared" si="14"/>
        <v>9.3309415039908688E-5</v>
      </c>
      <c r="V9" s="13"/>
      <c r="W9" s="3" t="s">
        <v>288</v>
      </c>
      <c r="X9" s="3">
        <v>811669</v>
      </c>
      <c r="Y9" s="3">
        <v>434311</v>
      </c>
      <c r="Z9" s="51">
        <v>41078.980000000003</v>
      </c>
      <c r="AA9" s="32">
        <f t="shared" si="3"/>
        <v>17841052882.780003</v>
      </c>
      <c r="AB9" s="3">
        <v>27041</v>
      </c>
      <c r="AC9" s="37">
        <f t="shared" si="4"/>
        <v>3.3315304637727944E-2</v>
      </c>
      <c r="AD9" s="50">
        <f>+'Revenue mile elasticities'!M38</f>
        <v>2369621</v>
      </c>
      <c r="AE9" s="3">
        <f t="shared" si="15"/>
        <v>23696.21</v>
      </c>
      <c r="AF9" s="11">
        <f>+'Revenue mile elasticities'!P38</f>
        <v>1.187709309742755E-3</v>
      </c>
      <c r="AG9" s="11">
        <f>+'Revenue mile elasticities'!Q38</f>
        <v>4.6911337477392344E-3</v>
      </c>
      <c r="AH9" s="11">
        <f>+'Revenue mile elasticities'!R38</f>
        <v>3.2586970231209163E-3</v>
      </c>
      <c r="AI9" s="11">
        <f>+'Revenue mile elasticities'!S38</f>
        <v>5.5552899644280406E-3</v>
      </c>
      <c r="AJ9" s="32">
        <f t="shared" si="16"/>
        <v>211899.84604490627</v>
      </c>
      <c r="AK9" s="33">
        <f t="shared" si="17"/>
        <v>1.187709309742755E-5</v>
      </c>
      <c r="AL9" s="40">
        <f t="shared" si="18"/>
        <v>836947.65273609629</v>
      </c>
      <c r="AM9" s="33">
        <f t="shared" si="19"/>
        <v>4.6911337477392344E-5</v>
      </c>
      <c r="AN9" s="40">
        <f t="shared" si="20"/>
        <v>881184.26202212705</v>
      </c>
      <c r="AO9" s="41">
        <f t="shared" si="21"/>
        <v>3.2586970231209165E-5</v>
      </c>
      <c r="AP9" s="40">
        <f t="shared" si="22"/>
        <v>1502205.9592809868</v>
      </c>
      <c r="AQ9" s="41">
        <f t="shared" si="23"/>
        <v>5.5552899644280418E-5</v>
      </c>
      <c r="AR9" s="53"/>
      <c r="AS9" s="53"/>
      <c r="AT9" s="3" t="s">
        <v>289</v>
      </c>
      <c r="AU9" s="11">
        <f>+'Rev mile pop elasticities'!F39</f>
        <v>1.5739408392441253E-2</v>
      </c>
      <c r="AV9" s="11">
        <f>+'Rev mile pop elasticities'!G39</f>
        <v>3.4532849790191361E-2</v>
      </c>
      <c r="AW9" s="11">
        <f>+'Rev mile pop elasticities'!H39</f>
        <v>4.318393638359333E-2</v>
      </c>
      <c r="AX9" s="11">
        <f>+'Rev mile pop elasticities'!I39</f>
        <v>4.0894164225226612E-2</v>
      </c>
      <c r="AY9" s="32">
        <f t="shared" si="24"/>
        <v>8569157.6252635457</v>
      </c>
      <c r="AZ9" s="33">
        <f t="shared" si="25"/>
        <v>1.5739408392441252E-4</v>
      </c>
      <c r="BA9" s="40">
        <f t="shared" si="26"/>
        <v>18801051.83901393</v>
      </c>
      <c r="BB9" s="33">
        <f t="shared" si="27"/>
        <v>3.4532849790191354E-4</v>
      </c>
      <c r="BC9" s="40">
        <f t="shared" si="28"/>
        <v>40508691.524629727</v>
      </c>
      <c r="BD9" s="41">
        <f t="shared" si="29"/>
        <v>4.3183936383593333E-4</v>
      </c>
      <c r="BE9" s="40">
        <f t="shared" si="30"/>
        <v>38360770.751473822</v>
      </c>
      <c r="BF9" s="41">
        <f t="shared" si="31"/>
        <v>4.0894164225226609E-4</v>
      </c>
      <c r="BH9" s="3" t="s">
        <v>288</v>
      </c>
      <c r="BI9" s="3">
        <v>811669</v>
      </c>
      <c r="BJ9" s="3">
        <v>434311</v>
      </c>
      <c r="BK9" s="51">
        <v>41078.980000000003</v>
      </c>
      <c r="BL9" s="32">
        <f t="shared" si="5"/>
        <v>17841052882.780003</v>
      </c>
      <c r="BM9" s="3">
        <v>27041</v>
      </c>
      <c r="BN9" s="37">
        <f t="shared" si="6"/>
        <v>3.3315304637727944E-2</v>
      </c>
      <c r="BO9" s="50">
        <f t="shared" si="32"/>
        <v>2369621</v>
      </c>
      <c r="BP9" s="3">
        <f t="shared" si="33"/>
        <v>23696.21</v>
      </c>
      <c r="BQ9" s="11">
        <f>+'Rev mile pop elasticities'!P39</f>
        <v>1.0237959457882462E-2</v>
      </c>
      <c r="BR9" s="11">
        <f>+'Rev mile pop elasticities'!Q39</f>
        <v>2.1000717905205205E-2</v>
      </c>
      <c r="BS9" s="11">
        <f>+'Rev mile pop elasticities'!R39</f>
        <v>2.8089708259894118E-2</v>
      </c>
      <c r="BT9" s="11">
        <f>+'Rev mile pop elasticities'!S39</f>
        <v>2.4869271203532477E-2</v>
      </c>
      <c r="BU9" s="32">
        <f t="shared" si="34"/>
        <v>1826559.7609983871</v>
      </c>
      <c r="BV9" s="33">
        <f t="shared" si="35"/>
        <v>1.0237959457882463E-4</v>
      </c>
      <c r="BW9" s="40">
        <f t="shared" si="36"/>
        <v>3746749.1872311095</v>
      </c>
      <c r="BX9" s="33">
        <f t="shared" si="37"/>
        <v>2.1000717905205206E-4</v>
      </c>
      <c r="BY9" s="40">
        <f t="shared" si="38"/>
        <v>7595738.0105579691</v>
      </c>
      <c r="BZ9" s="41">
        <f t="shared" si="39"/>
        <v>2.808970825989412E-4</v>
      </c>
      <c r="CA9" s="40">
        <f t="shared" si="40"/>
        <v>6724899.626147218</v>
      </c>
      <c r="CB9" s="41">
        <f t="shared" si="41"/>
        <v>2.4869271203532481E-4</v>
      </c>
      <c r="CD9" s="70">
        <f t="shared" si="42"/>
        <v>0.95526966574494598</v>
      </c>
      <c r="CE9" s="70">
        <f t="shared" si="43"/>
        <v>6.5079919657993397</v>
      </c>
      <c r="CF9" s="70">
        <f t="shared" si="44"/>
        <v>7.4632616315442855</v>
      </c>
      <c r="CG9" s="70">
        <f t="shared" si="45"/>
        <v>3.2580305596043635</v>
      </c>
      <c r="CH9" s="70">
        <f t="shared" si="46"/>
        <v>14.278777409362505</v>
      </c>
      <c r="CI9" s="70">
        <f t="shared" si="47"/>
        <v>17.536807968966869</v>
      </c>
      <c r="CJ9" s="69">
        <f t="shared" si="48"/>
        <v>4.5158142614173293</v>
      </c>
      <c r="CK9" s="69">
        <f t="shared" si="49"/>
        <v>30.765012211947273</v>
      </c>
      <c r="CL9" s="70">
        <f t="shared" si="50"/>
        <v>35.280826473364598</v>
      </c>
      <c r="CM9" s="69">
        <f t="shared" si="51"/>
        <v>6.6475303865144744</v>
      </c>
      <c r="CN9" s="69">
        <f t="shared" si="52"/>
        <v>29.133737383525357</v>
      </c>
      <c r="CO9" s="70">
        <f t="shared" si="53"/>
        <v>35.781267770039832</v>
      </c>
      <c r="CQ9" s="70">
        <f t="shared" si="54"/>
        <v>0.48789886980736447</v>
      </c>
      <c r="CR9" s="70">
        <f t="shared" si="55"/>
        <v>4.2056493181116457</v>
      </c>
      <c r="CS9" s="70">
        <f t="shared" si="56"/>
        <v>4.69354818791901</v>
      </c>
      <c r="CT9" s="70">
        <f t="shared" si="57"/>
        <v>1.927069894007051</v>
      </c>
      <c r="CU9" s="70">
        <f t="shared" si="58"/>
        <v>8.6268807081356673</v>
      </c>
      <c r="CV9" s="70">
        <f t="shared" si="59"/>
        <v>10.553950602142718</v>
      </c>
      <c r="CW9" s="69">
        <f t="shared" si="60"/>
        <v>2.0289245771397155</v>
      </c>
      <c r="CX9" s="69">
        <f t="shared" si="61"/>
        <v>17.489167924731284</v>
      </c>
      <c r="CY9" s="70">
        <f t="shared" si="62"/>
        <v>19.518092501870999</v>
      </c>
      <c r="CZ9" s="69">
        <f t="shared" si="63"/>
        <v>3.4588254943600019</v>
      </c>
      <c r="DA9" s="69">
        <f t="shared" si="64"/>
        <v>15.484064705124251</v>
      </c>
      <c r="DB9" s="70">
        <f t="shared" si="65"/>
        <v>18.942890199484253</v>
      </c>
    </row>
    <row r="10" spans="1:106">
      <c r="A10" s="3" t="s">
        <v>291</v>
      </c>
      <c r="B10" s="3">
        <v>6301085</v>
      </c>
      <c r="C10" s="3">
        <v>4013361</v>
      </c>
      <c r="D10" s="34">
        <v>47180.46</v>
      </c>
      <c r="E10" s="32">
        <f t="shared" si="0"/>
        <v>189352218126.06</v>
      </c>
      <c r="F10" s="32">
        <v>352414</v>
      </c>
      <c r="G10" s="37">
        <f t="shared" si="1"/>
        <v>5.5929097925198595E-2</v>
      </c>
      <c r="H10" s="50">
        <f>+'Revenue mile elasticities'!C39</f>
        <v>3071800</v>
      </c>
      <c r="I10" s="3">
        <f t="shared" si="2"/>
        <v>30718</v>
      </c>
      <c r="J10" s="16">
        <f>+'Revenue mile elasticities'!F39</f>
        <v>4.5972695861963824E-3</v>
      </c>
      <c r="K10" s="16">
        <f>+'Revenue mile elasticities'!G39</f>
        <v>1.567938911876493E-2</v>
      </c>
      <c r="L10" s="16">
        <f>+'Revenue mile elasticities'!H39</f>
        <v>1.2613447240105597E-2</v>
      </c>
      <c r="M10" s="16">
        <f>+'Revenue mile elasticities'!I39</f>
        <v>1.8567697640642682E-2</v>
      </c>
      <c r="N10" s="32">
        <f t="shared" si="7"/>
        <v>8705031.9346975908</v>
      </c>
      <c r="O10" s="35">
        <f t="shared" si="8"/>
        <v>4.5972695861963828E-5</v>
      </c>
      <c r="P10" s="36">
        <f t="shared" si="9"/>
        <v>29689271.084997486</v>
      </c>
      <c r="Q10" s="35">
        <f t="shared" si="10"/>
        <v>1.567938911876493E-4</v>
      </c>
      <c r="R10" s="36">
        <f t="shared" si="11"/>
        <v>44451553.956745736</v>
      </c>
      <c r="S10" s="33">
        <f t="shared" si="12"/>
        <v>1.2613447240105596E-4</v>
      </c>
      <c r="T10" s="36">
        <f t="shared" si="13"/>
        <v>65435165.963294499</v>
      </c>
      <c r="U10" s="33">
        <f t="shared" si="14"/>
        <v>1.8567697640642681E-4</v>
      </c>
      <c r="V10" s="13"/>
      <c r="W10" s="3" t="s">
        <v>290</v>
      </c>
      <c r="X10" s="3">
        <v>125923</v>
      </c>
      <c r="Y10" s="3">
        <v>75556</v>
      </c>
      <c r="Z10" s="51">
        <v>30581.5</v>
      </c>
      <c r="AA10" s="32">
        <f t="shared" si="3"/>
        <v>2310615814</v>
      </c>
      <c r="AB10" s="3">
        <v>3686</v>
      </c>
      <c r="AC10" s="37">
        <f t="shared" si="4"/>
        <v>2.9271856610785955E-2</v>
      </c>
      <c r="AD10" s="50">
        <f>+'Revenue mile elasticities'!M39</f>
        <v>445692</v>
      </c>
      <c r="AE10" s="3">
        <f t="shared" si="15"/>
        <v>4456.92</v>
      </c>
      <c r="AF10" s="11">
        <f>+'Revenue mile elasticities'!P39</f>
        <v>2.1094290411943954E-4</v>
      </c>
      <c r="AG10" s="11">
        <f>+'Revenue mile elasticities'!Q39</f>
        <v>8.3316798836505928E-4</v>
      </c>
      <c r="AH10" s="11">
        <f>+'Revenue mile elasticities'!R39</f>
        <v>5.7876031455153087E-4</v>
      </c>
      <c r="AI10" s="11">
        <f>+'Revenue mile elasticities'!S39</f>
        <v>9.8664630201125442E-4</v>
      </c>
      <c r="AJ10" s="32">
        <f t="shared" si="16"/>
        <v>4874.0801010946279</v>
      </c>
      <c r="AK10" s="33">
        <f t="shared" si="17"/>
        <v>2.1094290411943956E-6</v>
      </c>
      <c r="AL10" s="40">
        <f t="shared" si="18"/>
        <v>19251.31129634874</v>
      </c>
      <c r="AM10" s="33">
        <f t="shared" si="19"/>
        <v>8.3316798836505926E-6</v>
      </c>
      <c r="AN10" s="40">
        <f t="shared" si="20"/>
        <v>21333.105194369429</v>
      </c>
      <c r="AO10" s="41">
        <f t="shared" si="21"/>
        <v>5.7876031455153087E-6</v>
      </c>
      <c r="AP10" s="40">
        <f t="shared" si="22"/>
        <v>36367.782692134839</v>
      </c>
      <c r="AQ10" s="41">
        <f t="shared" si="23"/>
        <v>9.8664630201125448E-6</v>
      </c>
      <c r="AR10" s="53"/>
      <c r="AS10" s="53"/>
      <c r="AT10" s="3" t="s">
        <v>291</v>
      </c>
      <c r="AU10" s="11">
        <f>+'Rev mile pop elasticities'!F40</f>
        <v>8.1563209256818453E-3</v>
      </c>
      <c r="AV10" s="11">
        <f>+'Rev mile pop elasticities'!G40</f>
        <v>1.7895272703034478E-2</v>
      </c>
      <c r="AW10" s="11">
        <f>+'Rev mile pop elasticities'!H40</f>
        <v>2.2378353442303982E-2</v>
      </c>
      <c r="AX10" s="11">
        <f>+'Rev mile pop elasticities'!I40</f>
        <v>2.1191770306225041E-2</v>
      </c>
      <c r="AY10" s="32">
        <f t="shared" si="24"/>
        <v>15444174.590258565</v>
      </c>
      <c r="AZ10" s="33">
        <f t="shared" si="25"/>
        <v>8.1563209256818462E-5</v>
      </c>
      <c r="BA10" s="40">
        <f t="shared" si="26"/>
        <v>33885095.802903123</v>
      </c>
      <c r="BB10" s="33">
        <f t="shared" si="27"/>
        <v>1.789527270303448E-4</v>
      </c>
      <c r="BC10" s="40">
        <f t="shared" si="28"/>
        <v>78864450.500161156</v>
      </c>
      <c r="BD10" s="41">
        <f t="shared" si="29"/>
        <v>2.2378353442303981E-4</v>
      </c>
      <c r="BE10" s="40">
        <f t="shared" si="30"/>
        <v>74682765.406979904</v>
      </c>
      <c r="BF10" s="41">
        <f t="shared" si="31"/>
        <v>2.1191770306225037E-4</v>
      </c>
      <c r="BH10" s="3" t="s">
        <v>290</v>
      </c>
      <c r="BI10" s="3">
        <v>125923</v>
      </c>
      <c r="BJ10" s="3">
        <v>75556</v>
      </c>
      <c r="BK10" s="51">
        <v>30581.5</v>
      </c>
      <c r="BL10" s="32">
        <f t="shared" si="5"/>
        <v>2310615814</v>
      </c>
      <c r="BM10" s="3">
        <v>3686</v>
      </c>
      <c r="BN10" s="37">
        <f t="shared" si="6"/>
        <v>2.9271856610785955E-2</v>
      </c>
      <c r="BO10" s="50">
        <f t="shared" si="32"/>
        <v>445692</v>
      </c>
      <c r="BP10" s="3">
        <f t="shared" si="33"/>
        <v>4456.92</v>
      </c>
      <c r="BQ10" s="11">
        <f>+'Rev mile pop elasticities'!P40</f>
        <v>1.2412042434185968E-2</v>
      </c>
      <c r="BR10" s="11">
        <f>+'Rev mile pop elasticities'!Q40</f>
        <v>2.5460327603376669E-2</v>
      </c>
      <c r="BS10" s="11">
        <f>+'Rev mile pop elasticities'!R40</f>
        <v>3.405470126347053E-2</v>
      </c>
      <c r="BT10" s="11">
        <f>+'Rev mile pop elasticities'!S40</f>
        <v>3.0150387951367107E-2</v>
      </c>
      <c r="BU10" s="32">
        <f t="shared" si="34"/>
        <v>286794.61532469152</v>
      </c>
      <c r="BV10" s="33">
        <f t="shared" si="35"/>
        <v>1.2412042434185969E-4</v>
      </c>
      <c r="BW10" s="40">
        <f t="shared" si="36"/>
        <v>588290.35589982849</v>
      </c>
      <c r="BX10" s="33">
        <f t="shared" si="37"/>
        <v>2.546032760337667E-4</v>
      </c>
      <c r="BY10" s="40">
        <f t="shared" si="38"/>
        <v>1255256.2885715237</v>
      </c>
      <c r="BZ10" s="41">
        <f t="shared" si="39"/>
        <v>3.4054701263470531E-4</v>
      </c>
      <c r="CA10" s="40">
        <f t="shared" si="40"/>
        <v>1111343.2998873915</v>
      </c>
      <c r="CB10" s="41">
        <f t="shared" si="41"/>
        <v>3.0150387951367104E-4</v>
      </c>
      <c r="CD10" s="70">
        <f t="shared" si="42"/>
        <v>2.1690129382075498</v>
      </c>
      <c r="CE10" s="70">
        <f t="shared" si="43"/>
        <v>3.848189731812953</v>
      </c>
      <c r="CF10" s="70">
        <f t="shared" si="44"/>
        <v>6.0172026700205024</v>
      </c>
      <c r="CG10" s="70">
        <f t="shared" si="45"/>
        <v>7.3976079114232398</v>
      </c>
      <c r="CH10" s="70">
        <f t="shared" si="46"/>
        <v>8.4430719795461027</v>
      </c>
      <c r="CI10" s="70">
        <f t="shared" si="47"/>
        <v>15.840679890969342</v>
      </c>
      <c r="CJ10" s="69">
        <f t="shared" si="48"/>
        <v>11.075892240131335</v>
      </c>
      <c r="CK10" s="69">
        <f t="shared" si="49"/>
        <v>19.650475125502329</v>
      </c>
      <c r="CL10" s="70">
        <f t="shared" si="50"/>
        <v>30.726367365633664</v>
      </c>
      <c r="CM10" s="69">
        <f t="shared" si="51"/>
        <v>16.304330949369991</v>
      </c>
      <c r="CN10" s="69">
        <f t="shared" si="52"/>
        <v>18.608534195398796</v>
      </c>
      <c r="CO10" s="70">
        <f t="shared" si="53"/>
        <v>34.912865144768787</v>
      </c>
      <c r="CQ10" s="70">
        <f t="shared" si="54"/>
        <v>6.4509504223286412E-2</v>
      </c>
      <c r="CR10" s="70">
        <f t="shared" si="55"/>
        <v>3.7957887570105817</v>
      </c>
      <c r="CS10" s="70">
        <f t="shared" si="56"/>
        <v>3.8602982612338681</v>
      </c>
      <c r="CT10" s="70">
        <f t="shared" si="57"/>
        <v>0.25479526836186062</v>
      </c>
      <c r="CU10" s="70">
        <f t="shared" si="58"/>
        <v>7.7861500860266357</v>
      </c>
      <c r="CV10" s="70">
        <f t="shared" si="59"/>
        <v>8.0409453543884961</v>
      </c>
      <c r="CW10" s="69">
        <f t="shared" si="60"/>
        <v>0.28234826081806114</v>
      </c>
      <c r="CX10" s="69">
        <f t="shared" si="61"/>
        <v>16.613588445279312</v>
      </c>
      <c r="CY10" s="70">
        <f t="shared" si="62"/>
        <v>16.895936706097373</v>
      </c>
      <c r="CZ10" s="69">
        <f t="shared" si="63"/>
        <v>0.48133546895196727</v>
      </c>
      <c r="DA10" s="69">
        <f t="shared" si="64"/>
        <v>14.708868916927729</v>
      </c>
      <c r="DB10" s="70">
        <f t="shared" si="65"/>
        <v>15.190204385879696</v>
      </c>
    </row>
    <row r="11" spans="1:106">
      <c r="A11" s="3" t="s">
        <v>293</v>
      </c>
      <c r="B11" s="3">
        <v>2500384</v>
      </c>
      <c r="C11" s="3">
        <v>1701841</v>
      </c>
      <c r="D11" s="34">
        <v>47081.16</v>
      </c>
      <c r="E11" s="32">
        <f t="shared" si="0"/>
        <v>80124648415.560013</v>
      </c>
      <c r="F11" s="32">
        <v>136608</v>
      </c>
      <c r="G11" s="37">
        <f t="shared" si="1"/>
        <v>5.4634808093476844E-2</v>
      </c>
      <c r="H11" s="50">
        <f>+'Revenue mile elasticities'!C40</f>
        <v>3694586</v>
      </c>
      <c r="I11" s="3">
        <f t="shared" si="2"/>
        <v>36945.86</v>
      </c>
      <c r="J11" s="16">
        <f>+'Revenue mile elasticities'!F40</f>
        <v>3.9567737027985895E-3</v>
      </c>
      <c r="K11" s="16">
        <f>+'Revenue mile elasticities'!G40</f>
        <v>1.3494922013569569E-2</v>
      </c>
      <c r="L11" s="16">
        <f>+'Revenue mile elasticities'!H40</f>
        <v>1.0856130014898657E-2</v>
      </c>
      <c r="M11" s="16">
        <f>+'Revenue mile elasticities'!I40</f>
        <v>1.5980828700279753E-2</v>
      </c>
      <c r="N11" s="32">
        <f t="shared" si="7"/>
        <v>3170351.0179667058</v>
      </c>
      <c r="O11" s="35">
        <f t="shared" si="8"/>
        <v>3.9567737027985899E-5</v>
      </c>
      <c r="P11" s="36">
        <f t="shared" si="9"/>
        <v>10812758.817326628</v>
      </c>
      <c r="Q11" s="35">
        <f t="shared" si="10"/>
        <v>1.3494922013569568E-4</v>
      </c>
      <c r="R11" s="36">
        <f t="shared" si="11"/>
        <v>14830342.09075276</v>
      </c>
      <c r="S11" s="33">
        <f t="shared" si="12"/>
        <v>1.0856130014898659E-4</v>
      </c>
      <c r="T11" s="36">
        <f t="shared" si="13"/>
        <v>21831090.470878165</v>
      </c>
      <c r="U11" s="33">
        <f t="shared" si="14"/>
        <v>1.5980828700279753E-4</v>
      </c>
      <c r="V11" s="13"/>
      <c r="W11" s="3" t="s">
        <v>292</v>
      </c>
      <c r="X11" s="3">
        <v>243682</v>
      </c>
      <c r="Y11" s="3">
        <v>158038</v>
      </c>
      <c r="Z11" s="51">
        <v>34160.629999999997</v>
      </c>
      <c r="AA11" s="32">
        <f t="shared" si="3"/>
        <v>5398677643.9399996</v>
      </c>
      <c r="AB11" s="3">
        <v>8584</v>
      </c>
      <c r="AC11" s="37">
        <f t="shared" si="4"/>
        <v>3.5226237473428484E-2</v>
      </c>
      <c r="AD11" s="50">
        <f>+'Revenue mile elasticities'!M40</f>
        <v>655128</v>
      </c>
      <c r="AE11" s="3">
        <f t="shared" si="15"/>
        <v>6551.28</v>
      </c>
      <c r="AF11" s="11">
        <f>+'Revenue mile elasticities'!P40</f>
        <v>6.7310112559515586E-4</v>
      </c>
      <c r="AG11" s="11">
        <f>+'Revenue mile elasticities'!Q40</f>
        <v>2.6585692138799554E-3</v>
      </c>
      <c r="AH11" s="11">
        <f>+'Revenue mile elasticities'!R40</f>
        <v>1.8467756514524132E-3</v>
      </c>
      <c r="AI11" s="11">
        <f>+'Revenue mile elasticities'!S40</f>
        <v>3.1483056480157367E-3</v>
      </c>
      <c r="AJ11" s="32">
        <f t="shared" si="16"/>
        <v>36338.559988614179</v>
      </c>
      <c r="AK11" s="33">
        <f t="shared" si="17"/>
        <v>6.7310112559515588E-6</v>
      </c>
      <c r="AL11" s="40">
        <f t="shared" si="18"/>
        <v>143527.58179840853</v>
      </c>
      <c r="AM11" s="33">
        <f t="shared" si="19"/>
        <v>2.6585692138799552E-5</v>
      </c>
      <c r="AN11" s="40">
        <f t="shared" si="20"/>
        <v>158527.22192067513</v>
      </c>
      <c r="AO11" s="41">
        <f t="shared" si="21"/>
        <v>1.8467756514524129E-5</v>
      </c>
      <c r="AP11" s="40">
        <f t="shared" si="22"/>
        <v>270250.55682567082</v>
      </c>
      <c r="AQ11" s="41">
        <f t="shared" si="23"/>
        <v>3.1483056480157367E-5</v>
      </c>
      <c r="AR11" s="53"/>
      <c r="AS11" s="53"/>
      <c r="AT11" s="3" t="s">
        <v>293</v>
      </c>
      <c r="AU11" s="11">
        <f>+'Rev mile pop elasticities'!F41</f>
        <v>2.4721554548741309E-2</v>
      </c>
      <c r="AV11" s="11">
        <f>+'Rev mile pop elasticities'!G41</f>
        <v>5.4240013889066636E-2</v>
      </c>
      <c r="AW11" s="11">
        <f>+'Rev mile pop elasticities'!H41</f>
        <v>6.782809190268374E-2</v>
      </c>
      <c r="AX11" s="11">
        <f>+'Rev mile pop elasticities'!I41</f>
        <v>6.4231595394947341E-2</v>
      </c>
      <c r="AY11" s="32">
        <f t="shared" si="24"/>
        <v>19808058.66503986</v>
      </c>
      <c r="AZ11" s="33">
        <f t="shared" si="25"/>
        <v>2.4721554548741312E-4</v>
      </c>
      <c r="BA11" s="40">
        <f t="shared" si="26"/>
        <v>43459620.429165564</v>
      </c>
      <c r="BB11" s="33">
        <f t="shared" si="27"/>
        <v>5.4240013889066639E-4</v>
      </c>
      <c r="BC11" s="40">
        <f t="shared" si="28"/>
        <v>92658599.786418214</v>
      </c>
      <c r="BD11" s="41">
        <f t="shared" si="29"/>
        <v>6.7828091902683756E-4</v>
      </c>
      <c r="BE11" s="40">
        <f t="shared" si="30"/>
        <v>87745497.837129682</v>
      </c>
      <c r="BF11" s="41">
        <f t="shared" si="31"/>
        <v>6.4231595394947352E-4</v>
      </c>
      <c r="BH11" s="3" t="s">
        <v>292</v>
      </c>
      <c r="BI11" s="3">
        <v>243682</v>
      </c>
      <c r="BJ11" s="3">
        <v>158038</v>
      </c>
      <c r="BK11" s="51">
        <v>34160.629999999997</v>
      </c>
      <c r="BL11" s="32">
        <f t="shared" si="5"/>
        <v>5398677643.9399996</v>
      </c>
      <c r="BM11" s="3">
        <v>8584</v>
      </c>
      <c r="BN11" s="37">
        <f t="shared" si="6"/>
        <v>3.5226237473428484E-2</v>
      </c>
      <c r="BO11" s="50">
        <f t="shared" si="32"/>
        <v>655128</v>
      </c>
      <c r="BP11" s="3">
        <f t="shared" si="33"/>
        <v>6551.28</v>
      </c>
      <c r="BQ11" s="11">
        <f>+'Rev mile pop elasticities'!P41</f>
        <v>9.4279264490606599E-3</v>
      </c>
      <c r="BR11" s="11">
        <f>+'Rev mile pop elasticities'!Q41</f>
        <v>1.9339129501563516E-2</v>
      </c>
      <c r="BS11" s="11">
        <f>+'Rev mile pop elasticities'!R41</f>
        <v>2.5867235022693509E-2</v>
      </c>
      <c r="BT11" s="11">
        <f>+'Rev mile pop elasticities'!S41</f>
        <v>2.2901600725535744E-2</v>
      </c>
      <c r="BU11" s="32">
        <f t="shared" si="34"/>
        <v>508983.35749254411</v>
      </c>
      <c r="BV11" s="33">
        <f t="shared" si="35"/>
        <v>9.4279264490606604E-5</v>
      </c>
      <c r="BW11" s="40">
        <f t="shared" si="36"/>
        <v>1044057.2609335146</v>
      </c>
      <c r="BX11" s="33">
        <f t="shared" si="37"/>
        <v>1.9339129501563516E-4</v>
      </c>
      <c r="BY11" s="40">
        <f t="shared" si="38"/>
        <v>2220443.4543480109</v>
      </c>
      <c r="BZ11" s="41">
        <f t="shared" si="39"/>
        <v>2.5867235022693512E-4</v>
      </c>
      <c r="CA11" s="40">
        <f t="shared" si="40"/>
        <v>1965873.4062799884</v>
      </c>
      <c r="CB11" s="41">
        <f t="shared" si="41"/>
        <v>2.2901600725535744E-4</v>
      </c>
      <c r="CD11" s="70">
        <f t="shared" si="42"/>
        <v>1.8628949578525291</v>
      </c>
      <c r="CE11" s="70">
        <f t="shared" si="43"/>
        <v>11.639194651580176</v>
      </c>
      <c r="CF11" s="70">
        <f t="shared" si="44"/>
        <v>13.502089609432705</v>
      </c>
      <c r="CG11" s="70">
        <f t="shared" si="45"/>
        <v>6.3535658250839111</v>
      </c>
      <c r="CH11" s="70">
        <f t="shared" si="46"/>
        <v>25.53682772313369</v>
      </c>
      <c r="CI11" s="70">
        <f t="shared" si="47"/>
        <v>31.890393548217602</v>
      </c>
      <c r="CJ11" s="69">
        <f t="shared" si="48"/>
        <v>8.7142935742838254</v>
      </c>
      <c r="CK11" s="69">
        <f t="shared" si="49"/>
        <v>54.446096777794288</v>
      </c>
      <c r="CL11" s="70">
        <f t="shared" si="50"/>
        <v>63.16039035207811</v>
      </c>
      <c r="CM11" s="69">
        <f t="shared" si="51"/>
        <v>12.827926034734247</v>
      </c>
      <c r="CN11" s="69">
        <f t="shared" si="52"/>
        <v>51.5591631868839</v>
      </c>
      <c r="CO11" s="70">
        <f t="shared" si="53"/>
        <v>64.38708922161814</v>
      </c>
      <c r="CQ11" s="70">
        <f t="shared" si="54"/>
        <v>0.22993558504039649</v>
      </c>
      <c r="CR11" s="70">
        <f t="shared" si="55"/>
        <v>3.2206390709357504</v>
      </c>
      <c r="CS11" s="70">
        <f t="shared" si="56"/>
        <v>3.4505746559761468</v>
      </c>
      <c r="CT11" s="70">
        <f t="shared" si="57"/>
        <v>0.90818399244744008</v>
      </c>
      <c r="CU11" s="70">
        <f t="shared" si="58"/>
        <v>6.6063684742499564</v>
      </c>
      <c r="CV11" s="70">
        <f t="shared" si="59"/>
        <v>7.5145524666973964</v>
      </c>
      <c r="CW11" s="69">
        <f t="shared" si="60"/>
        <v>1.0030955967594828</v>
      </c>
      <c r="CX11" s="69">
        <f t="shared" si="61"/>
        <v>14.050060456016977</v>
      </c>
      <c r="CY11" s="70">
        <f t="shared" si="62"/>
        <v>15.05315605277646</v>
      </c>
      <c r="CZ11" s="69">
        <f t="shared" si="63"/>
        <v>1.7100352878780471</v>
      </c>
      <c r="DA11" s="69">
        <f t="shared" si="64"/>
        <v>12.43924503144806</v>
      </c>
      <c r="DB11" s="70">
        <f t="shared" si="65"/>
        <v>14.149280319326106</v>
      </c>
    </row>
    <row r="12" spans="1:106">
      <c r="A12" s="3" t="s">
        <v>295</v>
      </c>
      <c r="B12" s="3">
        <v>5726705</v>
      </c>
      <c r="C12" s="3">
        <v>3487033</v>
      </c>
      <c r="D12" s="34">
        <v>52427.95</v>
      </c>
      <c r="E12" s="32">
        <f t="shared" si="0"/>
        <v>182817991772.34998</v>
      </c>
      <c r="F12" s="32">
        <v>377223</v>
      </c>
      <c r="G12" s="37">
        <f t="shared" si="1"/>
        <v>6.5870862913315772E-2</v>
      </c>
      <c r="H12" s="50">
        <f>+'Revenue mile elasticities'!C41</f>
        <v>770505</v>
      </c>
      <c r="I12" s="3">
        <f t="shared" si="2"/>
        <v>7705.05</v>
      </c>
      <c r="J12" s="16">
        <f>+'Revenue mile elasticities'!F41</f>
        <v>8.8592911574433494E-4</v>
      </c>
      <c r="K12" s="16">
        <f>+'Revenue mile elasticities'!G41</f>
        <v>3.0215385626083191E-3</v>
      </c>
      <c r="L12" s="16">
        <f>+'Revenue mile elasticities'!H41</f>
        <v>2.4307080431974532E-3</v>
      </c>
      <c r="M12" s="16">
        <f>+'Revenue mile elasticities'!I41</f>
        <v>3.578137771509852E-3</v>
      </c>
      <c r="N12" s="32">
        <f t="shared" si="7"/>
        <v>1619637.817930331</v>
      </c>
      <c r="O12" s="35">
        <f t="shared" si="8"/>
        <v>8.8592911574433489E-6</v>
      </c>
      <c r="P12" s="36">
        <f t="shared" si="9"/>
        <v>5523916.1207876587</v>
      </c>
      <c r="Q12" s="35">
        <f t="shared" si="10"/>
        <v>3.0215385626083191E-5</v>
      </c>
      <c r="R12" s="36">
        <f t="shared" si="11"/>
        <v>9169189.8017907292</v>
      </c>
      <c r="S12" s="33">
        <f t="shared" si="12"/>
        <v>2.4307080431974533E-5</v>
      </c>
      <c r="T12" s="36">
        <f t="shared" si="13"/>
        <v>13497558.645822609</v>
      </c>
      <c r="U12" s="33">
        <f t="shared" si="14"/>
        <v>3.5781377715098519E-5</v>
      </c>
      <c r="V12" s="13"/>
      <c r="W12" s="3" t="s">
        <v>294</v>
      </c>
      <c r="X12" s="3">
        <v>86219</v>
      </c>
      <c r="Y12" s="3">
        <v>57218</v>
      </c>
      <c r="Z12" s="51">
        <v>30557.7</v>
      </c>
      <c r="AA12" s="32">
        <f t="shared" si="3"/>
        <v>1748450478.6000001</v>
      </c>
      <c r="AB12" s="3">
        <v>2630</v>
      </c>
      <c r="AC12" s="37">
        <f t="shared" si="4"/>
        <v>3.0503717278094155E-2</v>
      </c>
      <c r="AD12" s="50">
        <f>+'Revenue mile elasticities'!M41</f>
        <v>1093276</v>
      </c>
      <c r="AE12" s="3">
        <f t="shared" si="15"/>
        <v>10932.76</v>
      </c>
      <c r="AF12" s="11">
        <f>+'Revenue mile elasticities'!P41</f>
        <v>8.2512488334059685E-4</v>
      </c>
      <c r="AG12" s="11">
        <f>+'Revenue mile elasticities'!Q41</f>
        <v>3.2590223504915016E-3</v>
      </c>
      <c r="AH12" s="11">
        <f>+'Revenue mile elasticities'!R41</f>
        <v>2.263880546349652E-3</v>
      </c>
      <c r="AI12" s="11">
        <f>+'Revenue mile elasticities'!S41</f>
        <v>3.8593685729504624E-3</v>
      </c>
      <c r="AJ12" s="32">
        <f t="shared" si="16"/>
        <v>14426.89997181636</v>
      </c>
      <c r="AK12" s="33">
        <f t="shared" si="17"/>
        <v>8.2512488334059688E-6</v>
      </c>
      <c r="AL12" s="40">
        <f t="shared" si="18"/>
        <v>56982.391884849632</v>
      </c>
      <c r="AM12" s="33">
        <f t="shared" si="19"/>
        <v>3.2590223504915013E-5</v>
      </c>
      <c r="AN12" s="40">
        <f t="shared" si="20"/>
        <v>59540.058368995851</v>
      </c>
      <c r="AO12" s="41">
        <f t="shared" si="21"/>
        <v>2.2638805463496521E-5</v>
      </c>
      <c r="AP12" s="40">
        <f t="shared" si="22"/>
        <v>101501.39346859716</v>
      </c>
      <c r="AQ12" s="41">
        <f t="shared" si="23"/>
        <v>3.859368572950462E-5</v>
      </c>
      <c r="AR12" s="53"/>
      <c r="AS12" s="53"/>
      <c r="AT12" s="3" t="s">
        <v>295</v>
      </c>
      <c r="AU12" s="11">
        <f>+'Rev mile pop elasticities'!F42</f>
        <v>2.2510614836978677E-3</v>
      </c>
      <c r="AV12" s="11">
        <f>+'Rev mile pop elasticities'!G42</f>
        <v>4.9389129595465448E-3</v>
      </c>
      <c r="AW12" s="11">
        <f>+'Rev mile pop elasticities'!H42</f>
        <v>6.1761975726006479E-3</v>
      </c>
      <c r="AX12" s="11">
        <f>+'Rev mile pop elasticities'!I42</f>
        <v>5.8487127152524873E-3</v>
      </c>
      <c r="AY12" s="32">
        <f t="shared" si="24"/>
        <v>4115345.3980573071</v>
      </c>
      <c r="AZ12" s="33">
        <f t="shared" si="25"/>
        <v>2.2510614836978679E-5</v>
      </c>
      <c r="BA12" s="40">
        <f t="shared" si="26"/>
        <v>9029221.4880273286</v>
      </c>
      <c r="BB12" s="33">
        <f t="shared" si="27"/>
        <v>4.9389129595465447E-5</v>
      </c>
      <c r="BC12" s="40">
        <f t="shared" si="28"/>
        <v>23298037.769291345</v>
      </c>
      <c r="BD12" s="41">
        <f t="shared" si="29"/>
        <v>6.1761975726006495E-5</v>
      </c>
      <c r="BE12" s="40">
        <f t="shared" si="30"/>
        <v>22062689.565856889</v>
      </c>
      <c r="BF12" s="41">
        <f t="shared" si="31"/>
        <v>5.8487127152524869E-5</v>
      </c>
      <c r="BH12" s="3" t="s">
        <v>294</v>
      </c>
      <c r="BI12" s="3">
        <v>86219</v>
      </c>
      <c r="BJ12" s="3">
        <v>57218</v>
      </c>
      <c r="BK12" s="51">
        <v>30557.7</v>
      </c>
      <c r="BL12" s="32">
        <f t="shared" si="5"/>
        <v>1748450478.6000001</v>
      </c>
      <c r="BM12" s="3">
        <v>2630</v>
      </c>
      <c r="BN12" s="37">
        <f t="shared" si="6"/>
        <v>3.0503717278094155E-2</v>
      </c>
      <c r="BO12" s="50">
        <f t="shared" si="32"/>
        <v>1093276</v>
      </c>
      <c r="BP12" s="3">
        <f t="shared" si="33"/>
        <v>10932.76</v>
      </c>
      <c r="BQ12" s="11">
        <f>+'Rev mile pop elasticities'!P42</f>
        <v>4.4467253648499745E-2</v>
      </c>
      <c r="BR12" s="11">
        <f>+'Rev mile pop elasticities'!Q42</f>
        <v>9.1213903877335634E-2</v>
      </c>
      <c r="BS12" s="11">
        <f>+'Rev mile pop elasticities'!R42</f>
        <v>0.12200401723054083</v>
      </c>
      <c r="BT12" s="11">
        <f>+'Rev mile pop elasticities'!S42</f>
        <v>0.10801646511789746</v>
      </c>
      <c r="BU12" s="32">
        <f t="shared" si="34"/>
        <v>777487.9092374699</v>
      </c>
      <c r="BV12" s="33">
        <f t="shared" si="35"/>
        <v>4.446725364849975E-4</v>
      </c>
      <c r="BW12" s="40">
        <f t="shared" si="36"/>
        <v>1594829.938893019</v>
      </c>
      <c r="BX12" s="33">
        <f t="shared" si="37"/>
        <v>9.1213903877335634E-4</v>
      </c>
      <c r="BY12" s="40">
        <f t="shared" si="38"/>
        <v>3208705.653163224</v>
      </c>
      <c r="BZ12" s="41">
        <f t="shared" si="39"/>
        <v>1.2200401723054084E-3</v>
      </c>
      <c r="CA12" s="40">
        <f t="shared" si="40"/>
        <v>2840833.0326007032</v>
      </c>
      <c r="CB12" s="41">
        <f t="shared" si="41"/>
        <v>1.0801646511789745E-3</v>
      </c>
      <c r="CD12" s="70">
        <f t="shared" si="42"/>
        <v>0.46447447383788193</v>
      </c>
      <c r="CE12" s="70">
        <f t="shared" si="43"/>
        <v>1.1801853891423761</v>
      </c>
      <c r="CF12" s="70">
        <f t="shared" si="44"/>
        <v>1.644659862980258</v>
      </c>
      <c r="CG12" s="70">
        <f t="shared" si="45"/>
        <v>1.584130726835008</v>
      </c>
      <c r="CH12" s="70">
        <f t="shared" si="46"/>
        <v>2.5893708169745824</v>
      </c>
      <c r="CI12" s="70">
        <f t="shared" si="47"/>
        <v>4.1735015438095902</v>
      </c>
      <c r="CJ12" s="69">
        <f t="shared" si="48"/>
        <v>2.6295104754645937</v>
      </c>
      <c r="CK12" s="69">
        <f t="shared" si="49"/>
        <v>6.6813356137700293</v>
      </c>
      <c r="CL12" s="70">
        <f t="shared" si="50"/>
        <v>9.310846089234623</v>
      </c>
      <c r="CM12" s="69">
        <f t="shared" si="51"/>
        <v>3.8707860366743327</v>
      </c>
      <c r="CN12" s="69">
        <f t="shared" si="52"/>
        <v>6.3270664676407966</v>
      </c>
      <c r="CO12" s="70">
        <f t="shared" si="53"/>
        <v>10.197852504315129</v>
      </c>
      <c r="CQ12" s="70">
        <f t="shared" si="54"/>
        <v>0.25213918647656958</v>
      </c>
      <c r="CR12" s="70">
        <f t="shared" si="55"/>
        <v>13.588169968147609</v>
      </c>
      <c r="CS12" s="70">
        <f t="shared" si="56"/>
        <v>13.840309154624178</v>
      </c>
      <c r="CT12" s="70">
        <f t="shared" si="57"/>
        <v>0.99588227279614161</v>
      </c>
      <c r="CU12" s="70">
        <f t="shared" si="58"/>
        <v>27.872871105124595</v>
      </c>
      <c r="CV12" s="70">
        <f t="shared" si="59"/>
        <v>28.868753377920736</v>
      </c>
      <c r="CW12" s="69">
        <f t="shared" si="60"/>
        <v>1.0405826552657529</v>
      </c>
      <c r="CX12" s="69">
        <f t="shared" si="61"/>
        <v>56.078605564039705</v>
      </c>
      <c r="CY12" s="70">
        <f t="shared" si="62"/>
        <v>57.119188219305457</v>
      </c>
      <c r="CZ12" s="69">
        <f t="shared" si="63"/>
        <v>1.7739416524275082</v>
      </c>
      <c r="DA12" s="69">
        <f t="shared" si="64"/>
        <v>49.649289255141795</v>
      </c>
      <c r="DB12" s="70">
        <f t="shared" si="65"/>
        <v>51.423230907569305</v>
      </c>
    </row>
    <row r="13" spans="1:106">
      <c r="A13" s="3" t="s">
        <v>297</v>
      </c>
      <c r="B13" s="3">
        <v>675921</v>
      </c>
      <c r="C13" s="3">
        <v>436103</v>
      </c>
      <c r="D13" s="34">
        <v>36943.61</v>
      </c>
      <c r="E13" s="32">
        <f t="shared" si="0"/>
        <v>16111219151.83</v>
      </c>
      <c r="F13" s="32">
        <v>25560</v>
      </c>
      <c r="G13" s="37">
        <f t="shared" si="1"/>
        <v>3.7815070104346517E-2</v>
      </c>
      <c r="H13" s="50">
        <f>+'Revenue mile elasticities'!C42</f>
        <v>53000</v>
      </c>
      <c r="I13" s="3">
        <f t="shared" si="2"/>
        <v>530</v>
      </c>
      <c r="J13" s="16">
        <f>+'Revenue mile elasticities'!F42</f>
        <v>9.4956568404442793E-5</v>
      </c>
      <c r="K13" s="16">
        <f>+'Revenue mile elasticities'!G42</f>
        <v>3.238576632239026E-4</v>
      </c>
      <c r="L13" s="16">
        <f>+'Revenue mile elasticities'!H42</f>
        <v>2.6053065699413908E-4</v>
      </c>
      <c r="M13" s="16">
        <f>+'Revenue mile elasticities'!I42</f>
        <v>3.8351565381777945E-4</v>
      </c>
      <c r="N13" s="32">
        <f t="shared" si="7"/>
        <v>15298.660834697142</v>
      </c>
      <c r="O13" s="35">
        <f t="shared" si="8"/>
        <v>9.4956568404442795E-7</v>
      </c>
      <c r="P13" s="36">
        <f t="shared" si="9"/>
        <v>52177.417861998496</v>
      </c>
      <c r="Q13" s="35">
        <f t="shared" si="10"/>
        <v>3.2385766322390261E-6</v>
      </c>
      <c r="R13" s="36">
        <f t="shared" si="11"/>
        <v>66591.635927701951</v>
      </c>
      <c r="S13" s="33">
        <f t="shared" si="12"/>
        <v>2.605306569941391E-6</v>
      </c>
      <c r="T13" s="36">
        <f t="shared" si="13"/>
        <v>98026.601115824436</v>
      </c>
      <c r="U13" s="33">
        <f t="shared" si="14"/>
        <v>3.8351565381777946E-6</v>
      </c>
      <c r="V13" s="13"/>
      <c r="W13" s="3" t="s">
        <v>296</v>
      </c>
      <c r="X13" s="3">
        <v>365790</v>
      </c>
      <c r="Y13" s="3">
        <v>236261</v>
      </c>
      <c r="Z13" s="51">
        <v>52499.14</v>
      </c>
      <c r="AA13" s="32">
        <f t="shared" si="3"/>
        <v>12403499315.539999</v>
      </c>
      <c r="AB13" s="3">
        <v>22202</v>
      </c>
      <c r="AC13" s="37">
        <f t="shared" si="4"/>
        <v>6.0696027775499602E-2</v>
      </c>
      <c r="AD13" s="50">
        <f>+'Revenue mile elasticities'!M42</f>
        <v>2150344</v>
      </c>
      <c r="AE13" s="3">
        <f t="shared" si="15"/>
        <v>21503.439999999999</v>
      </c>
      <c r="AF13" s="11">
        <f>+'Revenue mile elasticities'!P42</f>
        <v>1.8425201563078393E-3</v>
      </c>
      <c r="AG13" s="11">
        <f>+'Revenue mile elasticities'!Q42</f>
        <v>7.2774612569278955E-3</v>
      </c>
      <c r="AH13" s="11">
        <f>+'Revenue mile elasticities'!R42</f>
        <v>5.0552899595449749E-3</v>
      </c>
      <c r="AI13" s="11">
        <f>+'Revenue mile elasticities'!S42</f>
        <v>8.61804622530935E-3</v>
      </c>
      <c r="AJ13" s="32">
        <f t="shared" si="16"/>
        <v>228536.97497632937</v>
      </c>
      <c r="AK13" s="33">
        <f t="shared" si="17"/>
        <v>1.8425201563078393E-5</v>
      </c>
      <c r="AL13" s="40">
        <f t="shared" si="18"/>
        <v>902659.85719174019</v>
      </c>
      <c r="AM13" s="33">
        <f t="shared" si="19"/>
        <v>7.2774612569278957E-5</v>
      </c>
      <c r="AN13" s="40">
        <f t="shared" si="20"/>
        <v>1122375.4768181753</v>
      </c>
      <c r="AO13" s="41">
        <f t="shared" si="21"/>
        <v>5.0552899595449748E-5</v>
      </c>
      <c r="AP13" s="40">
        <f t="shared" si="22"/>
        <v>1913378.622943182</v>
      </c>
      <c r="AQ13" s="41">
        <f t="shared" si="23"/>
        <v>8.6180462253093514E-5</v>
      </c>
      <c r="AR13" s="53"/>
      <c r="AS13" s="53"/>
      <c r="AT13" s="3" t="s">
        <v>297</v>
      </c>
      <c r="AU13" s="11">
        <f>+'Rev mile pop elasticities'!F43</f>
        <v>1.3118876318386321E-3</v>
      </c>
      <c r="AV13" s="11">
        <f>+'Rev mile pop elasticities'!G43</f>
        <v>2.8783304557781163E-3</v>
      </c>
      <c r="AW13" s="11">
        <f>+'Rev mile pop elasticities'!H43</f>
        <v>3.5994028887991348E-3</v>
      </c>
      <c r="AX13" s="11">
        <f>+'Rev mile pop elasticities'!I43</f>
        <v>3.4085492239477695E-3</v>
      </c>
      <c r="AY13" s="32">
        <f t="shared" si="24"/>
        <v>211361.09139127473</v>
      </c>
      <c r="AZ13" s="33">
        <f t="shared" si="25"/>
        <v>1.311887631838632E-5</v>
      </c>
      <c r="BA13" s="40">
        <f t="shared" si="26"/>
        <v>463734.12764427962</v>
      </c>
      <c r="BB13" s="33">
        <f t="shared" si="27"/>
        <v>2.8783304557781164E-5</v>
      </c>
      <c r="BC13" s="40">
        <f t="shared" si="28"/>
        <v>920007.37837705901</v>
      </c>
      <c r="BD13" s="41">
        <f t="shared" si="29"/>
        <v>3.5994028887991352E-5</v>
      </c>
      <c r="BE13" s="40">
        <f t="shared" si="30"/>
        <v>871225.18164104992</v>
      </c>
      <c r="BF13" s="41">
        <f t="shared" si="31"/>
        <v>3.4085492239477697E-5</v>
      </c>
      <c r="BH13" s="3" t="s">
        <v>296</v>
      </c>
      <c r="BI13" s="3">
        <v>365790</v>
      </c>
      <c r="BJ13" s="3">
        <v>236261</v>
      </c>
      <c r="BK13" s="51">
        <v>52499.14</v>
      </c>
      <c r="BL13" s="32">
        <f t="shared" si="5"/>
        <v>12403499315.539999</v>
      </c>
      <c r="BM13" s="3">
        <v>22202</v>
      </c>
      <c r="BN13" s="37">
        <f t="shared" si="6"/>
        <v>6.0696027775499602E-2</v>
      </c>
      <c r="BO13" s="50">
        <f t="shared" si="32"/>
        <v>2150344</v>
      </c>
      <c r="BP13" s="3">
        <f t="shared" si="33"/>
        <v>21503.439999999999</v>
      </c>
      <c r="BQ13" s="11">
        <f>+'Rev mile pop elasticities'!P43</f>
        <v>2.0615296607561714E-2</v>
      </c>
      <c r="BR13" s="11">
        <f>+'Rev mile pop elasticities'!Q43</f>
        <v>4.2287335710653656E-2</v>
      </c>
      <c r="BS13" s="11">
        <f>+'Rev mile pop elasticities'!R43</f>
        <v>5.6561824627245141E-2</v>
      </c>
      <c r="BT13" s="11">
        <f>+'Rev mile pop elasticities'!S43</f>
        <v>5.0077108078405645E-2</v>
      </c>
      <c r="BU13" s="32">
        <f t="shared" si="34"/>
        <v>2557018.173615458</v>
      </c>
      <c r="BV13" s="33">
        <f t="shared" si="35"/>
        <v>2.0615296607561716E-4</v>
      </c>
      <c r="BW13" s="40">
        <f t="shared" si="36"/>
        <v>5245109.3954310277</v>
      </c>
      <c r="BX13" s="33">
        <f t="shared" si="37"/>
        <v>4.2287335710653655E-4</v>
      </c>
      <c r="BY13" s="40">
        <f t="shared" si="38"/>
        <v>12557856.303740967</v>
      </c>
      <c r="BZ13" s="41">
        <f t="shared" si="39"/>
        <v>5.6561824627245137E-4</v>
      </c>
      <c r="CA13" s="40">
        <f t="shared" si="40"/>
        <v>11118119.535567621</v>
      </c>
      <c r="CB13" s="41">
        <f t="shared" si="41"/>
        <v>5.0077108078405643E-4</v>
      </c>
      <c r="CD13" s="70">
        <f t="shared" si="42"/>
        <v>3.5080384300720573E-2</v>
      </c>
      <c r="CE13" s="70">
        <f t="shared" si="43"/>
        <v>0.48465865034470007</v>
      </c>
      <c r="CF13" s="70">
        <f t="shared" si="44"/>
        <v>0.51973903464542059</v>
      </c>
      <c r="CG13" s="70">
        <f t="shared" si="45"/>
        <v>0.119644712056552</v>
      </c>
      <c r="CH13" s="70">
        <f t="shared" si="46"/>
        <v>1.0633591780938898</v>
      </c>
      <c r="CI13" s="70">
        <f t="shared" si="47"/>
        <v>1.1830038901504418</v>
      </c>
      <c r="CJ13" s="69">
        <f t="shared" si="48"/>
        <v>0.15269703700204298</v>
      </c>
      <c r="CK13" s="69">
        <f t="shared" si="49"/>
        <v>2.1096102947630699</v>
      </c>
      <c r="CL13" s="70">
        <f t="shared" si="50"/>
        <v>2.262307331765113</v>
      </c>
      <c r="CM13" s="69">
        <f t="shared" si="51"/>
        <v>0.22477855258006579</v>
      </c>
      <c r="CN13" s="69">
        <f t="shared" si="52"/>
        <v>1.9977509479206745</v>
      </c>
      <c r="CO13" s="70">
        <f t="shared" si="53"/>
        <v>2.2225295005007402</v>
      </c>
      <c r="CQ13" s="70">
        <f t="shared" si="54"/>
        <v>0.96730723638827132</v>
      </c>
      <c r="CR13" s="70">
        <f t="shared" si="55"/>
        <v>10.822853427419075</v>
      </c>
      <c r="CS13" s="70">
        <f t="shared" si="56"/>
        <v>11.790160663807345</v>
      </c>
      <c r="CT13" s="70">
        <f t="shared" si="57"/>
        <v>3.8206045737203356</v>
      </c>
      <c r="CU13" s="70">
        <f t="shared" si="58"/>
        <v>22.200487577006054</v>
      </c>
      <c r="CV13" s="70">
        <f t="shared" si="59"/>
        <v>26.021092150726389</v>
      </c>
      <c r="CW13" s="69">
        <f t="shared" si="60"/>
        <v>4.7505744783022816</v>
      </c>
      <c r="CX13" s="69">
        <f t="shared" si="61"/>
        <v>53.152472493305993</v>
      </c>
      <c r="CY13" s="70">
        <f t="shared" si="62"/>
        <v>57.903046971608276</v>
      </c>
      <c r="CZ13" s="69">
        <f t="shared" si="63"/>
        <v>8.0985800574076219</v>
      </c>
      <c r="DA13" s="69">
        <f t="shared" si="64"/>
        <v>47.058632341214256</v>
      </c>
      <c r="DB13" s="70">
        <f t="shared" si="65"/>
        <v>55.15721239862188</v>
      </c>
    </row>
    <row r="14" spans="1:106">
      <c r="A14" s="3" t="s">
        <v>299</v>
      </c>
      <c r="B14" s="3">
        <v>12768395</v>
      </c>
      <c r="C14" s="3">
        <v>7823094</v>
      </c>
      <c r="D14" s="34">
        <v>47279</v>
      </c>
      <c r="E14" s="32">
        <f t="shared" si="0"/>
        <v>369868061226</v>
      </c>
      <c r="F14" s="32">
        <v>655355</v>
      </c>
      <c r="G14" s="37">
        <f t="shared" si="1"/>
        <v>5.1326341329509306E-2</v>
      </c>
      <c r="H14" s="50">
        <f>+'Revenue mile elasticities'!C43</f>
        <v>31800000</v>
      </c>
      <c r="I14" s="3">
        <f t="shared" si="2"/>
        <v>318000</v>
      </c>
      <c r="J14" s="16">
        <f>+'Revenue mile elasticities'!F43</f>
        <v>2.4906442869372759E-2</v>
      </c>
      <c r="K14" s="16">
        <f>+'Revenue mile elasticities'!G43</f>
        <v>8.494559694426887E-2</v>
      </c>
      <c r="L14" s="16">
        <f>+'Revenue mile elasticities'!H43</f>
        <v>6.8335366717412624E-2</v>
      </c>
      <c r="M14" s="16">
        <f>+'Revenue mile elasticities'!I43</f>
        <v>0.10059347006558156</v>
      </c>
      <c r="N14" s="32">
        <f t="shared" si="7"/>
        <v>92120977.361310348</v>
      </c>
      <c r="O14" s="35">
        <f t="shared" si="8"/>
        <v>2.4906442869372761E-4</v>
      </c>
      <c r="P14" s="36">
        <f t="shared" si="9"/>
        <v>314186632.51461959</v>
      </c>
      <c r="Q14" s="35">
        <f t="shared" si="10"/>
        <v>8.4945596944268871E-4</v>
      </c>
      <c r="R14" s="36">
        <f t="shared" si="11"/>
        <v>447839242.55089945</v>
      </c>
      <c r="S14" s="33">
        <f t="shared" si="12"/>
        <v>6.833536671741261E-4</v>
      </c>
      <c r="T14" s="36">
        <f t="shared" si="13"/>
        <v>659244335.74829209</v>
      </c>
      <c r="U14" s="33">
        <f t="shared" si="14"/>
        <v>1.0059347006558157E-3</v>
      </c>
      <c r="V14" s="13"/>
      <c r="W14" s="3" t="s">
        <v>298</v>
      </c>
      <c r="X14" s="3">
        <v>131253</v>
      </c>
      <c r="Y14" s="3">
        <v>53469</v>
      </c>
      <c r="Z14" s="51">
        <v>29337.73</v>
      </c>
      <c r="AA14" s="32">
        <f t="shared" si="3"/>
        <v>1568659085.3699999</v>
      </c>
      <c r="AB14" s="3">
        <v>2823</v>
      </c>
      <c r="AC14" s="37">
        <f t="shared" si="4"/>
        <v>2.1508079815318507E-2</v>
      </c>
      <c r="AD14" s="50">
        <f>+'Revenue mile elasticities'!M43</f>
        <v>294900</v>
      </c>
      <c r="AE14" s="3">
        <f t="shared" si="15"/>
        <v>2949</v>
      </c>
      <c r="AF14" s="11">
        <f>+'Revenue mile elasticities'!P43</f>
        <v>5.8400095752190898E-4</v>
      </c>
      <c r="AG14" s="11">
        <f>+'Revenue mile elasticities'!Q43</f>
        <v>2.3066474078042103E-3</v>
      </c>
      <c r="AH14" s="11">
        <f>+'Revenue mile elasticities'!R43</f>
        <v>1.6023130964500029E-3</v>
      </c>
      <c r="AI14" s="11">
        <f>+'Revenue mile elasticities'!S43</f>
        <v>2.7315561408207756E-3</v>
      </c>
      <c r="AJ14" s="32">
        <f t="shared" si="16"/>
        <v>9160.9840788152196</v>
      </c>
      <c r="AK14" s="33">
        <f t="shared" si="17"/>
        <v>5.8400095752190898E-6</v>
      </c>
      <c r="AL14" s="40">
        <f t="shared" si="18"/>
        <v>36183.434129972338</v>
      </c>
      <c r="AM14" s="33">
        <f t="shared" si="19"/>
        <v>2.3066474078042105E-5</v>
      </c>
      <c r="AN14" s="40">
        <f t="shared" si="20"/>
        <v>45233.298712783588</v>
      </c>
      <c r="AO14" s="41">
        <f t="shared" si="21"/>
        <v>1.602313096450003E-5</v>
      </c>
      <c r="AP14" s="40">
        <f t="shared" si="22"/>
        <v>77111.829855370495</v>
      </c>
      <c r="AQ14" s="41">
        <f t="shared" si="23"/>
        <v>2.7315561408207756E-5</v>
      </c>
      <c r="AR14" s="53"/>
      <c r="AS14" s="53"/>
      <c r="AT14" s="3" t="s">
        <v>299</v>
      </c>
      <c r="AU14" s="11">
        <f>+'Rev mile pop elasticities'!F44</f>
        <v>4.1668466553548819E-2</v>
      </c>
      <c r="AV14" s="11">
        <f>+'Rev mile pop elasticities'!G44</f>
        <v>9.1422171698165675E-2</v>
      </c>
      <c r="AW14" s="11">
        <f>+'Rev mile pop elasticities'!H44</f>
        <v>0.11432503458735416</v>
      </c>
      <c r="AX14" s="11">
        <f>+'Rev mile pop elasticities'!I44</f>
        <v>0.10826309806361725</v>
      </c>
      <c r="AY14" s="32">
        <f t="shared" si="24"/>
        <v>154118349.3842153</v>
      </c>
      <c r="AZ14" s="33">
        <f t="shared" si="25"/>
        <v>4.1668466553548822E-4</v>
      </c>
      <c r="BA14" s="40">
        <f t="shared" si="26"/>
        <v>338141413.99071026</v>
      </c>
      <c r="BB14" s="33">
        <f t="shared" si="27"/>
        <v>9.1422171698165677E-4</v>
      </c>
      <c r="BC14" s="40">
        <f t="shared" si="28"/>
        <v>749234830.41995478</v>
      </c>
      <c r="BD14" s="41">
        <f t="shared" si="29"/>
        <v>1.1432503458735413E-3</v>
      </c>
      <c r="BE14" s="40">
        <f t="shared" si="30"/>
        <v>709507626.31481886</v>
      </c>
      <c r="BF14" s="41">
        <f t="shared" si="31"/>
        <v>1.0826309806361725E-3</v>
      </c>
      <c r="BH14" s="3" t="s">
        <v>298</v>
      </c>
      <c r="BI14" s="3">
        <v>131253</v>
      </c>
      <c r="BJ14" s="3">
        <v>53469</v>
      </c>
      <c r="BK14" s="51">
        <v>29337.73</v>
      </c>
      <c r="BL14" s="32">
        <f t="shared" si="5"/>
        <v>1568659085.3699999</v>
      </c>
      <c r="BM14" s="3">
        <v>2823</v>
      </c>
      <c r="BN14" s="37">
        <f t="shared" si="6"/>
        <v>2.1508079815318507E-2</v>
      </c>
      <c r="BO14" s="50">
        <f t="shared" si="32"/>
        <v>294900</v>
      </c>
      <c r="BP14" s="3">
        <f t="shared" si="33"/>
        <v>2949</v>
      </c>
      <c r="BQ14" s="11">
        <f>+'Rev mile pop elasticities'!P44</f>
        <v>7.8791434710063762E-3</v>
      </c>
      <c r="BR14" s="11">
        <f>+'Rev mile pop elasticities'!Q44</f>
        <v>1.6162172750337139E-2</v>
      </c>
      <c r="BS14" s="11">
        <f>+'Rev mile pop elasticities'!R44</f>
        <v>2.1617866563049988E-2</v>
      </c>
      <c r="BT14" s="11">
        <f>+'Rev mile pop elasticities'!S44</f>
        <v>1.9139415099083453E-2</v>
      </c>
      <c r="BU14" s="32">
        <f t="shared" si="34"/>
        <v>123596.89990727868</v>
      </c>
      <c r="BV14" s="33">
        <f t="shared" si="35"/>
        <v>7.8791434710063761E-5</v>
      </c>
      <c r="BW14" s="40">
        <f t="shared" si="36"/>
        <v>253529.39124135792</v>
      </c>
      <c r="BX14" s="33">
        <f t="shared" si="37"/>
        <v>1.616217275033714E-4</v>
      </c>
      <c r="BY14" s="40">
        <f t="shared" si="38"/>
        <v>610272.37307490117</v>
      </c>
      <c r="BZ14" s="41">
        <f t="shared" si="39"/>
        <v>2.1617866563049989E-4</v>
      </c>
      <c r="CA14" s="40">
        <f t="shared" si="40"/>
        <v>540305.68824712583</v>
      </c>
      <c r="CB14" s="41">
        <f t="shared" si="41"/>
        <v>1.913941509908345E-4</v>
      </c>
      <c r="CD14" s="70">
        <f t="shared" si="42"/>
        <v>11.775517124210747</v>
      </c>
      <c r="CE14" s="70">
        <f t="shared" si="43"/>
        <v>19.700434301852347</v>
      </c>
      <c r="CF14" s="70">
        <f t="shared" si="44"/>
        <v>31.475951426063094</v>
      </c>
      <c r="CG14" s="70">
        <f t="shared" si="45"/>
        <v>40.161428779280882</v>
      </c>
      <c r="CH14" s="70">
        <f t="shared" si="46"/>
        <v>43.223488557175749</v>
      </c>
      <c r="CI14" s="70">
        <f t="shared" si="47"/>
        <v>83.384917336456624</v>
      </c>
      <c r="CJ14" s="69">
        <f t="shared" si="48"/>
        <v>57.245795915388392</v>
      </c>
      <c r="CK14" s="69">
        <f t="shared" si="49"/>
        <v>95.772188141923749</v>
      </c>
      <c r="CL14" s="70">
        <f t="shared" si="50"/>
        <v>153.01798405731213</v>
      </c>
      <c r="CM14" s="69">
        <f t="shared" si="51"/>
        <v>84.269003510413157</v>
      </c>
      <c r="CN14" s="69">
        <f t="shared" si="52"/>
        <v>90.693992212648709</v>
      </c>
      <c r="CO14" s="70">
        <f t="shared" si="53"/>
        <v>174.96299572306185</v>
      </c>
      <c r="CQ14" s="70">
        <f t="shared" si="54"/>
        <v>0.17133262411519234</v>
      </c>
      <c r="CR14" s="70">
        <f t="shared" si="55"/>
        <v>2.3115618378364786</v>
      </c>
      <c r="CS14" s="70">
        <f t="shared" si="56"/>
        <v>2.4828944619516711</v>
      </c>
      <c r="CT14" s="70">
        <f t="shared" si="57"/>
        <v>0.6767179885535981</v>
      </c>
      <c r="CU14" s="70">
        <f t="shared" si="58"/>
        <v>4.7416146036274833</v>
      </c>
      <c r="CV14" s="70">
        <f t="shared" si="59"/>
        <v>5.4183325921810814</v>
      </c>
      <c r="CW14" s="69">
        <f t="shared" si="60"/>
        <v>0.84597240855044209</v>
      </c>
      <c r="CX14" s="69">
        <f t="shared" si="61"/>
        <v>11.413573717011749</v>
      </c>
      <c r="CY14" s="70">
        <f t="shared" si="62"/>
        <v>12.259546125562192</v>
      </c>
      <c r="CZ14" s="69">
        <f t="shared" si="63"/>
        <v>1.4421782688168938</v>
      </c>
      <c r="DA14" s="69">
        <f t="shared" si="64"/>
        <v>10.105026992222145</v>
      </c>
      <c r="DB14" s="70">
        <f t="shared" si="65"/>
        <v>11.547205261039039</v>
      </c>
    </row>
    <row r="15" spans="1:106">
      <c r="A15" s="3" t="s">
        <v>301</v>
      </c>
      <c r="B15" s="3">
        <v>1298529</v>
      </c>
      <c r="C15" s="3">
        <v>819373</v>
      </c>
      <c r="D15" s="34">
        <v>39486.449999999997</v>
      </c>
      <c r="E15" s="32">
        <f t="shared" si="0"/>
        <v>32354130995.849998</v>
      </c>
      <c r="F15" s="32">
        <v>56599</v>
      </c>
      <c r="G15" s="37">
        <f t="shared" si="1"/>
        <v>4.3587012688973449E-2</v>
      </c>
      <c r="H15" s="50">
        <f>+'Revenue mile elasticities'!C44</f>
        <v>447557</v>
      </c>
      <c r="I15" s="3">
        <f t="shared" si="2"/>
        <v>4475.57</v>
      </c>
      <c r="J15" s="16">
        <f>+'Revenue mile elasticities'!F44</f>
        <v>8.1286677051496117E-4</v>
      </c>
      <c r="K15" s="16">
        <f>+'Revenue mile elasticities'!G44</f>
        <v>2.772353058190534E-3</v>
      </c>
      <c r="L15" s="16">
        <f>+'Revenue mile elasticities'!H44</f>
        <v>2.2302481790302184E-3</v>
      </c>
      <c r="M15" s="16">
        <f>+'Revenue mile elasticities'!I44</f>
        <v>3.283049674173001E-3</v>
      </c>
      <c r="N15" s="32">
        <f t="shared" si="7"/>
        <v>262995.9797541459</v>
      </c>
      <c r="O15" s="35">
        <f t="shared" si="8"/>
        <v>8.1286677051496113E-6</v>
      </c>
      <c r="P15" s="36">
        <f t="shared" si="9"/>
        <v>896970.74011441891</v>
      </c>
      <c r="Q15" s="35">
        <f t="shared" si="10"/>
        <v>2.7723530581905341E-5</v>
      </c>
      <c r="R15" s="36">
        <f t="shared" si="11"/>
        <v>1262298.1668493135</v>
      </c>
      <c r="S15" s="33">
        <f t="shared" si="12"/>
        <v>2.2302481790302187E-5</v>
      </c>
      <c r="T15" s="36">
        <f t="shared" si="13"/>
        <v>1858173.2850851773</v>
      </c>
      <c r="U15" s="33">
        <f t="shared" si="14"/>
        <v>3.2830496741730014E-5</v>
      </c>
      <c r="V15" s="13"/>
      <c r="W15" s="3" t="s">
        <v>300</v>
      </c>
      <c r="X15" s="3">
        <v>344767</v>
      </c>
      <c r="Y15" s="3">
        <v>240701</v>
      </c>
      <c r="Z15" s="51">
        <v>49048.7</v>
      </c>
      <c r="AA15" s="32">
        <f t="shared" si="3"/>
        <v>11806071138.699999</v>
      </c>
      <c r="AB15" s="3">
        <v>13279</v>
      </c>
      <c r="AC15" s="37">
        <f t="shared" si="4"/>
        <v>3.8515867237873695E-2</v>
      </c>
      <c r="AD15" s="50">
        <f>+'Revenue mile elasticities'!M44</f>
        <v>3302611</v>
      </c>
      <c r="AE15" s="3">
        <f t="shared" si="15"/>
        <v>33026.11</v>
      </c>
      <c r="AF15" s="11">
        <f>+'Revenue mile elasticities'!P44</f>
        <v>1.111182650291068E-3</v>
      </c>
      <c r="AG15" s="11">
        <f>+'Revenue mile elasticities'!Q44</f>
        <v>4.3888739339862275E-3</v>
      </c>
      <c r="AH15" s="11">
        <f>+'Revenue mile elasticities'!R44</f>
        <v>3.0487321813040132E-3</v>
      </c>
      <c r="AI15" s="11">
        <f>+'Revenue mile elasticities'!S44</f>
        <v>5.1973507112994801E-3</v>
      </c>
      <c r="AJ15" s="32">
        <f t="shared" si="16"/>
        <v>131187.01417425551</v>
      </c>
      <c r="AK15" s="33">
        <f t="shared" si="17"/>
        <v>1.111182650291068E-5</v>
      </c>
      <c r="AL15" s="40">
        <f t="shared" si="18"/>
        <v>518153.57883427525</v>
      </c>
      <c r="AM15" s="33">
        <f t="shared" si="19"/>
        <v>4.3888739339862272E-5</v>
      </c>
      <c r="AN15" s="40">
        <f t="shared" si="20"/>
        <v>404841.14635535987</v>
      </c>
      <c r="AO15" s="41">
        <f t="shared" si="21"/>
        <v>3.0487321813040129E-5</v>
      </c>
      <c r="AP15" s="40">
        <f t="shared" si="22"/>
        <v>690156.20095345797</v>
      </c>
      <c r="AQ15" s="41">
        <f t="shared" si="23"/>
        <v>5.1973507112994804E-5</v>
      </c>
      <c r="AR15" s="53"/>
      <c r="AS15" s="53"/>
      <c r="AT15" s="3" t="s">
        <v>301</v>
      </c>
      <c r="AU15" s="11">
        <f>+'Rev mile pop elasticities'!F45</f>
        <v>5.7665147683263127E-3</v>
      </c>
      <c r="AV15" s="11">
        <f>+'Rev mile pop elasticities'!G45</f>
        <v>1.2651948748160419E-2</v>
      </c>
      <c r="AW15" s="11">
        <f>+'Rev mile pop elasticities'!H45</f>
        <v>1.582148456291696E-2</v>
      </c>
      <c r="AX15" s="11">
        <f>+'Rev mile pop elasticities'!I45</f>
        <v>1.4982570885979443E-2</v>
      </c>
      <c r="AY15" s="32">
        <f t="shared" si="24"/>
        <v>1865705.7420393312</v>
      </c>
      <c r="AZ15" s="33">
        <f t="shared" si="25"/>
        <v>5.7665147683263125E-5</v>
      </c>
      <c r="BA15" s="40">
        <f t="shared" si="26"/>
        <v>4093428.0715076257</v>
      </c>
      <c r="BB15" s="33">
        <f t="shared" si="27"/>
        <v>1.265194874816042E-4</v>
      </c>
      <c r="BC15" s="40">
        <f t="shared" si="28"/>
        <v>8954802.0477653705</v>
      </c>
      <c r="BD15" s="41">
        <f t="shared" si="29"/>
        <v>1.5821484562916961E-4</v>
      </c>
      <c r="BE15" s="40">
        <f t="shared" si="30"/>
        <v>8479985.2957555056</v>
      </c>
      <c r="BF15" s="41">
        <f t="shared" si="31"/>
        <v>1.4982570885979445E-4</v>
      </c>
      <c r="BH15" s="3" t="s">
        <v>300</v>
      </c>
      <c r="BI15" s="3">
        <v>344767</v>
      </c>
      <c r="BJ15" s="3">
        <v>240701</v>
      </c>
      <c r="BK15" s="51">
        <v>49048.7</v>
      </c>
      <c r="BL15" s="32">
        <f t="shared" si="5"/>
        <v>11806071138.699999</v>
      </c>
      <c r="BM15" s="3">
        <v>13279</v>
      </c>
      <c r="BN15" s="37">
        <f t="shared" si="6"/>
        <v>3.8515867237873695E-2</v>
      </c>
      <c r="BO15" s="50">
        <f t="shared" si="32"/>
        <v>3302611</v>
      </c>
      <c r="BP15" s="3">
        <f t="shared" si="33"/>
        <v>33026.11</v>
      </c>
      <c r="BQ15" s="11">
        <f>+'Rev mile pop elasticities'!P45</f>
        <v>3.3592722931777112E-2</v>
      </c>
      <c r="BR15" s="11">
        <f>+'Rev mile pop elasticities'!Q45</f>
        <v>6.8907412737878052E-2</v>
      </c>
      <c r="BS15" s="11">
        <f>+'Rev mile pop elasticities'!R45</f>
        <v>9.2167759668413743E-2</v>
      </c>
      <c r="BT15" s="11">
        <f>+'Rev mile pop elasticities'!S45</f>
        <v>8.1600883505381902E-2</v>
      </c>
      <c r="BU15" s="32">
        <f t="shared" si="34"/>
        <v>3965980.7667519939</v>
      </c>
      <c r="BV15" s="33">
        <f t="shared" si="35"/>
        <v>3.3592722931777112E-4</v>
      </c>
      <c r="BW15" s="40">
        <f t="shared" si="36"/>
        <v>8135258.1676715082</v>
      </c>
      <c r="BX15" s="33">
        <f t="shared" si="37"/>
        <v>6.8907412737878062E-4</v>
      </c>
      <c r="BY15" s="40">
        <f t="shared" si="38"/>
        <v>12238956.80636866</v>
      </c>
      <c r="BZ15" s="41">
        <f t="shared" si="39"/>
        <v>9.2167759668413741E-4</v>
      </c>
      <c r="CA15" s="40">
        <f t="shared" si="40"/>
        <v>10835781.320679665</v>
      </c>
      <c r="CB15" s="41">
        <f t="shared" si="41"/>
        <v>8.1600883505381918E-4</v>
      </c>
      <c r="CD15" s="70">
        <f t="shared" si="42"/>
        <v>0.32097223090600485</v>
      </c>
      <c r="CE15" s="70">
        <f t="shared" si="43"/>
        <v>2.276991970737785</v>
      </c>
      <c r="CF15" s="70">
        <f t="shared" si="44"/>
        <v>2.5979642016437898</v>
      </c>
      <c r="CG15" s="70">
        <f t="shared" si="45"/>
        <v>1.0947038041458761</v>
      </c>
      <c r="CH15" s="70">
        <f t="shared" si="46"/>
        <v>4.9958054164679888</v>
      </c>
      <c r="CI15" s="70">
        <f t="shared" si="47"/>
        <v>6.0905092206138649</v>
      </c>
      <c r="CJ15" s="69">
        <f t="shared" si="48"/>
        <v>1.5405659777040659</v>
      </c>
      <c r="CK15" s="69">
        <f t="shared" si="49"/>
        <v>10.928846871651093</v>
      </c>
      <c r="CL15" s="70">
        <f t="shared" si="50"/>
        <v>12.469412849355159</v>
      </c>
      <c r="CM15" s="69">
        <f t="shared" si="51"/>
        <v>2.2677990183776831</v>
      </c>
      <c r="CN15" s="69">
        <f t="shared" si="52"/>
        <v>10.349358955879076</v>
      </c>
      <c r="CO15" s="70">
        <f t="shared" si="53"/>
        <v>12.617157974256759</v>
      </c>
      <c r="CQ15" s="70">
        <f t="shared" si="54"/>
        <v>0.54502064459331501</v>
      </c>
      <c r="CR15" s="70">
        <f t="shared" si="55"/>
        <v>16.476793892638561</v>
      </c>
      <c r="CS15" s="70">
        <f t="shared" si="56"/>
        <v>17.021814537231876</v>
      </c>
      <c r="CT15" s="70">
        <f t="shared" si="57"/>
        <v>2.1526856092591027</v>
      </c>
      <c r="CU15" s="70">
        <f t="shared" si="58"/>
        <v>33.798190151563595</v>
      </c>
      <c r="CV15" s="70">
        <f t="shared" si="59"/>
        <v>35.950875760822697</v>
      </c>
      <c r="CW15" s="69">
        <f t="shared" si="60"/>
        <v>1.6819254857909185</v>
      </c>
      <c r="CX15" s="69">
        <f t="shared" si="61"/>
        <v>50.847137346204043</v>
      </c>
      <c r="CY15" s="70">
        <f t="shared" si="62"/>
        <v>52.529062831994963</v>
      </c>
      <c r="CZ15" s="69">
        <f t="shared" si="63"/>
        <v>2.8672760019836145</v>
      </c>
      <c r="DA15" s="69">
        <f t="shared" si="64"/>
        <v>45.017599929703927</v>
      </c>
      <c r="DB15" s="70">
        <f t="shared" si="65"/>
        <v>47.884875931687539</v>
      </c>
    </row>
    <row r="16" spans="1:106">
      <c r="A16" s="3" t="s">
        <v>303</v>
      </c>
      <c r="B16" s="3">
        <v>5501752</v>
      </c>
      <c r="C16" s="3">
        <v>3273236</v>
      </c>
      <c r="D16" s="34">
        <v>40292.35</v>
      </c>
      <c r="E16" s="32">
        <f t="shared" si="0"/>
        <v>131886370544.59999</v>
      </c>
      <c r="F16" s="32">
        <v>233919</v>
      </c>
      <c r="G16" s="37">
        <f t="shared" si="1"/>
        <v>4.2517183617145959E-2</v>
      </c>
      <c r="H16" s="50">
        <f>+'Revenue mile elasticities'!C45</f>
        <v>2274364</v>
      </c>
      <c r="I16" s="3">
        <f t="shared" si="2"/>
        <v>22743.64</v>
      </c>
      <c r="J16" s="16">
        <f>+'Revenue mile elasticities'!F45</f>
        <v>2.0045743832370266E-3</v>
      </c>
      <c r="K16" s="16">
        <f>+'Revenue mile elasticities'!G45</f>
        <v>6.8367758694538585E-3</v>
      </c>
      <c r="L16" s="16">
        <f>+'Revenue mile elasticities'!H45</f>
        <v>5.4999152753073648E-3</v>
      </c>
      <c r="M16" s="16">
        <f>+'Revenue mile elasticities'!I45</f>
        <v>8.0961819506690444E-3</v>
      </c>
      <c r="N16" s="32">
        <f t="shared" si="7"/>
        <v>2643760.3989181146</v>
      </c>
      <c r="O16" s="35">
        <f t="shared" si="8"/>
        <v>2.0045743832370266E-5</v>
      </c>
      <c r="P16" s="36">
        <f t="shared" si="9"/>
        <v>9016775.556491714</v>
      </c>
      <c r="Q16" s="35">
        <f t="shared" si="10"/>
        <v>6.8367758694538582E-5</v>
      </c>
      <c r="R16" s="36">
        <f t="shared" si="11"/>
        <v>12865346.812846238</v>
      </c>
      <c r="S16" s="33">
        <f t="shared" si="12"/>
        <v>5.4999152753073658E-5</v>
      </c>
      <c r="T16" s="36">
        <f t="shared" si="13"/>
        <v>18938507.857185524</v>
      </c>
      <c r="U16" s="33">
        <f t="shared" si="14"/>
        <v>8.096181950669044E-5</v>
      </c>
      <c r="V16" s="13"/>
      <c r="W16" s="3" t="s">
        <v>302</v>
      </c>
      <c r="X16" s="3">
        <v>219780</v>
      </c>
      <c r="Y16" s="3">
        <v>151240</v>
      </c>
      <c r="Z16" s="51">
        <v>37370.67</v>
      </c>
      <c r="AA16" s="32">
        <f t="shared" si="3"/>
        <v>5651940130.8000002</v>
      </c>
      <c r="AB16" s="3">
        <v>8555</v>
      </c>
      <c r="AC16" s="37">
        <f t="shared" si="4"/>
        <v>3.8925288925288924E-2</v>
      </c>
      <c r="AD16" s="50">
        <f>+'Revenue mile elasticities'!M45</f>
        <v>1025222</v>
      </c>
      <c r="AE16" s="3">
        <f t="shared" si="15"/>
        <v>10252.219999999999</v>
      </c>
      <c r="AF16" s="11">
        <f>+'Revenue mile elasticities'!P45</f>
        <v>4.7337943717750563E-4</v>
      </c>
      <c r="AG16" s="11">
        <f>+'Revenue mile elasticities'!Q45</f>
        <v>1.869722022899844E-3</v>
      </c>
      <c r="AH16" s="11">
        <f>+'Revenue mile elasticities'!R45</f>
        <v>1.2988027879238422E-3</v>
      </c>
      <c r="AI16" s="11">
        <f>+'Revenue mile elasticities'!S45</f>
        <v>2.2141445008024467E-3</v>
      </c>
      <c r="AJ16" s="32">
        <f t="shared" si="16"/>
        <v>26755.122380790617</v>
      </c>
      <c r="AK16" s="33">
        <f t="shared" si="17"/>
        <v>4.7337943717750567E-6</v>
      </c>
      <c r="AL16" s="40">
        <f t="shared" si="18"/>
        <v>105675.56934668186</v>
      </c>
      <c r="AM16" s="33">
        <f t="shared" si="19"/>
        <v>1.8697220228998443E-5</v>
      </c>
      <c r="AN16" s="40">
        <f t="shared" si="20"/>
        <v>111112.5785068847</v>
      </c>
      <c r="AO16" s="41">
        <f t="shared" si="21"/>
        <v>1.2988027879238423E-5</v>
      </c>
      <c r="AP16" s="40">
        <f t="shared" si="22"/>
        <v>189420.06204364932</v>
      </c>
      <c r="AQ16" s="41">
        <f t="shared" si="23"/>
        <v>2.2141445008024469E-5</v>
      </c>
      <c r="AR16" s="53"/>
      <c r="AS16" s="53"/>
      <c r="AT16" s="3" t="s">
        <v>303</v>
      </c>
      <c r="AU16" s="11">
        <f>+'Rev mile pop elasticities'!F46</f>
        <v>6.9163294185561252E-3</v>
      </c>
      <c r="AV16" s="11">
        <f>+'Rev mile pop elasticities'!G46</f>
        <v>1.5174685029786878E-2</v>
      </c>
      <c r="AW16" s="11">
        <f>+'Rev mile pop elasticities'!H46</f>
        <v>1.8976210679070956E-2</v>
      </c>
      <c r="AX16" s="11">
        <f>+'Rev mile pop elasticities'!I46</f>
        <v>1.7970021745800251E-2</v>
      </c>
      <c r="AY16" s="32">
        <f t="shared" si="24"/>
        <v>9121695.8450421095</v>
      </c>
      <c r="AZ16" s="33">
        <f t="shared" si="25"/>
        <v>6.9163294185561248E-5</v>
      </c>
      <c r="BA16" s="40">
        <f t="shared" si="26"/>
        <v>20013341.327360664</v>
      </c>
      <c r="BB16" s="33">
        <f t="shared" si="27"/>
        <v>1.5174685029786876E-4</v>
      </c>
      <c r="BC16" s="40">
        <f t="shared" si="28"/>
        <v>44388962.25837598</v>
      </c>
      <c r="BD16" s="41">
        <f t="shared" si="29"/>
        <v>1.897621067907095E-4</v>
      </c>
      <c r="BE16" s="40">
        <f t="shared" si="30"/>
        <v>42035295.167558491</v>
      </c>
      <c r="BF16" s="41">
        <f t="shared" si="31"/>
        <v>1.7970021745800254E-4</v>
      </c>
      <c r="BH16" s="3" t="s">
        <v>302</v>
      </c>
      <c r="BI16" s="3">
        <v>219780</v>
      </c>
      <c r="BJ16" s="3">
        <v>151240</v>
      </c>
      <c r="BK16" s="51">
        <v>37370.67</v>
      </c>
      <c r="BL16" s="32">
        <f t="shared" si="5"/>
        <v>5651940130.8000002</v>
      </c>
      <c r="BM16" s="3">
        <v>8555</v>
      </c>
      <c r="BN16" s="37">
        <f t="shared" si="6"/>
        <v>3.8925288925288924E-2</v>
      </c>
      <c r="BO16" s="50">
        <f t="shared" si="32"/>
        <v>1025222</v>
      </c>
      <c r="BP16" s="3">
        <f t="shared" si="33"/>
        <v>10252.219999999999</v>
      </c>
      <c r="BQ16" s="11">
        <f>+'Rev mile pop elasticities'!P46</f>
        <v>1.6358490372372372E-2</v>
      </c>
      <c r="BR16" s="11">
        <f>+'Rev mile pop elasticities'!Q46</f>
        <v>3.3555518858858865E-2</v>
      </c>
      <c r="BS16" s="11">
        <f>+'Rev mile pop elasticities'!R46</f>
        <v>4.4882500660660664E-2</v>
      </c>
      <c r="BT16" s="11">
        <f>+'Rev mile pop elasticities'!S46</f>
        <v>3.9736798648648659E-2</v>
      </c>
      <c r="BU16" s="32">
        <f t="shared" si="34"/>
        <v>924572.08214916859</v>
      </c>
      <c r="BV16" s="33">
        <f t="shared" si="35"/>
        <v>1.6358490372372374E-4</v>
      </c>
      <c r="BW16" s="40">
        <f t="shared" si="36"/>
        <v>1896537.8364820066</v>
      </c>
      <c r="BX16" s="33">
        <f t="shared" si="37"/>
        <v>3.3555518858858867E-4</v>
      </c>
      <c r="BY16" s="40">
        <f t="shared" si="38"/>
        <v>3839697.93151952</v>
      </c>
      <c r="BZ16" s="41">
        <f t="shared" si="39"/>
        <v>4.4882500660660667E-4</v>
      </c>
      <c r="CA16" s="40">
        <f t="shared" si="40"/>
        <v>3399483.1243918925</v>
      </c>
      <c r="CB16" s="41">
        <f t="shared" si="41"/>
        <v>3.9736798648648655E-4</v>
      </c>
      <c r="CD16" s="70">
        <f t="shared" si="42"/>
        <v>0.80769012650420402</v>
      </c>
      <c r="CE16" s="70">
        <f t="shared" si="43"/>
        <v>2.7867516564775987</v>
      </c>
      <c r="CF16" s="70">
        <f t="shared" si="44"/>
        <v>3.5944417829818027</v>
      </c>
      <c r="CG16" s="70">
        <f t="shared" si="45"/>
        <v>2.7546976620358916</v>
      </c>
      <c r="CH16" s="70">
        <f t="shared" si="46"/>
        <v>6.1142372035993322</v>
      </c>
      <c r="CI16" s="70">
        <f t="shared" si="47"/>
        <v>8.8689348656352234</v>
      </c>
      <c r="CJ16" s="69">
        <f t="shared" si="48"/>
        <v>3.9304672235201612</v>
      </c>
      <c r="CK16" s="69">
        <f t="shared" si="49"/>
        <v>13.56118601236696</v>
      </c>
      <c r="CL16" s="70">
        <f t="shared" si="50"/>
        <v>17.491653235887121</v>
      </c>
      <c r="CM16" s="69">
        <f t="shared" si="51"/>
        <v>5.7858669088283046</v>
      </c>
      <c r="CN16" s="69">
        <f t="shared" si="52"/>
        <v>12.842121731387071</v>
      </c>
      <c r="CO16" s="70">
        <f t="shared" si="53"/>
        <v>18.627988640215374</v>
      </c>
      <c r="CQ16" s="70">
        <f t="shared" si="54"/>
        <v>0.17690506731546296</v>
      </c>
      <c r="CR16" s="70">
        <f t="shared" si="55"/>
        <v>6.1132774540410511</v>
      </c>
      <c r="CS16" s="70">
        <f t="shared" si="56"/>
        <v>6.2901825213565141</v>
      </c>
      <c r="CT16" s="70">
        <f t="shared" si="57"/>
        <v>0.69872764709522528</v>
      </c>
      <c r="CU16" s="70">
        <f t="shared" si="58"/>
        <v>12.539922219531913</v>
      </c>
      <c r="CV16" s="70">
        <f t="shared" si="59"/>
        <v>13.238649866627139</v>
      </c>
      <c r="CW16" s="69">
        <f t="shared" si="60"/>
        <v>0.73467719192597658</v>
      </c>
      <c r="CX16" s="69">
        <f t="shared" si="61"/>
        <v>25.388111157891561</v>
      </c>
      <c r="CY16" s="70">
        <f t="shared" si="62"/>
        <v>26.122788349817537</v>
      </c>
      <c r="CZ16" s="69">
        <f t="shared" si="63"/>
        <v>1.2524468529730846</v>
      </c>
      <c r="DA16" s="69">
        <f t="shared" si="64"/>
        <v>22.477407593175698</v>
      </c>
      <c r="DB16" s="70">
        <f t="shared" si="65"/>
        <v>23.729854446148781</v>
      </c>
    </row>
    <row r="17" spans="1:106">
      <c r="A17" s="3" t="s">
        <v>305</v>
      </c>
      <c r="B17" s="3">
        <v>3237612</v>
      </c>
      <c r="C17" s="3">
        <v>2285862</v>
      </c>
      <c r="D17" s="34">
        <v>48866.68</v>
      </c>
      <c r="E17" s="32">
        <f t="shared" si="0"/>
        <v>111702486878.16</v>
      </c>
      <c r="F17" s="32">
        <v>175976</v>
      </c>
      <c r="G17" s="37">
        <f t="shared" si="1"/>
        <v>5.4353640893349792E-2</v>
      </c>
      <c r="H17" s="50">
        <f>+'Revenue mile elasticities'!C46</f>
        <v>1046392</v>
      </c>
      <c r="I17" s="3">
        <f t="shared" si="2"/>
        <v>10463.92</v>
      </c>
      <c r="J17" s="16">
        <f>+'Revenue mile elasticities'!F46</f>
        <v>1.0551349453851082E-3</v>
      </c>
      <c r="K17" s="16">
        <f>+'Revenue mile elasticities'!G46</f>
        <v>3.598629810871654E-3</v>
      </c>
      <c r="L17" s="16">
        <f>+'Revenue mile elasticities'!H46</f>
        <v>2.8949550848111276E-3</v>
      </c>
      <c r="M17" s="16">
        <f>+'Revenue mile elasticities'!I46</f>
        <v>4.2615353023480115E-3</v>
      </c>
      <c r="N17" s="32">
        <f t="shared" si="7"/>
        <v>1178611.9739156812</v>
      </c>
      <c r="O17" s="35">
        <f t="shared" si="8"/>
        <v>1.0551349453851082E-5</v>
      </c>
      <c r="P17" s="36">
        <f t="shared" si="9"/>
        <v>4019758.9922824637</v>
      </c>
      <c r="Q17" s="35">
        <f t="shared" si="10"/>
        <v>3.5986298108716542E-5</v>
      </c>
      <c r="R17" s="36">
        <f t="shared" si="11"/>
        <v>5094426.1600472294</v>
      </c>
      <c r="S17" s="33">
        <f t="shared" si="12"/>
        <v>2.8949550848111272E-5</v>
      </c>
      <c r="T17" s="36">
        <f t="shared" si="13"/>
        <v>7499279.3636599369</v>
      </c>
      <c r="U17" s="33">
        <f t="shared" si="14"/>
        <v>4.2615353023480116E-5</v>
      </c>
      <c r="V17" s="13"/>
      <c r="W17" s="3" t="s">
        <v>304</v>
      </c>
      <c r="X17" s="3">
        <v>189926</v>
      </c>
      <c r="Y17" s="3">
        <v>115868</v>
      </c>
      <c r="Z17" s="51">
        <v>30693.91</v>
      </c>
      <c r="AA17" s="32">
        <f t="shared" si="3"/>
        <v>3556441963.8800001</v>
      </c>
      <c r="AB17" s="3">
        <v>4556</v>
      </c>
      <c r="AC17" s="37">
        <f t="shared" si="4"/>
        <v>2.398829017617388E-2</v>
      </c>
      <c r="AD17" s="50">
        <f>+'Revenue mile elasticities'!M46</f>
        <v>771529</v>
      </c>
      <c r="AE17" s="3">
        <f t="shared" si="15"/>
        <v>7715.29</v>
      </c>
      <c r="AF17" s="11">
        <f>+'Revenue mile elasticities'!P46</f>
        <v>9.9870560469082206E-4</v>
      </c>
      <c r="AG17" s="11">
        <f>+'Revenue mile elasticities'!Q46</f>
        <v>3.9446197211640685E-3</v>
      </c>
      <c r="AH17" s="11">
        <f>+'Revenue mile elasticities'!R46</f>
        <v>2.7401309009567683E-3</v>
      </c>
      <c r="AI17" s="11">
        <f>+'Revenue mile elasticities'!S46</f>
        <v>4.6712601961153444E-3</v>
      </c>
      <c r="AJ17" s="32">
        <f t="shared" si="16"/>
        <v>35518.385220845907</v>
      </c>
      <c r="AK17" s="33">
        <f t="shared" si="17"/>
        <v>9.9870560469082214E-6</v>
      </c>
      <c r="AL17" s="40">
        <f t="shared" si="18"/>
        <v>140288.11107896519</v>
      </c>
      <c r="AM17" s="33">
        <f t="shared" si="19"/>
        <v>3.9446197211640689E-5</v>
      </c>
      <c r="AN17" s="40">
        <f t="shared" si="20"/>
        <v>124840.36384759037</v>
      </c>
      <c r="AO17" s="41">
        <f t="shared" si="21"/>
        <v>2.7401309009567684E-5</v>
      </c>
      <c r="AP17" s="40">
        <f t="shared" si="22"/>
        <v>212822.61453501513</v>
      </c>
      <c r="AQ17" s="41">
        <f t="shared" si="23"/>
        <v>4.6712601961153452E-5</v>
      </c>
      <c r="AR17" s="53"/>
      <c r="AS17" s="53"/>
      <c r="AT17" s="3" t="s">
        <v>305</v>
      </c>
      <c r="AU17" s="11">
        <f>+'Rev mile pop elasticities'!F47</f>
        <v>5.407372864197439E-3</v>
      </c>
      <c r="AV17" s="11">
        <f>+'Rev mile pop elasticities'!G47</f>
        <v>1.1863977998598969E-2</v>
      </c>
      <c r="AW17" s="11">
        <f>+'Rev mile pop elasticities'!H47</f>
        <v>1.4836113273610303E-2</v>
      </c>
      <c r="AX17" s="11">
        <f>+'Rev mile pop elasticities'!I47</f>
        <v>1.4049447629919831E-2</v>
      </c>
      <c r="AY17" s="32">
        <f t="shared" si="24"/>
        <v>6040169.9640833288</v>
      </c>
      <c r="AZ17" s="33">
        <f t="shared" si="25"/>
        <v>5.4073728641974389E-5</v>
      </c>
      <c r="BA17" s="40">
        <f t="shared" si="26"/>
        <v>13252358.467112802</v>
      </c>
      <c r="BB17" s="33">
        <f t="shared" si="27"/>
        <v>1.1863977998598968E-4</v>
      </c>
      <c r="BC17" s="40">
        <f t="shared" si="28"/>
        <v>26107998.694368467</v>
      </c>
      <c r="BD17" s="41">
        <f t="shared" si="29"/>
        <v>1.4836113273610302E-4</v>
      </c>
      <c r="BE17" s="40">
        <f t="shared" si="30"/>
        <v>24723655.961227722</v>
      </c>
      <c r="BF17" s="41">
        <f t="shared" si="31"/>
        <v>1.4049447629919831E-4</v>
      </c>
      <c r="BH17" s="3" t="s">
        <v>304</v>
      </c>
      <c r="BI17" s="3">
        <v>189926</v>
      </c>
      <c r="BJ17" s="3">
        <v>115868</v>
      </c>
      <c r="BK17" s="51">
        <v>30693.91</v>
      </c>
      <c r="BL17" s="32">
        <f t="shared" si="5"/>
        <v>3556441963.8800001</v>
      </c>
      <c r="BM17" s="3">
        <v>4556</v>
      </c>
      <c r="BN17" s="37">
        <f t="shared" si="6"/>
        <v>2.398829017617388E-2</v>
      </c>
      <c r="BO17" s="50">
        <f t="shared" si="32"/>
        <v>771529</v>
      </c>
      <c r="BP17" s="3">
        <f t="shared" si="33"/>
        <v>7715.29</v>
      </c>
      <c r="BQ17" s="11">
        <f>+'Rev mile pop elasticities'!P47</f>
        <v>1.4245618439708093E-2</v>
      </c>
      <c r="BR17" s="11">
        <f>+'Rev mile pop elasticities'!Q47</f>
        <v>2.9221468933163446E-2</v>
      </c>
      <c r="BS17" s="11">
        <f>+'Rev mile pop elasticities'!R47</f>
        <v>3.9085451314722568E-2</v>
      </c>
      <c r="BT17" s="11">
        <f>+'Rev mile pop elasticities'!S47</f>
        <v>3.4604371105061975E-2</v>
      </c>
      <c r="BU17" s="32">
        <f t="shared" si="34"/>
        <v>506637.15220400592</v>
      </c>
      <c r="BV17" s="33">
        <f t="shared" si="35"/>
        <v>1.4245618439708092E-4</v>
      </c>
      <c r="BW17" s="40">
        <f t="shared" si="36"/>
        <v>1039244.5836011822</v>
      </c>
      <c r="BX17" s="33">
        <f t="shared" si="37"/>
        <v>2.9221468933163448E-4</v>
      </c>
      <c r="BY17" s="40">
        <f t="shared" si="38"/>
        <v>1780733.1618987604</v>
      </c>
      <c r="BZ17" s="41">
        <f t="shared" si="39"/>
        <v>3.9085451314722572E-4</v>
      </c>
      <c r="CA17" s="40">
        <f t="shared" si="40"/>
        <v>1576575.1475466238</v>
      </c>
      <c r="CB17" s="41">
        <f t="shared" si="41"/>
        <v>3.4604371105061984E-4</v>
      </c>
      <c r="CD17" s="70">
        <f t="shared" si="42"/>
        <v>0.5156094173295156</v>
      </c>
      <c r="CE17" s="70">
        <f t="shared" si="43"/>
        <v>2.6424035939541972</v>
      </c>
      <c r="CF17" s="70">
        <f t="shared" si="44"/>
        <v>3.158013011283713</v>
      </c>
      <c r="CG17" s="70">
        <f t="shared" si="45"/>
        <v>1.7585309140632566</v>
      </c>
      <c r="CH17" s="70">
        <f t="shared" si="46"/>
        <v>5.7975321638457622</v>
      </c>
      <c r="CI17" s="70">
        <f t="shared" si="47"/>
        <v>7.5560630779090188</v>
      </c>
      <c r="CJ17" s="69">
        <f t="shared" si="48"/>
        <v>2.2286674173888139</v>
      </c>
      <c r="CK17" s="69">
        <f t="shared" si="49"/>
        <v>11.421511313617561</v>
      </c>
      <c r="CL17" s="70">
        <f t="shared" si="50"/>
        <v>13.650178731006374</v>
      </c>
      <c r="CM17" s="69">
        <f t="shared" si="51"/>
        <v>3.2807227048964185</v>
      </c>
      <c r="CN17" s="69">
        <f t="shared" si="52"/>
        <v>10.815900505466963</v>
      </c>
      <c r="CO17" s="70">
        <f t="shared" si="53"/>
        <v>14.096623210363383</v>
      </c>
      <c r="CQ17" s="70">
        <f t="shared" si="54"/>
        <v>0.30654179946875676</v>
      </c>
      <c r="CR17" s="70">
        <f t="shared" si="55"/>
        <v>4.3725373028274062</v>
      </c>
      <c r="CS17" s="70">
        <f t="shared" si="56"/>
        <v>4.6790791022961633</v>
      </c>
      <c r="CT17" s="70">
        <f t="shared" si="57"/>
        <v>1.2107580270563503</v>
      </c>
      <c r="CU17" s="70">
        <f t="shared" si="58"/>
        <v>8.9692113750231481</v>
      </c>
      <c r="CV17" s="70">
        <f t="shared" si="59"/>
        <v>10.179969402079498</v>
      </c>
      <c r="CW17" s="69">
        <f t="shared" si="60"/>
        <v>1.0774360811232642</v>
      </c>
      <c r="CX17" s="69">
        <f t="shared" si="61"/>
        <v>15.368636395715473</v>
      </c>
      <c r="CY17" s="70">
        <f t="shared" si="62"/>
        <v>16.446072476838737</v>
      </c>
      <c r="CZ17" s="69">
        <f t="shared" si="63"/>
        <v>1.8367678266218035</v>
      </c>
      <c r="DA17" s="69">
        <f t="shared" si="64"/>
        <v>13.606648492652189</v>
      </c>
      <c r="DB17" s="70">
        <f t="shared" si="65"/>
        <v>15.443416319273993</v>
      </c>
    </row>
    <row r="18" spans="1:106">
      <c r="A18" s="3" t="s">
        <v>306</v>
      </c>
      <c r="B18" s="3">
        <v>1556368</v>
      </c>
      <c r="C18" s="3">
        <v>1038536</v>
      </c>
      <c r="D18" s="34">
        <v>40648.57</v>
      </c>
      <c r="E18" s="32">
        <f t="shared" si="0"/>
        <v>42215003293.519997</v>
      </c>
      <c r="F18" s="32">
        <v>71966</v>
      </c>
      <c r="G18" s="37">
        <f t="shared" si="1"/>
        <v>4.6239706804560361E-2</v>
      </c>
      <c r="H18" s="50">
        <f>+'Revenue mile elasticities'!C47</f>
        <v>95750</v>
      </c>
      <c r="I18" s="3">
        <f t="shared" si="2"/>
        <v>957.5</v>
      </c>
      <c r="J18" s="16">
        <f>+'Revenue mile elasticities'!F47</f>
        <v>1.8522715722264131E-4</v>
      </c>
      <c r="K18" s="16">
        <f>+'Revenue mile elasticities'!G47</f>
        <v>6.3173338413232262E-4</v>
      </c>
      <c r="L18" s="16">
        <f>+'Revenue mile elasticities'!H47</f>
        <v>5.0820447469027944E-4</v>
      </c>
      <c r="M18" s="16">
        <f>+'Revenue mile elasticities'!I47</f>
        <v>7.4810532331459254E-4</v>
      </c>
      <c r="N18" s="32">
        <f t="shared" si="7"/>
        <v>78193.650522031501</v>
      </c>
      <c r="O18" s="35">
        <f t="shared" si="8"/>
        <v>1.8522715722264134E-6</v>
      </c>
      <c r="P18" s="36">
        <f t="shared" si="9"/>
        <v>266686.26891772531</v>
      </c>
      <c r="Q18" s="35">
        <f t="shared" si="10"/>
        <v>6.317333841323226E-6</v>
      </c>
      <c r="R18" s="36">
        <f t="shared" si="11"/>
        <v>365734.43225560652</v>
      </c>
      <c r="S18" s="33">
        <f t="shared" si="12"/>
        <v>5.0820447469027941E-6</v>
      </c>
      <c r="T18" s="36">
        <f t="shared" si="13"/>
        <v>538381.47697657964</v>
      </c>
      <c r="U18" s="33">
        <f t="shared" si="14"/>
        <v>7.4810532331459246E-6</v>
      </c>
      <c r="V18" s="13"/>
      <c r="W18" s="3" t="s">
        <v>280</v>
      </c>
      <c r="X18" s="3">
        <v>5385586</v>
      </c>
      <c r="Y18" s="3">
        <v>3235326</v>
      </c>
      <c r="Z18" s="51">
        <v>44729.85</v>
      </c>
      <c r="AA18" s="32">
        <f t="shared" si="3"/>
        <v>144715646681.10001</v>
      </c>
      <c r="AB18" s="3">
        <v>244325</v>
      </c>
      <c r="AC18" s="37">
        <f t="shared" si="4"/>
        <v>4.5366465227739378E-2</v>
      </c>
      <c r="AD18" s="50">
        <f>+'Revenue mile elasticities'!M47</f>
        <v>40400000</v>
      </c>
      <c r="AE18" s="3">
        <f t="shared" si="15"/>
        <v>404000</v>
      </c>
      <c r="AF18" s="11">
        <f>+'Revenue mile elasticities'!P47</f>
        <v>1.8280673190781388E-2</v>
      </c>
      <c r="AG18" s="11">
        <f>+'Revenue mile elasticities'!Q47</f>
        <v>7.2203764198194673E-2</v>
      </c>
      <c r="AH18" s="11">
        <f>+'Revenue mile elasticities'!R47</f>
        <v>5.0156359657017535E-2</v>
      </c>
      <c r="AI18" s="11">
        <f>+'Revenue mile elasticities'!S47</f>
        <v>8.5504457603125264E-2</v>
      </c>
      <c r="AJ18" s="32">
        <f t="shared" si="16"/>
        <v>26454994.425697766</v>
      </c>
      <c r="AK18" s="33">
        <f t="shared" si="17"/>
        <v>1.8280673190781388E-4</v>
      </c>
      <c r="AL18" s="40">
        <f t="shared" si="18"/>
        <v>104490144.28751399</v>
      </c>
      <c r="AM18" s="33">
        <f t="shared" si="19"/>
        <v>7.220376419819468E-4</v>
      </c>
      <c r="AN18" s="40">
        <f t="shared" si="20"/>
        <v>122544525.73200808</v>
      </c>
      <c r="AO18" s="41">
        <f t="shared" si="21"/>
        <v>5.0156359657017532E-4</v>
      </c>
      <c r="AP18" s="40">
        <f t="shared" si="22"/>
        <v>208908766.03883579</v>
      </c>
      <c r="AQ18" s="41">
        <f t="shared" si="23"/>
        <v>8.5504457603125265E-4</v>
      </c>
      <c r="AR18" s="53"/>
      <c r="AS18" s="53"/>
      <c r="AT18" s="3" t="s">
        <v>306</v>
      </c>
      <c r="AU18" s="11">
        <f>+'Rev mile pop elasticities'!F48</f>
        <v>1.029302902655413E-3</v>
      </c>
      <c r="AV18" s="11">
        <f>+'Rev mile pop elasticities'!G48</f>
        <v>2.2583290070214757E-3</v>
      </c>
      <c r="AW18" s="11">
        <f>+'Rev mile pop elasticities'!H48</f>
        <v>2.8240801661303752E-3</v>
      </c>
      <c r="AX18" s="11">
        <f>+'Rev mile pop elasticities'!I48</f>
        <v>2.6743369819991164E-3</v>
      </c>
      <c r="AY18" s="32">
        <f t="shared" si="24"/>
        <v>434520.25425627956</v>
      </c>
      <c r="AZ18" s="33">
        <f t="shared" si="25"/>
        <v>1.0293029026554131E-5</v>
      </c>
      <c r="BA18" s="40">
        <f t="shared" si="26"/>
        <v>953353.66469263344</v>
      </c>
      <c r="BB18" s="33">
        <f t="shared" si="27"/>
        <v>2.2583290070214759E-5</v>
      </c>
      <c r="BC18" s="40">
        <f t="shared" si="28"/>
        <v>2032377.5323573861</v>
      </c>
      <c r="BD18" s="41">
        <f t="shared" si="29"/>
        <v>2.8240801661303757E-5</v>
      </c>
      <c r="BE18" s="40">
        <f t="shared" si="30"/>
        <v>1924613.3524654841</v>
      </c>
      <c r="BF18" s="41">
        <f t="shared" si="31"/>
        <v>2.6743369819991164E-5</v>
      </c>
      <c r="BH18" s="3" t="s">
        <v>280</v>
      </c>
      <c r="BI18" s="3">
        <v>5385586</v>
      </c>
      <c r="BJ18" s="3">
        <v>3235326</v>
      </c>
      <c r="BK18" s="51">
        <v>44729.85</v>
      </c>
      <c r="BL18" s="32">
        <f t="shared" si="5"/>
        <v>144715646681.10001</v>
      </c>
      <c r="BM18" s="3">
        <v>244325</v>
      </c>
      <c r="BN18" s="37">
        <f t="shared" si="6"/>
        <v>4.5366465227739378E-2</v>
      </c>
      <c r="BO18" s="50">
        <f t="shared" si="32"/>
        <v>40400000</v>
      </c>
      <c r="BP18" s="3">
        <f t="shared" si="33"/>
        <v>404000</v>
      </c>
      <c r="BQ18" s="11">
        <f>+'Rev mile pop elasticities'!P48</f>
        <v>2.6306427564242774E-2</v>
      </c>
      <c r="BR18" s="11">
        <f>+'Rev mile pop elasticities'!Q48</f>
        <v>5.396132565704085E-2</v>
      </c>
      <c r="BS18" s="11">
        <f>+'Rev mile pop elasticities'!R48</f>
        <v>7.217647995965526E-2</v>
      </c>
      <c r="BT18" s="11">
        <f>+'Rev mile pop elasticities'!S48</f>
        <v>6.390156985702207E-2</v>
      </c>
      <c r="BU18" s="32">
        <f t="shared" si="34"/>
        <v>38069516.768289074</v>
      </c>
      <c r="BV18" s="33">
        <f t="shared" si="35"/>
        <v>2.6306427564242775E-4</v>
      </c>
      <c r="BW18" s="40">
        <f t="shared" si="36"/>
        <v>78090481.382281005</v>
      </c>
      <c r="BX18" s="33">
        <f t="shared" si="37"/>
        <v>5.3961325657040857E-4</v>
      </c>
      <c r="BY18" s="40">
        <f t="shared" si="38"/>
        <v>176345184.66142774</v>
      </c>
      <c r="BZ18" s="41">
        <f t="shared" si="39"/>
        <v>7.2176479959655277E-4</v>
      </c>
      <c r="CA18" s="40">
        <f t="shared" si="40"/>
        <v>156127510.55316916</v>
      </c>
      <c r="CB18" s="41">
        <f t="shared" si="41"/>
        <v>6.3901569857022071E-4</v>
      </c>
      <c r="CD18" s="70">
        <f t="shared" si="42"/>
        <v>7.5292190662655412E-2</v>
      </c>
      <c r="CE18" s="70">
        <f t="shared" si="43"/>
        <v>0.41839691089791742</v>
      </c>
      <c r="CF18" s="70">
        <f t="shared" si="44"/>
        <v>0.49368910156057283</v>
      </c>
      <c r="CG18" s="70">
        <f t="shared" si="45"/>
        <v>0.25679058686239603</v>
      </c>
      <c r="CH18" s="70">
        <f t="shared" si="46"/>
        <v>0.91797844724942945</v>
      </c>
      <c r="CI18" s="70">
        <f t="shared" si="47"/>
        <v>1.1747690341118255</v>
      </c>
      <c r="CJ18" s="69">
        <f t="shared" si="48"/>
        <v>0.35216346111796465</v>
      </c>
      <c r="CK18" s="69">
        <f t="shared" si="49"/>
        <v>1.9569639688536422</v>
      </c>
      <c r="CL18" s="70">
        <f t="shared" si="50"/>
        <v>2.3091274299716069</v>
      </c>
      <c r="CM18" s="69">
        <f t="shared" si="51"/>
        <v>0.51840425076894747</v>
      </c>
      <c r="CN18" s="69">
        <f t="shared" si="52"/>
        <v>1.8531984952524361</v>
      </c>
      <c r="CO18" s="70">
        <f t="shared" si="53"/>
        <v>2.3716027460213835</v>
      </c>
      <c r="CQ18" s="70">
        <f t="shared" si="54"/>
        <v>8.1769176972267292</v>
      </c>
      <c r="CR18" s="70">
        <f t="shared" si="55"/>
        <v>11.766825589844446</v>
      </c>
      <c r="CS18" s="70">
        <f t="shared" si="56"/>
        <v>19.943743287071175</v>
      </c>
      <c r="CT18" s="70">
        <f t="shared" si="57"/>
        <v>32.296635420206179</v>
      </c>
      <c r="CU18" s="70">
        <f t="shared" si="58"/>
        <v>24.136820024405889</v>
      </c>
      <c r="CV18" s="70">
        <f t="shared" si="59"/>
        <v>56.433455444612065</v>
      </c>
      <c r="CW18" s="69">
        <f t="shared" si="60"/>
        <v>37.877025601750205</v>
      </c>
      <c r="CX18" s="69">
        <f t="shared" si="61"/>
        <v>54.506156307410052</v>
      </c>
      <c r="CY18" s="70">
        <f t="shared" si="62"/>
        <v>92.383181909160257</v>
      </c>
      <c r="CZ18" s="69">
        <f t="shared" si="63"/>
        <v>64.571164092532186</v>
      </c>
      <c r="DA18" s="69">
        <f t="shared" si="64"/>
        <v>48.257118619010619</v>
      </c>
      <c r="DB18" s="70">
        <f t="shared" si="65"/>
        <v>112.82828271154281</v>
      </c>
    </row>
    <row r="19" spans="1:106">
      <c r="A19" s="3" t="s">
        <v>308</v>
      </c>
      <c r="B19" s="3">
        <v>1168547</v>
      </c>
      <c r="C19" s="3">
        <v>710250</v>
      </c>
      <c r="D19" s="34">
        <v>41724.58</v>
      </c>
      <c r="E19" s="32">
        <f t="shared" si="0"/>
        <v>29634882945</v>
      </c>
      <c r="F19" s="32">
        <v>65881</v>
      </c>
      <c r="G19" s="37">
        <f t="shared" si="1"/>
        <v>5.6378562436940921E-2</v>
      </c>
      <c r="H19" s="50">
        <f>+'Revenue mile elasticities'!C48</f>
        <v>756815</v>
      </c>
      <c r="I19" s="3">
        <f t="shared" si="2"/>
        <v>7568.1500000000005</v>
      </c>
      <c r="J19" s="16">
        <f>+'Revenue mile elasticities'!F48</f>
        <v>1.0094657680834256E-3</v>
      </c>
      <c r="K19" s="16">
        <f>+'Revenue mile elasticities'!G48</f>
        <v>3.4428710962213353E-3</v>
      </c>
      <c r="L19" s="16">
        <f>+'Revenue mile elasticities'!H48</f>
        <v>2.769653370914814E-3</v>
      </c>
      <c r="M19" s="16">
        <f>+'Revenue mile elasticities'!I48</f>
        <v>4.0770841928936871E-3</v>
      </c>
      <c r="N19" s="32">
        <f t="shared" si="7"/>
        <v>299153.99874136836</v>
      </c>
      <c r="O19" s="35">
        <f t="shared" si="8"/>
        <v>1.0094657680834257E-5</v>
      </c>
      <c r="P19" s="36">
        <f t="shared" si="9"/>
        <v>1020290.819312431</v>
      </c>
      <c r="Q19" s="35">
        <f t="shared" si="10"/>
        <v>3.4428710962213353E-5</v>
      </c>
      <c r="R19" s="36">
        <f t="shared" si="11"/>
        <v>1824675.3372923888</v>
      </c>
      <c r="S19" s="33">
        <f t="shared" si="12"/>
        <v>2.7696533709148142E-5</v>
      </c>
      <c r="T19" s="36">
        <f t="shared" si="13"/>
        <v>2686023.8371202899</v>
      </c>
      <c r="U19" s="33">
        <f t="shared" si="14"/>
        <v>4.0770841928936871E-5</v>
      </c>
      <c r="V19" s="13"/>
      <c r="W19" t="s">
        <v>307</v>
      </c>
      <c r="X19">
        <v>133105</v>
      </c>
      <c r="Y19">
        <v>68995</v>
      </c>
      <c r="Z19" s="51">
        <v>26619.3</v>
      </c>
      <c r="AA19" s="32">
        <f t="shared" si="3"/>
        <v>1836598603.5</v>
      </c>
      <c r="AB19">
        <v>2552</v>
      </c>
      <c r="AC19" s="37">
        <f t="shared" si="4"/>
        <v>1.9172833477329926E-2</v>
      </c>
      <c r="AD19" s="50">
        <f>+'Revenue mile elasticities'!M48</f>
        <v>79549</v>
      </c>
      <c r="AE19" s="3">
        <f t="shared" si="15"/>
        <v>795.49</v>
      </c>
      <c r="AF19" s="11">
        <f>+'Revenue mile elasticities'!P48</f>
        <v>1.125098238703797E-4</v>
      </c>
      <c r="AG19" s="11">
        <f>+'Revenue mile elasticities'!Q48</f>
        <v>4.4438367821234898E-4</v>
      </c>
      <c r="AH19" s="11">
        <f>+'Revenue mile elasticities'!R48</f>
        <v>3.0869121350717899E-4</v>
      </c>
      <c r="AI19" s="11">
        <f>+'Revenue mile elasticities'!S48</f>
        <v>5.2624382946199217E-4</v>
      </c>
      <c r="AJ19" s="32">
        <f t="shared" si="16"/>
        <v>2066.3538540037034</v>
      </c>
      <c r="AK19" s="33">
        <f t="shared" si="17"/>
        <v>1.1250982387037971E-6</v>
      </c>
      <c r="AL19" s="40">
        <f t="shared" si="18"/>
        <v>8161.544428229935</v>
      </c>
      <c r="AM19" s="33">
        <f t="shared" si="19"/>
        <v>4.4438367821234893E-6</v>
      </c>
      <c r="AN19" s="40">
        <f t="shared" si="20"/>
        <v>7877.7997687032066</v>
      </c>
      <c r="AO19" s="41">
        <f t="shared" si="21"/>
        <v>3.0869121350717896E-6</v>
      </c>
      <c r="AP19" s="40">
        <f t="shared" si="22"/>
        <v>13429.742527870039</v>
      </c>
      <c r="AQ19" s="41">
        <f t="shared" si="23"/>
        <v>5.2624382946199214E-6</v>
      </c>
      <c r="AR19" s="53"/>
      <c r="AS19" s="53"/>
      <c r="AT19" s="3" t="s">
        <v>308</v>
      </c>
      <c r="AU19" s="11">
        <f>+'Rev mile pop elasticities'!F49</f>
        <v>1.0835781874413265E-2</v>
      </c>
      <c r="AV19" s="11">
        <f>+'Rev mile pop elasticities'!G49</f>
        <v>2.3774110087142409E-2</v>
      </c>
      <c r="AW19" s="11">
        <f>+'Rev mile pop elasticities'!H49</f>
        <v>2.9729943048931704E-2</v>
      </c>
      <c r="AX19" s="11">
        <f>+'Rev mile pop elasticities'!I49</f>
        <v>2.8153551418984433E-2</v>
      </c>
      <c r="AY19" s="32">
        <f t="shared" si="24"/>
        <v>3211171.2746578977</v>
      </c>
      <c r="AZ19" s="33">
        <f t="shared" si="25"/>
        <v>1.0835781874413264E-4</v>
      </c>
      <c r="BA19" s="40">
        <f t="shared" si="26"/>
        <v>7045429.6955400901</v>
      </c>
      <c r="BB19" s="33">
        <f t="shared" si="27"/>
        <v>2.3774110087142409E-4</v>
      </c>
      <c r="BC19" s="40">
        <f t="shared" si="28"/>
        <v>19586383.780066699</v>
      </c>
      <c r="BD19" s="41">
        <f t="shared" si="29"/>
        <v>2.972994304893171E-4</v>
      </c>
      <c r="BE19" s="40">
        <f t="shared" si="30"/>
        <v>18547841.210341137</v>
      </c>
      <c r="BF19" s="41">
        <f t="shared" si="31"/>
        <v>2.8153551418984437E-4</v>
      </c>
      <c r="BH19" t="s">
        <v>307</v>
      </c>
      <c r="BI19">
        <v>133105</v>
      </c>
      <c r="BJ19">
        <v>68995</v>
      </c>
      <c r="BK19" s="51">
        <v>26619.3</v>
      </c>
      <c r="BL19" s="32">
        <f t="shared" si="5"/>
        <v>1836598603.5</v>
      </c>
      <c r="BM19">
        <v>2552</v>
      </c>
      <c r="BN19" s="37">
        <f t="shared" si="6"/>
        <v>1.9172833477329926E-2</v>
      </c>
      <c r="BO19" s="50">
        <f t="shared" si="32"/>
        <v>79549</v>
      </c>
      <c r="BP19" s="3">
        <f t="shared" si="33"/>
        <v>795.49</v>
      </c>
      <c r="BQ19" s="11">
        <f>+'Rev mile pop elasticities'!P49</f>
        <v>2.095819271853048E-3</v>
      </c>
      <c r="BR19" s="11">
        <f>+'Rev mile pop elasticities'!Q49</f>
        <v>4.2990704827016273E-3</v>
      </c>
      <c r="BS19" s="11">
        <f>+'Rev mile pop elasticities'!R49</f>
        <v>5.7502622621238867E-3</v>
      </c>
      <c r="BT19" s="11">
        <f>+'Rev mile pop elasticities'!S49</f>
        <v>5.0910045189887692E-3</v>
      </c>
      <c r="BU19" s="32">
        <f t="shared" si="34"/>
        <v>38491.787478736951</v>
      </c>
      <c r="BV19" s="33">
        <f t="shared" si="35"/>
        <v>2.095819271853048E-5</v>
      </c>
      <c r="BW19" s="40">
        <f t="shared" si="36"/>
        <v>78956.668448778801</v>
      </c>
      <c r="BX19" s="33">
        <f t="shared" si="37"/>
        <v>4.2990704827016277E-5</v>
      </c>
      <c r="BY19" s="40">
        <f t="shared" si="38"/>
        <v>146746.69292940156</v>
      </c>
      <c r="BZ19" s="41">
        <f t="shared" si="39"/>
        <v>5.7502622621238854E-5</v>
      </c>
      <c r="CA19" s="40">
        <f t="shared" si="40"/>
        <v>129922.43532459339</v>
      </c>
      <c r="CB19" s="41">
        <f t="shared" si="41"/>
        <v>5.0910045189887692E-5</v>
      </c>
      <c r="CD19" s="70">
        <f t="shared" si="42"/>
        <v>0.42119535197658342</v>
      </c>
      <c r="CE19" s="70">
        <f t="shared" si="43"/>
        <v>4.521184476815062</v>
      </c>
      <c r="CF19" s="70">
        <f t="shared" si="44"/>
        <v>4.9423798287916458</v>
      </c>
      <c r="CG19" s="70">
        <f t="shared" si="45"/>
        <v>1.436523504839748</v>
      </c>
      <c r="CH19" s="70">
        <f t="shared" si="46"/>
        <v>9.9196475825978041</v>
      </c>
      <c r="CI19" s="70">
        <f t="shared" si="47"/>
        <v>11.356171087437552</v>
      </c>
      <c r="CJ19" s="69">
        <f t="shared" si="48"/>
        <v>2.5690606649664045</v>
      </c>
      <c r="CK19" s="69">
        <f t="shared" si="49"/>
        <v>27.576745906464904</v>
      </c>
      <c r="CL19" s="70">
        <f t="shared" si="50"/>
        <v>30.145806571431308</v>
      </c>
      <c r="CM19" s="69">
        <f t="shared" si="51"/>
        <v>3.7818005450479268</v>
      </c>
      <c r="CN19" s="69">
        <f t="shared" si="52"/>
        <v>26.11452475936802</v>
      </c>
      <c r="CO19" s="70">
        <f t="shared" si="53"/>
        <v>29.896325304415946</v>
      </c>
      <c r="CQ19" s="70">
        <f t="shared" si="54"/>
        <v>2.9949327545527985E-2</v>
      </c>
      <c r="CR19" s="70">
        <f t="shared" si="55"/>
        <v>0.55789241943237844</v>
      </c>
      <c r="CS19" s="70">
        <f t="shared" si="56"/>
        <v>0.58784174697790648</v>
      </c>
      <c r="CT19" s="70">
        <f t="shared" si="57"/>
        <v>0.11829182445437982</v>
      </c>
      <c r="CU19" s="70">
        <f t="shared" si="58"/>
        <v>1.1443824690017943</v>
      </c>
      <c r="CV19" s="70">
        <f t="shared" si="59"/>
        <v>1.2626742934561741</v>
      </c>
      <c r="CW19" s="69">
        <f t="shared" si="60"/>
        <v>0.1141792850018582</v>
      </c>
      <c r="CX19" s="69">
        <f t="shared" si="61"/>
        <v>2.1269177901210456</v>
      </c>
      <c r="CY19" s="70">
        <f t="shared" si="62"/>
        <v>2.2410970751229038</v>
      </c>
      <c r="CZ19" s="69">
        <f t="shared" si="63"/>
        <v>0.19464805461076948</v>
      </c>
      <c r="DA19" s="69">
        <f t="shared" si="64"/>
        <v>1.8830702996535023</v>
      </c>
      <c r="DB19" s="70">
        <f t="shared" si="65"/>
        <v>2.0777183542642716</v>
      </c>
    </row>
    <row r="20" spans="1:106">
      <c r="A20" s="3" t="s">
        <v>310</v>
      </c>
      <c r="B20" s="3">
        <v>18968501</v>
      </c>
      <c r="C20" s="3">
        <v>11166752</v>
      </c>
      <c r="D20" s="34">
        <v>63346.31</v>
      </c>
      <c r="E20" s="32">
        <f t="shared" si="0"/>
        <v>707372533885.12</v>
      </c>
      <c r="F20" s="32">
        <v>1157843</v>
      </c>
      <c r="G20" s="37">
        <f t="shared" si="1"/>
        <v>6.1040300443350792E-2</v>
      </c>
      <c r="H20" s="50">
        <f>+'Revenue mile elasticities'!C49</f>
        <v>70300000</v>
      </c>
      <c r="I20" s="3">
        <f t="shared" si="2"/>
        <v>703000</v>
      </c>
      <c r="J20" s="16">
        <f>+'Revenue mile elasticities'!F49</f>
        <v>2.2314953518623466E-2</v>
      </c>
      <c r="K20" s="16">
        <f>+'Revenue mile elasticities'!G49</f>
        <v>7.6107096359152651E-2</v>
      </c>
      <c r="L20" s="16">
        <f>+'Revenue mile elasticities'!H49</f>
        <v>6.1225143227992176E-2</v>
      </c>
      <c r="M20" s="16">
        <f>+'Revenue mile elasticities'!I49</f>
        <v>9.0126824635838682E-2</v>
      </c>
      <c r="N20" s="32">
        <f t="shared" si="7"/>
        <v>157849852.13997355</v>
      </c>
      <c r="O20" s="35">
        <f t="shared" si="8"/>
        <v>2.2314953518623464E-4</v>
      </c>
      <c r="P20" s="36">
        <f t="shared" si="9"/>
        <v>538360695.98212802</v>
      </c>
      <c r="Q20" s="35">
        <f t="shared" si="10"/>
        <v>7.6107096359152653E-4</v>
      </c>
      <c r="R20" s="36">
        <f t="shared" si="11"/>
        <v>708891035.10528147</v>
      </c>
      <c r="S20" s="33">
        <f t="shared" si="12"/>
        <v>6.1225143227992178E-4</v>
      </c>
      <c r="T20" s="36">
        <f t="shared" si="13"/>
        <v>1043527130.1683336</v>
      </c>
      <c r="U20" s="33">
        <f t="shared" si="14"/>
        <v>9.0126824635838681E-4</v>
      </c>
      <c r="V20" s="13"/>
      <c r="W20" t="s">
        <v>309</v>
      </c>
      <c r="X20">
        <v>534612</v>
      </c>
      <c r="Y20">
        <v>306044</v>
      </c>
      <c r="Z20" s="51">
        <v>34759.18</v>
      </c>
      <c r="AA20" s="32">
        <f t="shared" si="3"/>
        <v>10637838483.92</v>
      </c>
      <c r="AB20">
        <v>13429</v>
      </c>
      <c r="AC20" s="37">
        <f t="shared" si="4"/>
        <v>2.5119151833479233E-2</v>
      </c>
      <c r="AD20" s="50">
        <f>+'Revenue mile elasticities'!M49</f>
        <v>570128</v>
      </c>
      <c r="AE20" s="3">
        <f t="shared" si="15"/>
        <v>5701.28</v>
      </c>
      <c r="AF20" s="11">
        <f>+'Revenue mile elasticities'!P49</f>
        <v>9.2871824202163617E-4</v>
      </c>
      <c r="AG20" s="11">
        <f>+'Revenue mile elasticities'!Q49</f>
        <v>3.6681883787139584E-3</v>
      </c>
      <c r="AH20" s="11">
        <f>+'Revenue mile elasticities'!R49</f>
        <v>2.5481078120449222E-3</v>
      </c>
      <c r="AI20" s="11">
        <f>+'Revenue mile elasticities'!S49</f>
        <v>4.3439072905823196E-3</v>
      </c>
      <c r="AJ20" s="32">
        <f t="shared" si="16"/>
        <v>98795.546556962901</v>
      </c>
      <c r="AK20" s="33">
        <f t="shared" si="17"/>
        <v>9.2871824202163627E-6</v>
      </c>
      <c r="AL20" s="40">
        <f t="shared" si="18"/>
        <v>390215.95501351461</v>
      </c>
      <c r="AM20" s="33">
        <f t="shared" si="19"/>
        <v>3.6681883787139585E-5</v>
      </c>
      <c r="AN20" s="40">
        <f t="shared" si="20"/>
        <v>342185.39807951258</v>
      </c>
      <c r="AO20" s="41">
        <f t="shared" si="21"/>
        <v>2.5481078120449222E-5</v>
      </c>
      <c r="AP20" s="40">
        <f t="shared" si="22"/>
        <v>583343.31005229964</v>
      </c>
      <c r="AQ20" s="41">
        <f t="shared" si="23"/>
        <v>4.3439072905823186E-5</v>
      </c>
      <c r="AR20" s="53"/>
      <c r="AS20" s="53"/>
      <c r="AT20" s="3" t="s">
        <v>310</v>
      </c>
      <c r="AU20" s="11">
        <f>+'Rev mile pop elasticities'!F50</f>
        <v>6.2006757413250527E-2</v>
      </c>
      <c r="AV20" s="11">
        <f>+'Rev mile pop elasticities'!G50</f>
        <v>0.13604514136356899</v>
      </c>
      <c r="AW20" s="11">
        <f>+'Rev mile pop elasticities'!H50</f>
        <v>0.17012684344429746</v>
      </c>
      <c r="AX20" s="11">
        <f>+'Rev mile pop elasticities'!I50</f>
        <v>0.16110608845685803</v>
      </c>
      <c r="AY20" s="32">
        <f t="shared" si="24"/>
        <v>438618771.09410977</v>
      </c>
      <c r="AZ20" s="33">
        <f t="shared" si="25"/>
        <v>6.2006757413250529E-4</v>
      </c>
      <c r="BA20" s="40">
        <f t="shared" si="26"/>
        <v>962345963.69107151</v>
      </c>
      <c r="BB20" s="33">
        <f t="shared" si="27"/>
        <v>1.3604514136356901E-3</v>
      </c>
      <c r="BC20" s="40">
        <f t="shared" si="28"/>
        <v>1969801747.940757</v>
      </c>
      <c r="BD20" s="41">
        <f t="shared" si="29"/>
        <v>1.7012684344429748E-3</v>
      </c>
      <c r="BE20" s="40">
        <f t="shared" si="30"/>
        <v>1865355567.7715387</v>
      </c>
      <c r="BF20" s="41">
        <f t="shared" si="31"/>
        <v>1.6110608845685804E-3</v>
      </c>
      <c r="BH20" t="s">
        <v>309</v>
      </c>
      <c r="BI20">
        <v>534612</v>
      </c>
      <c r="BJ20">
        <v>306044</v>
      </c>
      <c r="BK20" s="51">
        <v>34759.18</v>
      </c>
      <c r="BL20" s="32">
        <f t="shared" si="5"/>
        <v>10637838483.92</v>
      </c>
      <c r="BM20">
        <v>13429</v>
      </c>
      <c r="BN20" s="37">
        <f t="shared" si="6"/>
        <v>2.5119151833479233E-2</v>
      </c>
      <c r="BO20" s="50">
        <f t="shared" si="32"/>
        <v>570128</v>
      </c>
      <c r="BP20" s="3">
        <f t="shared" si="33"/>
        <v>5701.28</v>
      </c>
      <c r="BQ20" s="11">
        <f>+'Rev mile pop elasticities'!P50</f>
        <v>3.7397893667931127E-3</v>
      </c>
      <c r="BR20" s="11">
        <f>+'Rev mile pop elasticities'!Q50</f>
        <v>7.671280770353079E-3</v>
      </c>
      <c r="BS20" s="11">
        <f>+'Rev mile pop elasticities'!R50</f>
        <v>1.0260793930551501E-2</v>
      </c>
      <c r="BT20" s="11">
        <f>+'Rev mile pop elasticities'!S50</f>
        <v>9.0844114385760146E-3</v>
      </c>
      <c r="BU20" s="32">
        <f t="shared" si="34"/>
        <v>397832.75247826584</v>
      </c>
      <c r="BV20" s="33">
        <f t="shared" si="35"/>
        <v>3.7397893667931128E-5</v>
      </c>
      <c r="BW20" s="40">
        <f t="shared" si="36"/>
        <v>816058.45799817448</v>
      </c>
      <c r="BX20" s="33">
        <f t="shared" si="37"/>
        <v>7.6712807703530788E-5</v>
      </c>
      <c r="BY20" s="40">
        <f t="shared" si="38"/>
        <v>1377922.0169337611</v>
      </c>
      <c r="BZ20" s="41">
        <f t="shared" si="39"/>
        <v>1.02607939305515E-4</v>
      </c>
      <c r="CA20" s="40">
        <f t="shared" si="40"/>
        <v>1219945.6120863729</v>
      </c>
      <c r="CB20" s="41">
        <f t="shared" si="41"/>
        <v>9.0844114385760141E-5</v>
      </c>
      <c r="CD20" s="70">
        <f t="shared" si="42"/>
        <v>14.135699632263128</v>
      </c>
      <c r="CE20" s="70">
        <f t="shared" si="43"/>
        <v>39.27899277194566</v>
      </c>
      <c r="CF20" s="70">
        <f t="shared" si="44"/>
        <v>53.414692404208786</v>
      </c>
      <c r="CG20" s="70">
        <f t="shared" si="45"/>
        <v>48.21103719166755</v>
      </c>
      <c r="CH20" s="70">
        <f t="shared" si="46"/>
        <v>86.179576988104643</v>
      </c>
      <c r="CI20" s="70">
        <f t="shared" si="47"/>
        <v>134.3906141797722</v>
      </c>
      <c r="CJ20" s="69">
        <f t="shared" si="48"/>
        <v>63.482294144732634</v>
      </c>
      <c r="CK20" s="69">
        <f t="shared" si="49"/>
        <v>176.39880852917275</v>
      </c>
      <c r="CL20" s="70">
        <f t="shared" si="50"/>
        <v>239.88110267390539</v>
      </c>
      <c r="CM20" s="69">
        <f t="shared" si="51"/>
        <v>93.449476639969589</v>
      </c>
      <c r="CN20" s="69">
        <f t="shared" si="52"/>
        <v>167.04549073638771</v>
      </c>
      <c r="CO20" s="70">
        <f t="shared" si="53"/>
        <v>260.49496737635729</v>
      </c>
      <c r="CQ20" s="70">
        <f t="shared" si="54"/>
        <v>0.32281484543713618</v>
      </c>
      <c r="CR20" s="70">
        <f t="shared" si="55"/>
        <v>1.2999201176244783</v>
      </c>
      <c r="CS20" s="70">
        <f t="shared" si="56"/>
        <v>1.6227349630616146</v>
      </c>
      <c r="CT20" s="70">
        <f t="shared" si="57"/>
        <v>1.2750322012962665</v>
      </c>
      <c r="CU20" s="70">
        <f t="shared" si="58"/>
        <v>2.6664742912724133</v>
      </c>
      <c r="CV20" s="70">
        <f t="shared" si="59"/>
        <v>3.9415064925686796</v>
      </c>
      <c r="CW20" s="69">
        <f t="shared" si="60"/>
        <v>1.1180921634781684</v>
      </c>
      <c r="CX20" s="69">
        <f t="shared" si="61"/>
        <v>4.5023657282409104</v>
      </c>
      <c r="CY20" s="70">
        <f t="shared" si="62"/>
        <v>5.6204578917190791</v>
      </c>
      <c r="CZ20" s="69">
        <f t="shared" si="63"/>
        <v>1.9060766100701194</v>
      </c>
      <c r="DA20" s="69">
        <f t="shared" si="64"/>
        <v>3.9861771904901677</v>
      </c>
      <c r="DB20" s="70">
        <f t="shared" si="65"/>
        <v>5.8922538005602867</v>
      </c>
    </row>
    <row r="21" spans="1:106">
      <c r="A21" s="3" t="s">
        <v>312</v>
      </c>
      <c r="B21" s="3">
        <v>5940496</v>
      </c>
      <c r="C21" s="3">
        <v>3532815</v>
      </c>
      <c r="D21" s="34">
        <v>48715.18</v>
      </c>
      <c r="E21" s="32">
        <f t="shared" si="0"/>
        <v>172101718631.70001</v>
      </c>
      <c r="F21" s="32">
        <v>303279</v>
      </c>
      <c r="G21" s="37">
        <f t="shared" si="1"/>
        <v>5.1052807711679297E-2</v>
      </c>
      <c r="H21" s="50">
        <f>+'Revenue mile elasticities'!C50</f>
        <v>14600000</v>
      </c>
      <c r="I21" s="3">
        <f t="shared" si="2"/>
        <v>146000</v>
      </c>
      <c r="J21" s="16">
        <f>+'Revenue mile elasticities'!F50</f>
        <v>9.6225803921032808E-3</v>
      </c>
      <c r="K21" s="16">
        <f>+'Revenue mile elasticities'!G50</f>
        <v>3.281865017170215E-2</v>
      </c>
      <c r="L21" s="16">
        <f>+'Revenue mile elasticities'!H50</f>
        <v>2.6401303602882648E-2</v>
      </c>
      <c r="M21" s="16">
        <f>+'Revenue mile elasticities'!I50</f>
        <v>3.8864190992805178E-2</v>
      </c>
      <c r="N21" s="32">
        <f t="shared" si="7"/>
        <v>16560626.231526723</v>
      </c>
      <c r="O21" s="35">
        <f t="shared" si="8"/>
        <v>9.6225803921032806E-5</v>
      </c>
      <c r="P21" s="36">
        <f t="shared" si="9"/>
        <v>56481460.977224767</v>
      </c>
      <c r="Q21" s="35">
        <f t="shared" si="10"/>
        <v>3.281865017170215E-4</v>
      </c>
      <c r="R21" s="36">
        <f t="shared" si="11"/>
        <v>80069609.553786471</v>
      </c>
      <c r="S21" s="33">
        <f t="shared" si="12"/>
        <v>2.6401303602882647E-4</v>
      </c>
      <c r="T21" s="36">
        <f t="shared" si="13"/>
        <v>117866929.80106963</v>
      </c>
      <c r="U21" s="33">
        <f t="shared" si="14"/>
        <v>3.8864190992805186E-4</v>
      </c>
      <c r="V21" s="13"/>
      <c r="W21" t="s">
        <v>311</v>
      </c>
      <c r="X21">
        <v>797145</v>
      </c>
      <c r="Y21">
        <v>370844</v>
      </c>
      <c r="Z21" s="51">
        <v>37829.410000000003</v>
      </c>
      <c r="AA21" s="32">
        <f t="shared" si="3"/>
        <v>14028809722.040001</v>
      </c>
      <c r="AB21">
        <v>22985</v>
      </c>
      <c r="AC21" s="37">
        <f t="shared" si="4"/>
        <v>2.8834151879520035E-2</v>
      </c>
      <c r="AD21" s="50">
        <f>+'Revenue mile elasticities'!M50</f>
        <v>3437792</v>
      </c>
      <c r="AE21" s="3">
        <f t="shared" si="15"/>
        <v>34377.919999999998</v>
      </c>
      <c r="AF21" s="11">
        <f>+'Revenue mile elasticities'!P50</f>
        <v>2.4519698266903243E-3</v>
      </c>
      <c r="AG21" s="11">
        <f>+'Revenue mile elasticities'!Q50</f>
        <v>9.6846242662833228E-3</v>
      </c>
      <c r="AH21" s="11">
        <f>+'Revenue mile elasticities'!R50</f>
        <v>6.7274262392947532E-3</v>
      </c>
      <c r="AI21" s="11">
        <f>+'Revenue mile elasticities'!S50</f>
        <v>1.1468633999546042E-2</v>
      </c>
      <c r="AJ21" s="32">
        <f t="shared" si="16"/>
        <v>343982.18142821954</v>
      </c>
      <c r="AK21" s="33">
        <f t="shared" si="17"/>
        <v>2.4519698266903239E-5</v>
      </c>
      <c r="AL21" s="40">
        <f t="shared" si="18"/>
        <v>1358637.5106113998</v>
      </c>
      <c r="AM21" s="33">
        <f t="shared" si="19"/>
        <v>9.6846242662833215E-5</v>
      </c>
      <c r="AN21" s="40">
        <f t="shared" si="20"/>
        <v>1546298.9211018989</v>
      </c>
      <c r="AO21" s="41">
        <f t="shared" si="21"/>
        <v>6.7274262392947519E-5</v>
      </c>
      <c r="AP21" s="40">
        <f t="shared" si="22"/>
        <v>2636065.5247956575</v>
      </c>
      <c r="AQ21" s="41">
        <f t="shared" si="23"/>
        <v>1.1468633999546042E-4</v>
      </c>
      <c r="AR21" s="53"/>
      <c r="AS21" s="53"/>
      <c r="AT21" s="3" t="s">
        <v>312</v>
      </c>
      <c r="AU21" s="11">
        <f>+'Rev mile pop elasticities'!F51</f>
        <v>4.1119408211031536E-2</v>
      </c>
      <c r="AV21" s="11">
        <f>+'Rev mile pop elasticities'!G51</f>
        <v>9.0217517190483751E-2</v>
      </c>
      <c r="AW21" s="11">
        <f>+'Rev mile pop elasticities'!H51</f>
        <v>0.11281859292557388</v>
      </c>
      <c r="AX21" s="11">
        <f>+'Rev mile pop elasticities'!I51</f>
        <v>0.10683653351504656</v>
      </c>
      <c r="AY21" s="32">
        <f t="shared" si="24"/>
        <v>70767208.222369641</v>
      </c>
      <c r="AZ21" s="33">
        <f t="shared" si="25"/>
        <v>4.1119408211031533E-4</v>
      </c>
      <c r="BA21" s="40">
        <f t="shared" si="26"/>
        <v>155265897.59167194</v>
      </c>
      <c r="BB21" s="33">
        <f t="shared" si="27"/>
        <v>9.0217517190483755E-4</v>
      </c>
      <c r="BC21" s="40">
        <f t="shared" si="28"/>
        <v>342155100.43875122</v>
      </c>
      <c r="BD21" s="41">
        <f t="shared" si="29"/>
        <v>1.1281859292557388E-3</v>
      </c>
      <c r="BE21" s="40">
        <f t="shared" si="30"/>
        <v>324012770.47909808</v>
      </c>
      <c r="BF21" s="41">
        <f t="shared" si="31"/>
        <v>1.0683653351504657E-3</v>
      </c>
      <c r="BH21" t="s">
        <v>311</v>
      </c>
      <c r="BI21">
        <v>797145</v>
      </c>
      <c r="BJ21">
        <v>370844</v>
      </c>
      <c r="BK21" s="51">
        <v>37829.410000000003</v>
      </c>
      <c r="BL21" s="32">
        <f t="shared" si="5"/>
        <v>14028809722.040001</v>
      </c>
      <c r="BM21">
        <v>22985</v>
      </c>
      <c r="BN21" s="37">
        <f t="shared" si="6"/>
        <v>2.8834151879520035E-2</v>
      </c>
      <c r="BO21" s="50">
        <f t="shared" si="32"/>
        <v>3437792</v>
      </c>
      <c r="BP21" s="3">
        <f t="shared" si="33"/>
        <v>34377.919999999998</v>
      </c>
      <c r="BQ21" s="11">
        <f>+'Rev mile pop elasticities'!P51</f>
        <v>1.5123619594226896E-2</v>
      </c>
      <c r="BR21" s="11">
        <f>+'Rev mile pop elasticities'!Q51</f>
        <v>3.1022477683232037E-2</v>
      </c>
      <c r="BS21" s="11">
        <f>+'Rev mile pop elasticities'!R51</f>
        <v>4.1494407550947444E-2</v>
      </c>
      <c r="BT21" s="11">
        <f>+'Rev mile pop elasticities'!S51</f>
        <v>3.6737144624880043E-2</v>
      </c>
      <c r="BU21" s="32">
        <f t="shared" si="34"/>
        <v>2121663.8159592492</v>
      </c>
      <c r="BV21" s="33">
        <f t="shared" si="35"/>
        <v>1.5123619594226896E-4</v>
      </c>
      <c r="BW21" s="40">
        <f t="shared" si="36"/>
        <v>4352084.365242945</v>
      </c>
      <c r="BX21" s="33">
        <f t="shared" si="37"/>
        <v>3.1022477683232032E-4</v>
      </c>
      <c r="BY21" s="40">
        <f t="shared" si="38"/>
        <v>9537489.5755852703</v>
      </c>
      <c r="BZ21" s="41">
        <f t="shared" si="39"/>
        <v>4.1494407550947442E-4</v>
      </c>
      <c r="CA21" s="40">
        <f t="shared" si="40"/>
        <v>8444032.6920286771</v>
      </c>
      <c r="CB21" s="41">
        <f t="shared" si="41"/>
        <v>3.6737144624880041E-4</v>
      </c>
      <c r="CD21" s="70">
        <f t="shared" si="42"/>
        <v>4.6876573586578187</v>
      </c>
      <c r="CE21" s="70">
        <f t="shared" si="43"/>
        <v>20.031393724938791</v>
      </c>
      <c r="CF21" s="70">
        <f t="shared" si="44"/>
        <v>24.719051083596611</v>
      </c>
      <c r="CG21" s="70">
        <f t="shared" si="45"/>
        <v>15.987664504715013</v>
      </c>
      <c r="CH21" s="70">
        <f t="shared" si="46"/>
        <v>43.949625890875105</v>
      </c>
      <c r="CI21" s="70">
        <f t="shared" si="47"/>
        <v>59.937290395590118</v>
      </c>
      <c r="CJ21" s="69">
        <f t="shared" si="48"/>
        <v>22.664535095606894</v>
      </c>
      <c r="CK21" s="69">
        <f t="shared" si="49"/>
        <v>96.850556974749949</v>
      </c>
      <c r="CL21" s="70">
        <f t="shared" si="50"/>
        <v>119.51509207035684</v>
      </c>
      <c r="CM21" s="69">
        <f t="shared" si="51"/>
        <v>33.363459394581838</v>
      </c>
      <c r="CN21" s="69">
        <f t="shared" si="52"/>
        <v>91.71518193822719</v>
      </c>
      <c r="CO21" s="70">
        <f t="shared" si="53"/>
        <v>125.07864133280903</v>
      </c>
      <c r="CQ21" s="70">
        <f t="shared" si="54"/>
        <v>0.92756571881497218</v>
      </c>
      <c r="CR21" s="70">
        <f t="shared" si="55"/>
        <v>5.7211760631404287</v>
      </c>
      <c r="CS21" s="70">
        <f t="shared" si="56"/>
        <v>6.6487417819554011</v>
      </c>
      <c r="CT21" s="70">
        <f t="shared" si="57"/>
        <v>3.66363622065181</v>
      </c>
      <c r="CU21" s="70">
        <f t="shared" si="58"/>
        <v>11.735620274948348</v>
      </c>
      <c r="CV21" s="70">
        <f t="shared" si="59"/>
        <v>15.399256495600158</v>
      </c>
      <c r="CW21" s="69">
        <f t="shared" si="60"/>
        <v>4.169674906704433</v>
      </c>
      <c r="CX21" s="69">
        <f t="shared" si="61"/>
        <v>25.718333249520743</v>
      </c>
      <c r="CY21" s="70">
        <f t="shared" si="62"/>
        <v>29.888008156225176</v>
      </c>
      <c r="CZ21" s="69">
        <f t="shared" si="63"/>
        <v>7.1082868397376187</v>
      </c>
      <c r="DA21" s="69">
        <f t="shared" si="64"/>
        <v>22.769770286235389</v>
      </c>
      <c r="DB21" s="70">
        <f t="shared" si="65"/>
        <v>29.878057125973008</v>
      </c>
    </row>
    <row r="22" spans="1:106">
      <c r="A22" s="3" t="s">
        <v>313</v>
      </c>
      <c r="B22" s="3">
        <v>2355391</v>
      </c>
      <c r="C22" s="3">
        <v>1452482</v>
      </c>
      <c r="D22" s="34">
        <v>40947</v>
      </c>
      <c r="E22" s="32">
        <f t="shared" si="0"/>
        <v>59474780454</v>
      </c>
      <c r="F22" s="32">
        <v>105749</v>
      </c>
      <c r="G22" s="37">
        <f t="shared" si="1"/>
        <v>4.4896579803523066E-2</v>
      </c>
      <c r="H22" s="50">
        <f>+'Revenue mile elasticities'!C51</f>
        <v>1217246</v>
      </c>
      <c r="I22" s="3">
        <f t="shared" si="2"/>
        <v>12172.460000000001</v>
      </c>
      <c r="J22" s="16">
        <f>+'Revenue mile elasticities'!F51</f>
        <v>8.487098806543872E-4</v>
      </c>
      <c r="K22" s="16">
        <f>+'Revenue mile elasticities'!G51</f>
        <v>2.8945991132816357E-3</v>
      </c>
      <c r="L22" s="16">
        <f>+'Revenue mile elasticities'!H51</f>
        <v>2.3285902862719651E-3</v>
      </c>
      <c r="M22" s="16">
        <f>+'Revenue mile elasticities'!I51</f>
        <v>3.4278147394124635E-3</v>
      </c>
      <c r="N22" s="32">
        <f t="shared" si="7"/>
        <v>504768.33821060223</v>
      </c>
      <c r="O22" s="35">
        <f t="shared" si="8"/>
        <v>8.4870988065438728E-6</v>
      </c>
      <c r="P22" s="36">
        <f t="shared" si="9"/>
        <v>1721556.4676476836</v>
      </c>
      <c r="Q22" s="35">
        <f t="shared" si="10"/>
        <v>2.8945991132816358E-5</v>
      </c>
      <c r="R22" s="36">
        <f t="shared" si="11"/>
        <v>2462460.9418297401</v>
      </c>
      <c r="S22" s="33">
        <f t="shared" si="12"/>
        <v>2.3285902862719647E-5</v>
      </c>
      <c r="T22" s="36">
        <f t="shared" si="13"/>
        <v>3624879.8087812862</v>
      </c>
      <c r="U22" s="33">
        <f t="shared" si="14"/>
        <v>3.4278147394124635E-5</v>
      </c>
      <c r="V22" s="13"/>
      <c r="W22" t="s">
        <v>314</v>
      </c>
      <c r="X22">
        <v>149268</v>
      </c>
      <c r="Y22">
        <v>95667</v>
      </c>
      <c r="Z22" s="51">
        <v>32412.02</v>
      </c>
      <c r="AA22" s="32">
        <f t="shared" si="3"/>
        <v>3100760717.3400002</v>
      </c>
      <c r="AB22">
        <v>4449</v>
      </c>
      <c r="AC22" s="37">
        <f t="shared" si="4"/>
        <v>2.9805450598922742E-2</v>
      </c>
      <c r="AD22" s="50">
        <f>+'Revenue mile elasticities'!M51</f>
        <v>540855</v>
      </c>
      <c r="AE22" s="3">
        <f t="shared" si="15"/>
        <v>5408.55</v>
      </c>
      <c r="AF22" s="11">
        <f>+'Revenue mile elasticities'!P51</f>
        <v>3.9432786173293504E-4</v>
      </c>
      <c r="AG22" s="11">
        <f>+'Revenue mile elasticities'!Q51</f>
        <v>1.5574894670564454E-3</v>
      </c>
      <c r="AH22" s="11">
        <f>+'Revenue mile elasticities'!R51</f>
        <v>1.0819103787618435E-3</v>
      </c>
      <c r="AI22" s="11">
        <f>+'Revenue mile elasticities'!S51</f>
        <v>1.8443954215142117E-3</v>
      </c>
      <c r="AJ22" s="32">
        <f t="shared" si="16"/>
        <v>12227.163434141641</v>
      </c>
      <c r="AK22" s="33">
        <f t="shared" si="17"/>
        <v>3.9432786173293508E-6</v>
      </c>
      <c r="AL22" s="40">
        <f t="shared" si="18"/>
        <v>48294.021571194382</v>
      </c>
      <c r="AM22" s="33">
        <f t="shared" si="19"/>
        <v>1.5574894670564454E-5</v>
      </c>
      <c r="AN22" s="40">
        <f t="shared" si="20"/>
        <v>48134.192751114417</v>
      </c>
      <c r="AO22" s="41">
        <f t="shared" si="21"/>
        <v>1.0819103787618435E-5</v>
      </c>
      <c r="AP22" s="40">
        <f t="shared" si="22"/>
        <v>82057.152303167284</v>
      </c>
      <c r="AQ22" s="41">
        <f t="shared" si="23"/>
        <v>1.8443954215142116E-5</v>
      </c>
      <c r="AR22" s="53"/>
      <c r="AS22" s="53"/>
      <c r="AT22" s="3" t="s">
        <v>313</v>
      </c>
      <c r="AU22" s="11">
        <f>+'Rev mile pop elasticities'!F52</f>
        <v>8.646334887413596E-3</v>
      </c>
      <c r="AV22" s="11">
        <f>+'Rev mile pop elasticities'!G52</f>
        <v>1.8970381634301908E-2</v>
      </c>
      <c r="AW22" s="11">
        <f>+'Rev mile pop elasticities'!H52</f>
        <v>2.3722796080990372E-2</v>
      </c>
      <c r="AX22" s="11">
        <f>+'Rev mile pop elasticities'!I52</f>
        <v>2.2464925619568046E-2</v>
      </c>
      <c r="AY22" s="32">
        <f t="shared" si="24"/>
        <v>5142388.6916068438</v>
      </c>
      <c r="AZ22" s="33">
        <f t="shared" si="25"/>
        <v>8.6463348874135949E-5</v>
      </c>
      <c r="BA22" s="40">
        <f t="shared" si="26"/>
        <v>11282592.828286996</v>
      </c>
      <c r="BB22" s="33">
        <f t="shared" si="27"/>
        <v>1.8970381634301906E-4</v>
      </c>
      <c r="BC22" s="40">
        <f t="shared" si="28"/>
        <v>25086619.627686508</v>
      </c>
      <c r="BD22" s="41">
        <f t="shared" si="29"/>
        <v>2.3722796080990371E-4</v>
      </c>
      <c r="BE22" s="40">
        <f t="shared" si="30"/>
        <v>23756434.193437018</v>
      </c>
      <c r="BF22" s="41">
        <f t="shared" si="31"/>
        <v>2.246492561956805E-4</v>
      </c>
      <c r="BH22" t="s">
        <v>314</v>
      </c>
      <c r="BI22">
        <v>149268</v>
      </c>
      <c r="BJ22">
        <v>95667</v>
      </c>
      <c r="BK22" s="51">
        <v>32412.02</v>
      </c>
      <c r="BL22" s="32">
        <f t="shared" si="5"/>
        <v>3100760717.3400002</v>
      </c>
      <c r="BM22">
        <v>4449</v>
      </c>
      <c r="BN22" s="37">
        <f t="shared" si="6"/>
        <v>2.9805450598922742E-2</v>
      </c>
      <c r="BO22" s="50">
        <f t="shared" si="32"/>
        <v>540855</v>
      </c>
      <c r="BP22" s="3">
        <f t="shared" si="33"/>
        <v>5408.55</v>
      </c>
      <c r="BQ22" s="11">
        <f>+'Rev mile pop elasticities'!P52</f>
        <v>1.2706548832301632E-2</v>
      </c>
      <c r="BR22" s="11">
        <f>+'Rev mile pop elasticities'!Q52</f>
        <v>2.6064436831738889E-2</v>
      </c>
      <c r="BS22" s="11">
        <f>+'Rev mile pop elasticities'!R52</f>
        <v>3.4862733258300506E-2</v>
      </c>
      <c r="BT22" s="11">
        <f>+'Rev mile pop elasticities'!S52</f>
        <v>3.0865780458638161E-2</v>
      </c>
      <c r="BU22" s="32">
        <f t="shared" si="34"/>
        <v>393999.67472163349</v>
      </c>
      <c r="BV22" s="33">
        <f t="shared" si="35"/>
        <v>1.2706548832301632E-4</v>
      </c>
      <c r="BW22" s="40">
        <f t="shared" si="36"/>
        <v>808195.81847445806</v>
      </c>
      <c r="BX22" s="33">
        <f t="shared" si="37"/>
        <v>2.6064436831738894E-4</v>
      </c>
      <c r="BY22" s="40">
        <f t="shared" si="38"/>
        <v>1551043.0026617895</v>
      </c>
      <c r="BZ22" s="41">
        <f t="shared" si="39"/>
        <v>3.4862733258300504E-4</v>
      </c>
      <c r="CA22" s="40">
        <f t="shared" si="40"/>
        <v>1373218.5726048118</v>
      </c>
      <c r="CB22" s="41">
        <f t="shared" si="41"/>
        <v>3.0865780458638157E-4</v>
      </c>
      <c r="CD22" s="70">
        <f t="shared" si="42"/>
        <v>0.34752123483155195</v>
      </c>
      <c r="CE22" s="70">
        <f t="shared" si="43"/>
        <v>3.5404147463492448</v>
      </c>
      <c r="CF22" s="70">
        <f t="shared" si="44"/>
        <v>3.8879359811807968</v>
      </c>
      <c r="CG22" s="70">
        <f t="shared" si="45"/>
        <v>1.1852514989154315</v>
      </c>
      <c r="CH22" s="70">
        <f t="shared" si="46"/>
        <v>7.7678021677976021</v>
      </c>
      <c r="CI22" s="70">
        <f t="shared" si="47"/>
        <v>8.9530536667130338</v>
      </c>
      <c r="CJ22" s="69">
        <f t="shared" si="48"/>
        <v>1.6953469590877821</v>
      </c>
      <c r="CK22" s="69">
        <f t="shared" si="49"/>
        <v>17.271552850697294</v>
      </c>
      <c r="CL22" s="70">
        <f t="shared" si="50"/>
        <v>18.966899809785076</v>
      </c>
      <c r="CM22" s="69">
        <f t="shared" si="51"/>
        <v>2.4956452532845752</v>
      </c>
      <c r="CN22" s="69">
        <f t="shared" si="52"/>
        <v>16.355751185513498</v>
      </c>
      <c r="CO22" s="70">
        <f t="shared" si="53"/>
        <v>18.851396438798073</v>
      </c>
      <c r="CQ22" s="70">
        <f t="shared" si="54"/>
        <v>0.12780962541045127</v>
      </c>
      <c r="CR22" s="70">
        <f t="shared" si="55"/>
        <v>4.1184491488353716</v>
      </c>
      <c r="CS22" s="70">
        <f t="shared" si="56"/>
        <v>4.2462587742458231</v>
      </c>
      <c r="CT22" s="70">
        <f t="shared" si="57"/>
        <v>0.50481379756022848</v>
      </c>
      <c r="CU22" s="70">
        <f t="shared" si="58"/>
        <v>8.448010478790577</v>
      </c>
      <c r="CV22" s="70">
        <f t="shared" si="59"/>
        <v>8.952824276350805</v>
      </c>
      <c r="CW22" s="69">
        <f t="shared" si="60"/>
        <v>0.50314311885095608</v>
      </c>
      <c r="CX22" s="69">
        <f t="shared" si="61"/>
        <v>16.212936568114287</v>
      </c>
      <c r="CY22" s="70">
        <f t="shared" si="62"/>
        <v>16.716079686965244</v>
      </c>
      <c r="CZ22" s="69">
        <f t="shared" si="63"/>
        <v>0.85773727934572297</v>
      </c>
      <c r="DA22" s="69">
        <f t="shared" si="64"/>
        <v>14.354151092903631</v>
      </c>
      <c r="DB22" s="70">
        <f t="shared" si="65"/>
        <v>15.211888372249355</v>
      </c>
    </row>
    <row r="23" spans="1:106">
      <c r="A23" s="3" t="s">
        <v>315</v>
      </c>
      <c r="B23" s="3">
        <v>2203745</v>
      </c>
      <c r="C23" s="3">
        <v>1388060</v>
      </c>
      <c r="D23" s="34">
        <v>43022.45</v>
      </c>
      <c r="E23" s="32">
        <f t="shared" si="0"/>
        <v>59717741946.999992</v>
      </c>
      <c r="F23" s="32">
        <v>101230</v>
      </c>
      <c r="G23" s="37">
        <f t="shared" si="1"/>
        <v>4.5935441713991408E-2</v>
      </c>
      <c r="H23" s="50">
        <f>+'Revenue mile elasticities'!C52</f>
        <v>3838237</v>
      </c>
      <c r="I23" s="3">
        <f t="shared" si="2"/>
        <v>38382.370000000003</v>
      </c>
      <c r="J23" s="16">
        <f>+'Revenue mile elasticities'!F52</f>
        <v>4.1362281627507274E-3</v>
      </c>
      <c r="K23" s="16">
        <f>+'Revenue mile elasticities'!G52</f>
        <v>1.4106967109888444E-2</v>
      </c>
      <c r="L23" s="16">
        <f>+'Revenue mile elasticities'!H52</f>
        <v>1.1348496042204163E-2</v>
      </c>
      <c r="M23" s="16">
        <f>+'Revenue mile elasticities'!I52</f>
        <v>1.6705618945920524E-2</v>
      </c>
      <c r="N23" s="32">
        <f t="shared" si="7"/>
        <v>2470062.0605706181</v>
      </c>
      <c r="O23" s="35">
        <f t="shared" si="8"/>
        <v>4.1362281627507273E-5</v>
      </c>
      <c r="P23" s="36">
        <f t="shared" si="9"/>
        <v>8424362.2152313441</v>
      </c>
      <c r="Q23" s="35">
        <f t="shared" si="10"/>
        <v>1.4106967109888443E-4</v>
      </c>
      <c r="R23" s="36">
        <f t="shared" si="11"/>
        <v>11488082.543523272</v>
      </c>
      <c r="S23" s="33">
        <f t="shared" si="12"/>
        <v>1.1348496042204161E-4</v>
      </c>
      <c r="T23" s="36">
        <f t="shared" si="13"/>
        <v>16911098.058955345</v>
      </c>
      <c r="U23" s="33">
        <f t="shared" si="14"/>
        <v>1.6705618945920522E-4</v>
      </c>
      <c r="V23" s="13"/>
      <c r="W23" t="s">
        <v>316</v>
      </c>
      <c r="X23">
        <v>779340</v>
      </c>
      <c r="Y23">
        <v>483553</v>
      </c>
      <c r="Z23" s="51">
        <v>38533.21</v>
      </c>
      <c r="AA23" s="32">
        <f t="shared" si="3"/>
        <v>18632849295.130001</v>
      </c>
      <c r="AB23">
        <v>34223</v>
      </c>
      <c r="AC23" s="37">
        <f t="shared" si="4"/>
        <v>4.3912798008571355E-2</v>
      </c>
      <c r="AD23" s="50">
        <f>+'Revenue mile elasticities'!M52</f>
        <v>2333836</v>
      </c>
      <c r="AE23" s="3">
        <f t="shared" si="15"/>
        <v>23338.36</v>
      </c>
      <c r="AF23" s="11">
        <f>+'Revenue mile elasticities'!P52</f>
        <v>1.5017776459410213E-3</v>
      </c>
      <c r="AG23" s="11">
        <f>+'Revenue mile elasticities'!Q52</f>
        <v>5.9316195795418893E-3</v>
      </c>
      <c r="AH23" s="11">
        <f>+'Revenue mile elasticities'!R52</f>
        <v>4.120400761426629E-3</v>
      </c>
      <c r="AI23" s="11">
        <f>+'Revenue mile elasticities'!S52</f>
        <v>7.0242863441943434E-3</v>
      </c>
      <c r="AJ23" s="32">
        <f t="shared" si="16"/>
        <v>279823.96551614156</v>
      </c>
      <c r="AK23" s="33">
        <f t="shared" si="17"/>
        <v>1.5017776459410216E-5</v>
      </c>
      <c r="AL23" s="40">
        <f t="shared" si="18"/>
        <v>1105229.7370164641</v>
      </c>
      <c r="AM23" s="33">
        <f t="shared" si="19"/>
        <v>5.9316195795418899E-5</v>
      </c>
      <c r="AN23" s="40">
        <f t="shared" si="20"/>
        <v>1410124.7525830353</v>
      </c>
      <c r="AO23" s="41">
        <f t="shared" si="21"/>
        <v>4.1204007614266287E-5</v>
      </c>
      <c r="AP23" s="40">
        <f t="shared" si="22"/>
        <v>2403921.5155736301</v>
      </c>
      <c r="AQ23" s="41">
        <f t="shared" si="23"/>
        <v>7.0242863441943428E-5</v>
      </c>
      <c r="AR23" s="53"/>
      <c r="AS23" s="53"/>
      <c r="AT23" s="3" t="s">
        <v>315</v>
      </c>
      <c r="AU23" s="11">
        <f>+'Rev mile pop elasticities'!F53</f>
        <v>2.9139839500305163E-2</v>
      </c>
      <c r="AV23" s="11">
        <f>+'Rev mile pop elasticities'!G53</f>
        <v>6.3933896070552637E-2</v>
      </c>
      <c r="AW23" s="11">
        <f>+'Rev mile pop elasticities'!H53</f>
        <v>7.9950462166902256E-2</v>
      </c>
      <c r="AX23" s="11">
        <f>+'Rev mile pop elasticities'!I53</f>
        <v>7.571119271512812E-2</v>
      </c>
      <c r="AY23" s="32">
        <f t="shared" si="24"/>
        <v>17401654.156562209</v>
      </c>
      <c r="AZ23" s="33">
        <f t="shared" si="25"/>
        <v>2.9139839500305165E-4</v>
      </c>
      <c r="BA23" s="40">
        <f t="shared" si="26"/>
        <v>38179879.072075792</v>
      </c>
      <c r="BB23" s="33">
        <f t="shared" si="27"/>
        <v>6.3933896070552635E-4</v>
      </c>
      <c r="BC23" s="40">
        <f t="shared" si="28"/>
        <v>80933852.851555154</v>
      </c>
      <c r="BD23" s="41">
        <f t="shared" si="29"/>
        <v>7.995046216690225E-4</v>
      </c>
      <c r="BE23" s="40">
        <f t="shared" si="30"/>
        <v>76642440.385524184</v>
      </c>
      <c r="BF23" s="41">
        <f t="shared" si="31"/>
        <v>7.5711192715128108E-4</v>
      </c>
      <c r="BH23" t="s">
        <v>316</v>
      </c>
      <c r="BI23">
        <v>779340</v>
      </c>
      <c r="BJ23">
        <v>483553</v>
      </c>
      <c r="BK23" s="51">
        <v>38533.21</v>
      </c>
      <c r="BL23" s="32">
        <f t="shared" si="5"/>
        <v>18632849295.130001</v>
      </c>
      <c r="BM23">
        <v>34223</v>
      </c>
      <c r="BN23" s="37">
        <f t="shared" si="6"/>
        <v>4.3912798008571355E-2</v>
      </c>
      <c r="BO23" s="50">
        <f t="shared" si="32"/>
        <v>2333836</v>
      </c>
      <c r="BP23" s="3">
        <f t="shared" si="33"/>
        <v>23338.36</v>
      </c>
      <c r="BQ23" s="11">
        <f>+'Rev mile pop elasticities'!P53</f>
        <v>1.0501633127415505E-2</v>
      </c>
      <c r="BR23" s="11">
        <f>+'Rev mile pop elasticities'!Q53</f>
        <v>2.1541581187158369E-2</v>
      </c>
      <c r="BS23" s="11">
        <f>+'Rev mile pop elasticities'!R53</f>
        <v>2.8813145042728461E-2</v>
      </c>
      <c r="BT23" s="11">
        <f>+'Rev mile pop elasticities'!S53</f>
        <v>2.5509767195319121E-2</v>
      </c>
      <c r="BU23" s="32">
        <f t="shared" si="34"/>
        <v>1956753.4741587788</v>
      </c>
      <c r="BV23" s="33">
        <f t="shared" si="35"/>
        <v>1.0501633127415507E-4</v>
      </c>
      <c r="BW23" s="40">
        <f t="shared" si="36"/>
        <v>4013810.3583912957</v>
      </c>
      <c r="BX23" s="33">
        <f t="shared" si="37"/>
        <v>2.1541581187158371E-4</v>
      </c>
      <c r="BY23" s="40">
        <f t="shared" si="38"/>
        <v>9860722.6279729623</v>
      </c>
      <c r="BZ23" s="41">
        <f t="shared" si="39"/>
        <v>2.8813145042728462E-4</v>
      </c>
      <c r="CA23" s="40">
        <f t="shared" si="40"/>
        <v>8730207.6272540633</v>
      </c>
      <c r="CB23" s="41">
        <f t="shared" si="41"/>
        <v>2.5509767195319125E-4</v>
      </c>
      <c r="CD23" s="70">
        <f t="shared" si="42"/>
        <v>1.77950669320535</v>
      </c>
      <c r="CE23" s="70">
        <f t="shared" si="43"/>
        <v>12.536672879099036</v>
      </c>
      <c r="CF23" s="70">
        <f t="shared" si="44"/>
        <v>14.316179572304387</v>
      </c>
      <c r="CG23" s="70">
        <f t="shared" si="45"/>
        <v>6.0691628713682002</v>
      </c>
      <c r="CH23" s="70">
        <f t="shared" si="46"/>
        <v>27.505928470005468</v>
      </c>
      <c r="CI23" s="70">
        <f t="shared" si="47"/>
        <v>33.575091341373671</v>
      </c>
      <c r="CJ23" s="69">
        <f t="shared" si="48"/>
        <v>8.2763587622460655</v>
      </c>
      <c r="CK23" s="69">
        <f t="shared" si="49"/>
        <v>58.307171773233975</v>
      </c>
      <c r="CL23" s="70">
        <f t="shared" si="50"/>
        <v>66.583530535480037</v>
      </c>
      <c r="CM23" s="69">
        <f t="shared" si="51"/>
        <v>12.183261572954589</v>
      </c>
      <c r="CN23" s="69">
        <f t="shared" si="52"/>
        <v>55.215509693762648</v>
      </c>
      <c r="CO23" s="70">
        <f t="shared" si="53"/>
        <v>67.398771266717233</v>
      </c>
      <c r="CQ23" s="70">
        <f t="shared" si="54"/>
        <v>0.57868313404351035</v>
      </c>
      <c r="CR23" s="70">
        <f t="shared" si="55"/>
        <v>4.0466163464165845</v>
      </c>
      <c r="CS23" s="70">
        <f t="shared" si="56"/>
        <v>4.6252994804600949</v>
      </c>
      <c r="CT23" s="70">
        <f t="shared" si="57"/>
        <v>2.2856434289859937</v>
      </c>
      <c r="CU23" s="70">
        <f t="shared" si="58"/>
        <v>8.3006627161682296</v>
      </c>
      <c r="CV23" s="70">
        <f t="shared" si="59"/>
        <v>10.586306145154223</v>
      </c>
      <c r="CW23" s="69">
        <f t="shared" si="60"/>
        <v>2.9161741372363221</v>
      </c>
      <c r="CX23" s="69">
        <f t="shared" si="61"/>
        <v>20.392227176696167</v>
      </c>
      <c r="CY23" s="70">
        <f t="shared" si="62"/>
        <v>23.308401313932489</v>
      </c>
      <c r="CZ23" s="69">
        <f t="shared" si="63"/>
        <v>4.971371319325141</v>
      </c>
      <c r="DA23" s="69">
        <f t="shared" si="64"/>
        <v>18.054293174179591</v>
      </c>
      <c r="DB23" s="70">
        <f t="shared" si="65"/>
        <v>23.025664493504731</v>
      </c>
    </row>
    <row r="24" spans="1:106">
      <c r="A24" s="3" t="s">
        <v>319</v>
      </c>
      <c r="B24" s="3">
        <v>2101138</v>
      </c>
      <c r="C24" s="3">
        <v>1227055</v>
      </c>
      <c r="D24" s="34">
        <v>42165.06</v>
      </c>
      <c r="E24" s="32">
        <f t="shared" si="0"/>
        <v>51738847698.299995</v>
      </c>
      <c r="F24" s="32">
        <v>72228</v>
      </c>
      <c r="G24" s="37">
        <f t="shared" si="1"/>
        <v>3.4375657381856876E-2</v>
      </c>
      <c r="H24" s="50">
        <f>+'Revenue mile elasticities'!C53</f>
        <v>1610033</v>
      </c>
      <c r="I24" s="3">
        <f t="shared" si="2"/>
        <v>16100.33</v>
      </c>
      <c r="J24" s="16">
        <f>+'Revenue mile elasticities'!F53</f>
        <v>2.120159602636226E-3</v>
      </c>
      <c r="K24" s="16">
        <f>+'Revenue mile elasticities'!G53</f>
        <v>7.2309893471188278E-3</v>
      </c>
      <c r="L24" s="16">
        <f>+'Revenue mile elasticities'!H53</f>
        <v>5.8170443971246643E-3</v>
      </c>
      <c r="M24" s="16">
        <f>+'Revenue mile elasticities'!I53</f>
        <v>8.5630137005354538E-3</v>
      </c>
      <c r="N24" s="32">
        <f t="shared" si="7"/>
        <v>1096946.1477688393</v>
      </c>
      <c r="O24" s="35">
        <f t="shared" si="8"/>
        <v>2.1201596026362257E-5</v>
      </c>
      <c r="P24" s="36">
        <f t="shared" si="9"/>
        <v>3741230.5653861077</v>
      </c>
      <c r="Q24" s="35">
        <f t="shared" si="10"/>
        <v>7.2309893471188285E-5</v>
      </c>
      <c r="R24" s="36">
        <f t="shared" si="11"/>
        <v>4201534.8271552017</v>
      </c>
      <c r="S24" s="33">
        <f t="shared" si="12"/>
        <v>5.8170443971246635E-5</v>
      </c>
      <c r="T24" s="36">
        <f t="shared" si="13"/>
        <v>6184893.5356227467</v>
      </c>
      <c r="U24" s="33">
        <f t="shared" si="14"/>
        <v>8.5630137005354522E-5</v>
      </c>
      <c r="V24" s="13"/>
      <c r="W24" t="s">
        <v>318</v>
      </c>
      <c r="X24">
        <v>136404</v>
      </c>
      <c r="Y24">
        <v>68614</v>
      </c>
      <c r="Z24" s="51">
        <v>39451.65</v>
      </c>
      <c r="AA24" s="32">
        <f t="shared" si="3"/>
        <v>2706935513.0999999</v>
      </c>
      <c r="AB24">
        <v>4179</v>
      </c>
      <c r="AC24" s="37">
        <f t="shared" si="4"/>
        <v>3.0636931468285389E-2</v>
      </c>
      <c r="AD24" s="50">
        <f>+'Revenue mile elasticities'!M53</f>
        <v>377440</v>
      </c>
      <c r="AE24" s="3">
        <f t="shared" si="15"/>
        <v>3774.4</v>
      </c>
      <c r="AF24" s="11">
        <f>+'Revenue mile elasticities'!P53</f>
        <v>4.1513740562593626E-4</v>
      </c>
      <c r="AG24" s="11">
        <f>+'Revenue mile elasticities'!Q53</f>
        <v>1.6396815933879822E-3</v>
      </c>
      <c r="AH24" s="11">
        <f>+'Revenue mile elasticities'!R53</f>
        <v>1.1390051562300057E-3</v>
      </c>
      <c r="AI24" s="11">
        <f>+'Revenue mile elasticities'!S53</f>
        <v>1.9417282026962946E-3</v>
      </c>
      <c r="AJ24" s="32">
        <f t="shared" si="16"/>
        <v>11237.501861050467</v>
      </c>
      <c r="AK24" s="33">
        <f t="shared" si="17"/>
        <v>4.1513740562593629E-6</v>
      </c>
      <c r="AL24" s="40">
        <f t="shared" si="18"/>
        <v>44385.123353183233</v>
      </c>
      <c r="AM24" s="33">
        <f t="shared" si="19"/>
        <v>1.6396815933879825E-5</v>
      </c>
      <c r="AN24" s="40">
        <f t="shared" si="20"/>
        <v>47599.025478851945</v>
      </c>
      <c r="AO24" s="41">
        <f t="shared" si="21"/>
        <v>1.1390051562300058E-5</v>
      </c>
      <c r="AP24" s="40">
        <f t="shared" si="22"/>
        <v>81144.821590678155</v>
      </c>
      <c r="AQ24" s="41">
        <f t="shared" si="23"/>
        <v>1.9417282026962948E-5</v>
      </c>
      <c r="AR24" s="53"/>
      <c r="AS24" s="53"/>
      <c r="AT24" s="3" t="s">
        <v>319</v>
      </c>
      <c r="AU24" s="11">
        <f>+'Rev mile pop elasticities'!F54</f>
        <v>1.2820262218093242E-2</v>
      </c>
      <c r="AV24" s="11">
        <f>+'Rev mile pop elasticities'!G54</f>
        <v>2.8128134070203863E-2</v>
      </c>
      <c r="AW24" s="11">
        <f>+'Rev mile pop elasticities'!H54</f>
        <v>3.5174726663360523E-2</v>
      </c>
      <c r="AX24" s="11">
        <f>+'Rev mile pop elasticities'!I54</f>
        <v>3.3309632451557207E-2</v>
      </c>
      <c r="AY24" s="32">
        <f t="shared" si="24"/>
        <v>6633055.9435419599</v>
      </c>
      <c r="AZ24" s="33">
        <f t="shared" si="25"/>
        <v>1.2820262218093243E-4</v>
      </c>
      <c r="BA24" s="40">
        <f t="shared" si="26"/>
        <v>14553172.446956409</v>
      </c>
      <c r="BB24" s="33">
        <f t="shared" si="27"/>
        <v>2.8128134070203866E-4</v>
      </c>
      <c r="BC24" s="40">
        <f t="shared" si="28"/>
        <v>25406001.574412037</v>
      </c>
      <c r="BD24" s="41">
        <f t="shared" si="29"/>
        <v>3.5174726663360519E-4</v>
      </c>
      <c r="BE24" s="40">
        <f t="shared" si="30"/>
        <v>24058881.327110738</v>
      </c>
      <c r="BF24" s="41">
        <f t="shared" si="31"/>
        <v>3.3309632451557209E-4</v>
      </c>
      <c r="BH24" t="s">
        <v>318</v>
      </c>
      <c r="BI24">
        <v>136404</v>
      </c>
      <c r="BJ24">
        <v>68614</v>
      </c>
      <c r="BK24" s="51">
        <v>39451.65</v>
      </c>
      <c r="BL24" s="32">
        <f t="shared" si="5"/>
        <v>2706935513.0999999</v>
      </c>
      <c r="BM24">
        <v>4179</v>
      </c>
      <c r="BN24" s="37">
        <f t="shared" si="6"/>
        <v>3.0636931468285389E-2</v>
      </c>
      <c r="BO24" s="50">
        <f t="shared" si="32"/>
        <v>377440</v>
      </c>
      <c r="BP24" s="3">
        <f t="shared" si="33"/>
        <v>3774.4</v>
      </c>
      <c r="BQ24" s="11">
        <f>+'Rev mile pop elasticities'!P54</f>
        <v>9.7036314242984079E-3</v>
      </c>
      <c r="BR24" s="11">
        <f>+'Rev mile pop elasticities'!Q54</f>
        <v>1.990467212105217E-2</v>
      </c>
      <c r="BS24" s="11">
        <f>+'Rev mile pop elasticities'!R54</f>
        <v>2.6623681886161696E-2</v>
      </c>
      <c r="BT24" s="11">
        <f>+'Rev mile pop elasticities'!S54</f>
        <v>2.3571322248614412E-2</v>
      </c>
      <c r="BU24" s="32">
        <f t="shared" si="34"/>
        <v>262671.04508466495</v>
      </c>
      <c r="BV24" s="33">
        <f t="shared" si="35"/>
        <v>9.7036314242984089E-5</v>
      </c>
      <c r="BW24" s="40">
        <f t="shared" si="36"/>
        <v>538806.63841087627</v>
      </c>
      <c r="BX24" s="33">
        <f t="shared" si="37"/>
        <v>1.9904672121052173E-4</v>
      </c>
      <c r="BY24" s="40">
        <f t="shared" si="38"/>
        <v>1112603.6660226972</v>
      </c>
      <c r="BZ24" s="41">
        <f t="shared" si="39"/>
        <v>2.6623681886161696E-4</v>
      </c>
      <c r="CA24" s="40">
        <f t="shared" si="40"/>
        <v>985045.55676959641</v>
      </c>
      <c r="CB24" s="41">
        <f t="shared" si="41"/>
        <v>2.3571322248614417E-4</v>
      </c>
      <c r="CD24" s="70">
        <f t="shared" si="42"/>
        <v>0.89396656854732615</v>
      </c>
      <c r="CE24" s="70">
        <f t="shared" si="43"/>
        <v>5.4056712564163467</v>
      </c>
      <c r="CF24" s="70">
        <f t="shared" si="44"/>
        <v>6.2996378249636731</v>
      </c>
      <c r="CG24" s="70">
        <f t="shared" si="45"/>
        <v>3.048950996806262</v>
      </c>
      <c r="CH24" s="70">
        <f t="shared" si="46"/>
        <v>11.860244607581901</v>
      </c>
      <c r="CI24" s="70">
        <f t="shared" si="47"/>
        <v>14.909195604388163</v>
      </c>
      <c r="CJ24" s="69">
        <f t="shared" si="48"/>
        <v>3.4240802793315717</v>
      </c>
      <c r="CK24" s="69">
        <f t="shared" si="49"/>
        <v>20.704859663513076</v>
      </c>
      <c r="CL24" s="70">
        <f t="shared" si="50"/>
        <v>24.128939942844649</v>
      </c>
      <c r="CM24" s="69">
        <f t="shared" si="51"/>
        <v>5.0404370917544421</v>
      </c>
      <c r="CN24" s="69">
        <f t="shared" si="52"/>
        <v>19.607011362254127</v>
      </c>
      <c r="CO24" s="70">
        <f t="shared" si="53"/>
        <v>24.647448454008568</v>
      </c>
      <c r="CQ24" s="70">
        <f t="shared" si="54"/>
        <v>0.16377855628662469</v>
      </c>
      <c r="CR24" s="70">
        <f t="shared" si="55"/>
        <v>3.8282427068042231</v>
      </c>
      <c r="CS24" s="70">
        <f t="shared" si="56"/>
        <v>3.9920212630908476</v>
      </c>
      <c r="CT24" s="70">
        <f t="shared" si="57"/>
        <v>0.64688144333784992</v>
      </c>
      <c r="CU24" s="70">
        <f t="shared" si="58"/>
        <v>7.8527215788450793</v>
      </c>
      <c r="CV24" s="70">
        <f t="shared" si="59"/>
        <v>8.4996030221829297</v>
      </c>
      <c r="CW24" s="69">
        <f t="shared" si="60"/>
        <v>0.69372176930148288</v>
      </c>
      <c r="CX24" s="69">
        <f t="shared" si="61"/>
        <v>16.215403066760388</v>
      </c>
      <c r="CY24" s="70">
        <f t="shared" si="62"/>
        <v>16.909124836061871</v>
      </c>
      <c r="CZ24" s="69">
        <f t="shared" si="63"/>
        <v>1.182627766792173</v>
      </c>
      <c r="DA24" s="69">
        <f t="shared" si="64"/>
        <v>14.356334811694355</v>
      </c>
      <c r="DB24" s="70">
        <f t="shared" si="65"/>
        <v>15.538962578486528</v>
      </c>
    </row>
    <row r="25" spans="1:106">
      <c r="A25" s="3" t="s">
        <v>321</v>
      </c>
      <c r="B25" s="3">
        <v>2818688</v>
      </c>
      <c r="C25" s="3">
        <v>1731976</v>
      </c>
      <c r="D25" s="34">
        <v>42578.1</v>
      </c>
      <c r="E25" s="32">
        <f t="shared" si="0"/>
        <v>73744247325.599991</v>
      </c>
      <c r="F25" s="32">
        <v>116061</v>
      </c>
      <c r="G25" s="37">
        <f t="shared" si="1"/>
        <v>4.1175539825620999E-2</v>
      </c>
      <c r="H25" s="50">
        <f>+'Revenue mile elasticities'!C54</f>
        <v>3382495</v>
      </c>
      <c r="I25" s="3">
        <f t="shared" si="2"/>
        <v>33824.949999999997</v>
      </c>
      <c r="J25" s="16">
        <f>+'Revenue mile elasticities'!F54</f>
        <v>3.2275480076643642E-3</v>
      </c>
      <c r="K25" s="16">
        <f>+'Revenue mile elasticities'!G54</f>
        <v>1.100783414216386E-2</v>
      </c>
      <c r="L25" s="16">
        <f>+'Revenue mile elasticities'!H54</f>
        <v>8.8553663748191947E-3</v>
      </c>
      <c r="M25" s="16">
        <f>+'Revenue mile elasticities'!I54</f>
        <v>1.3035593063088782E-2</v>
      </c>
      <c r="N25" s="32">
        <f t="shared" si="7"/>
        <v>2380130.9853244834</v>
      </c>
      <c r="O25" s="35">
        <f t="shared" si="8"/>
        <v>3.2275480076643639E-5</v>
      </c>
      <c r="P25" s="36">
        <f t="shared" si="9"/>
        <v>8117644.4349891553</v>
      </c>
      <c r="Q25" s="35">
        <f t="shared" si="10"/>
        <v>1.100783414216386E-4</v>
      </c>
      <c r="R25" s="36">
        <f t="shared" si="11"/>
        <v>10277626.768278906</v>
      </c>
      <c r="S25" s="33">
        <f t="shared" si="12"/>
        <v>8.8553663748191952E-5</v>
      </c>
      <c r="T25" s="36">
        <f t="shared" si="13"/>
        <v>15129239.664951472</v>
      </c>
      <c r="U25" s="33">
        <f t="shared" si="14"/>
        <v>1.3035593063088783E-4</v>
      </c>
      <c r="V25" s="13"/>
      <c r="W25" t="s">
        <v>320</v>
      </c>
      <c r="X25">
        <v>107597</v>
      </c>
      <c r="Y25">
        <v>50175</v>
      </c>
      <c r="Z25" s="51">
        <v>36092.14</v>
      </c>
      <c r="AA25" s="32">
        <f t="shared" si="3"/>
        <v>1810923124.5</v>
      </c>
      <c r="AB25">
        <v>2449</v>
      </c>
      <c r="AC25" s="37">
        <f t="shared" si="4"/>
        <v>2.2760857644729873E-2</v>
      </c>
      <c r="AD25" s="50">
        <f>+'Revenue mile elasticities'!M54</f>
        <v>1023787</v>
      </c>
      <c r="AE25" s="3">
        <f t="shared" si="15"/>
        <v>10237.870000000001</v>
      </c>
      <c r="AF25" s="11">
        <f>+'Revenue mile elasticities'!P54</f>
        <v>9.250664966460176E-4</v>
      </c>
      <c r="AG25" s="11">
        <f>+'Revenue mile elasticities'!Q54</f>
        <v>3.6537649622860576E-3</v>
      </c>
      <c r="AH25" s="11">
        <f>+'Revenue mile elasticities'!R54</f>
        <v>2.5380885828554995E-3</v>
      </c>
      <c r="AI25" s="11">
        <f>+'Revenue mile elasticities'!S54</f>
        <v>4.3268269290229634E-3</v>
      </c>
      <c r="AJ25" s="32">
        <f t="shared" si="16"/>
        <v>16752.243104764751</v>
      </c>
      <c r="AK25" s="33">
        <f t="shared" si="17"/>
        <v>9.2506649664601773E-6</v>
      </c>
      <c r="AL25" s="40">
        <f t="shared" si="18"/>
        <v>66166.874616916917</v>
      </c>
      <c r="AM25" s="33">
        <f t="shared" si="19"/>
        <v>3.6537649622860577E-5</v>
      </c>
      <c r="AN25" s="40">
        <f t="shared" si="20"/>
        <v>62157.789394131192</v>
      </c>
      <c r="AO25" s="41">
        <f t="shared" si="21"/>
        <v>2.5380885828554997E-5</v>
      </c>
      <c r="AP25" s="40">
        <f t="shared" si="22"/>
        <v>105963.99149177238</v>
      </c>
      <c r="AQ25" s="41">
        <f t="shared" si="23"/>
        <v>4.3268269290229641E-5</v>
      </c>
      <c r="AR25" s="53"/>
      <c r="AS25" s="53"/>
      <c r="AT25" s="3" t="s">
        <v>321</v>
      </c>
      <c r="AU25" s="11">
        <f>+'Rev mile pop elasticities'!F55</f>
        <v>2.0077371935453652E-2</v>
      </c>
      <c r="AV25" s="11">
        <f>+'Rev mile pop elasticities'!G55</f>
        <v>4.4050503801768767E-2</v>
      </c>
      <c r="AW25" s="11">
        <f>+'Rev mile pop elasticities'!H55</f>
        <v>5.5085930220017246E-2</v>
      </c>
      <c r="AX25" s="11">
        <f>+'Rev mile pop elasticities'!I55</f>
        <v>5.2165070291568277E-2</v>
      </c>
      <c r="AY25" s="32">
        <f t="shared" si="24"/>
        <v>14805906.816561542</v>
      </c>
      <c r="AZ25" s="33">
        <f t="shared" si="25"/>
        <v>2.0077371935453651E-4</v>
      </c>
      <c r="BA25" s="40">
        <f t="shared" si="26"/>
        <v>32484712.471749187</v>
      </c>
      <c r="BB25" s="33">
        <f t="shared" si="27"/>
        <v>4.4050503801768768E-4</v>
      </c>
      <c r="BC25" s="40">
        <f t="shared" si="28"/>
        <v>63933281.472654216</v>
      </c>
      <c r="BD25" s="41">
        <f t="shared" si="29"/>
        <v>5.5085930220017244E-4</v>
      </c>
      <c r="BE25" s="40">
        <f t="shared" si="30"/>
        <v>60543302.231097057</v>
      </c>
      <c r="BF25" s="41">
        <f t="shared" si="31"/>
        <v>5.2165070291568282E-4</v>
      </c>
      <c r="BH25" t="s">
        <v>320</v>
      </c>
      <c r="BI25">
        <v>107597</v>
      </c>
      <c r="BJ25">
        <v>50175</v>
      </c>
      <c r="BK25" s="51">
        <v>36092.14</v>
      </c>
      <c r="BL25" s="32">
        <f t="shared" si="5"/>
        <v>1810923124.5</v>
      </c>
      <c r="BM25">
        <v>2449</v>
      </c>
      <c r="BN25" s="37">
        <f t="shared" si="6"/>
        <v>2.2760857644729873E-2</v>
      </c>
      <c r="BO25" s="50">
        <f t="shared" si="32"/>
        <v>1023787</v>
      </c>
      <c r="BP25" s="3">
        <f t="shared" si="33"/>
        <v>10237.870000000001</v>
      </c>
      <c r="BQ25" s="11">
        <f>+'Rev mile pop elasticities'!P55</f>
        <v>3.336744265490673E-2</v>
      </c>
      <c r="BR25" s="11">
        <f>+'Rev mile pop elasticities'!Q55</f>
        <v>6.8445304291011824E-2</v>
      </c>
      <c r="BS25" s="11">
        <f>+'Rev mile pop elasticities'!R55</f>
        <v>9.1549662157866835E-2</v>
      </c>
      <c r="BT25" s="11">
        <f>+'Rev mile pop elasticities'!S55</f>
        <v>8.1053649818303486E-2</v>
      </c>
      <c r="BU25" s="32">
        <f t="shared" si="34"/>
        <v>604258.73509198276</v>
      </c>
      <c r="BV25" s="33">
        <f t="shared" si="35"/>
        <v>3.3367442654906734E-4</v>
      </c>
      <c r="BW25" s="40">
        <f t="shared" si="36"/>
        <v>1239491.843040324</v>
      </c>
      <c r="BX25" s="33">
        <f t="shared" si="37"/>
        <v>6.8445304291011829E-4</v>
      </c>
      <c r="BY25" s="40">
        <f t="shared" si="38"/>
        <v>2242051.2262461586</v>
      </c>
      <c r="BZ25" s="41">
        <f t="shared" si="39"/>
        <v>9.1549662157866833E-4</v>
      </c>
      <c r="CA25" s="40">
        <f t="shared" si="40"/>
        <v>1985003.8840502526</v>
      </c>
      <c r="CB25" s="41">
        <f t="shared" si="41"/>
        <v>8.1053649818303491E-4</v>
      </c>
      <c r="CD25" s="70">
        <f t="shared" si="42"/>
        <v>1.3742286182513404</v>
      </c>
      <c r="CE25" s="70">
        <f t="shared" si="43"/>
        <v>8.54856350004939</v>
      </c>
      <c r="CF25" s="70">
        <f t="shared" si="44"/>
        <v>9.9227921183007304</v>
      </c>
      <c r="CG25" s="70">
        <f t="shared" si="45"/>
        <v>4.6869266288846703</v>
      </c>
      <c r="CH25" s="70">
        <f t="shared" si="46"/>
        <v>18.755867559220906</v>
      </c>
      <c r="CI25" s="70">
        <f t="shared" si="47"/>
        <v>23.442794188105577</v>
      </c>
      <c r="CJ25" s="69">
        <f t="shared" si="48"/>
        <v>5.9340468737897671</v>
      </c>
      <c r="CK25" s="69">
        <f t="shared" si="49"/>
        <v>36.913491568390221</v>
      </c>
      <c r="CL25" s="70">
        <f t="shared" si="50"/>
        <v>42.847538442179989</v>
      </c>
      <c r="CM25" s="69">
        <f t="shared" si="51"/>
        <v>8.7352478700348453</v>
      </c>
      <c r="CN25" s="69">
        <f t="shared" si="52"/>
        <v>34.956201605043638</v>
      </c>
      <c r="CO25" s="70">
        <f t="shared" si="53"/>
        <v>43.691449475078485</v>
      </c>
      <c r="CQ25" s="70">
        <f t="shared" si="54"/>
        <v>0.33387629506257599</v>
      </c>
      <c r="CR25" s="70">
        <f t="shared" si="55"/>
        <v>12.043024117428654</v>
      </c>
      <c r="CS25" s="70">
        <f t="shared" si="56"/>
        <v>12.37690041249123</v>
      </c>
      <c r="CT25" s="70">
        <f t="shared" si="57"/>
        <v>1.318721965459231</v>
      </c>
      <c r="CU25" s="70">
        <f t="shared" si="58"/>
        <v>24.703375048138</v>
      </c>
      <c r="CV25" s="70">
        <f t="shared" si="59"/>
        <v>26.022097013597232</v>
      </c>
      <c r="CW25" s="69">
        <f t="shared" si="60"/>
        <v>1.2388199181690323</v>
      </c>
      <c r="CX25" s="69">
        <f t="shared" si="61"/>
        <v>44.684628325782931</v>
      </c>
      <c r="CY25" s="70">
        <f t="shared" si="62"/>
        <v>45.923448243951967</v>
      </c>
      <c r="CZ25" s="69">
        <f t="shared" si="63"/>
        <v>2.1118882210617316</v>
      </c>
      <c r="DA25" s="69">
        <f t="shared" si="64"/>
        <v>39.561612038869008</v>
      </c>
      <c r="DB25" s="70">
        <f t="shared" si="65"/>
        <v>41.673500259930741</v>
      </c>
    </row>
    <row r="26" spans="1:106">
      <c r="A26" s="3" t="s">
        <v>323</v>
      </c>
      <c r="B26" s="3">
        <v>1111600</v>
      </c>
      <c r="C26" s="3">
        <v>834207</v>
      </c>
      <c r="D26" s="34">
        <v>39217.54</v>
      </c>
      <c r="E26" s="32">
        <f t="shared" si="0"/>
        <v>32715546390.780003</v>
      </c>
      <c r="F26" s="32">
        <v>55270</v>
      </c>
      <c r="G26" s="37">
        <f t="shared" si="1"/>
        <v>4.9721122706009355E-2</v>
      </c>
      <c r="H26" s="50">
        <f>+'Revenue mile elasticities'!C55</f>
        <v>1626254</v>
      </c>
      <c r="I26" s="3">
        <f t="shared" si="2"/>
        <v>16262.54</v>
      </c>
      <c r="J26" s="16">
        <f>+'Revenue mile elasticities'!F55</f>
        <v>1.3420780709325463E-3</v>
      </c>
      <c r="K26" s="16">
        <f>+'Revenue mile elasticities'!G55</f>
        <v>4.5772743815363235E-3</v>
      </c>
      <c r="L26" s="16">
        <f>+'Revenue mile elasticities'!H55</f>
        <v>3.6822358624864085E-3</v>
      </c>
      <c r="M26" s="16">
        <f>+'Revenue mile elasticities'!I55</f>
        <v>5.4204565044509096E-3</v>
      </c>
      <c r="N26" s="32">
        <f t="shared" si="7"/>
        <v>439068.17389642255</v>
      </c>
      <c r="O26" s="35">
        <f t="shared" si="8"/>
        <v>1.3420780709325464E-5</v>
      </c>
      <c r="P26" s="36">
        <f t="shared" si="9"/>
        <v>1497480.3237248042</v>
      </c>
      <c r="Q26" s="35">
        <f t="shared" si="10"/>
        <v>4.5772743815363233E-5</v>
      </c>
      <c r="R26" s="36">
        <f t="shared" si="11"/>
        <v>2035171.7611962382</v>
      </c>
      <c r="S26" s="33">
        <f t="shared" si="12"/>
        <v>3.6822358624864086E-5</v>
      </c>
      <c r="T26" s="36">
        <f t="shared" si="13"/>
        <v>2995886.3100100178</v>
      </c>
      <c r="U26" s="33">
        <f t="shared" si="14"/>
        <v>5.4204565044509098E-5</v>
      </c>
      <c r="V26" s="13"/>
      <c r="W26" t="s">
        <v>322</v>
      </c>
      <c r="X26">
        <v>377477</v>
      </c>
      <c r="Y26">
        <v>214052</v>
      </c>
      <c r="Z26" s="51">
        <v>41429.879999999997</v>
      </c>
      <c r="AA26" s="32">
        <f t="shared" si="3"/>
        <v>8868148673.7600002</v>
      </c>
      <c r="AB26">
        <v>13646</v>
      </c>
      <c r="AC26" s="37">
        <f t="shared" si="4"/>
        <v>3.6150546920739539E-2</v>
      </c>
      <c r="AD26" s="50">
        <f>+'Revenue mile elasticities'!M55</f>
        <v>911153</v>
      </c>
      <c r="AE26" s="3">
        <f t="shared" si="15"/>
        <v>9111.5300000000007</v>
      </c>
      <c r="AF26" s="11">
        <f>+'Revenue mile elasticities'!P55</f>
        <v>9.5823345045960122E-4</v>
      </c>
      <c r="AG26" s="11">
        <f>+'Revenue mile elasticities'!Q55</f>
        <v>3.7847655489349138E-3</v>
      </c>
      <c r="AH26" s="11">
        <f>+'Revenue mile elasticities'!R55</f>
        <v>2.629088167325982E-3</v>
      </c>
      <c r="AI26" s="11">
        <f>+'Revenue mile elasticities'!S55</f>
        <v>4.481959202686083E-3</v>
      </c>
      <c r="AJ26" s="32">
        <f t="shared" si="16"/>
        <v>84977.567028457808</v>
      </c>
      <c r="AK26" s="33">
        <f t="shared" si="17"/>
        <v>9.5823345045960117E-6</v>
      </c>
      <c r="AL26" s="40">
        <f t="shared" si="18"/>
        <v>335638.63583279692</v>
      </c>
      <c r="AM26" s="33">
        <f t="shared" si="19"/>
        <v>3.7847655489349132E-5</v>
      </c>
      <c r="AN26" s="40">
        <f t="shared" si="20"/>
        <v>358765.37131330342</v>
      </c>
      <c r="AO26" s="41">
        <f t="shared" si="21"/>
        <v>2.6290881673259816E-5</v>
      </c>
      <c r="AP26" s="40">
        <f t="shared" si="22"/>
        <v>611608.15279854287</v>
      </c>
      <c r="AQ26" s="41">
        <f t="shared" si="23"/>
        <v>4.4819592026860829E-5</v>
      </c>
      <c r="AR26" s="53"/>
      <c r="AS26" s="53"/>
      <c r="AT26" s="3" t="s">
        <v>323</v>
      </c>
      <c r="AU26" s="11">
        <f>+'Rev mile pop elasticities'!F56</f>
        <v>2.4476907541561711E-2</v>
      </c>
      <c r="AV26" s="11">
        <f>+'Rev mile pop elasticities'!G56</f>
        <v>5.370324921914358E-2</v>
      </c>
      <c r="AW26" s="11">
        <f>+'Rev mile pop elasticities'!H56</f>
        <v>6.7156858236775807E-2</v>
      </c>
      <c r="AX26" s="11">
        <f>+'Rev mile pop elasticities'!I56</f>
        <v>6.3595953022670029E-2</v>
      </c>
      <c r="AY26" s="32">
        <f t="shared" si="24"/>
        <v>8007754.0417879503</v>
      </c>
      <c r="AZ26" s="33">
        <f t="shared" si="25"/>
        <v>2.447690754156171E-4</v>
      </c>
      <c r="BA26" s="40">
        <f t="shared" si="26"/>
        <v>17569311.411645118</v>
      </c>
      <c r="BB26" s="33">
        <f t="shared" si="27"/>
        <v>5.3703249219143583E-4</v>
      </c>
      <c r="BC26" s="40">
        <f t="shared" si="28"/>
        <v>37117595.547465988</v>
      </c>
      <c r="BD26" s="41">
        <f t="shared" si="29"/>
        <v>6.7156858236775807E-4</v>
      </c>
      <c r="BE26" s="40">
        <f t="shared" si="30"/>
        <v>35149483.23562973</v>
      </c>
      <c r="BF26" s="41">
        <f t="shared" si="31"/>
        <v>6.359595302267004E-4</v>
      </c>
      <c r="BH26" t="s">
        <v>322</v>
      </c>
      <c r="BI26">
        <v>377477</v>
      </c>
      <c r="BJ26">
        <v>214052</v>
      </c>
      <c r="BK26" s="51">
        <v>41429.879999999997</v>
      </c>
      <c r="BL26" s="32">
        <f t="shared" si="5"/>
        <v>8868148673.7600002</v>
      </c>
      <c r="BM26">
        <v>13646</v>
      </c>
      <c r="BN26" s="37">
        <f t="shared" si="6"/>
        <v>3.6150546920739539E-2</v>
      </c>
      <c r="BO26" s="50">
        <f t="shared" si="32"/>
        <v>911153</v>
      </c>
      <c r="BP26" s="3">
        <f t="shared" si="33"/>
        <v>9111.5300000000007</v>
      </c>
      <c r="BQ26" s="11">
        <f>+'Rev mile pop elasticities'!P56</f>
        <v>8.4647529874932771E-3</v>
      </c>
      <c r="BR26" s="11">
        <f>+'Rev mile pop elasticities'!Q56</f>
        <v>1.7363410195058247E-2</v>
      </c>
      <c r="BS26" s="11">
        <f>+'Rev mile pop elasticities'!R56</f>
        <v>2.3224593034277582E-2</v>
      </c>
      <c r="BT26" s="11">
        <f>+'Rev mile pop elasticities'!S56</f>
        <v>2.0561933125726871E-2</v>
      </c>
      <c r="BU26" s="32">
        <f t="shared" si="34"/>
        <v>750666.87979744503</v>
      </c>
      <c r="BV26" s="33">
        <f t="shared" si="35"/>
        <v>8.4647529874932767E-5</v>
      </c>
      <c r="BW26" s="40">
        <f t="shared" si="36"/>
        <v>1539813.0309325666</v>
      </c>
      <c r="BX26" s="33">
        <f t="shared" si="37"/>
        <v>1.7363410195058248E-4</v>
      </c>
      <c r="BY26" s="40">
        <f t="shared" si="38"/>
        <v>3169227.9654575186</v>
      </c>
      <c r="BZ26" s="41">
        <f t="shared" si="39"/>
        <v>2.3224593034277581E-4</v>
      </c>
      <c r="CA26" s="40">
        <f t="shared" si="40"/>
        <v>2805881.3943366883</v>
      </c>
      <c r="CB26" s="41">
        <f t="shared" si="41"/>
        <v>2.0561933125726867E-4</v>
      </c>
      <c r="CD26" s="70">
        <f t="shared" si="42"/>
        <v>0.52633000429919974</v>
      </c>
      <c r="CE26" s="70">
        <f t="shared" si="43"/>
        <v>9.5992410058749815</v>
      </c>
      <c r="CF26" s="70">
        <f t="shared" si="44"/>
        <v>10.12557101017418</v>
      </c>
      <c r="CG26" s="70">
        <f t="shared" si="45"/>
        <v>1.7950944114887601</v>
      </c>
      <c r="CH26" s="70">
        <f t="shared" si="46"/>
        <v>21.061093243817325</v>
      </c>
      <c r="CI26" s="70">
        <f t="shared" si="47"/>
        <v>22.856187655306087</v>
      </c>
      <c r="CJ26" s="69">
        <f t="shared" si="48"/>
        <v>2.4396483860675326</v>
      </c>
      <c r="CK26" s="69">
        <f t="shared" si="49"/>
        <v>44.494466658114817</v>
      </c>
      <c r="CL26" s="70">
        <f t="shared" si="50"/>
        <v>46.934115044182349</v>
      </c>
      <c r="CM26" s="69">
        <f t="shared" si="51"/>
        <v>3.5912984547121014</v>
      </c>
      <c r="CN26" s="69">
        <f t="shared" si="52"/>
        <v>42.135205333484052</v>
      </c>
      <c r="CO26" s="70">
        <f t="shared" si="53"/>
        <v>45.726503788196155</v>
      </c>
      <c r="CQ26" s="70">
        <f t="shared" si="54"/>
        <v>0.39699496864527223</v>
      </c>
      <c r="CR26" s="70">
        <f t="shared" si="55"/>
        <v>3.5069370050148798</v>
      </c>
      <c r="CS26" s="70">
        <f t="shared" si="56"/>
        <v>3.9039319736601521</v>
      </c>
      <c r="CT26" s="70">
        <f t="shared" si="57"/>
        <v>1.568023825205076</v>
      </c>
      <c r="CU26" s="70">
        <f t="shared" si="58"/>
        <v>7.1936400077203979</v>
      </c>
      <c r="CV26" s="70">
        <f t="shared" si="59"/>
        <v>8.7616638329254748</v>
      </c>
      <c r="CW26" s="69">
        <f t="shared" si="60"/>
        <v>1.676066429247582</v>
      </c>
      <c r="CX26" s="69">
        <f t="shared" si="61"/>
        <v>14.805878783928758</v>
      </c>
      <c r="CY26" s="70">
        <f t="shared" si="62"/>
        <v>16.481945213176338</v>
      </c>
      <c r="CZ26" s="69">
        <f t="shared" si="63"/>
        <v>2.8572877282087665</v>
      </c>
      <c r="DA26" s="69">
        <f t="shared" si="64"/>
        <v>13.108410079497919</v>
      </c>
      <c r="DB26" s="70">
        <f t="shared" si="65"/>
        <v>15.965697807706686</v>
      </c>
    </row>
    <row r="27" spans="1:106">
      <c r="A27" s="3" t="s">
        <v>325</v>
      </c>
      <c r="B27" s="3">
        <v>3019274</v>
      </c>
      <c r="C27" s="3">
        <v>1920205</v>
      </c>
      <c r="D27" s="34">
        <v>44562.98</v>
      </c>
      <c r="E27" s="32">
        <f t="shared" si="0"/>
        <v>85570057010.900009</v>
      </c>
      <c r="F27" s="32">
        <v>140538</v>
      </c>
      <c r="G27" s="37">
        <f t="shared" si="1"/>
        <v>4.6546951353206099E-2</v>
      </c>
      <c r="H27" s="50">
        <f>+'Revenue mile elasticities'!C56</f>
        <v>3662095</v>
      </c>
      <c r="I27" s="3">
        <f t="shared" si="2"/>
        <v>36620.950000000004</v>
      </c>
      <c r="J27" s="16">
        <f>+'Revenue mile elasticities'!F56</f>
        <v>4.2752495588275182E-3</v>
      </c>
      <c r="K27" s="16">
        <f>+'Revenue mile elasticities'!G56</f>
        <v>1.4581111713343252E-2</v>
      </c>
      <c r="L27" s="16">
        <f>+'Revenue mile elasticities'!H56</f>
        <v>1.1729926587396801E-2</v>
      </c>
      <c r="M27" s="16">
        <f>+'Revenue mile elasticities'!I56</f>
        <v>1.7267105976327538E-2</v>
      </c>
      <c r="N27" s="32">
        <f t="shared" si="7"/>
        <v>3658333.4848469584</v>
      </c>
      <c r="O27" s="35">
        <f t="shared" si="8"/>
        <v>4.2752495588275184E-5</v>
      </c>
      <c r="P27" s="36">
        <f t="shared" si="9"/>
        <v>12477065.605930839</v>
      </c>
      <c r="Q27" s="35">
        <f t="shared" si="10"/>
        <v>1.4581111713343251E-4</v>
      </c>
      <c r="R27" s="36">
        <f t="shared" si="11"/>
        <v>16485004.227395715</v>
      </c>
      <c r="S27" s="33">
        <f t="shared" si="12"/>
        <v>1.17299265873968E-4</v>
      </c>
      <c r="T27" s="36">
        <f t="shared" si="13"/>
        <v>24266845.397011194</v>
      </c>
      <c r="U27" s="33">
        <f t="shared" si="14"/>
        <v>1.7267105976327536E-4</v>
      </c>
      <c r="V27" s="13"/>
      <c r="W27" t="s">
        <v>324</v>
      </c>
      <c r="X27">
        <v>196960</v>
      </c>
      <c r="Y27">
        <v>116172</v>
      </c>
      <c r="Z27" s="51">
        <v>35949.519999999997</v>
      </c>
      <c r="AA27" s="32">
        <f t="shared" si="3"/>
        <v>4176327637.4399996</v>
      </c>
      <c r="AB27">
        <v>6442</v>
      </c>
      <c r="AC27" s="37">
        <f t="shared" si="4"/>
        <v>3.2707148659626317E-2</v>
      </c>
      <c r="AD27" s="50">
        <f>+'Revenue mile elasticities'!M56</f>
        <v>1902962</v>
      </c>
      <c r="AE27" s="3">
        <f t="shared" si="15"/>
        <v>19029.62</v>
      </c>
      <c r="AF27" s="11">
        <f>+'Revenue mile elasticities'!P56</f>
        <v>1.3367075191346805E-3</v>
      </c>
      <c r="AG27" s="11">
        <f>+'Revenue mile elasticities'!Q56</f>
        <v>5.2796367784871939E-3</v>
      </c>
      <c r="AH27" s="11">
        <f>+'Revenue mile elasticities'!R56</f>
        <v>3.6675007745211449E-3</v>
      </c>
      <c r="AI27" s="11">
        <f>+'Revenue mile elasticities'!S56</f>
        <v>6.2522014482085195E-3</v>
      </c>
      <c r="AJ27" s="32">
        <f t="shared" si="16"/>
        <v>55825.285553360234</v>
      </c>
      <c r="AK27" s="33">
        <f t="shared" si="17"/>
        <v>1.3367075191346806E-5</v>
      </c>
      <c r="AL27" s="40">
        <f t="shared" si="18"/>
        <v>220494.92993640754</v>
      </c>
      <c r="AM27" s="33">
        <f t="shared" si="19"/>
        <v>5.2796367784871942E-5</v>
      </c>
      <c r="AN27" s="40">
        <f t="shared" si="20"/>
        <v>236260.39989465213</v>
      </c>
      <c r="AO27" s="41">
        <f t="shared" si="21"/>
        <v>3.6675007745211445E-5</v>
      </c>
      <c r="AP27" s="40">
        <f t="shared" si="22"/>
        <v>402766.81729359279</v>
      </c>
      <c r="AQ27" s="41">
        <f t="shared" si="23"/>
        <v>6.2522014482085191E-5</v>
      </c>
      <c r="AR27" s="53"/>
      <c r="AS27" s="53"/>
      <c r="AT27" s="3" t="s">
        <v>325</v>
      </c>
      <c r="AU27" s="11">
        <f>+'Rev mile pop elasticities'!F57</f>
        <v>2.0292884655715247E-2</v>
      </c>
      <c r="AV27" s="11">
        <f>+'Rev mile pop elasticities'!G57</f>
        <v>4.4523346758194193E-2</v>
      </c>
      <c r="AW27" s="11">
        <f>+'Rev mile pop elasticities'!H57</f>
        <v>5.5677228658280099E-2</v>
      </c>
      <c r="AX27" s="11">
        <f>+'Rev mile pop elasticities'!I57</f>
        <v>5.2725015897861549E-2</v>
      </c>
      <c r="AY27" s="32">
        <f t="shared" si="24"/>
        <v>17364632.969051715</v>
      </c>
      <c r="AZ27" s="33">
        <f t="shared" si="25"/>
        <v>2.0292884655715246E-4</v>
      </c>
      <c r="BA27" s="40">
        <f t="shared" si="26"/>
        <v>38098653.204147473</v>
      </c>
      <c r="BB27" s="33">
        <f t="shared" si="27"/>
        <v>4.4523346758194193E-4</v>
      </c>
      <c r="BC27" s="40">
        <f t="shared" si="28"/>
        <v>78247663.61177367</v>
      </c>
      <c r="BD27" s="41">
        <f t="shared" si="29"/>
        <v>5.5677228658280087E-4</v>
      </c>
      <c r="BE27" s="40">
        <f t="shared" si="30"/>
        <v>74098682.842536658</v>
      </c>
      <c r="BF27" s="41">
        <f t="shared" si="31"/>
        <v>5.2725015897861548E-4</v>
      </c>
      <c r="BH27" t="s">
        <v>324</v>
      </c>
      <c r="BI27">
        <v>196960</v>
      </c>
      <c r="BJ27">
        <v>116172</v>
      </c>
      <c r="BK27" s="51">
        <v>35949.519999999997</v>
      </c>
      <c r="BL27" s="32">
        <f t="shared" si="5"/>
        <v>4176327637.4399996</v>
      </c>
      <c r="BM27">
        <v>6442</v>
      </c>
      <c r="BN27" s="37">
        <f t="shared" si="6"/>
        <v>3.2707148659626317E-2</v>
      </c>
      <c r="BO27" s="50">
        <f t="shared" si="32"/>
        <v>1902962</v>
      </c>
      <c r="BP27" s="3">
        <f t="shared" si="33"/>
        <v>19029.62</v>
      </c>
      <c r="BQ27" s="11">
        <f>+'Rev mile pop elasticities'!P57</f>
        <v>3.3881728273964254E-2</v>
      </c>
      <c r="BR27" s="11">
        <f>+'Rev mile pop elasticities'!Q57</f>
        <v>6.9500237869618203E-2</v>
      </c>
      <c r="BS27" s="11">
        <f>+'Rev mile pop elasticities'!R57</f>
        <v>9.2960698513403731E-2</v>
      </c>
      <c r="BT27" s="11">
        <f>+'Rev mile pop elasticities'!S57</f>
        <v>8.2302913266653149E-2</v>
      </c>
      <c r="BU27" s="32">
        <f t="shared" si="34"/>
        <v>1415011.9819478916</v>
      </c>
      <c r="BV27" s="33">
        <f t="shared" si="35"/>
        <v>3.3881728273964251E-4</v>
      </c>
      <c r="BW27" s="40">
        <f t="shared" si="36"/>
        <v>2902557.6422354057</v>
      </c>
      <c r="BX27" s="33">
        <f t="shared" si="37"/>
        <v>6.9500237869618206E-4</v>
      </c>
      <c r="BY27" s="40">
        <f t="shared" si="38"/>
        <v>5988528.1982334685</v>
      </c>
      <c r="BZ27" s="41">
        <f t="shared" si="39"/>
        <v>9.2960698513403731E-4</v>
      </c>
      <c r="CA27" s="40">
        <f t="shared" si="40"/>
        <v>5301953.6726377951</v>
      </c>
      <c r="CB27" s="41">
        <f t="shared" si="41"/>
        <v>8.2302913266653138E-4</v>
      </c>
      <c r="CD27" s="70">
        <f t="shared" si="42"/>
        <v>1.9051786058503954</v>
      </c>
      <c r="CE27" s="70">
        <f t="shared" si="43"/>
        <v>9.0431141305494549</v>
      </c>
      <c r="CF27" s="70">
        <f t="shared" si="44"/>
        <v>10.94829273639985</v>
      </c>
      <c r="CG27" s="70">
        <f t="shared" si="45"/>
        <v>6.497777896594811</v>
      </c>
      <c r="CH27" s="70">
        <f t="shared" si="46"/>
        <v>19.840930111184729</v>
      </c>
      <c r="CI27" s="70">
        <f t="shared" si="47"/>
        <v>26.338708007779541</v>
      </c>
      <c r="CJ27" s="69">
        <f t="shared" si="48"/>
        <v>8.5850230717010501</v>
      </c>
      <c r="CK27" s="69">
        <f t="shared" si="49"/>
        <v>40.749640591381478</v>
      </c>
      <c r="CL27" s="70">
        <f t="shared" si="50"/>
        <v>49.33466366308253</v>
      </c>
      <c r="CM27" s="69">
        <f t="shared" si="51"/>
        <v>12.637632647040911</v>
      </c>
      <c r="CN27" s="69">
        <f t="shared" si="52"/>
        <v>38.588943806800138</v>
      </c>
      <c r="CO27" s="70">
        <f t="shared" si="53"/>
        <v>51.226576453841048</v>
      </c>
      <c r="CQ27" s="70">
        <f t="shared" si="54"/>
        <v>0.48053993693282576</v>
      </c>
      <c r="CR27" s="70">
        <f t="shared" si="55"/>
        <v>12.180318682194432</v>
      </c>
      <c r="CS27" s="70">
        <f t="shared" si="56"/>
        <v>12.660858619127257</v>
      </c>
      <c r="CT27" s="70">
        <f t="shared" si="57"/>
        <v>1.8980040796096094</v>
      </c>
      <c r="CU27" s="70">
        <f t="shared" si="58"/>
        <v>24.985001912985968</v>
      </c>
      <c r="CV27" s="70">
        <f t="shared" si="59"/>
        <v>26.883005992595578</v>
      </c>
      <c r="CW27" s="69">
        <f t="shared" si="60"/>
        <v>2.0337120811783573</v>
      </c>
      <c r="CX27" s="69">
        <f t="shared" si="61"/>
        <v>51.548808647810731</v>
      </c>
      <c r="CY27" s="70">
        <f t="shared" si="62"/>
        <v>53.582520728989088</v>
      </c>
      <c r="CZ27" s="69">
        <f t="shared" si="63"/>
        <v>3.4669870303824744</v>
      </c>
      <c r="DA27" s="69">
        <f t="shared" si="64"/>
        <v>45.638825815495949</v>
      </c>
      <c r="DB27" s="70">
        <f t="shared" si="65"/>
        <v>49.105812845878425</v>
      </c>
    </row>
    <row r="28" spans="1:106">
      <c r="A28" s="3" t="s">
        <v>327</v>
      </c>
      <c r="B28" s="3">
        <v>4260236</v>
      </c>
      <c r="C28" s="3">
        <v>2849527</v>
      </c>
      <c r="D28" s="34">
        <v>61146.07</v>
      </c>
      <c r="E28" s="32">
        <f t="shared" si="0"/>
        <v>174237377408.88998</v>
      </c>
      <c r="F28" s="32">
        <v>283010</v>
      </c>
      <c r="G28" s="37">
        <f t="shared" si="1"/>
        <v>6.6430592108042835E-2</v>
      </c>
      <c r="H28" s="50">
        <f>+'Revenue mile elasticities'!C57</f>
        <v>33300000</v>
      </c>
      <c r="I28" s="3">
        <f t="shared" si="2"/>
        <v>333000</v>
      </c>
      <c r="J28" s="16">
        <f>+'Revenue mile elasticities'!F57</f>
        <v>2.2663338647849033E-2</v>
      </c>
      <c r="K28" s="16">
        <f>+'Revenue mile elasticities'!G57</f>
        <v>7.7295294245289317E-2</v>
      </c>
      <c r="L28" s="16">
        <f>+'Revenue mile elasticities'!H57</f>
        <v>6.2181001344278931E-2</v>
      </c>
      <c r="M28" s="16">
        <f>+'Revenue mile elasticities'!I57</f>
        <v>9.1533901079947882E-2</v>
      </c>
      <c r="N28" s="32">
        <f t="shared" si="7"/>
        <v>39488006.893307544</v>
      </c>
      <c r="O28" s="35">
        <f t="shared" si="8"/>
        <v>2.2663338647849033E-4</v>
      </c>
      <c r="P28" s="36">
        <f t="shared" si="9"/>
        <v>134677293.55347678</v>
      </c>
      <c r="Q28" s="35">
        <f t="shared" si="10"/>
        <v>7.7295294245289321E-4</v>
      </c>
      <c r="R28" s="36">
        <f t="shared" si="11"/>
        <v>175978451.9044438</v>
      </c>
      <c r="S28" s="33">
        <f t="shared" si="12"/>
        <v>6.2181001344278929E-4</v>
      </c>
      <c r="T28" s="36">
        <f t="shared" si="13"/>
        <v>259050093.44636047</v>
      </c>
      <c r="U28" s="33">
        <f t="shared" si="14"/>
        <v>9.1533901079947876E-4</v>
      </c>
      <c r="V28" s="13"/>
      <c r="W28" t="s">
        <v>326</v>
      </c>
      <c r="X28">
        <v>157730</v>
      </c>
      <c r="Y28">
        <v>101177</v>
      </c>
      <c r="Z28" s="51">
        <v>32447.22</v>
      </c>
      <c r="AA28" s="32">
        <f t="shared" si="3"/>
        <v>3282912377.9400001</v>
      </c>
      <c r="AB28">
        <v>5636</v>
      </c>
      <c r="AC28" s="37">
        <f t="shared" si="4"/>
        <v>3.5731946998034614E-2</v>
      </c>
      <c r="AD28" s="50">
        <f>+'Revenue mile elasticities'!M57</f>
        <v>196682</v>
      </c>
      <c r="AE28" s="3">
        <f t="shared" si="15"/>
        <v>1966.82</v>
      </c>
      <c r="AF28" s="11">
        <f>+'Revenue mile elasticities'!P57</f>
        <v>1.6754660145808375E-4</v>
      </c>
      <c r="AG28" s="11">
        <f>+'Revenue mile elasticities'!Q57</f>
        <v>6.6176421281842761E-4</v>
      </c>
      <c r="AH28" s="11">
        <f>+'Revenue mile elasticities'!R57</f>
        <v>4.5969464659979657E-4</v>
      </c>
      <c r="AI28" s="11">
        <f>+'Revenue mile elasticities'!S57</f>
        <v>7.8366814675866431E-4</v>
      </c>
      <c r="AJ28" s="32">
        <f t="shared" si="16"/>
        <v>5500.4081180852327</v>
      </c>
      <c r="AK28" s="33">
        <f t="shared" si="17"/>
        <v>1.6754660145808377E-6</v>
      </c>
      <c r="AL28" s="40">
        <f t="shared" si="18"/>
        <v>21725.139255393366</v>
      </c>
      <c r="AM28" s="33">
        <f t="shared" si="19"/>
        <v>6.6176421281842766E-6</v>
      </c>
      <c r="AN28" s="40">
        <f t="shared" si="20"/>
        <v>25908.390282364533</v>
      </c>
      <c r="AO28" s="41">
        <f t="shared" si="21"/>
        <v>4.5969464659979652E-6</v>
      </c>
      <c r="AP28" s="40">
        <f t="shared" si="22"/>
        <v>44167.536751318316</v>
      </c>
      <c r="AQ28" s="41">
        <f t="shared" si="23"/>
        <v>7.8366814675866411E-6</v>
      </c>
      <c r="AR28" s="53"/>
      <c r="AS28" s="53"/>
      <c r="AT28" s="3" t="s">
        <v>327</v>
      </c>
      <c r="AU28" s="11">
        <f>+'Rev mile pop elasticities'!F58</f>
        <v>0.13077576922968584</v>
      </c>
      <c r="AV28" s="11">
        <f>+'Rev mile pop elasticities'!G58</f>
        <v>0.28692692141937676</v>
      </c>
      <c r="AW28" s="11">
        <f>+'Rev mile pop elasticities'!H58</f>
        <v>0.35880716467350632</v>
      </c>
      <c r="AX28" s="11">
        <f>+'Rev mile pop elasticities'!I58</f>
        <v>0.33978188062820935</v>
      </c>
      <c r="AY28" s="32">
        <f t="shared" si="24"/>
        <v>227860270.59210673</v>
      </c>
      <c r="AZ28" s="33">
        <f t="shared" si="25"/>
        <v>1.3077576922968584E-3</v>
      </c>
      <c r="BA28" s="40">
        <f t="shared" si="26"/>
        <v>499933942.96118867</v>
      </c>
      <c r="BB28" s="33">
        <f t="shared" si="27"/>
        <v>2.8692692141937676E-3</v>
      </c>
      <c r="BC28" s="40">
        <f t="shared" si="28"/>
        <v>1015460156.7424901</v>
      </c>
      <c r="BD28" s="41">
        <f t="shared" si="29"/>
        <v>3.5880716467350626E-3</v>
      </c>
      <c r="BE28" s="40">
        <f t="shared" si="30"/>
        <v>961616700.36589515</v>
      </c>
      <c r="BF28" s="41">
        <f t="shared" si="31"/>
        <v>3.3978188062820931E-3</v>
      </c>
      <c r="BH28" t="s">
        <v>326</v>
      </c>
      <c r="BI28">
        <v>157730</v>
      </c>
      <c r="BJ28">
        <v>101177</v>
      </c>
      <c r="BK28" s="51">
        <v>32447.22</v>
      </c>
      <c r="BL28" s="32">
        <f t="shared" si="5"/>
        <v>3282912377.9400001</v>
      </c>
      <c r="BM28">
        <v>5636</v>
      </c>
      <c r="BN28" s="37">
        <f t="shared" si="6"/>
        <v>3.5731946998034614E-2</v>
      </c>
      <c r="BO28" s="50">
        <f t="shared" si="32"/>
        <v>196682</v>
      </c>
      <c r="BP28" s="3">
        <f t="shared" si="33"/>
        <v>1966.82</v>
      </c>
      <c r="BQ28" s="11">
        <f>+'Rev mile pop elasticities'!P58</f>
        <v>4.3728420163570651E-3</v>
      </c>
      <c r="BR28" s="11">
        <f>+'Rev mile pop elasticities'!Q58</f>
        <v>8.9698364217333411E-3</v>
      </c>
      <c r="BS28" s="11">
        <f>+'Rev mile pop elasticities'!R58</f>
        <v>1.1997689286755847E-2</v>
      </c>
      <c r="BT28" s="11">
        <f>+'Rev mile pop elasticities'!S58</f>
        <v>1.0622174709947379E-2</v>
      </c>
      <c r="BU28" s="32">
        <f t="shared" si="34"/>
        <v>143556.57182274718</v>
      </c>
      <c r="BV28" s="33">
        <f t="shared" si="35"/>
        <v>4.3728420163570655E-5</v>
      </c>
      <c r="BW28" s="40">
        <f t="shared" si="36"/>
        <v>294471.87017005426</v>
      </c>
      <c r="BX28" s="33">
        <f t="shared" si="37"/>
        <v>8.9698364217333411E-5</v>
      </c>
      <c r="BY28" s="40">
        <f t="shared" si="38"/>
        <v>676189.76820155955</v>
      </c>
      <c r="BZ28" s="41">
        <f t="shared" si="39"/>
        <v>1.1997689286755847E-4</v>
      </c>
      <c r="CA28" s="40">
        <f t="shared" si="40"/>
        <v>598665.76665263425</v>
      </c>
      <c r="CB28" s="41">
        <f t="shared" si="41"/>
        <v>1.0622174709947378E-4</v>
      </c>
      <c r="CD28" s="70">
        <f t="shared" si="42"/>
        <v>13.857740913950822</v>
      </c>
      <c r="CE28" s="70">
        <f t="shared" si="43"/>
        <v>79.964243396222159</v>
      </c>
      <c r="CF28" s="70">
        <f t="shared" si="44"/>
        <v>93.821984310172979</v>
      </c>
      <c r="CG28" s="70">
        <f t="shared" si="45"/>
        <v>47.263034725930581</v>
      </c>
      <c r="CH28" s="70">
        <f t="shared" si="46"/>
        <v>175.44453621993708</v>
      </c>
      <c r="CI28" s="70">
        <f t="shared" si="47"/>
        <v>222.70757094586764</v>
      </c>
      <c r="CJ28" s="69">
        <f t="shared" si="48"/>
        <v>61.75707473712086</v>
      </c>
      <c r="CK28" s="69">
        <f t="shared" si="49"/>
        <v>356.36095279760116</v>
      </c>
      <c r="CL28" s="70">
        <f t="shared" si="50"/>
        <v>418.11802753472205</v>
      </c>
      <c r="CM28" s="69">
        <f t="shared" si="51"/>
        <v>90.909857476823504</v>
      </c>
      <c r="CN28" s="69">
        <f t="shared" si="52"/>
        <v>337.46537596095601</v>
      </c>
      <c r="CO28" s="70">
        <f t="shared" si="53"/>
        <v>428.37523343777951</v>
      </c>
      <c r="CQ28" s="70">
        <f t="shared" si="54"/>
        <v>5.4364214377627652E-2</v>
      </c>
      <c r="CR28" s="70">
        <f t="shared" si="55"/>
        <v>1.4188656692998129</v>
      </c>
      <c r="CS28" s="70">
        <f t="shared" si="56"/>
        <v>1.4732298836774407</v>
      </c>
      <c r="CT28" s="70">
        <f t="shared" si="57"/>
        <v>0.21472409001446341</v>
      </c>
      <c r="CU28" s="70">
        <f t="shared" si="58"/>
        <v>2.9104625573999452</v>
      </c>
      <c r="CV28" s="70">
        <f t="shared" si="59"/>
        <v>3.1251866474144085</v>
      </c>
      <c r="CW28" s="69">
        <f t="shared" si="60"/>
        <v>0.2560699594014898</v>
      </c>
      <c r="CX28" s="69">
        <f t="shared" si="61"/>
        <v>6.6832359943619553</v>
      </c>
      <c r="CY28" s="70">
        <f t="shared" si="62"/>
        <v>6.9393059537634452</v>
      </c>
      <c r="CZ28" s="69">
        <f t="shared" si="63"/>
        <v>0.43653732321889677</v>
      </c>
      <c r="DA28" s="69">
        <f t="shared" si="64"/>
        <v>5.917014406956465</v>
      </c>
      <c r="DB28" s="70">
        <f t="shared" si="65"/>
        <v>6.3535517301753615</v>
      </c>
    </row>
    <row r="29" spans="1:106">
      <c r="A29" s="3" t="s">
        <v>329</v>
      </c>
      <c r="B29" s="3">
        <v>1810646</v>
      </c>
      <c r="C29">
        <v>1208681</v>
      </c>
      <c r="D29" s="34">
        <v>76360.73</v>
      </c>
      <c r="E29" s="32">
        <f t="shared" si="0"/>
        <v>92295763497.12999</v>
      </c>
      <c r="F29" s="32">
        <v>138071</v>
      </c>
      <c r="G29" s="37">
        <f t="shared" si="1"/>
        <v>7.6255104531752757E-2</v>
      </c>
      <c r="H29" s="50">
        <f>+'Revenue mile elasticities'!C58</f>
        <v>2111235</v>
      </c>
      <c r="I29" s="3">
        <f t="shared" si="2"/>
        <v>21112.350000000002</v>
      </c>
      <c r="J29" s="16">
        <f>+'Revenue mile elasticities'!F58</f>
        <v>1.9491298479497119E-3</v>
      </c>
      <c r="K29" s="16">
        <f>+'Revenue mile elasticities'!G58</f>
        <v>6.6476774433164966E-3</v>
      </c>
      <c r="L29" s="16">
        <f>+'Revenue mile elasticities'!H58</f>
        <v>5.3477930846273685E-3</v>
      </c>
      <c r="M29" s="16">
        <f>+'Revenue mile elasticities'!I58</f>
        <v>7.8722496039274302E-3</v>
      </c>
      <c r="N29" s="32">
        <f t="shared" si="7"/>
        <v>1798964.2747156357</v>
      </c>
      <c r="O29" s="35">
        <f t="shared" si="8"/>
        <v>1.949129847949712E-5</v>
      </c>
      <c r="P29" s="36">
        <f t="shared" si="9"/>
        <v>6135524.6511354512</v>
      </c>
      <c r="Q29" s="35">
        <f t="shared" si="10"/>
        <v>6.6476774433164967E-5</v>
      </c>
      <c r="R29" s="36">
        <f t="shared" si="11"/>
        <v>7383751.3898758544</v>
      </c>
      <c r="S29" s="33">
        <f t="shared" si="12"/>
        <v>5.3477930846273688E-5</v>
      </c>
      <c r="T29" s="36">
        <f t="shared" si="13"/>
        <v>10869293.750638643</v>
      </c>
      <c r="U29" s="33">
        <f t="shared" si="14"/>
        <v>7.8722496039274309E-5</v>
      </c>
      <c r="V29" s="13"/>
      <c r="W29" t="s">
        <v>328</v>
      </c>
      <c r="X29">
        <v>152320</v>
      </c>
      <c r="Y29">
        <v>110554</v>
      </c>
      <c r="Z29" s="51">
        <v>33995.19</v>
      </c>
      <c r="AA29" s="32">
        <f t="shared" si="3"/>
        <v>3758304235.2600002</v>
      </c>
      <c r="AB29">
        <v>6033</v>
      </c>
      <c r="AC29" s="37">
        <f t="shared" si="4"/>
        <v>3.9607405462184872E-2</v>
      </c>
      <c r="AD29" s="50">
        <f>+'Revenue mile elasticities'!M58</f>
        <v>582256</v>
      </c>
      <c r="AE29" s="3">
        <f t="shared" si="15"/>
        <v>5822.56</v>
      </c>
      <c r="AF29" s="11">
        <f>+'Revenue mile elasticities'!P58</f>
        <v>4.9772632139955528E-4</v>
      </c>
      <c r="AG29" s="11">
        <f>+'Revenue mile elasticities'!Q58</f>
        <v>1.9658856963588778E-3</v>
      </c>
      <c r="AH29" s="11">
        <f>+'Revenue mile elasticities'!R58</f>
        <v>1.3656029034789243E-3</v>
      </c>
      <c r="AI29" s="11">
        <f>+'Revenue mile elasticities'!S58</f>
        <v>2.3280225351618288E-3</v>
      </c>
      <c r="AJ29" s="32">
        <f t="shared" si="16"/>
        <v>18706.069417163286</v>
      </c>
      <c r="AK29" s="33">
        <f t="shared" si="17"/>
        <v>4.9772632139955526E-6</v>
      </c>
      <c r="AL29" s="40">
        <f t="shared" si="18"/>
        <v>73883.965386626252</v>
      </c>
      <c r="AM29" s="33">
        <f t="shared" si="19"/>
        <v>1.9658856963588779E-5</v>
      </c>
      <c r="AN29" s="40">
        <f t="shared" si="20"/>
        <v>82386.823166883492</v>
      </c>
      <c r="AO29" s="41">
        <f t="shared" si="21"/>
        <v>1.3656029034789243E-5</v>
      </c>
      <c r="AP29" s="40">
        <f t="shared" si="22"/>
        <v>140449.59954631314</v>
      </c>
      <c r="AQ29" s="41">
        <f t="shared" si="23"/>
        <v>2.3280225351618287E-5</v>
      </c>
      <c r="AR29" s="53"/>
      <c r="AS29" s="53"/>
      <c r="AT29" s="3" t="s">
        <v>329</v>
      </c>
      <c r="AU29" s="11">
        <f>+'Rev mile pop elasticities'!F59</f>
        <v>1.9508313904540147E-2</v>
      </c>
      <c r="AV29" s="11">
        <f>+'Rev mile pop elasticities'!G59</f>
        <v>4.2801969230871192E-2</v>
      </c>
      <c r="AW29" s="11">
        <f>+'Rev mile pop elasticities'!H59</f>
        <v>5.3524615766969354E-2</v>
      </c>
      <c r="AX29" s="11">
        <f>+'Rev mile pop elasticities'!I59</f>
        <v>5.0686542510242204E-2</v>
      </c>
      <c r="AY29" s="32">
        <f t="shared" si="24"/>
        <v>18005347.263612099</v>
      </c>
      <c r="AZ29" s="33">
        <f t="shared" si="25"/>
        <v>1.9508313904540147E-4</v>
      </c>
      <c r="BA29" s="40">
        <f t="shared" si="26"/>
        <v>39504404.293439224</v>
      </c>
      <c r="BB29" s="33">
        <f t="shared" si="27"/>
        <v>4.2801969230871195E-4</v>
      </c>
      <c r="BC29" s="40">
        <f t="shared" si="28"/>
        <v>73901972.235612258</v>
      </c>
      <c r="BD29" s="41">
        <f t="shared" si="29"/>
        <v>5.3524615766969345E-4</v>
      </c>
      <c r="BE29" s="40">
        <f t="shared" si="30"/>
        <v>69983416.109316513</v>
      </c>
      <c r="BF29" s="41">
        <f t="shared" si="31"/>
        <v>5.0686542510242202E-4</v>
      </c>
      <c r="BH29" t="s">
        <v>328</v>
      </c>
      <c r="BI29">
        <v>152320</v>
      </c>
      <c r="BJ29">
        <v>110554</v>
      </c>
      <c r="BK29" s="51">
        <v>33995.19</v>
      </c>
      <c r="BL29" s="32">
        <f t="shared" si="5"/>
        <v>3758304235.2600002</v>
      </c>
      <c r="BM29">
        <v>6033</v>
      </c>
      <c r="BN29" s="37">
        <f t="shared" si="6"/>
        <v>3.9607405462184872E-2</v>
      </c>
      <c r="BO29" s="50">
        <f t="shared" si="32"/>
        <v>582256</v>
      </c>
      <c r="BP29" s="3">
        <f t="shared" si="33"/>
        <v>5822.56</v>
      </c>
      <c r="BQ29" s="11">
        <f>+'Rev mile pop elasticities'!P59</f>
        <v>1.34051141407563E-2</v>
      </c>
      <c r="BR29" s="11">
        <f>+'Rev mile pop elasticities'!Q59</f>
        <v>2.7497375987394958E-2</v>
      </c>
      <c r="BS29" s="11">
        <f>+'Rev mile pop elasticities'!R59</f>
        <v>3.6779374537815122E-2</v>
      </c>
      <c r="BT29" s="11">
        <f>+'Rev mile pop elasticities'!S59</f>
        <v>3.2562682090336137E-2</v>
      </c>
      <c r="BU29" s="32">
        <f t="shared" si="34"/>
        <v>503804.97249348118</v>
      </c>
      <c r="BV29" s="33">
        <f t="shared" si="35"/>
        <v>1.3405114140756298E-4</v>
      </c>
      <c r="BW29" s="40">
        <f t="shared" si="36"/>
        <v>1033435.046319631</v>
      </c>
      <c r="BX29" s="33">
        <f t="shared" si="37"/>
        <v>2.749737598739496E-4</v>
      </c>
      <c r="BY29" s="40">
        <f t="shared" si="38"/>
        <v>2218899.6658663866</v>
      </c>
      <c r="BZ29" s="41">
        <f t="shared" si="39"/>
        <v>3.6779374537815123E-4</v>
      </c>
      <c r="CA29" s="40">
        <f t="shared" si="40"/>
        <v>1964506.6105099793</v>
      </c>
      <c r="CB29" s="41">
        <f t="shared" si="41"/>
        <v>3.2562682090336143E-4</v>
      </c>
      <c r="CD29" s="70">
        <f t="shared" si="42"/>
        <v>1.48836978054229</v>
      </c>
      <c r="CE29" s="70">
        <f t="shared" si="43"/>
        <v>14.896690908198357</v>
      </c>
      <c r="CF29" s="70">
        <f t="shared" si="44"/>
        <v>16.385060688740648</v>
      </c>
      <c r="CG29" s="70">
        <f t="shared" si="45"/>
        <v>5.0762150237618124</v>
      </c>
      <c r="CH29" s="70">
        <f t="shared" si="46"/>
        <v>32.683896159068624</v>
      </c>
      <c r="CI29" s="70">
        <f t="shared" si="47"/>
        <v>37.760111182830435</v>
      </c>
      <c r="CJ29" s="69">
        <f t="shared" si="48"/>
        <v>6.1089331178994746</v>
      </c>
      <c r="CK29" s="69">
        <f t="shared" si="49"/>
        <v>61.14266066531389</v>
      </c>
      <c r="CL29" s="70">
        <f t="shared" si="50"/>
        <v>67.251593783213366</v>
      </c>
      <c r="CM29" s="69">
        <f t="shared" si="51"/>
        <v>8.992690172707805</v>
      </c>
      <c r="CN29" s="69">
        <f t="shared" si="52"/>
        <v>57.900650468830499</v>
      </c>
      <c r="CO29" s="70">
        <f t="shared" si="53"/>
        <v>66.893340641538302</v>
      </c>
      <c r="CQ29" s="70">
        <f t="shared" si="54"/>
        <v>0.16920300863978949</v>
      </c>
      <c r="CR29" s="70">
        <f t="shared" si="55"/>
        <v>4.5570940218669715</v>
      </c>
      <c r="CS29" s="70">
        <f t="shared" si="56"/>
        <v>4.7262970305067613</v>
      </c>
      <c r="CT29" s="70">
        <f t="shared" si="57"/>
        <v>0.66830657766002366</v>
      </c>
      <c r="CU29" s="70">
        <f t="shared" si="58"/>
        <v>9.3477852119292937</v>
      </c>
      <c r="CV29" s="70">
        <f t="shared" si="59"/>
        <v>10.016091789589318</v>
      </c>
      <c r="CW29" s="69">
        <f t="shared" si="60"/>
        <v>0.74521793120903357</v>
      </c>
      <c r="CX29" s="69">
        <f t="shared" si="61"/>
        <v>20.070731641246692</v>
      </c>
      <c r="CY29" s="70">
        <f t="shared" si="62"/>
        <v>20.815949572455725</v>
      </c>
      <c r="CZ29" s="69">
        <f t="shared" si="63"/>
        <v>1.2704162630598002</v>
      </c>
      <c r="DA29" s="69">
        <f t="shared" si="64"/>
        <v>17.769656552544269</v>
      </c>
      <c r="DB29" s="70">
        <f t="shared" si="65"/>
        <v>19.04007281560407</v>
      </c>
    </row>
    <row r="30" spans="1:106">
      <c r="A30" s="3" t="s">
        <v>331</v>
      </c>
      <c r="B30" s="3">
        <v>3356637</v>
      </c>
      <c r="C30">
        <v>2306396</v>
      </c>
      <c r="D30" s="34">
        <v>51606.48</v>
      </c>
      <c r="E30" s="32">
        <f t="shared" si="0"/>
        <v>119024979046.08</v>
      </c>
      <c r="F30" s="32">
        <v>194038</v>
      </c>
      <c r="G30" s="37">
        <f t="shared" si="1"/>
        <v>5.7807263639172185E-2</v>
      </c>
      <c r="H30" s="50">
        <f>+'Revenue mile elasticities'!C59</f>
        <v>342785</v>
      </c>
      <c r="I30" s="16">
        <f>+'Track mile elasticities'!F60</f>
        <v>2.5178654001207826E-3</v>
      </c>
      <c r="J30" s="16">
        <f>+'Revenue mile elasticities'!F59</f>
        <v>2.7804060584412895E-4</v>
      </c>
      <c r="K30" s="16">
        <f>+'Revenue mile elasticities'!G59</f>
        <v>9.4828175031043697E-4</v>
      </c>
      <c r="L30" s="16">
        <f>+'Revenue mile elasticities'!H59</f>
        <v>7.6285509184670754E-4</v>
      </c>
      <c r="M30" s="16">
        <f>+'Revenue mile elasticities'!I59</f>
        <v>1.1229652306307806E-3</v>
      </c>
      <c r="N30" s="32">
        <f t="shared" si="7"/>
        <v>330937.77284556837</v>
      </c>
      <c r="O30" s="35">
        <f t="shared" si="8"/>
        <v>2.7804060584412896E-6</v>
      </c>
      <c r="P30" s="36">
        <f t="shared" si="9"/>
        <v>1128692.1546047984</v>
      </c>
      <c r="Q30" s="35">
        <f t="shared" si="10"/>
        <v>9.4828175031043703E-6</v>
      </c>
      <c r="R30" s="36">
        <f t="shared" si="11"/>
        <v>1480228.7631175146</v>
      </c>
      <c r="S30" s="33">
        <f t="shared" si="12"/>
        <v>7.6285509184670761E-6</v>
      </c>
      <c r="T30" s="36">
        <f t="shared" si="13"/>
        <v>2178979.2742113541</v>
      </c>
      <c r="U30" s="33">
        <f t="shared" si="14"/>
        <v>1.1229652306307806E-5</v>
      </c>
      <c r="V30" s="11"/>
      <c r="W30" t="s">
        <v>330</v>
      </c>
      <c r="X30">
        <v>244870</v>
      </c>
      <c r="Y30">
        <v>140905</v>
      </c>
      <c r="Z30" s="51">
        <v>36418.5</v>
      </c>
      <c r="AA30" s="32">
        <f t="shared" si="3"/>
        <v>5131548742.5</v>
      </c>
      <c r="AB30">
        <v>6238</v>
      </c>
      <c r="AC30" s="37">
        <f t="shared" si="4"/>
        <v>2.5474741699677381E-2</v>
      </c>
      <c r="AD30" s="50">
        <f>+'Revenue mile elasticities'!M59</f>
        <v>1834049</v>
      </c>
      <c r="AE30" s="3">
        <f t="shared" si="15"/>
        <v>18340.490000000002</v>
      </c>
      <c r="AF30" s="11">
        <f>+'Revenue mile elasticities'!P59</f>
        <v>7.5133636525036448E-4</v>
      </c>
      <c r="AG30" s="11">
        <f>+'Revenue mile elasticities'!Q59</f>
        <v>2.9675774619406753E-3</v>
      </c>
      <c r="AH30" s="11">
        <f>+'Revenue mile elasticities'!R59</f>
        <v>2.0614282945497367E-3</v>
      </c>
      <c r="AI30" s="11">
        <f>+'Revenue mile elasticities'!S59</f>
        <v>3.514236468087642E-3</v>
      </c>
      <c r="AJ30" s="32">
        <f t="shared" si="16"/>
        <v>38555.191802950292</v>
      </c>
      <c r="AK30" s="33">
        <f t="shared" si="17"/>
        <v>7.5133636525036464E-6</v>
      </c>
      <c r="AL30" s="40">
        <f t="shared" si="18"/>
        <v>152282.68393093016</v>
      </c>
      <c r="AM30" s="33">
        <f t="shared" si="19"/>
        <v>2.9675774619406758E-5</v>
      </c>
      <c r="AN30" s="40">
        <f t="shared" si="20"/>
        <v>128591.89701401257</v>
      </c>
      <c r="AO30" s="41">
        <f t="shared" si="21"/>
        <v>2.0614282945497367E-5</v>
      </c>
      <c r="AP30" s="40">
        <f t="shared" si="22"/>
        <v>219218.07087930708</v>
      </c>
      <c r="AQ30" s="41">
        <f t="shared" si="23"/>
        <v>3.5142364680876422E-5</v>
      </c>
      <c r="AR30" s="53"/>
      <c r="AS30" s="53"/>
      <c r="AT30" s="3" t="s">
        <v>331</v>
      </c>
      <c r="AU30" s="11">
        <f>+'Rev mile pop elasticities'!F60</f>
        <v>1.7085753621854255E-3</v>
      </c>
      <c r="AV30" s="11">
        <f>+'Rev mile pop elasticities'!G60</f>
        <v>3.7486781501842475E-3</v>
      </c>
      <c r="AW30" s="11">
        <f>+'Rev mile pop elasticities'!H60</f>
        <v>4.6877879973318531E-3</v>
      </c>
      <c r="AX30" s="11">
        <f>+'Rev mile pop elasticities'!I60</f>
        <v>4.4392241252181877E-3</v>
      </c>
      <c r="AY30" s="32">
        <f t="shared" si="24"/>
        <v>2033631.466827688</v>
      </c>
      <c r="AZ30" s="33">
        <f t="shared" si="25"/>
        <v>1.7085753621854252E-5</v>
      </c>
      <c r="BA30" s="40">
        <f t="shared" si="26"/>
        <v>4461863.3827617792</v>
      </c>
      <c r="BB30" s="33">
        <f t="shared" si="27"/>
        <v>3.7486781501842467E-5</v>
      </c>
      <c r="BC30" s="40">
        <f t="shared" si="28"/>
        <v>9096090.0742627811</v>
      </c>
      <c r="BD30" s="41">
        <f t="shared" si="29"/>
        <v>4.6877879973318529E-5</v>
      </c>
      <c r="BE30" s="40">
        <f t="shared" si="30"/>
        <v>8613781.7080908678</v>
      </c>
      <c r="BF30" s="41">
        <f t="shared" si="31"/>
        <v>4.4392241252181885E-5</v>
      </c>
      <c r="BG30" s="11"/>
      <c r="BH30" t="s">
        <v>330</v>
      </c>
      <c r="BI30">
        <v>244870</v>
      </c>
      <c r="BJ30">
        <v>140905</v>
      </c>
      <c r="BK30" s="51">
        <v>36418.5</v>
      </c>
      <c r="BL30" s="32">
        <f t="shared" si="5"/>
        <v>5131548742.5</v>
      </c>
      <c r="BM30">
        <v>6238</v>
      </c>
      <c r="BN30" s="37">
        <f t="shared" si="6"/>
        <v>2.5474741699677381E-2</v>
      </c>
      <c r="BO30" s="50">
        <f t="shared" si="32"/>
        <v>1834049</v>
      </c>
      <c r="BP30" s="3">
        <f t="shared" si="33"/>
        <v>18340.490000000002</v>
      </c>
      <c r="BQ30" s="11">
        <f>+'Rev mile pop elasticities'!P60</f>
        <v>2.6265690832605052E-2</v>
      </c>
      <c r="BR30" s="11">
        <f>+'Rev mile pop elasticities'!Q60</f>
        <v>5.38777640241761E-2</v>
      </c>
      <c r="BS30" s="11">
        <f>+'Rev mile pop elasticities'!R60</f>
        <v>7.2064711309674512E-2</v>
      </c>
      <c r="BT30" s="11">
        <f>+'Rev mile pop elasticities'!S60</f>
        <v>6.380261529178749E-2</v>
      </c>
      <c r="BU30" s="32">
        <f t="shared" si="34"/>
        <v>1347836.7276294825</v>
      </c>
      <c r="BV30" s="33">
        <f t="shared" si="35"/>
        <v>2.6265690832605055E-4</v>
      </c>
      <c r="BW30" s="40">
        <f t="shared" si="36"/>
        <v>2764763.7222697265</v>
      </c>
      <c r="BX30" s="33">
        <f t="shared" si="37"/>
        <v>5.3877764024176102E-4</v>
      </c>
      <c r="BY30" s="40">
        <f t="shared" si="38"/>
        <v>4495396.6914974963</v>
      </c>
      <c r="BZ30" s="41">
        <f t="shared" si="39"/>
        <v>7.2064711309674523E-4</v>
      </c>
      <c r="CA30" s="40">
        <f t="shared" si="40"/>
        <v>3980007.141901704</v>
      </c>
      <c r="CB30" s="41">
        <f t="shared" si="41"/>
        <v>6.3802615291787496E-4</v>
      </c>
      <c r="CD30" s="70">
        <f t="shared" si="42"/>
        <v>0.14348696964682925</v>
      </c>
      <c r="CE30" s="70">
        <f t="shared" si="43"/>
        <v>0.88173560257114914</v>
      </c>
      <c r="CF30" s="70">
        <f t="shared" si="44"/>
        <v>1.0252225722179784</v>
      </c>
      <c r="CG30" s="70">
        <f t="shared" si="45"/>
        <v>0.48937483181760566</v>
      </c>
      <c r="CH30" s="70">
        <f t="shared" si="46"/>
        <v>1.9345608398392034</v>
      </c>
      <c r="CI30" s="70">
        <f t="shared" si="47"/>
        <v>2.423935671656809</v>
      </c>
      <c r="CJ30" s="69">
        <f t="shared" si="48"/>
        <v>0.6417929805278515</v>
      </c>
      <c r="CK30" s="69">
        <f t="shared" si="49"/>
        <v>3.9438544266738154</v>
      </c>
      <c r="CL30" s="70">
        <f t="shared" si="50"/>
        <v>4.5856474072016669</v>
      </c>
      <c r="CM30" s="69">
        <f t="shared" si="51"/>
        <v>0.94475505256311321</v>
      </c>
      <c r="CN30" s="69">
        <f t="shared" si="52"/>
        <v>3.734736666249364</v>
      </c>
      <c r="CO30" s="70">
        <f t="shared" si="53"/>
        <v>4.6794917188124767</v>
      </c>
      <c r="CQ30" s="70">
        <f t="shared" si="54"/>
        <v>0.27362543417870405</v>
      </c>
      <c r="CR30" s="70">
        <f t="shared" si="55"/>
        <v>9.5655706158722715</v>
      </c>
      <c r="CS30" s="70">
        <f t="shared" si="56"/>
        <v>9.8391960500509761</v>
      </c>
      <c r="CT30" s="70">
        <f t="shared" si="57"/>
        <v>1.080747197976865</v>
      </c>
      <c r="CU30" s="70">
        <f t="shared" si="58"/>
        <v>19.621473491144577</v>
      </c>
      <c r="CV30" s="70">
        <f t="shared" si="59"/>
        <v>20.702220689121443</v>
      </c>
      <c r="CW30" s="69">
        <f t="shared" si="60"/>
        <v>0.91261415147803537</v>
      </c>
      <c r="CX30" s="69">
        <f t="shared" si="61"/>
        <v>31.903741467637744</v>
      </c>
      <c r="CY30" s="70">
        <f t="shared" si="62"/>
        <v>32.816355619115782</v>
      </c>
      <c r="CZ30" s="69">
        <f t="shared" si="63"/>
        <v>1.5557863161655519</v>
      </c>
      <c r="DA30" s="69">
        <f t="shared" si="64"/>
        <v>28.246032020877216</v>
      </c>
      <c r="DB30" s="70">
        <f t="shared" si="65"/>
        <v>29.801818337042768</v>
      </c>
    </row>
    <row r="31" spans="1:106">
      <c r="A31" s="3" t="s">
        <v>333</v>
      </c>
      <c r="B31">
        <v>2730007</v>
      </c>
      <c r="C31">
        <v>1576110</v>
      </c>
      <c r="D31" s="34">
        <v>38033.29</v>
      </c>
      <c r="E31" s="32">
        <f t="shared" si="0"/>
        <v>59944648701.900002</v>
      </c>
      <c r="F31" s="1">
        <v>98666</v>
      </c>
      <c r="G31" s="37">
        <f t="shared" si="1"/>
        <v>3.6141299271393812E-2</v>
      </c>
      <c r="H31" s="50">
        <f>+'Revenue mile elasticities'!C60</f>
        <v>81856</v>
      </c>
      <c r="I31" s="16">
        <f>+'Track mile elasticities'!F61</f>
        <v>9.7266839818983982E-5</v>
      </c>
      <c r="J31" s="16">
        <f>+'Revenue mile elasticities'!F60</f>
        <v>9.2763625699346874E-5</v>
      </c>
      <c r="K31" s="16">
        <f>+'Revenue mile elasticities'!G60</f>
        <v>3.1637844075420101E-4</v>
      </c>
      <c r="L31" s="16">
        <f>+'Revenue mile elasticities'!H60</f>
        <v>2.5451391888629468E-4</v>
      </c>
      <c r="M31" s="16">
        <f>+'Revenue mile elasticities'!I60</f>
        <v>3.7465867984050116E-4</v>
      </c>
      <c r="N31" s="32">
        <f t="shared" si="7"/>
        <v>55606.829548618916</v>
      </c>
      <c r="O31" s="35">
        <f t="shared" si="8"/>
        <v>9.2763625699346878E-7</v>
      </c>
      <c r="P31" s="36">
        <f t="shared" si="9"/>
        <v>189651.94487865461</v>
      </c>
      <c r="Q31" s="35">
        <f t="shared" si="10"/>
        <v>3.16378440754201E-6</v>
      </c>
      <c r="R31" s="36">
        <f t="shared" si="11"/>
        <v>251118.70320835157</v>
      </c>
      <c r="S31" s="33">
        <f t="shared" si="12"/>
        <v>2.5451391888629473E-6</v>
      </c>
      <c r="T31" s="36">
        <f t="shared" si="13"/>
        <v>369660.73305142892</v>
      </c>
      <c r="U31" s="33">
        <f t="shared" si="14"/>
        <v>3.7465867984050122E-6</v>
      </c>
      <c r="V31" s="11"/>
      <c r="W31" t="s">
        <v>332</v>
      </c>
      <c r="X31">
        <v>1123146</v>
      </c>
      <c r="Y31">
        <v>683998</v>
      </c>
      <c r="Z31" s="51">
        <v>40845.019999999997</v>
      </c>
      <c r="AA31" s="32">
        <f t="shared" si="3"/>
        <v>27937911989.959999</v>
      </c>
      <c r="AB31">
        <v>48442</v>
      </c>
      <c r="AC31" s="37">
        <f t="shared" si="4"/>
        <v>4.3130634841774804E-2</v>
      </c>
      <c r="AD31" s="50">
        <f>+'Revenue mile elasticities'!M60</f>
        <v>2791997</v>
      </c>
      <c r="AE31" s="3">
        <f t="shared" si="15"/>
        <v>27919.97</v>
      </c>
      <c r="AF31" s="11">
        <f>+'Revenue mile elasticities'!P60</f>
        <v>2.2792647897512328E-3</v>
      </c>
      <c r="AG31" s="11">
        <f>+'Revenue mile elasticities'!Q60</f>
        <v>9.0024856145580114E-3</v>
      </c>
      <c r="AH31" s="11">
        <f>+'Revenue mile elasticities'!R60</f>
        <v>6.2535784845160177E-3</v>
      </c>
      <c r="AI31" s="11">
        <f>+'Revenue mile elasticities'!S60</f>
        <v>1.0660838227766067E-2</v>
      </c>
      <c r="AJ31" s="32">
        <f t="shared" si="16"/>
        <v>636778.99097884621</v>
      </c>
      <c r="AK31" s="33">
        <f t="shared" si="17"/>
        <v>2.2792647897512328E-5</v>
      </c>
      <c r="AL31" s="40">
        <f t="shared" si="18"/>
        <v>2515106.5079040267</v>
      </c>
      <c r="AM31" s="33">
        <f t="shared" si="19"/>
        <v>9.0024856145580107E-5</v>
      </c>
      <c r="AN31" s="40">
        <f t="shared" si="20"/>
        <v>3029358.4894692493</v>
      </c>
      <c r="AO31" s="41">
        <f t="shared" si="21"/>
        <v>6.2535784845160186E-5</v>
      </c>
      <c r="AP31" s="40">
        <f t="shared" si="22"/>
        <v>5164323.2542944383</v>
      </c>
      <c r="AQ31" s="41">
        <f t="shared" si="23"/>
        <v>1.0660838227766066E-4</v>
      </c>
      <c r="AR31" s="53"/>
      <c r="AS31" s="53"/>
      <c r="AT31" s="3" t="s">
        <v>333</v>
      </c>
      <c r="AU31" s="11">
        <f>+'Rev mile pop elasticities'!F61</f>
        <v>5.0165305979068913E-4</v>
      </c>
      <c r="AV31" s="11">
        <f>+'Rev mile pop elasticities'!G61</f>
        <v>1.1006455470627E-3</v>
      </c>
      <c r="AW31" s="11">
        <f>+'Rev mile pop elasticities'!H61</f>
        <v>1.3763766261405191E-3</v>
      </c>
      <c r="AX31" s="11">
        <f>+'Rev mile pop elasticities'!I61</f>
        <v>1.30339604257425E-3</v>
      </c>
      <c r="AY31" s="32">
        <f t="shared" si="24"/>
        <v>300714.16439386096</v>
      </c>
      <c r="AZ31" s="33">
        <f t="shared" si="25"/>
        <v>5.0165305979068912E-6</v>
      </c>
      <c r="BA31" s="40">
        <f t="shared" si="26"/>
        <v>659778.10663984099</v>
      </c>
      <c r="BB31" s="33">
        <f t="shared" si="27"/>
        <v>1.1006455470627E-5</v>
      </c>
      <c r="BC31" s="40">
        <f t="shared" si="28"/>
        <v>1358015.7619478046</v>
      </c>
      <c r="BD31" s="41">
        <f t="shared" si="29"/>
        <v>1.3763766261405191E-5</v>
      </c>
      <c r="BE31" s="40">
        <f t="shared" si="30"/>
        <v>1286008.7393663095</v>
      </c>
      <c r="BF31" s="41">
        <f t="shared" si="31"/>
        <v>1.30339604257425E-5</v>
      </c>
      <c r="BG31" s="11"/>
      <c r="BH31" t="s">
        <v>332</v>
      </c>
      <c r="BI31">
        <v>1123146</v>
      </c>
      <c r="BJ31">
        <v>683998</v>
      </c>
      <c r="BK31" s="51">
        <v>40845.019999999997</v>
      </c>
      <c r="BL31" s="32">
        <f t="shared" si="5"/>
        <v>27937911989.959999</v>
      </c>
      <c r="BM31">
        <v>48442</v>
      </c>
      <c r="BN31" s="37">
        <f t="shared" si="6"/>
        <v>4.3130634841774804E-2</v>
      </c>
      <c r="BO31" s="50">
        <f t="shared" si="32"/>
        <v>2791997</v>
      </c>
      <c r="BP31" s="3">
        <f t="shared" si="33"/>
        <v>27919.97</v>
      </c>
      <c r="BQ31" s="11">
        <f>+'Rev mile pop elasticities'!P61</f>
        <v>8.7175050434582842E-3</v>
      </c>
      <c r="BR31" s="11">
        <f>+'Rev mile pop elasticities'!Q61</f>
        <v>1.7881870406696906E-2</v>
      </c>
      <c r="BS31" s="11">
        <f>+'Rev mile pop elasticities'!R61</f>
        <v>2.3918064379163526E-2</v>
      </c>
      <c r="BT31" s="11">
        <f>+'Rev mile pop elasticities'!S61</f>
        <v>2.1175899165825282E-2</v>
      </c>
      <c r="BU31" s="32">
        <f t="shared" si="34"/>
        <v>2435488.8867616993</v>
      </c>
      <c r="BV31" s="33">
        <f t="shared" si="35"/>
        <v>8.7175050434582839E-5</v>
      </c>
      <c r="BW31" s="40">
        <f t="shared" si="36"/>
        <v>4995821.2163816839</v>
      </c>
      <c r="BX31" s="33">
        <f t="shared" si="37"/>
        <v>1.7881870406696905E-4</v>
      </c>
      <c r="BY31" s="40">
        <f t="shared" si="38"/>
        <v>11586388.746554395</v>
      </c>
      <c r="BZ31" s="41">
        <f t="shared" si="39"/>
        <v>2.3918064379163526E-4</v>
      </c>
      <c r="CA31" s="40">
        <f t="shared" si="40"/>
        <v>10258029.073909083</v>
      </c>
      <c r="CB31" s="41">
        <f t="shared" si="41"/>
        <v>2.1175899165825282E-4</v>
      </c>
      <c r="CD31" s="70">
        <f t="shared" si="42"/>
        <v>3.5281058776747129E-2</v>
      </c>
      <c r="CE31" s="70">
        <f t="shared" si="43"/>
        <v>0.19079516302406618</v>
      </c>
      <c r="CF31" s="70">
        <f t="shared" si="44"/>
        <v>0.22607622180081333</v>
      </c>
      <c r="CG31" s="70">
        <f t="shared" si="45"/>
        <v>0.12032912986952346</v>
      </c>
      <c r="CH31" s="70">
        <f t="shared" si="46"/>
        <v>0.41861171278644321</v>
      </c>
      <c r="CI31" s="70">
        <f t="shared" si="47"/>
        <v>0.53894084265596665</v>
      </c>
      <c r="CJ31" s="69">
        <f t="shared" si="48"/>
        <v>0.15932815806533274</v>
      </c>
      <c r="CK31" s="69">
        <f t="shared" si="49"/>
        <v>0.86162498933945253</v>
      </c>
      <c r="CL31" s="70">
        <f t="shared" si="50"/>
        <v>1.0209531474047853</v>
      </c>
      <c r="CM31" s="69">
        <f t="shared" si="51"/>
        <v>0.23453993252465177</v>
      </c>
      <c r="CN31" s="69">
        <f t="shared" si="52"/>
        <v>0.81593844298069895</v>
      </c>
      <c r="CO31" s="70">
        <f t="shared" si="53"/>
        <v>1.0504783755053508</v>
      </c>
      <c r="CQ31" s="70">
        <f t="shared" si="54"/>
        <v>0.93096615922684889</v>
      </c>
      <c r="CR31" s="70">
        <f t="shared" si="55"/>
        <v>3.5606666785015442</v>
      </c>
      <c r="CS31" s="70">
        <f t="shared" si="56"/>
        <v>4.4916328377283934</v>
      </c>
      <c r="CT31" s="70">
        <f t="shared" si="57"/>
        <v>3.6770670497633424</v>
      </c>
      <c r="CU31" s="70">
        <f t="shared" si="58"/>
        <v>7.3038535439894323</v>
      </c>
      <c r="CV31" s="70">
        <f t="shared" si="59"/>
        <v>10.980920593752774</v>
      </c>
      <c r="CW31" s="69">
        <f t="shared" si="60"/>
        <v>4.4288996305095178</v>
      </c>
      <c r="CX31" s="69">
        <f t="shared" si="61"/>
        <v>16.939214364010414</v>
      </c>
      <c r="CY31" s="70">
        <f t="shared" si="62"/>
        <v>21.368113994519931</v>
      </c>
      <c r="CZ31" s="69">
        <f t="shared" si="63"/>
        <v>7.5502022729517311</v>
      </c>
      <c r="DA31" s="69">
        <f t="shared" si="64"/>
        <v>14.997162380458837</v>
      </c>
      <c r="DB31" s="70">
        <f t="shared" si="65"/>
        <v>22.547364653410568</v>
      </c>
    </row>
    <row r="32" spans="1:106">
      <c r="A32" s="3" t="s">
        <v>337</v>
      </c>
      <c r="B32">
        <v>5377936</v>
      </c>
      <c r="C32">
        <v>3904006</v>
      </c>
      <c r="D32" s="34">
        <v>55048.91</v>
      </c>
      <c r="E32" s="32">
        <f t="shared" si="0"/>
        <v>214911274933.46002</v>
      </c>
      <c r="F32" s="1">
        <v>312626</v>
      </c>
      <c r="G32" s="37">
        <f t="shared" si="1"/>
        <v>5.8131223577223681E-2</v>
      </c>
      <c r="H32" s="50">
        <f>+'Revenue mile elasticities'!C61</f>
        <v>16300000</v>
      </c>
      <c r="I32" s="16">
        <f>+'Track mile elasticities'!F63</f>
        <v>6.2468096952408769E-3</v>
      </c>
      <c r="J32" s="16">
        <f>+'Revenue mile elasticities'!F61</f>
        <v>8.7070644583253382E-3</v>
      </c>
      <c r="K32" s="16">
        <f>+'Revenue mile elasticities'!G61</f>
        <v>2.9696203184204427E-2</v>
      </c>
      <c r="L32" s="16">
        <f>+'Revenue mile elasticities'!H61</f>
        <v>2.3889418730423311E-2</v>
      </c>
      <c r="M32" s="16">
        <f>+'Revenue mile elasticities'!I61</f>
        <v>3.5166556402347351E-2</v>
      </c>
      <c r="N32" s="32">
        <f t="shared" si="7"/>
        <v>18712463.236665148</v>
      </c>
      <c r="O32" s="35">
        <f t="shared" si="8"/>
        <v>8.7070644583253382E-5</v>
      </c>
      <c r="P32" s="36">
        <f t="shared" si="9"/>
        <v>63820488.870004483</v>
      </c>
      <c r="Q32" s="35">
        <f t="shared" si="10"/>
        <v>2.9696203184204425E-4</v>
      </c>
      <c r="R32" s="36">
        <f t="shared" si="11"/>
        <v>74684534.200173184</v>
      </c>
      <c r="S32" s="33">
        <f t="shared" si="12"/>
        <v>2.3889418730423312E-4</v>
      </c>
      <c r="T32" s="36">
        <f t="shared" si="13"/>
        <v>109939798.61840244</v>
      </c>
      <c r="U32" s="33">
        <f t="shared" si="14"/>
        <v>3.5166556402347352E-4</v>
      </c>
      <c r="V32" s="11"/>
      <c r="W32" t="s">
        <v>334</v>
      </c>
      <c r="X32">
        <v>104629</v>
      </c>
      <c r="Y32">
        <v>79821</v>
      </c>
      <c r="Z32" s="51">
        <v>34038.949999999997</v>
      </c>
      <c r="AA32" s="32">
        <f t="shared" si="3"/>
        <v>2717023027.9499998</v>
      </c>
      <c r="AB32">
        <v>3724</v>
      </c>
      <c r="AC32" s="37">
        <f t="shared" si="4"/>
        <v>3.5592426573894428E-2</v>
      </c>
      <c r="AD32" s="50">
        <f>+'Revenue mile elasticities'!M61</f>
        <v>305000</v>
      </c>
      <c r="AE32" s="3">
        <f t="shared" si="15"/>
        <v>3050</v>
      </c>
      <c r="AF32" s="11">
        <f>+'Revenue mile elasticities'!P61</f>
        <v>1.9283064463351669E-4</v>
      </c>
      <c r="AG32" s="11">
        <f>+'Revenue mile elasticities'!Q61</f>
        <v>7.6162941320593583E-4</v>
      </c>
      <c r="AH32" s="11">
        <f>+'Revenue mile elasticities'!R61</f>
        <v>5.2906602859737427E-4</v>
      </c>
      <c r="AI32" s="11">
        <f>+'Revenue mile elasticities'!S61</f>
        <v>9.0192956827018719E-4</v>
      </c>
      <c r="AJ32" s="32">
        <f t="shared" si="16"/>
        <v>5239.253019637079</v>
      </c>
      <c r="AK32" s="33">
        <f t="shared" si="17"/>
        <v>1.9283064463351668E-6</v>
      </c>
      <c r="AL32" s="40">
        <f t="shared" si="18"/>
        <v>20693.646544445735</v>
      </c>
      <c r="AM32" s="33">
        <f t="shared" si="19"/>
        <v>7.6162941320593589E-6</v>
      </c>
      <c r="AN32" s="40">
        <f t="shared" si="20"/>
        <v>19702.41890496622</v>
      </c>
      <c r="AO32" s="41">
        <f t="shared" si="21"/>
        <v>5.290660285973743E-6</v>
      </c>
      <c r="AP32" s="40">
        <f t="shared" si="22"/>
        <v>33587.857122381771</v>
      </c>
      <c r="AQ32" s="41">
        <f t="shared" si="23"/>
        <v>9.0192956827018722E-6</v>
      </c>
      <c r="AR32" s="53"/>
      <c r="AS32" s="53"/>
      <c r="AT32" s="3" t="s">
        <v>337</v>
      </c>
      <c r="AU32" s="11">
        <f>+'Rev mile pop elasticities'!F62</f>
        <v>5.0709424582218901E-2</v>
      </c>
      <c r="AV32" s="11">
        <f>+'Rev mile pop elasticities'!G62</f>
        <v>0.11125837124130894</v>
      </c>
      <c r="AW32" s="11">
        <f>+'Rev mile pop elasticities'!H62</f>
        <v>0.13913055120031179</v>
      </c>
      <c r="AX32" s="11">
        <f>+'Rev mile pop elasticities'!I62</f>
        <v>0.13175333436470796</v>
      </c>
      <c r="AY32" s="32">
        <f t="shared" si="24"/>
        <v>108980270.88106804</v>
      </c>
      <c r="AZ32" s="33">
        <f t="shared" si="25"/>
        <v>5.0709424582218903E-4</v>
      </c>
      <c r="BA32" s="40">
        <f t="shared" si="26"/>
        <v>239106784.10489911</v>
      </c>
      <c r="BB32" s="33">
        <f t="shared" si="27"/>
        <v>1.1125837124130896E-3</v>
      </c>
      <c r="BC32" s="40">
        <f t="shared" si="28"/>
        <v>434958276.99548674</v>
      </c>
      <c r="BD32" s="41">
        <f t="shared" si="29"/>
        <v>1.3913055120031179E-3</v>
      </c>
      <c r="BE32" s="40">
        <f t="shared" si="30"/>
        <v>411895179.09101188</v>
      </c>
      <c r="BF32" s="41">
        <f t="shared" si="31"/>
        <v>1.3175333436470796E-3</v>
      </c>
      <c r="BG32" s="11"/>
      <c r="BH32" t="s">
        <v>334</v>
      </c>
      <c r="BI32">
        <v>104629</v>
      </c>
      <c r="BJ32">
        <v>79821</v>
      </c>
      <c r="BK32" s="51">
        <v>34038.949999999997</v>
      </c>
      <c r="BL32" s="32">
        <f t="shared" si="5"/>
        <v>2717023027.9499998</v>
      </c>
      <c r="BM32">
        <v>3724</v>
      </c>
      <c r="BN32" s="37">
        <f t="shared" si="6"/>
        <v>3.5592426573894428E-2</v>
      </c>
      <c r="BO32" s="50">
        <f t="shared" si="32"/>
        <v>305000</v>
      </c>
      <c r="BP32" s="3">
        <f t="shared" si="33"/>
        <v>3050</v>
      </c>
      <c r="BQ32" s="11">
        <f>+'Rev mile pop elasticities'!P62</f>
        <v>1.0222596985539381E-2</v>
      </c>
      <c r="BR32" s="11">
        <f>+'Rev mile pop elasticities'!Q62</f>
        <v>2.096920547840465E-2</v>
      </c>
      <c r="BS32" s="11">
        <f>+'Rev mile pop elasticities'!R62</f>
        <v>2.8047558516281334E-2</v>
      </c>
      <c r="BT32" s="11">
        <f>+'Rev mile pop elasticities'!S62</f>
        <v>2.483195385600551E-2</v>
      </c>
      <c r="BU32" s="32">
        <f t="shared" si="34"/>
        <v>277750.31415162754</v>
      </c>
      <c r="BV32" s="33">
        <f t="shared" si="35"/>
        <v>1.0222596985539382E-4</v>
      </c>
      <c r="BW32" s="40">
        <f t="shared" si="36"/>
        <v>569738.14162640728</v>
      </c>
      <c r="BX32" s="33">
        <f t="shared" si="37"/>
        <v>2.0969205478404651E-4</v>
      </c>
      <c r="BY32" s="40">
        <f t="shared" si="38"/>
        <v>1044491.0791463169</v>
      </c>
      <c r="BZ32" s="41">
        <f t="shared" si="39"/>
        <v>2.8047558516281331E-4</v>
      </c>
      <c r="CA32" s="40">
        <f t="shared" si="40"/>
        <v>924741.96159764519</v>
      </c>
      <c r="CB32" s="41">
        <f t="shared" si="41"/>
        <v>2.4831953856005511E-4</v>
      </c>
      <c r="CD32" s="70">
        <f t="shared" si="42"/>
        <v>4.7931440773055032</v>
      </c>
      <c r="CE32" s="70">
        <f t="shared" si="43"/>
        <v>27.914985499783565</v>
      </c>
      <c r="CF32" s="70">
        <f t="shared" si="44"/>
        <v>32.708129577089068</v>
      </c>
      <c r="CG32" s="70">
        <f t="shared" si="45"/>
        <v>16.347436164289832</v>
      </c>
      <c r="CH32" s="70">
        <f t="shared" si="46"/>
        <v>61.246520652094055</v>
      </c>
      <c r="CI32" s="70">
        <f t="shared" si="47"/>
        <v>77.593956816383894</v>
      </c>
      <c r="CJ32" s="69">
        <f t="shared" si="48"/>
        <v>19.130230383911599</v>
      </c>
      <c r="CK32" s="69">
        <f t="shared" si="49"/>
        <v>111.41332185336978</v>
      </c>
      <c r="CL32" s="70">
        <f t="shared" si="50"/>
        <v>130.54355223728138</v>
      </c>
      <c r="CM32" s="69">
        <f t="shared" si="51"/>
        <v>28.160765792471231</v>
      </c>
      <c r="CN32" s="69">
        <f t="shared" si="52"/>
        <v>105.50577511689579</v>
      </c>
      <c r="CO32" s="70">
        <f t="shared" si="53"/>
        <v>133.66654090936703</v>
      </c>
      <c r="CQ32" s="70">
        <f t="shared" si="54"/>
        <v>6.5637526711480418E-2</v>
      </c>
      <c r="CR32" s="70">
        <f t="shared" si="55"/>
        <v>3.4796646766092576</v>
      </c>
      <c r="CS32" s="70">
        <f t="shared" si="56"/>
        <v>3.545302203320738</v>
      </c>
      <c r="CT32" s="70">
        <f t="shared" si="57"/>
        <v>0.25925065514646189</v>
      </c>
      <c r="CU32" s="70">
        <f t="shared" si="58"/>
        <v>7.1376973681914189</v>
      </c>
      <c r="CV32" s="70">
        <f t="shared" si="59"/>
        <v>7.396948023337881</v>
      </c>
      <c r="CW32" s="69">
        <f t="shared" si="60"/>
        <v>0.24683252408471731</v>
      </c>
      <c r="CX32" s="69">
        <f t="shared" si="61"/>
        <v>13.085417110112838</v>
      </c>
      <c r="CY32" s="70">
        <f t="shared" si="62"/>
        <v>13.332249634197554</v>
      </c>
      <c r="CZ32" s="69">
        <f t="shared" si="63"/>
        <v>0.42078973105300321</v>
      </c>
      <c r="DA32" s="69">
        <f t="shared" si="64"/>
        <v>11.585196396908648</v>
      </c>
      <c r="DB32" s="70">
        <f t="shared" si="65"/>
        <v>12.005986127961652</v>
      </c>
    </row>
    <row r="33" spans="1:106">
      <c r="A33" s="3"/>
      <c r="W33" t="s">
        <v>336</v>
      </c>
      <c r="X33">
        <v>158521</v>
      </c>
      <c r="Y33">
        <v>84568</v>
      </c>
      <c r="Z33" s="51">
        <v>32417.74</v>
      </c>
      <c r="AA33" s="32">
        <f t="shared" si="3"/>
        <v>2741503436.3200002</v>
      </c>
      <c r="AB33">
        <v>3741</v>
      </c>
      <c r="AC33" s="37">
        <f t="shared" si="4"/>
        <v>2.3599396925328506E-2</v>
      </c>
      <c r="AD33" s="50">
        <f>+'Revenue mile elasticities'!M62</f>
        <v>710852</v>
      </c>
      <c r="AE33" s="3">
        <f t="shared" si="15"/>
        <v>7108.52</v>
      </c>
      <c r="AF33" s="11">
        <f>+'Revenue mile elasticities'!P62</f>
        <v>8.1542978521626061E-4</v>
      </c>
      <c r="AG33" s="11">
        <f>+'Revenue mile elasticities'!Q62</f>
        <v>3.220729308898212E-3</v>
      </c>
      <c r="AH33" s="11">
        <f>+'Revenue mile elasticities'!R62</f>
        <v>2.2372802771276467E-3</v>
      </c>
      <c r="AI33" s="11">
        <f>+'Revenue mile elasticities'!S62</f>
        <v>3.8140215500110405E-3</v>
      </c>
      <c r="AJ33" s="32">
        <f t="shared" si="16"/>
        <v>22355.035582480581</v>
      </c>
      <c r="AK33" s="33">
        <f t="shared" si="17"/>
        <v>8.1542978521626052E-6</v>
      </c>
      <c r="AL33" s="40">
        <f t="shared" si="18"/>
        <v>88296.404678009872</v>
      </c>
      <c r="AM33" s="33">
        <f t="shared" si="19"/>
        <v>3.2207293088982119E-5</v>
      </c>
      <c r="AN33" s="40">
        <f t="shared" si="20"/>
        <v>83696.655167345278</v>
      </c>
      <c r="AO33" s="41">
        <f t="shared" si="21"/>
        <v>2.2372802771276471E-5</v>
      </c>
      <c r="AP33" s="40">
        <f t="shared" si="22"/>
        <v>142682.54618591303</v>
      </c>
      <c r="AQ33" s="41">
        <f t="shared" si="23"/>
        <v>3.8140215500110409E-5</v>
      </c>
      <c r="AR33" s="53"/>
      <c r="AS33" s="53"/>
      <c r="AT33" s="3"/>
      <c r="BH33" t="s">
        <v>336</v>
      </c>
      <c r="BI33">
        <v>158521</v>
      </c>
      <c r="BJ33">
        <v>84568</v>
      </c>
      <c r="BK33" s="51">
        <v>32417.74</v>
      </c>
      <c r="BL33" s="32">
        <f t="shared" si="5"/>
        <v>2741503436.3200002</v>
      </c>
      <c r="BM33">
        <v>3741</v>
      </c>
      <c r="BN33" s="37">
        <f t="shared" si="6"/>
        <v>2.3599396925328506E-2</v>
      </c>
      <c r="BO33" s="50">
        <f t="shared" si="32"/>
        <v>710852</v>
      </c>
      <c r="BP33" s="3">
        <f t="shared" si="33"/>
        <v>7108.52</v>
      </c>
      <c r="BQ33" s="11">
        <f>+'Rev mile pop elasticities'!P63</f>
        <v>1.5725550625090678E-2</v>
      </c>
      <c r="BR33" s="11">
        <f>+'Rev mile pop elasticities'!Q63</f>
        <v>3.2257194799427208E-2</v>
      </c>
      <c r="BS33" s="11">
        <f>+'Rev mile pop elasticities'!R63</f>
        <v>4.3145915072450962E-2</v>
      </c>
      <c r="BT33" s="11">
        <f>+'Rev mile pop elasticities'!S63</f>
        <v>3.8199309630900638E-2</v>
      </c>
      <c r="BU33" s="32">
        <f t="shared" si="34"/>
        <v>431116.51076710224</v>
      </c>
      <c r="BV33" s="33">
        <f t="shared" si="35"/>
        <v>1.5725550625090678E-4</v>
      </c>
      <c r="BW33" s="40">
        <f t="shared" si="36"/>
        <v>884332.1038867333</v>
      </c>
      <c r="BX33" s="33">
        <f t="shared" si="37"/>
        <v>3.2257194799427207E-4</v>
      </c>
      <c r="BY33" s="40">
        <f t="shared" si="38"/>
        <v>1614088.6828603905</v>
      </c>
      <c r="BZ33" s="41">
        <f t="shared" si="39"/>
        <v>4.3145915072450962E-4</v>
      </c>
      <c r="CA33" s="40">
        <f t="shared" si="40"/>
        <v>1429036.1732919926</v>
      </c>
      <c r="CB33" s="41">
        <f t="shared" si="41"/>
        <v>3.819930963090063E-4</v>
      </c>
      <c r="CD33" s="70"/>
      <c r="CE33" s="70"/>
      <c r="CF33" s="70"/>
      <c r="CG33" s="70"/>
      <c r="CH33" s="70"/>
      <c r="CI33" s="70"/>
      <c r="CJ33" s="69"/>
      <c r="CK33" s="69"/>
      <c r="CL33" s="70"/>
      <c r="CM33" s="69"/>
      <c r="CN33" s="69"/>
      <c r="CO33" s="70"/>
      <c r="CQ33" s="70">
        <f t="shared" si="54"/>
        <v>0.26434390765396582</v>
      </c>
      <c r="CR33" s="70">
        <f t="shared" si="55"/>
        <v>5.0978681152102716</v>
      </c>
      <c r="CS33" s="70">
        <f t="shared" si="56"/>
        <v>5.3622120228642371</v>
      </c>
      <c r="CT33" s="70">
        <f t="shared" si="57"/>
        <v>1.0440876534624193</v>
      </c>
      <c r="CU33" s="70">
        <f t="shared" si="58"/>
        <v>10.457053541371835</v>
      </c>
      <c r="CV33" s="70">
        <f t="shared" si="59"/>
        <v>11.501141194834254</v>
      </c>
      <c r="CW33" s="69">
        <f t="shared" si="60"/>
        <v>0.98969651839165262</v>
      </c>
      <c r="CX33" s="69">
        <f t="shared" si="61"/>
        <v>19.086281842545532</v>
      </c>
      <c r="CY33" s="70">
        <f t="shared" si="62"/>
        <v>20.075978360937185</v>
      </c>
      <c r="CZ33" s="69">
        <f t="shared" si="63"/>
        <v>1.6871931012429409</v>
      </c>
      <c r="DA33" s="69">
        <f t="shared" si="64"/>
        <v>16.89807224117861</v>
      </c>
      <c r="DB33" s="70">
        <f t="shared" si="65"/>
        <v>18.58526534242155</v>
      </c>
    </row>
    <row r="34" spans="1:106">
      <c r="A34" s="3"/>
      <c r="W34" t="s">
        <v>338</v>
      </c>
      <c r="X34">
        <v>184165</v>
      </c>
      <c r="Y34">
        <v>105177</v>
      </c>
      <c r="Z34" s="51">
        <v>31276.44</v>
      </c>
      <c r="AA34" s="32">
        <f t="shared" si="3"/>
        <v>3289562129.8799996</v>
      </c>
      <c r="AB34">
        <v>4543</v>
      </c>
      <c r="AC34" s="37">
        <f t="shared" si="4"/>
        <v>2.4668096543860124E-2</v>
      </c>
      <c r="AD34" s="50">
        <f>+'Revenue mile elasticities'!M63</f>
        <v>976332</v>
      </c>
      <c r="AE34" s="3">
        <f t="shared" si="15"/>
        <v>9763.32</v>
      </c>
      <c r="AF34" s="11">
        <f>+'Revenue mile elasticities'!P63</f>
        <v>6.3195609599000634E-4</v>
      </c>
      <c r="AG34" s="11">
        <f>+'Revenue mile elasticities'!Q63</f>
        <v>2.4960573640955565E-3</v>
      </c>
      <c r="AH34" s="11">
        <f>+'Revenue mile elasticities'!R63</f>
        <v>1.7338867615610282E-3</v>
      </c>
      <c r="AI34" s="11">
        <f>+'Revenue mile elasticities'!S63</f>
        <v>2.9558574048500008E-3</v>
      </c>
      <c r="AJ34" s="32">
        <f t="shared" si="16"/>
        <v>20788.588411155346</v>
      </c>
      <c r="AK34" s="33">
        <f t="shared" si="17"/>
        <v>6.3195609599000631E-6</v>
      </c>
      <c r="AL34" s="40">
        <f t="shared" si="18"/>
        <v>82109.357789368369</v>
      </c>
      <c r="AM34" s="33">
        <f t="shared" si="19"/>
        <v>2.4960573640955566E-5</v>
      </c>
      <c r="AN34" s="40">
        <f t="shared" si="20"/>
        <v>78770.475577717501</v>
      </c>
      <c r="AO34" s="41">
        <f t="shared" si="21"/>
        <v>1.7338867615610279E-5</v>
      </c>
      <c r="AP34" s="40">
        <f t="shared" si="22"/>
        <v>134284.60190233553</v>
      </c>
      <c r="AQ34" s="41">
        <f t="shared" si="23"/>
        <v>2.9558574048500006E-5</v>
      </c>
      <c r="AR34" s="53"/>
      <c r="AS34" s="53"/>
      <c r="AT34" s="3"/>
      <c r="BH34" t="s">
        <v>338</v>
      </c>
      <c r="BI34">
        <v>184165</v>
      </c>
      <c r="BJ34">
        <v>105177</v>
      </c>
      <c r="BK34" s="51">
        <v>31276.44</v>
      </c>
      <c r="BL34" s="32">
        <f t="shared" si="5"/>
        <v>3289562129.8799996</v>
      </c>
      <c r="BM34">
        <v>4543</v>
      </c>
      <c r="BN34" s="37">
        <f t="shared" si="6"/>
        <v>2.4668096543860124E-2</v>
      </c>
      <c r="BO34" s="50">
        <f t="shared" si="32"/>
        <v>976332</v>
      </c>
      <c r="BP34" s="3">
        <f t="shared" si="33"/>
        <v>9763.32</v>
      </c>
      <c r="BQ34" s="11">
        <f>+'Rev mile pop elasticities'!P64</f>
        <v>1.8591049245187737E-2</v>
      </c>
      <c r="BR34" s="11">
        <f>+'Rev mile pop elasticities'!Q64</f>
        <v>3.8135077831292594E-2</v>
      </c>
      <c r="BS34" s="11">
        <f>+'Rev mile pop elasticities'!R64</f>
        <v>5.1007932947085485E-2</v>
      </c>
      <c r="BT34" s="11">
        <f>+'Rev mile pop elasticities'!S64</f>
        <v>4.5159960589688602E-2</v>
      </c>
      <c r="BU34" s="32">
        <f t="shared" si="34"/>
        <v>611564.11551703734</v>
      </c>
      <c r="BV34" s="33">
        <f t="shared" si="35"/>
        <v>1.8591049245187739E-4</v>
      </c>
      <c r="BW34" s="40">
        <f t="shared" si="36"/>
        <v>1254477.0785384641</v>
      </c>
      <c r="BX34" s="33">
        <f t="shared" si="37"/>
        <v>3.8135077831292591E-4</v>
      </c>
      <c r="BY34" s="40">
        <f t="shared" si="38"/>
        <v>2317290.3937860937</v>
      </c>
      <c r="BZ34" s="41">
        <f t="shared" si="39"/>
        <v>5.1007932947085487E-4</v>
      </c>
      <c r="CA34" s="40">
        <f t="shared" si="40"/>
        <v>2051617.0095895533</v>
      </c>
      <c r="CB34" s="41">
        <f t="shared" si="41"/>
        <v>4.5159960589688601E-4</v>
      </c>
      <c r="CD34" s="70"/>
      <c r="CE34" s="70"/>
      <c r="CF34" s="70"/>
      <c r="CG34" s="70"/>
      <c r="CH34" s="70"/>
      <c r="CI34" s="70"/>
      <c r="CJ34" s="69"/>
      <c r="CK34" s="69"/>
      <c r="CL34" s="70"/>
      <c r="CM34" s="69"/>
      <c r="CN34" s="69"/>
      <c r="CO34" s="70"/>
      <c r="CQ34" s="70">
        <f t="shared" si="54"/>
        <v>0.1976533691886567</v>
      </c>
      <c r="CR34" s="70">
        <f t="shared" si="55"/>
        <v>5.8146183625415953</v>
      </c>
      <c r="CS34" s="70">
        <f t="shared" si="56"/>
        <v>6.0122717317302516</v>
      </c>
      <c r="CT34" s="70">
        <f t="shared" si="57"/>
        <v>0.78067788384692827</v>
      </c>
      <c r="CU34" s="70">
        <f t="shared" si="58"/>
        <v>11.927294736857528</v>
      </c>
      <c r="CV34" s="70">
        <f t="shared" si="59"/>
        <v>12.707972620704457</v>
      </c>
      <c r="CW34" s="69">
        <f t="shared" si="60"/>
        <v>0.74893251925532678</v>
      </c>
      <c r="CX34" s="69">
        <f t="shared" si="61"/>
        <v>22.032292172110761</v>
      </c>
      <c r="CY34" s="70">
        <f t="shared" si="62"/>
        <v>22.781224691366088</v>
      </c>
      <c r="CZ34" s="69">
        <f t="shared" si="63"/>
        <v>1.2767487369133512</v>
      </c>
      <c r="DA34" s="69">
        <f t="shared" si="64"/>
        <v>19.506327520176022</v>
      </c>
      <c r="DB34" s="70">
        <f t="shared" si="65"/>
        <v>20.783076257089373</v>
      </c>
    </row>
    <row r="35" spans="1:106">
      <c r="A35" s="3"/>
      <c r="W35" t="s">
        <v>339</v>
      </c>
      <c r="X35">
        <v>165571</v>
      </c>
      <c r="Y35">
        <v>112403</v>
      </c>
      <c r="Z35" s="51">
        <v>40334.11</v>
      </c>
      <c r="AA35" s="32">
        <f t="shared" si="3"/>
        <v>4533674966.3299999</v>
      </c>
      <c r="AB35">
        <v>7490</v>
      </c>
      <c r="AC35" s="37">
        <f t="shared" si="4"/>
        <v>4.5237390605842809E-2</v>
      </c>
      <c r="AD35" s="50">
        <f>+'Revenue mile elasticities'!M64</f>
        <v>1083044</v>
      </c>
      <c r="AE35" s="3">
        <f t="shared" si="15"/>
        <v>10830.44</v>
      </c>
      <c r="AF35" s="11">
        <f>+'Revenue mile elasticities'!P64</f>
        <v>7.4463714227064864E-4</v>
      </c>
      <c r="AG35" s="11">
        <f>+'Revenue mile elasticities'!Q64</f>
        <v>2.9411173249812524E-3</v>
      </c>
      <c r="AH35" s="11">
        <f>+'Revenue mile elasticities'!R64</f>
        <v>2.0430477549664007E-3</v>
      </c>
      <c r="AI35" s="11">
        <f>+'Revenue mile elasticities'!S64</f>
        <v>3.4829020953725358E-3</v>
      </c>
      <c r="AJ35" s="32">
        <f t="shared" si="16"/>
        <v>33759.427709119504</v>
      </c>
      <c r="AK35" s="33">
        <f t="shared" si="17"/>
        <v>7.4463714227064867E-6</v>
      </c>
      <c r="AL35" s="40">
        <f t="shared" si="18"/>
        <v>133340.6998930696</v>
      </c>
      <c r="AM35" s="33">
        <f t="shared" si="19"/>
        <v>2.9411173249812527E-5</v>
      </c>
      <c r="AN35" s="40">
        <f t="shared" si="20"/>
        <v>153024.27684698338</v>
      </c>
      <c r="AO35" s="41">
        <f t="shared" si="21"/>
        <v>2.0430477549664004E-5</v>
      </c>
      <c r="AP35" s="40">
        <f t="shared" si="22"/>
        <v>260869.36694340291</v>
      </c>
      <c r="AQ35" s="41">
        <f t="shared" si="23"/>
        <v>3.4829020953725356E-5</v>
      </c>
      <c r="AR35" s="53"/>
      <c r="AS35" s="53"/>
      <c r="AT35" s="3"/>
      <c r="BH35" t="s">
        <v>339</v>
      </c>
      <c r="BI35">
        <v>165571</v>
      </c>
      <c r="BJ35">
        <v>112403</v>
      </c>
      <c r="BK35" s="51">
        <v>40334.11</v>
      </c>
      <c r="BL35" s="32">
        <f t="shared" si="5"/>
        <v>4533674966.3299999</v>
      </c>
      <c r="BM35">
        <v>7490</v>
      </c>
      <c r="BN35" s="37">
        <f t="shared" si="6"/>
        <v>4.5237390605842809E-2</v>
      </c>
      <c r="BO35" s="50">
        <f t="shared" si="32"/>
        <v>1083044</v>
      </c>
      <c r="BP35" s="3">
        <f t="shared" si="33"/>
        <v>10830.44</v>
      </c>
      <c r="BQ35" s="11">
        <f>+'Rev mile pop elasticities'!P65</f>
        <v>2.2939043432001979E-2</v>
      </c>
      <c r="BR35" s="11">
        <f>+'Rev mile pop elasticities'!Q65</f>
        <v>4.7053944891315515E-2</v>
      </c>
      <c r="BS35" s="11">
        <f>+'Rev mile pop elasticities'!R65</f>
        <v>6.2937447683471134E-2</v>
      </c>
      <c r="BT35" s="11">
        <f>+'Rev mile pop elasticities'!S65</f>
        <v>5.57217768449789E-2</v>
      </c>
      <c r="BU35" s="32">
        <f t="shared" si="34"/>
        <v>1039981.6695922398</v>
      </c>
      <c r="BV35" s="33">
        <f t="shared" si="35"/>
        <v>2.2939043432001978E-4</v>
      </c>
      <c r="BW35" s="40">
        <f t="shared" si="36"/>
        <v>2133272.9202082856</v>
      </c>
      <c r="BX35" s="33">
        <f t="shared" si="37"/>
        <v>4.705394489131552E-4</v>
      </c>
      <c r="BY35" s="40">
        <f t="shared" si="38"/>
        <v>4714014.8314919882</v>
      </c>
      <c r="BZ35" s="41">
        <f t="shared" si="39"/>
        <v>6.2937447683471129E-4</v>
      </c>
      <c r="CA35" s="40">
        <f t="shared" si="40"/>
        <v>4173561.0856889193</v>
      </c>
      <c r="CB35" s="41">
        <f t="shared" si="41"/>
        <v>5.5721776844978898E-4</v>
      </c>
      <c r="CD35" s="70"/>
      <c r="CE35" s="70"/>
      <c r="CF35" s="70"/>
      <c r="CG35" s="70"/>
      <c r="CH35" s="70"/>
      <c r="CI35" s="70"/>
      <c r="CJ35" s="69"/>
      <c r="CK35" s="69"/>
      <c r="CL35" s="70"/>
      <c r="CM35" s="69"/>
      <c r="CN35" s="69"/>
      <c r="CO35" s="70"/>
      <c r="CQ35" s="70">
        <f t="shared" si="54"/>
        <v>0.30034276406429994</v>
      </c>
      <c r="CR35" s="70">
        <f t="shared" si="55"/>
        <v>9.2522590108114535</v>
      </c>
      <c r="CS35" s="70">
        <f t="shared" si="56"/>
        <v>9.5526017748757539</v>
      </c>
      <c r="CT35" s="70">
        <f t="shared" si="57"/>
        <v>1.1862734970869959</v>
      </c>
      <c r="CU35" s="70">
        <f t="shared" si="58"/>
        <v>18.978789891802581</v>
      </c>
      <c r="CV35" s="70">
        <f t="shared" si="59"/>
        <v>20.165063388889578</v>
      </c>
      <c r="CW35" s="69">
        <f t="shared" si="60"/>
        <v>1.3613896145741962</v>
      </c>
      <c r="CX35" s="69">
        <f t="shared" si="61"/>
        <v>41.938514376769199</v>
      </c>
      <c r="CY35" s="70">
        <f t="shared" si="62"/>
        <v>43.299903991343392</v>
      </c>
      <c r="CZ35" s="69">
        <f t="shared" si="63"/>
        <v>2.320839897008113</v>
      </c>
      <c r="DA35" s="69">
        <f t="shared" si="64"/>
        <v>37.130335361946919</v>
      </c>
      <c r="DB35" s="70">
        <f t="shared" si="65"/>
        <v>39.451175258955033</v>
      </c>
    </row>
    <row r="36" spans="1:106">
      <c r="W36" t="s">
        <v>340</v>
      </c>
      <c r="X36">
        <v>598719</v>
      </c>
      <c r="Y36">
        <v>378922</v>
      </c>
      <c r="Z36" s="51">
        <v>36215.620000000003</v>
      </c>
      <c r="AA36" s="32">
        <f t="shared" si="3"/>
        <v>13722895161.640001</v>
      </c>
      <c r="AB36">
        <v>21211</v>
      </c>
      <c r="AC36" s="37">
        <f t="shared" si="4"/>
        <v>3.5427303960622596E-2</v>
      </c>
      <c r="AD36" s="50">
        <f>+'Revenue mile elasticities'!M65</f>
        <v>1375651</v>
      </c>
      <c r="AE36" s="3">
        <f t="shared" si="15"/>
        <v>13756.51</v>
      </c>
      <c r="AF36" s="11">
        <f>+'Revenue mile elasticities'!P65</f>
        <v>9.0196629963243857E-4</v>
      </c>
      <c r="AG36" s="11">
        <f>+'Revenue mile elasticities'!Q65</f>
        <v>3.5625253694825821E-3</v>
      </c>
      <c r="AH36" s="11">
        <f>+'Revenue mile elasticities'!R65</f>
        <v>2.4747089809409868E-3</v>
      </c>
      <c r="AI36" s="11">
        <f>+'Revenue mile elasticities'!S65</f>
        <v>4.2187800428083212E-3</v>
      </c>
      <c r="AJ36" s="32">
        <f t="shared" si="16"/>
        <v>123775.88969188326</v>
      </c>
      <c r="AK36" s="33">
        <f t="shared" si="17"/>
        <v>9.0196629963243851E-6</v>
      </c>
      <c r="AL36" s="40">
        <f t="shared" si="18"/>
        <v>488881.62156092282</v>
      </c>
      <c r="AM36" s="33">
        <f t="shared" si="19"/>
        <v>3.562525369482582E-5</v>
      </c>
      <c r="AN36" s="40">
        <f t="shared" si="20"/>
        <v>524910.52194739261</v>
      </c>
      <c r="AO36" s="41">
        <f t="shared" si="21"/>
        <v>2.4747089809409864E-5</v>
      </c>
      <c r="AP36" s="40">
        <f t="shared" si="22"/>
        <v>894845.43488007307</v>
      </c>
      <c r="AQ36" s="41">
        <f t="shared" si="23"/>
        <v>4.2187800428083217E-5</v>
      </c>
      <c r="AR36" s="53"/>
      <c r="AS36" s="53"/>
      <c r="BH36" t="s">
        <v>340</v>
      </c>
      <c r="BI36">
        <v>598719</v>
      </c>
      <c r="BJ36">
        <v>378922</v>
      </c>
      <c r="BK36" s="51">
        <v>36215.620000000003</v>
      </c>
      <c r="BL36" s="32">
        <f t="shared" si="5"/>
        <v>13722895161.640001</v>
      </c>
      <c r="BM36">
        <v>21211</v>
      </c>
      <c r="BN36" s="37">
        <f t="shared" si="6"/>
        <v>3.5427303960622596E-2</v>
      </c>
      <c r="BO36" s="50">
        <f t="shared" si="32"/>
        <v>1375651</v>
      </c>
      <c r="BP36" s="3">
        <f t="shared" si="33"/>
        <v>13756.51</v>
      </c>
      <c r="BQ36" s="11">
        <f>+'Rev mile pop elasticities'!P66</f>
        <v>8.0574700983599978E-3</v>
      </c>
      <c r="BR36" s="11">
        <f>+'Rev mile pop elasticities'!Q66</f>
        <v>1.6527967048648867E-2</v>
      </c>
      <c r="BS36" s="11">
        <f>+'Rev mile pop elasticities'!R66</f>
        <v>2.2107138176005767E-2</v>
      </c>
      <c r="BT36" s="11">
        <f>+'Rev mile pop elasticities'!S66</f>
        <v>1.9572592557610499E-2</v>
      </c>
      <c r="BU36" s="32">
        <f t="shared" si="34"/>
        <v>1105718.1742784339</v>
      </c>
      <c r="BV36" s="33">
        <f t="shared" si="35"/>
        <v>8.0574700983599974E-5</v>
      </c>
      <c r="BW36" s="40">
        <f t="shared" si="36"/>
        <v>2268115.5904364889</v>
      </c>
      <c r="BX36" s="33">
        <f t="shared" si="37"/>
        <v>1.6527967048648865E-4</v>
      </c>
      <c r="BY36" s="40">
        <f t="shared" si="38"/>
        <v>4689145.0785125839</v>
      </c>
      <c r="BZ36" s="41">
        <f t="shared" si="39"/>
        <v>2.2107138176005771E-4</v>
      </c>
      <c r="CA36" s="40">
        <f t="shared" si="40"/>
        <v>4151542.6073947637</v>
      </c>
      <c r="CB36" s="41">
        <f t="shared" si="41"/>
        <v>1.9572592557610502E-4</v>
      </c>
      <c r="CQ36" s="70">
        <f t="shared" si="54"/>
        <v>0.32665268760294536</v>
      </c>
      <c r="CR36" s="70">
        <f t="shared" si="55"/>
        <v>2.918062752435683</v>
      </c>
      <c r="CS36" s="70">
        <f t="shared" si="56"/>
        <v>3.2447154400386284</v>
      </c>
      <c r="CT36" s="70">
        <f t="shared" si="57"/>
        <v>1.2901906502154079</v>
      </c>
      <c r="CU36" s="70">
        <f t="shared" si="58"/>
        <v>5.9857057400638887</v>
      </c>
      <c r="CV36" s="70">
        <f t="shared" si="59"/>
        <v>7.2758963902792964</v>
      </c>
      <c r="CW36" s="69">
        <f t="shared" si="60"/>
        <v>1.3852732803780003</v>
      </c>
      <c r="CX36" s="69">
        <f t="shared" si="61"/>
        <v>12.37496128098285</v>
      </c>
      <c r="CY36" s="70">
        <f t="shared" si="62"/>
        <v>13.76023456136085</v>
      </c>
      <c r="CZ36" s="69">
        <f t="shared" si="63"/>
        <v>2.3615557684169119</v>
      </c>
      <c r="DA36" s="69">
        <f t="shared" si="64"/>
        <v>10.956193114664137</v>
      </c>
      <c r="DB36" s="70">
        <f t="shared" si="65"/>
        <v>13.317748883081048</v>
      </c>
    </row>
    <row r="37" spans="1:106">
      <c r="W37" t="s">
        <v>341</v>
      </c>
      <c r="X37">
        <v>685926</v>
      </c>
      <c r="Y37">
        <v>390477</v>
      </c>
      <c r="Z37" s="51">
        <v>33197.120000000003</v>
      </c>
      <c r="AA37" s="32">
        <f t="shared" si="3"/>
        <v>12962711826.240002</v>
      </c>
      <c r="AB37">
        <v>21735</v>
      </c>
      <c r="AC37" s="37">
        <f t="shared" si="4"/>
        <v>3.1687091610465269E-2</v>
      </c>
      <c r="AD37" s="50">
        <f>+'Revenue mile elasticities'!M66</f>
        <v>3677745</v>
      </c>
      <c r="AE37" s="3">
        <f t="shared" si="15"/>
        <v>36777.450000000004</v>
      </c>
      <c r="AF37" s="11">
        <f>+'Revenue mile elasticities'!P66</f>
        <v>2.0161331614557028E-3</v>
      </c>
      <c r="AG37" s="11">
        <f>+'Revenue mile elasticities'!Q66</f>
        <v>7.9631861399566944E-3</v>
      </c>
      <c r="AH37" s="11">
        <f>+'Revenue mile elasticities'!R66</f>
        <v>5.5316288906365847E-3</v>
      </c>
      <c r="AI37" s="11">
        <f>+'Revenue mile elasticities'!S66</f>
        <v>9.4300888499487187E-3</v>
      </c>
      <c r="AJ37" s="32">
        <f t="shared" si="16"/>
        <v>261345.5317527648</v>
      </c>
      <c r="AK37" s="33">
        <f t="shared" si="17"/>
        <v>2.0161331614557028E-5</v>
      </c>
      <c r="AL37" s="40">
        <f t="shared" si="18"/>
        <v>1032244.8715096711</v>
      </c>
      <c r="AM37" s="33">
        <f t="shared" si="19"/>
        <v>7.9631861399566948E-5</v>
      </c>
      <c r="AN37" s="40">
        <f t="shared" si="20"/>
        <v>1202299.5393798617</v>
      </c>
      <c r="AO37" s="41">
        <f t="shared" si="21"/>
        <v>5.5316288906365848E-5</v>
      </c>
      <c r="AP37" s="40">
        <f t="shared" si="22"/>
        <v>2049629.811536354</v>
      </c>
      <c r="AQ37" s="41">
        <f t="shared" si="23"/>
        <v>9.4300888499487188E-5</v>
      </c>
      <c r="AR37" s="53"/>
      <c r="AS37" s="53"/>
      <c r="BH37" t="s">
        <v>341</v>
      </c>
      <c r="BI37">
        <v>685926</v>
      </c>
      <c r="BJ37">
        <v>390477</v>
      </c>
      <c r="BK37" s="51">
        <v>33197.120000000003</v>
      </c>
      <c r="BL37" s="32">
        <f t="shared" si="5"/>
        <v>12962711826.240002</v>
      </c>
      <c r="BM37">
        <v>21735</v>
      </c>
      <c r="BN37" s="37">
        <f t="shared" si="6"/>
        <v>3.1687091610465269E-2</v>
      </c>
      <c r="BO37" s="50">
        <f t="shared" si="32"/>
        <v>3677745</v>
      </c>
      <c r="BP37" s="3">
        <f t="shared" si="33"/>
        <v>36777.450000000004</v>
      </c>
      <c r="BQ37" s="11">
        <f>+'Rev mile pop elasticities'!P67</f>
        <v>1.8802596374681815E-2</v>
      </c>
      <c r="BR37" s="11">
        <f>+'Rev mile pop elasticities'!Q67</f>
        <v>3.8569016020678616E-2</v>
      </c>
      <c r="BS37" s="11">
        <f>+'Rev mile pop elasticities'!R67</f>
        <v>5.1588351064108952E-2</v>
      </c>
      <c r="BT37" s="11">
        <f>+'Rev mile pop elasticities'!S67</f>
        <v>4.5673834761329947E-2</v>
      </c>
      <c r="BU37" s="32">
        <f t="shared" si="34"/>
        <v>2437326.3839010536</v>
      </c>
      <c r="BV37" s="33">
        <f t="shared" si="35"/>
        <v>1.8802596374681817E-4</v>
      </c>
      <c r="BW37" s="40">
        <f t="shared" si="36"/>
        <v>4999590.4009769075</v>
      </c>
      <c r="BX37" s="33">
        <f t="shared" si="37"/>
        <v>3.8569016020678615E-4</v>
      </c>
      <c r="BY37" s="40">
        <f t="shared" si="38"/>
        <v>11212728.103784081</v>
      </c>
      <c r="BZ37" s="41">
        <f t="shared" si="39"/>
        <v>5.1588351064108949E-4</v>
      </c>
      <c r="CA37" s="40">
        <f t="shared" si="40"/>
        <v>9927207.9853750635</v>
      </c>
      <c r="CB37" s="41">
        <f t="shared" si="41"/>
        <v>4.5673834761329941E-4</v>
      </c>
      <c r="CQ37" s="70">
        <f t="shared" si="54"/>
        <v>0.66929814496824347</v>
      </c>
      <c r="CR37" s="70">
        <f t="shared" si="55"/>
        <v>6.2419204816187728</v>
      </c>
      <c r="CS37" s="70">
        <f t="shared" si="56"/>
        <v>6.9112186265870159</v>
      </c>
      <c r="CT37" s="70">
        <f t="shared" si="57"/>
        <v>2.6435484587047919</v>
      </c>
      <c r="CU37" s="70">
        <f t="shared" si="58"/>
        <v>12.803802531203905</v>
      </c>
      <c r="CV37" s="70">
        <f t="shared" si="59"/>
        <v>15.447350989908697</v>
      </c>
      <c r="CW37" s="69">
        <f t="shared" si="60"/>
        <v>3.0790534125694</v>
      </c>
      <c r="CX37" s="69">
        <f t="shared" si="61"/>
        <v>28.71546366055896</v>
      </c>
      <c r="CY37" s="70">
        <f t="shared" si="62"/>
        <v>31.794517073128361</v>
      </c>
      <c r="CZ37" s="69">
        <f t="shared" si="63"/>
        <v>5.2490410742152651</v>
      </c>
      <c r="DA37" s="69">
        <f t="shared" si="64"/>
        <v>25.423284816711519</v>
      </c>
      <c r="DB37" s="70">
        <f t="shared" si="65"/>
        <v>30.672325890926786</v>
      </c>
    </row>
    <row r="38" spans="1:106">
      <c r="W38" t="s">
        <v>342</v>
      </c>
      <c r="X38">
        <v>239865</v>
      </c>
      <c r="Y38">
        <v>130123</v>
      </c>
      <c r="Z38" s="51">
        <v>33306.449999999997</v>
      </c>
      <c r="AA38" s="32">
        <f t="shared" si="3"/>
        <v>4333935193.3499994</v>
      </c>
      <c r="AB38">
        <v>4835</v>
      </c>
      <c r="AC38" s="37">
        <f t="shared" si="4"/>
        <v>2.0157171742438456E-2</v>
      </c>
      <c r="AD38" s="50">
        <f>+'Revenue mile elasticities'!M67</f>
        <v>2375439</v>
      </c>
      <c r="AE38" s="3">
        <f t="shared" si="15"/>
        <v>23754.39</v>
      </c>
      <c r="AF38" s="11">
        <f>+'Revenue mile elasticities'!P67</f>
        <v>1.8416717999828883E-3</v>
      </c>
      <c r="AG38" s="11">
        <f>+'Revenue mile elasticities'!Q67</f>
        <v>7.274110476603585E-3</v>
      </c>
      <c r="AH38" s="11">
        <f>+'Revenue mile elasticities'!R67</f>
        <v>5.0529623393032316E-3</v>
      </c>
      <c r="AI38" s="11">
        <f>+'Revenue mile elasticities'!S67</f>
        <v>8.6140781959779308E-3</v>
      </c>
      <c r="AJ38" s="32">
        <f t="shared" si="16"/>
        <v>79816.862285460797</v>
      </c>
      <c r="AK38" s="33">
        <f t="shared" si="17"/>
        <v>1.8416717999828881E-5</v>
      </c>
      <c r="AL38" s="40">
        <f t="shared" si="18"/>
        <v>315255.23394868214</v>
      </c>
      <c r="AM38" s="33">
        <f t="shared" si="19"/>
        <v>7.2741104766035853E-5</v>
      </c>
      <c r="AN38" s="40">
        <f t="shared" si="20"/>
        <v>244310.72910531127</v>
      </c>
      <c r="AO38" s="41">
        <f t="shared" si="21"/>
        <v>5.0529623393032321E-5</v>
      </c>
      <c r="AP38" s="40">
        <f t="shared" si="22"/>
        <v>416490.68077553302</v>
      </c>
      <c r="AQ38" s="41">
        <f t="shared" si="23"/>
        <v>8.6140781959779316E-5</v>
      </c>
      <c r="AR38" s="53"/>
      <c r="AS38" s="53"/>
      <c r="BH38" t="s">
        <v>342</v>
      </c>
      <c r="BI38">
        <v>239865</v>
      </c>
      <c r="BJ38">
        <v>130123</v>
      </c>
      <c r="BK38" s="51">
        <v>33306.449999999997</v>
      </c>
      <c r="BL38" s="32">
        <f t="shared" si="5"/>
        <v>4333935193.3499994</v>
      </c>
      <c r="BM38">
        <v>4835</v>
      </c>
      <c r="BN38" s="37">
        <f t="shared" si="6"/>
        <v>2.0157171742438456E-2</v>
      </c>
      <c r="BO38" s="50">
        <f t="shared" si="32"/>
        <v>2375439</v>
      </c>
      <c r="BP38" s="3">
        <f t="shared" si="33"/>
        <v>23754.39</v>
      </c>
      <c r="BQ38" s="11">
        <f>+'Rev mile pop elasticities'!P68</f>
        <v>3.4728855789631662E-2</v>
      </c>
      <c r="BR38" s="11">
        <f>+'Rev mile pop elasticities'!Q68</f>
        <v>7.1237916755675063E-2</v>
      </c>
      <c r="BS38" s="11">
        <f>+'Rev mile pop elasticities'!R68</f>
        <v>9.5284947292852223E-2</v>
      </c>
      <c r="BT38" s="11">
        <f>+'Rev mile pop elasticities'!S68</f>
        <v>8.4360690894878368E-2</v>
      </c>
      <c r="BU38" s="32">
        <f t="shared" si="34"/>
        <v>1505126.1033146153</v>
      </c>
      <c r="BV38" s="33">
        <f t="shared" si="35"/>
        <v>3.4728855789631661E-4</v>
      </c>
      <c r="BW38" s="40">
        <f t="shared" si="36"/>
        <v>3087405.1452835775</v>
      </c>
      <c r="BX38" s="33">
        <f t="shared" si="37"/>
        <v>7.1237916755675056E-4</v>
      </c>
      <c r="BY38" s="40">
        <f t="shared" si="38"/>
        <v>4607027.2016094048</v>
      </c>
      <c r="BZ38" s="41">
        <f t="shared" si="39"/>
        <v>9.5284947292852227E-4</v>
      </c>
      <c r="CA38" s="40">
        <f t="shared" si="40"/>
        <v>4078839.4047673694</v>
      </c>
      <c r="CB38" s="41">
        <f t="shared" si="41"/>
        <v>8.4360690894878375E-4</v>
      </c>
      <c r="CQ38" s="70">
        <f t="shared" si="54"/>
        <v>0.61339549722540054</v>
      </c>
      <c r="CR38" s="70">
        <f t="shared" si="55"/>
        <v>11.566948989145772</v>
      </c>
      <c r="CS38" s="70">
        <f t="shared" si="56"/>
        <v>12.180344486371173</v>
      </c>
      <c r="CT38" s="70">
        <f t="shared" si="57"/>
        <v>2.4227479688347344</v>
      </c>
      <c r="CU38" s="70">
        <f t="shared" si="58"/>
        <v>23.726821125270533</v>
      </c>
      <c r="CV38" s="70">
        <f t="shared" si="59"/>
        <v>26.149569094105267</v>
      </c>
      <c r="CW38" s="69">
        <f t="shared" si="60"/>
        <v>1.8775368620867277</v>
      </c>
      <c r="CX38" s="69">
        <f t="shared" si="61"/>
        <v>35.405172041909616</v>
      </c>
      <c r="CY38" s="70">
        <f t="shared" si="62"/>
        <v>37.282708903996344</v>
      </c>
      <c r="CZ38" s="69">
        <f t="shared" si="63"/>
        <v>3.2007460693000702</v>
      </c>
      <c r="DA38" s="69">
        <f t="shared" si="64"/>
        <v>31.346029562547507</v>
      </c>
      <c r="DB38" s="70">
        <f t="shared" si="65"/>
        <v>34.546775631847581</v>
      </c>
    </row>
    <row r="39" spans="1:106">
      <c r="W39" t="s">
        <v>343</v>
      </c>
      <c r="X39">
        <v>389164</v>
      </c>
      <c r="Y39">
        <v>170980</v>
      </c>
      <c r="Z39" s="51">
        <v>23255.38</v>
      </c>
      <c r="AA39" s="32">
        <f t="shared" si="3"/>
        <v>3976204872.4000001</v>
      </c>
      <c r="AB39">
        <v>5774</v>
      </c>
      <c r="AC39" s="37">
        <f t="shared" si="4"/>
        <v>1.4836932501464678E-2</v>
      </c>
      <c r="AD39" s="50">
        <f>+'Revenue mile elasticities'!M68</f>
        <v>791934</v>
      </c>
      <c r="AE39" s="3">
        <f t="shared" si="15"/>
        <v>7919.34</v>
      </c>
      <c r="AF39" s="11">
        <f>+'Revenue mile elasticities'!P68</f>
        <v>7.8214497660467899E-4</v>
      </c>
      <c r="AG39" s="11">
        <f>+'Revenue mile elasticities'!Q68</f>
        <v>3.0892632273545294E-3</v>
      </c>
      <c r="AH39" s="11">
        <f>+'Revenue mile elasticities'!R68</f>
        <v>2.1459573365326932E-3</v>
      </c>
      <c r="AI39" s="11">
        <f>+'Revenue mile elasticities'!S68</f>
        <v>3.658338032393522E-3</v>
      </c>
      <c r="AJ39" s="32">
        <f t="shared" si="16"/>
        <v>31099.686668987084</v>
      </c>
      <c r="AK39" s="33">
        <f t="shared" si="17"/>
        <v>7.8214497660467889E-6</v>
      </c>
      <c r="AL39" s="40">
        <f t="shared" si="18"/>
        <v>122835.43496733229</v>
      </c>
      <c r="AM39" s="33">
        <f t="shared" si="19"/>
        <v>3.0892632273545296E-5</v>
      </c>
      <c r="AN39" s="40">
        <f t="shared" si="20"/>
        <v>123907.57661139772</v>
      </c>
      <c r="AO39" s="41">
        <f t="shared" si="21"/>
        <v>2.1459573365326933E-5</v>
      </c>
      <c r="AP39" s="40">
        <f t="shared" si="22"/>
        <v>211232.43799040193</v>
      </c>
      <c r="AQ39" s="41">
        <f t="shared" si="23"/>
        <v>3.6583380323935219E-5</v>
      </c>
      <c r="AR39" s="53"/>
      <c r="AS39" s="53"/>
      <c r="BH39" t="s">
        <v>343</v>
      </c>
      <c r="BI39">
        <v>389164</v>
      </c>
      <c r="BJ39">
        <v>170980</v>
      </c>
      <c r="BK39" s="51">
        <v>23255.38</v>
      </c>
      <c r="BL39" s="32">
        <f t="shared" si="5"/>
        <v>3976204872.4000001</v>
      </c>
      <c r="BM39">
        <v>5774</v>
      </c>
      <c r="BN39" s="37">
        <f t="shared" si="6"/>
        <v>1.4836932501464678E-2</v>
      </c>
      <c r="BO39" s="50">
        <f t="shared" si="32"/>
        <v>791934</v>
      </c>
      <c r="BP39" s="3">
        <f t="shared" si="33"/>
        <v>7919.34</v>
      </c>
      <c r="BQ39" s="11">
        <f>+'Rev mile pop elasticities'!P69</f>
        <v>7.1362458754663828E-3</v>
      </c>
      <c r="BR39" s="11">
        <f>+'Rev mile pop elasticities'!Q69</f>
        <v>1.4638296542331768E-2</v>
      </c>
      <c r="BS39" s="11">
        <f>+'Rev mile pop elasticities'!R69</f>
        <v>1.957959157167672E-2</v>
      </c>
      <c r="BT39" s="11">
        <f>+'Rev mile pop elasticities'!S69</f>
        <v>1.7334824852761305E-2</v>
      </c>
      <c r="BU39" s="32">
        <f t="shared" si="34"/>
        <v>283751.75620673836</v>
      </c>
      <c r="BV39" s="33">
        <f t="shared" si="35"/>
        <v>7.1362458754663826E-5</v>
      </c>
      <c r="BW39" s="40">
        <f t="shared" si="36"/>
        <v>582048.6603525565</v>
      </c>
      <c r="BX39" s="33">
        <f t="shared" si="37"/>
        <v>1.4638296542331767E-4</v>
      </c>
      <c r="BY39" s="40">
        <f t="shared" si="38"/>
        <v>1130525.6173486137</v>
      </c>
      <c r="BZ39" s="41">
        <f t="shared" si="39"/>
        <v>1.9579591571676719E-4</v>
      </c>
      <c r="CA39" s="40">
        <f t="shared" si="40"/>
        <v>1000912.7869984377</v>
      </c>
      <c r="CB39" s="41">
        <f t="shared" si="41"/>
        <v>1.7334824852761305E-4</v>
      </c>
      <c r="CQ39" s="70">
        <f t="shared" si="54"/>
        <v>0.18189078646032919</v>
      </c>
      <c r="CR39" s="70">
        <f t="shared" si="55"/>
        <v>1.6595610960740341</v>
      </c>
      <c r="CS39" s="70">
        <f t="shared" si="56"/>
        <v>1.8414518825343633</v>
      </c>
      <c r="CT39" s="70">
        <f t="shared" si="57"/>
        <v>0.71841990272155976</v>
      </c>
      <c r="CU39" s="70">
        <f t="shared" si="58"/>
        <v>3.4041914864461136</v>
      </c>
      <c r="CV39" s="70">
        <f t="shared" si="59"/>
        <v>4.1226113891676732</v>
      </c>
      <c r="CW39" s="69">
        <f t="shared" si="60"/>
        <v>0.72469047029709743</v>
      </c>
      <c r="CX39" s="69">
        <f t="shared" si="61"/>
        <v>6.6120342575073909</v>
      </c>
      <c r="CY39" s="70">
        <f t="shared" si="62"/>
        <v>7.336724727804488</v>
      </c>
      <c r="CZ39" s="69">
        <f t="shared" si="63"/>
        <v>1.2354219089390686</v>
      </c>
      <c r="DA39" s="69">
        <f t="shared" si="64"/>
        <v>5.853975827573036</v>
      </c>
      <c r="DB39" s="70">
        <f t="shared" si="65"/>
        <v>7.0893977365121046</v>
      </c>
    </row>
    <row r="40" spans="1:106">
      <c r="W40" t="s">
        <v>344</v>
      </c>
      <c r="X40">
        <v>103020</v>
      </c>
      <c r="Y40">
        <v>59983</v>
      </c>
      <c r="Z40" s="51">
        <v>29383.15</v>
      </c>
      <c r="AA40" s="32">
        <f t="shared" si="3"/>
        <v>1762489486.45</v>
      </c>
      <c r="AB40">
        <v>2486</v>
      </c>
      <c r="AC40" s="37">
        <f t="shared" si="4"/>
        <v>2.4131236653077072E-2</v>
      </c>
      <c r="AD40" s="50">
        <f>+'Revenue mile elasticities'!M69</f>
        <v>10200000</v>
      </c>
      <c r="AE40" s="3">
        <f t="shared" si="15"/>
        <v>102000</v>
      </c>
      <c r="AF40" s="11">
        <f>+'Revenue mile elasticities'!P69</f>
        <v>7.8678475840552407E-3</v>
      </c>
      <c r="AG40" s="11">
        <f>+'Revenue mile elasticities'!Q69</f>
        <v>3.1075891231015319E-2</v>
      </c>
      <c r="AH40" s="11">
        <f>+'Revenue mile elasticities'!R69</f>
        <v>2.1586874237841093E-2</v>
      </c>
      <c r="AI40" s="11">
        <f>+'Revenue mile elasticities'!S69</f>
        <v>3.6800397510412877E-2</v>
      </c>
      <c r="AJ40" s="32">
        <f t="shared" si="16"/>
        <v>138669.98647888395</v>
      </c>
      <c r="AK40" s="33">
        <f t="shared" si="17"/>
        <v>7.8678475840552407E-5</v>
      </c>
      <c r="AL40" s="40">
        <f t="shared" si="18"/>
        <v>547709.3157672825</v>
      </c>
      <c r="AM40" s="33">
        <f t="shared" si="19"/>
        <v>3.1075891231015321E-4</v>
      </c>
      <c r="AN40" s="40">
        <f t="shared" si="20"/>
        <v>536649.69355272967</v>
      </c>
      <c r="AO40" s="41">
        <f t="shared" si="21"/>
        <v>2.1586874237841097E-4</v>
      </c>
      <c r="AP40" s="40">
        <f t="shared" si="22"/>
        <v>914857.88210886414</v>
      </c>
      <c r="AQ40" s="41">
        <f t="shared" si="23"/>
        <v>3.6800397510412878E-4</v>
      </c>
      <c r="AR40" s="53"/>
      <c r="AS40" s="53"/>
      <c r="BH40" t="s">
        <v>344</v>
      </c>
      <c r="BI40">
        <v>103020</v>
      </c>
      <c r="BJ40">
        <v>59983</v>
      </c>
      <c r="BK40" s="51">
        <v>29383.15</v>
      </c>
      <c r="BL40" s="32">
        <f t="shared" si="5"/>
        <v>1762489486.45</v>
      </c>
      <c r="BM40">
        <v>2486</v>
      </c>
      <c r="BN40" s="37">
        <f t="shared" si="6"/>
        <v>2.4131236653077072E-2</v>
      </c>
      <c r="BO40" s="50">
        <f t="shared" si="32"/>
        <v>10200000</v>
      </c>
      <c r="BP40" s="3">
        <f t="shared" si="33"/>
        <v>102000</v>
      </c>
      <c r="BQ40" s="11">
        <f>+'Rev mile pop elasticities'!P70</f>
        <v>0.34720990099009896</v>
      </c>
      <c r="BR40" s="11">
        <f>+'Rev mile pop elasticities'!Q70</f>
        <v>0.7122178217821783</v>
      </c>
      <c r="BS40" s="11">
        <f>+'Rev mile pop elasticities'!R70</f>
        <v>0.95263366336633648</v>
      </c>
      <c r="BT40" s="11">
        <f>+'Rev mile pop elasticities'!S70</f>
        <v>0.8434158415841585</v>
      </c>
      <c r="BU40" s="32">
        <f t="shared" si="34"/>
        <v>6119538.0008639488</v>
      </c>
      <c r="BV40" s="33">
        <f t="shared" si="35"/>
        <v>3.4720990099009895E-3</v>
      </c>
      <c r="BW40" s="40">
        <f t="shared" si="36"/>
        <v>12552764.229534091</v>
      </c>
      <c r="BX40" s="33">
        <f t="shared" si="37"/>
        <v>7.122178217821783E-3</v>
      </c>
      <c r="BY40" s="40">
        <f t="shared" si="38"/>
        <v>23682472.871287126</v>
      </c>
      <c r="BZ40" s="41">
        <f t="shared" si="39"/>
        <v>9.5263366336633647E-3</v>
      </c>
      <c r="CA40" s="40">
        <f t="shared" si="40"/>
        <v>20967317.821782183</v>
      </c>
      <c r="CB40" s="41">
        <f t="shared" si="41"/>
        <v>8.4341584158415858E-3</v>
      </c>
      <c r="CQ40" s="70">
        <f t="shared" si="54"/>
        <v>2.3118214573943274</v>
      </c>
      <c r="CR40" s="70">
        <f t="shared" si="55"/>
        <v>102.02120602277226</v>
      </c>
      <c r="CS40" s="70">
        <f t="shared" si="56"/>
        <v>104.33302748016659</v>
      </c>
      <c r="CT40" s="70">
        <f t="shared" si="57"/>
        <v>9.1310757342460782</v>
      </c>
      <c r="CU40" s="70">
        <f t="shared" si="58"/>
        <v>209.27203090099013</v>
      </c>
      <c r="CV40" s="70">
        <f t="shared" si="59"/>
        <v>218.40310663523621</v>
      </c>
      <c r="CW40" s="69">
        <f t="shared" si="60"/>
        <v>8.946696456541515</v>
      </c>
      <c r="CX40" s="69">
        <f t="shared" si="61"/>
        <v>394.81974678304061</v>
      </c>
      <c r="CY40" s="70">
        <f t="shared" si="62"/>
        <v>403.76644323958214</v>
      </c>
      <c r="CZ40" s="69">
        <f t="shared" si="63"/>
        <v>15.251952755095013</v>
      </c>
      <c r="DA40" s="69">
        <f t="shared" si="64"/>
        <v>349.55433742530687</v>
      </c>
      <c r="DB40" s="70">
        <f t="shared" si="65"/>
        <v>364.8062901804019</v>
      </c>
    </row>
    <row r="41" spans="1:106">
      <c r="W41" t="s">
        <v>345</v>
      </c>
      <c r="X41">
        <v>408782</v>
      </c>
      <c r="Y41">
        <v>224848</v>
      </c>
      <c r="Z41" s="51">
        <v>32435.34</v>
      </c>
      <c r="AA41" s="32">
        <f t="shared" si="3"/>
        <v>7293021328.3199997</v>
      </c>
      <c r="AB41">
        <v>11867</v>
      </c>
      <c r="AC41" s="37">
        <f t="shared" si="4"/>
        <v>2.9030143205914155E-2</v>
      </c>
      <c r="AD41" s="50">
        <f>+'Revenue mile elasticities'!M70</f>
        <v>2518231</v>
      </c>
      <c r="AE41" s="3">
        <f t="shared" si="15"/>
        <v>25182.31</v>
      </c>
      <c r="AF41" s="11">
        <f>+'Revenue mile elasticities'!P70</f>
        <v>2.3280021520208655E-3</v>
      </c>
      <c r="AG41" s="11">
        <f>+'Revenue mile elasticities'!Q70</f>
        <v>9.1949851454140828E-3</v>
      </c>
      <c r="AH41" s="11">
        <f>+'Revenue mile elasticities'!R70</f>
        <v>6.3872983232341448E-3</v>
      </c>
      <c r="AI41" s="11">
        <f>+'Revenue mile elasticities'!S70</f>
        <v>1.0888798198516677E-2</v>
      </c>
      <c r="AJ41" s="32">
        <f t="shared" si="16"/>
        <v>169781.6934706303</v>
      </c>
      <c r="AK41" s="33">
        <f t="shared" si="17"/>
        <v>2.3280021520208654E-5</v>
      </c>
      <c r="AL41" s="40">
        <f t="shared" si="18"/>
        <v>670592.22779090481</v>
      </c>
      <c r="AM41" s="33">
        <f t="shared" si="19"/>
        <v>9.1949851454140833E-5</v>
      </c>
      <c r="AN41" s="40">
        <f t="shared" si="20"/>
        <v>757980.69201819599</v>
      </c>
      <c r="AO41" s="41">
        <f t="shared" si="21"/>
        <v>6.3872983232341453E-5</v>
      </c>
      <c r="AP41" s="40">
        <f t="shared" si="22"/>
        <v>1292173.6822179742</v>
      </c>
      <c r="AQ41" s="41">
        <f t="shared" si="23"/>
        <v>1.088879819851668E-4</v>
      </c>
      <c r="AR41" s="53"/>
      <c r="AS41" s="53"/>
      <c r="BH41" t="s">
        <v>345</v>
      </c>
      <c r="BI41">
        <v>408782</v>
      </c>
      <c r="BJ41">
        <v>224848</v>
      </c>
      <c r="BK41" s="51">
        <v>32435.34</v>
      </c>
      <c r="BL41" s="32">
        <f t="shared" si="5"/>
        <v>7293021328.3199997</v>
      </c>
      <c r="BM41">
        <v>11867</v>
      </c>
      <c r="BN41" s="37">
        <f t="shared" si="6"/>
        <v>2.9030143205914155E-2</v>
      </c>
      <c r="BO41" s="50">
        <f t="shared" si="32"/>
        <v>2518231</v>
      </c>
      <c r="BP41" s="3">
        <f t="shared" si="33"/>
        <v>25182.31</v>
      </c>
      <c r="BQ41" s="11">
        <f>+'Rev mile pop elasticities'!P71</f>
        <v>2.1603159716964054E-2</v>
      </c>
      <c r="BR41" s="11">
        <f>+'Rev mile pop elasticities'!Q71</f>
        <v>4.4313699907040927E-2</v>
      </c>
      <c r="BS41" s="11">
        <f>+'Rev mile pop elasticities'!R71</f>
        <v>5.9272207165677548E-2</v>
      </c>
      <c r="BT41" s="11">
        <f>+'Rev mile pop elasticities'!S71</f>
        <v>5.2476749889916886E-2</v>
      </c>
      <c r="BU41" s="32">
        <f t="shared" si="34"/>
        <v>1575523.0457492229</v>
      </c>
      <c r="BV41" s="33">
        <f t="shared" si="35"/>
        <v>2.1603159716964053E-4</v>
      </c>
      <c r="BW41" s="40">
        <f t="shared" si="36"/>
        <v>3231807.5855882145</v>
      </c>
      <c r="BX41" s="33">
        <f t="shared" si="37"/>
        <v>4.4313699907040925E-4</v>
      </c>
      <c r="BY41" s="40">
        <f t="shared" si="38"/>
        <v>7033832.8243509559</v>
      </c>
      <c r="BZ41" s="41">
        <f t="shared" si="39"/>
        <v>5.9272207165677563E-4</v>
      </c>
      <c r="CA41" s="40">
        <f t="shared" si="40"/>
        <v>6227415.9094364373</v>
      </c>
      <c r="CB41" s="41">
        <f t="shared" si="41"/>
        <v>5.2476749889916892E-4</v>
      </c>
      <c r="CQ41" s="70">
        <f t="shared" si="54"/>
        <v>0.75509541321528451</v>
      </c>
      <c r="CR41" s="70">
        <f t="shared" si="55"/>
        <v>7.0070583049403279</v>
      </c>
      <c r="CS41" s="70">
        <f t="shared" si="56"/>
        <v>7.7621537181556128</v>
      </c>
      <c r="CT41" s="70">
        <f t="shared" si="57"/>
        <v>2.9824246948645521</v>
      </c>
      <c r="CU41" s="70">
        <f t="shared" si="58"/>
        <v>14.373299231428406</v>
      </c>
      <c r="CV41" s="70">
        <f t="shared" si="59"/>
        <v>17.35572392629296</v>
      </c>
      <c r="CW41" s="69">
        <f t="shared" si="60"/>
        <v>3.3710804277476161</v>
      </c>
      <c r="CX41" s="69">
        <f t="shared" si="61"/>
        <v>31.28261236191096</v>
      </c>
      <c r="CY41" s="70">
        <f t="shared" si="62"/>
        <v>34.653692789658578</v>
      </c>
      <c r="CZ41" s="69">
        <f t="shared" si="63"/>
        <v>5.7468764775224788</v>
      </c>
      <c r="DA41" s="69">
        <f t="shared" si="64"/>
        <v>27.696114305826324</v>
      </c>
      <c r="DB41" s="70">
        <f t="shared" si="65"/>
        <v>33.442990783348804</v>
      </c>
    </row>
    <row r="42" spans="1:106">
      <c r="W42" t="s">
        <v>346</v>
      </c>
      <c r="X42">
        <v>588709</v>
      </c>
      <c r="Y42">
        <v>299691</v>
      </c>
      <c r="Z42" s="51">
        <v>32942.61</v>
      </c>
      <c r="AA42" s="32">
        <f t="shared" si="3"/>
        <v>9872603733.5100002</v>
      </c>
      <c r="AB42">
        <v>18361</v>
      </c>
      <c r="AC42" s="37">
        <f t="shared" si="4"/>
        <v>3.1188583833438931E-2</v>
      </c>
      <c r="AD42" s="50">
        <f>+'Revenue mile elasticities'!M71</f>
        <v>3006028</v>
      </c>
      <c r="AE42" s="3">
        <f t="shared" si="15"/>
        <v>30060.28</v>
      </c>
      <c r="AF42" s="11">
        <f>+'Revenue mile elasticities'!P71</f>
        <v>3.5959493071803517E-3</v>
      </c>
      <c r="AG42" s="11">
        <f>+'Revenue mile elasticities'!Q71</f>
        <v>1.4203036897746409E-2</v>
      </c>
      <c r="AH42" s="11">
        <f>+'Revenue mile elasticities'!R71</f>
        <v>9.8661425034551175E-3</v>
      </c>
      <c r="AI42" s="11">
        <f>+'Revenue mile elasticities'!S71</f>
        <v>1.6819385799962852E-2</v>
      </c>
      <c r="AJ42" s="32">
        <f t="shared" si="16"/>
        <v>355013.82555581443</v>
      </c>
      <c r="AK42" s="33">
        <f t="shared" si="17"/>
        <v>3.5959493071803519E-5</v>
      </c>
      <c r="AL42" s="40">
        <f t="shared" si="18"/>
        <v>1402209.5510387151</v>
      </c>
      <c r="AM42" s="33">
        <f t="shared" si="19"/>
        <v>1.4203036897746411E-4</v>
      </c>
      <c r="AN42" s="40">
        <f t="shared" si="20"/>
        <v>1811522.425059394</v>
      </c>
      <c r="AO42" s="41">
        <f t="shared" si="21"/>
        <v>9.8661425034551171E-5</v>
      </c>
      <c r="AP42" s="40">
        <f t="shared" si="22"/>
        <v>3088207.4267311795</v>
      </c>
      <c r="AQ42" s="41">
        <f t="shared" si="23"/>
        <v>1.6819385799962853E-4</v>
      </c>
      <c r="AR42" s="53"/>
      <c r="AS42" s="53"/>
      <c r="BH42" t="s">
        <v>346</v>
      </c>
      <c r="BI42">
        <v>588709</v>
      </c>
      <c r="BJ42">
        <v>299691</v>
      </c>
      <c r="BK42" s="51">
        <v>32942.61</v>
      </c>
      <c r="BL42" s="32">
        <f t="shared" si="5"/>
        <v>9872603733.5100002</v>
      </c>
      <c r="BM42">
        <v>18361</v>
      </c>
      <c r="BN42" s="37">
        <f t="shared" si="6"/>
        <v>3.1188583833438931E-2</v>
      </c>
      <c r="BO42" s="50">
        <f t="shared" si="32"/>
        <v>3006028</v>
      </c>
      <c r="BP42" s="3">
        <f t="shared" si="33"/>
        <v>30060.28</v>
      </c>
      <c r="BQ42" s="11">
        <f>+'Rev mile pop elasticities'!P72</f>
        <v>1.7906298546412576E-2</v>
      </c>
      <c r="BR42" s="11">
        <f>+'Rev mile pop elasticities'!Q72</f>
        <v>3.6730476033490236E-2</v>
      </c>
      <c r="BS42" s="11">
        <f>+'Rev mile pop elasticities'!R72</f>
        <v>4.9129194567774571E-2</v>
      </c>
      <c r="BT42" s="11">
        <f>+'Rev mile pop elasticities'!S72</f>
        <v>4.3496616355448971E-2</v>
      </c>
      <c r="BU42" s="32">
        <f t="shared" si="34"/>
        <v>1767817.8988265749</v>
      </c>
      <c r="BV42" s="33">
        <f t="shared" si="35"/>
        <v>1.7906298546412576E-4</v>
      </c>
      <c r="BW42" s="40">
        <f t="shared" si="36"/>
        <v>3626254.348218353</v>
      </c>
      <c r="BX42" s="33">
        <f t="shared" si="37"/>
        <v>3.673047603349024E-4</v>
      </c>
      <c r="BY42" s="40">
        <f t="shared" si="38"/>
        <v>9020611.4145890865</v>
      </c>
      <c r="BZ42" s="41">
        <f t="shared" si="39"/>
        <v>4.9129194567774557E-4</v>
      </c>
      <c r="CA42" s="40">
        <f t="shared" si="40"/>
        <v>7986413.7290239856</v>
      </c>
      <c r="CB42" s="41">
        <f t="shared" si="41"/>
        <v>4.3496616355448968E-4</v>
      </c>
      <c r="CQ42" s="70">
        <f t="shared" si="54"/>
        <v>1.1845995560621254</v>
      </c>
      <c r="CR42" s="70">
        <f t="shared" si="55"/>
        <v>5.8988020955803639</v>
      </c>
      <c r="CS42" s="70">
        <f t="shared" si="56"/>
        <v>7.0834016516424896</v>
      </c>
      <c r="CT42" s="70">
        <f t="shared" si="57"/>
        <v>4.6788510533806988</v>
      </c>
      <c r="CU42" s="70">
        <f t="shared" si="58"/>
        <v>12.099977470856158</v>
      </c>
      <c r="CV42" s="70">
        <f t="shared" si="59"/>
        <v>16.778828524236857</v>
      </c>
      <c r="CW42" s="69">
        <f t="shared" si="60"/>
        <v>6.0446340566096213</v>
      </c>
      <c r="CX42" s="69">
        <f t="shared" si="61"/>
        <v>30.099707413933306</v>
      </c>
      <c r="CY42" s="70">
        <f t="shared" si="62"/>
        <v>36.144341470542926</v>
      </c>
      <c r="CZ42" s="69">
        <f t="shared" si="63"/>
        <v>10.304638533460063</v>
      </c>
      <c r="DA42" s="69">
        <f t="shared" si="64"/>
        <v>26.648827388957244</v>
      </c>
      <c r="DB42" s="70">
        <f t="shared" si="65"/>
        <v>36.953465922417308</v>
      </c>
    </row>
    <row r="43" spans="1:106">
      <c r="W43" t="s">
        <v>347</v>
      </c>
      <c r="X43">
        <v>73057</v>
      </c>
      <c r="Y43">
        <v>55922</v>
      </c>
      <c r="Z43" s="51">
        <v>39936.980000000003</v>
      </c>
      <c r="AA43" s="32">
        <f t="shared" si="3"/>
        <v>2233355795.5599999</v>
      </c>
      <c r="AB43">
        <v>6060</v>
      </c>
      <c r="AC43" s="37">
        <f t="shared" si="4"/>
        <v>8.2948930287309902E-2</v>
      </c>
      <c r="AD43" s="50">
        <f>+'Revenue mile elasticities'!M72</f>
        <v>209197</v>
      </c>
      <c r="AE43" s="3">
        <f t="shared" si="15"/>
        <v>2091.9700000000003</v>
      </c>
      <c r="AF43" s="11">
        <f>+'Revenue mile elasticities'!P72</f>
        <v>2.3317451484976691E-4</v>
      </c>
      <c r="AG43" s="11">
        <f>+'Revenue mile elasticities'!Q72</f>
        <v>9.209768979257909E-4</v>
      </c>
      <c r="AH43" s="11">
        <f>+'Revenue mile elasticities'!R72</f>
        <v>6.3975679164556985E-4</v>
      </c>
      <c r="AI43" s="11">
        <f>+'Revenue mile elasticities'!S72</f>
        <v>1.0906305370173839E-3</v>
      </c>
      <c r="AJ43" s="32">
        <f t="shared" si="16"/>
        <v>5207.6165411661823</v>
      </c>
      <c r="AK43" s="33">
        <f t="shared" si="17"/>
        <v>2.3317451484976691E-6</v>
      </c>
      <c r="AL43" s="40">
        <f t="shared" si="18"/>
        <v>20568.690925594357</v>
      </c>
      <c r="AM43" s="33">
        <f t="shared" si="19"/>
        <v>9.2097689792579094E-6</v>
      </c>
      <c r="AN43" s="40">
        <f t="shared" si="20"/>
        <v>38769.261573721531</v>
      </c>
      <c r="AO43" s="41">
        <f t="shared" si="21"/>
        <v>6.3975679164556983E-6</v>
      </c>
      <c r="AP43" s="40">
        <f t="shared" si="22"/>
        <v>66092.210543253459</v>
      </c>
      <c r="AQ43" s="41">
        <f t="shared" si="23"/>
        <v>1.0906305370173838E-5</v>
      </c>
      <c r="AR43" s="53"/>
      <c r="AS43" s="53"/>
      <c r="BH43" t="s">
        <v>347</v>
      </c>
      <c r="BI43">
        <v>73057</v>
      </c>
      <c r="BJ43">
        <v>55922</v>
      </c>
      <c r="BK43" s="51">
        <v>39936.980000000003</v>
      </c>
      <c r="BL43" s="32">
        <f t="shared" si="5"/>
        <v>2233355795.5599999</v>
      </c>
      <c r="BM43">
        <v>6060</v>
      </c>
      <c r="BN43" s="37">
        <f t="shared" si="6"/>
        <v>8.2948930287309902E-2</v>
      </c>
      <c r="BO43" s="50">
        <f t="shared" si="32"/>
        <v>209197</v>
      </c>
      <c r="BP43" s="3">
        <f t="shared" si="33"/>
        <v>2091.9700000000003</v>
      </c>
      <c r="BQ43" s="11">
        <f>+'Rev mile pop elasticities'!P73</f>
        <v>1.0041696532022939E-2</v>
      </c>
      <c r="BR43" s="11">
        <f>+'Rev mile pop elasticities'!Q73</f>
        <v>2.0598131593139606E-2</v>
      </c>
      <c r="BS43" s="11">
        <f>+'Rev mile pop elasticities'!R73</f>
        <v>2.7551225142012397E-2</v>
      </c>
      <c r="BT43" s="11">
        <f>+'Rev mile pop elasticities'!S73</f>
        <v>2.4392524255033743E-2</v>
      </c>
      <c r="BU43" s="32">
        <f t="shared" si="34"/>
        <v>224266.81147048186</v>
      </c>
      <c r="BV43" s="33">
        <f t="shared" si="35"/>
        <v>1.004169653202294E-4</v>
      </c>
      <c r="BW43" s="40">
        <f t="shared" si="36"/>
        <v>460029.56571245875</v>
      </c>
      <c r="BX43" s="33">
        <f t="shared" si="37"/>
        <v>2.0598131593139605E-4</v>
      </c>
      <c r="BY43" s="40">
        <f t="shared" si="38"/>
        <v>1669604.2436059511</v>
      </c>
      <c r="BZ43" s="41">
        <f t="shared" si="39"/>
        <v>2.7551225142012398E-4</v>
      </c>
      <c r="CA43" s="40">
        <f t="shared" si="40"/>
        <v>1478186.969855045</v>
      </c>
      <c r="CB43" s="41">
        <f t="shared" si="41"/>
        <v>2.4392524255033746E-4</v>
      </c>
      <c r="CQ43" s="70">
        <f t="shared" si="54"/>
        <v>9.3122859360648444E-2</v>
      </c>
      <c r="CR43" s="70">
        <f t="shared" si="55"/>
        <v>4.010350335654695</v>
      </c>
      <c r="CS43" s="70">
        <f t="shared" si="56"/>
        <v>4.1034731950153436</v>
      </c>
      <c r="CT43" s="70">
        <f t="shared" si="57"/>
        <v>0.36781035952924357</v>
      </c>
      <c r="CU43" s="70">
        <f t="shared" si="58"/>
        <v>8.2262716947258454</v>
      </c>
      <c r="CV43" s="70">
        <f t="shared" si="59"/>
        <v>8.5940820542550895</v>
      </c>
      <c r="CW43" s="69">
        <f t="shared" si="60"/>
        <v>0.69327387385503969</v>
      </c>
      <c r="CX43" s="69">
        <f t="shared" si="61"/>
        <v>29.855946561388201</v>
      </c>
      <c r="CY43" s="70">
        <f t="shared" si="62"/>
        <v>30.549220435243242</v>
      </c>
      <c r="CZ43" s="69">
        <f t="shared" si="63"/>
        <v>1.1818642134267991</v>
      </c>
      <c r="DA43" s="69">
        <f t="shared" si="64"/>
        <v>26.433013301653105</v>
      </c>
      <c r="DB43" s="70">
        <f t="shared" si="65"/>
        <v>27.614877515079904</v>
      </c>
    </row>
    <row r="44" spans="1:106">
      <c r="W44" t="s">
        <v>348</v>
      </c>
      <c r="X44">
        <v>254911</v>
      </c>
      <c r="Y44">
        <v>176099</v>
      </c>
      <c r="Z44" s="51">
        <v>39152</v>
      </c>
      <c r="AA44" s="32">
        <f t="shared" si="3"/>
        <v>6894628048</v>
      </c>
      <c r="AB44">
        <v>11478</v>
      </c>
      <c r="AC44" s="37">
        <f t="shared" si="4"/>
        <v>4.5027480179356719E-2</v>
      </c>
      <c r="AD44" s="50">
        <f>+'Revenue mile elasticities'!M73</f>
        <v>1041326</v>
      </c>
      <c r="AE44" s="3">
        <f t="shared" si="15"/>
        <v>10413.26</v>
      </c>
      <c r="AF44" s="11">
        <f>+'Revenue mile elasticities'!P73</f>
        <v>7.4753484323078164E-4</v>
      </c>
      <c r="AG44" s="11">
        <f>+'Revenue mile elasticities'!Q73</f>
        <v>2.9525624678739017E-3</v>
      </c>
      <c r="AH44" s="11">
        <f>+'Revenue mile elasticities'!R73</f>
        <v>2.0509981258317474E-3</v>
      </c>
      <c r="AI44" s="11">
        <f>+'Revenue mile elasticities'!S73</f>
        <v>3.4964555540611996E-3</v>
      </c>
      <c r="AJ44" s="32">
        <f t="shared" si="16"/>
        <v>51539.746969962303</v>
      </c>
      <c r="AK44" s="33">
        <f t="shared" si="17"/>
        <v>7.4753484323078166E-6</v>
      </c>
      <c r="AL44" s="40">
        <f t="shared" si="18"/>
        <v>203568.20004475504</v>
      </c>
      <c r="AM44" s="33">
        <f t="shared" si="19"/>
        <v>2.952562467873902E-5</v>
      </c>
      <c r="AN44" s="40">
        <f t="shared" si="20"/>
        <v>235413.56488296803</v>
      </c>
      <c r="AO44" s="41">
        <f t="shared" si="21"/>
        <v>2.050998125831748E-5</v>
      </c>
      <c r="AP44" s="40">
        <f t="shared" si="22"/>
        <v>401323.16849514452</v>
      </c>
      <c r="AQ44" s="41">
        <f t="shared" si="23"/>
        <v>3.4964555540612E-5</v>
      </c>
      <c r="AR44" s="53"/>
      <c r="AS44" s="53"/>
      <c r="BH44" t="s">
        <v>348</v>
      </c>
      <c r="BI44">
        <v>254911</v>
      </c>
      <c r="BJ44">
        <v>176099</v>
      </c>
      <c r="BK44" s="51">
        <v>39152</v>
      </c>
      <c r="BL44" s="32">
        <f t="shared" si="5"/>
        <v>6894628048</v>
      </c>
      <c r="BM44">
        <v>11478</v>
      </c>
      <c r="BN44" s="37">
        <f t="shared" si="6"/>
        <v>4.5027480179356719E-2</v>
      </c>
      <c r="BO44" s="50">
        <f t="shared" si="32"/>
        <v>1041326</v>
      </c>
      <c r="BP44" s="3">
        <f t="shared" si="33"/>
        <v>10413.26</v>
      </c>
      <c r="BQ44" s="11">
        <f>+'Rev mile pop elasticities'!P74</f>
        <v>1.4325560071240549E-2</v>
      </c>
      <c r="BR44" s="11">
        <f>+'Rev mile pop elasticities'!Q74</f>
        <v>2.938545001353414E-2</v>
      </c>
      <c r="BS44" s="11">
        <f>+'Rev mile pop elasticities'!R74</f>
        <v>3.9304785755028222E-2</v>
      </c>
      <c r="BT44" s="11">
        <f>+'Rev mile pop elasticities'!S74</f>
        <v>3.4798559226553588E-2</v>
      </c>
      <c r="BU44" s="32">
        <f t="shared" si="34"/>
        <v>987694.08270483976</v>
      </c>
      <c r="BV44" s="33">
        <f t="shared" si="35"/>
        <v>1.432556007124055E-4</v>
      </c>
      <c r="BW44" s="40">
        <f t="shared" si="36"/>
        <v>2026017.4786641446</v>
      </c>
      <c r="BX44" s="33">
        <f t="shared" si="37"/>
        <v>2.9385450013534142E-4</v>
      </c>
      <c r="BY44" s="40">
        <f t="shared" si="38"/>
        <v>4511403.3089621402</v>
      </c>
      <c r="BZ44" s="41">
        <f t="shared" si="39"/>
        <v>3.930478575502823E-4</v>
      </c>
      <c r="CA44" s="40">
        <f t="shared" si="40"/>
        <v>3994178.6280238214</v>
      </c>
      <c r="CB44" s="41">
        <f t="shared" si="41"/>
        <v>3.4798559226553597E-4</v>
      </c>
      <c r="CQ44" s="70">
        <f t="shared" si="54"/>
        <v>0.29267484182171566</v>
      </c>
      <c r="CR44" s="70">
        <f t="shared" si="55"/>
        <v>5.6087432790921001</v>
      </c>
      <c r="CS44" s="70">
        <f t="shared" si="56"/>
        <v>5.9014181209138155</v>
      </c>
      <c r="CT44" s="70">
        <f t="shared" si="57"/>
        <v>1.15598725742199</v>
      </c>
      <c r="CU44" s="70">
        <f t="shared" si="58"/>
        <v>11.504991389298887</v>
      </c>
      <c r="CV44" s="70">
        <f t="shared" si="59"/>
        <v>12.660978646720878</v>
      </c>
      <c r="CW44" s="69">
        <f t="shared" si="60"/>
        <v>1.3368251090748273</v>
      </c>
      <c r="CX44" s="69">
        <f t="shared" si="61"/>
        <v>25.618562904741879</v>
      </c>
      <c r="CY44" s="70">
        <f t="shared" si="62"/>
        <v>26.955388013816705</v>
      </c>
      <c r="CZ44" s="69">
        <f t="shared" si="63"/>
        <v>2.2789633586513527</v>
      </c>
      <c r="DA44" s="69">
        <f t="shared" si="64"/>
        <v>22.681438441012279</v>
      </c>
      <c r="DB44" s="70">
        <f t="shared" si="65"/>
        <v>24.960401799663632</v>
      </c>
    </row>
    <row r="45" spans="1:106">
      <c r="W45" t="s">
        <v>349</v>
      </c>
      <c r="X45">
        <v>223998</v>
      </c>
      <c r="Y45">
        <v>143142</v>
      </c>
      <c r="Z45" s="51">
        <v>32163.49</v>
      </c>
      <c r="AA45" s="32">
        <f t="shared" si="3"/>
        <v>4603946285.5799999</v>
      </c>
      <c r="AB45">
        <v>6095</v>
      </c>
      <c r="AC45" s="37">
        <f t="shared" si="4"/>
        <v>2.7210064375574782E-2</v>
      </c>
      <c r="AD45" s="50">
        <f>+'Revenue mile elasticities'!M74</f>
        <v>3578700</v>
      </c>
      <c r="AE45" s="3">
        <f t="shared" si="15"/>
        <v>35787</v>
      </c>
      <c r="AF45" s="11">
        <f>+'Revenue mile elasticities'!P74</f>
        <v>2.0729859157581762E-3</v>
      </c>
      <c r="AG45" s="11">
        <f>+'Revenue mile elasticities'!Q74</f>
        <v>8.1877392963330027E-3</v>
      </c>
      <c r="AH45" s="11">
        <f>+'Revenue mile elasticities'!R74</f>
        <v>5.6876147869177407E-3</v>
      </c>
      <c r="AI45" s="11">
        <f>+'Revenue mile elasticities'!S74</f>
        <v>9.6960070614469773E-3</v>
      </c>
      <c r="AJ45" s="32">
        <f t="shared" si="16"/>
        <v>95439.158069145109</v>
      </c>
      <c r="AK45" s="33">
        <f t="shared" si="17"/>
        <v>2.0729859157581763E-5</v>
      </c>
      <c r="AL45" s="40">
        <f t="shared" si="18"/>
        <v>376959.11920649733</v>
      </c>
      <c r="AM45" s="33">
        <f t="shared" si="19"/>
        <v>8.1877392963330037E-5</v>
      </c>
      <c r="AN45" s="40">
        <f t="shared" si="20"/>
        <v>346660.12126263633</v>
      </c>
      <c r="AO45" s="41">
        <f t="shared" si="21"/>
        <v>5.6876147869177408E-5</v>
      </c>
      <c r="AP45" s="40">
        <f t="shared" si="22"/>
        <v>590971.63039519324</v>
      </c>
      <c r="AQ45" s="41">
        <f t="shared" si="23"/>
        <v>9.6960070614469777E-5</v>
      </c>
      <c r="AR45" s="53"/>
      <c r="AS45" s="53"/>
      <c r="BH45" t="s">
        <v>349</v>
      </c>
      <c r="BI45">
        <v>223998</v>
      </c>
      <c r="BJ45">
        <v>143142</v>
      </c>
      <c r="BK45" s="51">
        <v>32163.49</v>
      </c>
      <c r="BL45" s="32">
        <f t="shared" si="5"/>
        <v>4603946285.5799999</v>
      </c>
      <c r="BM45">
        <v>6095</v>
      </c>
      <c r="BN45" s="37">
        <f t="shared" si="6"/>
        <v>2.7210064375574782E-2</v>
      </c>
      <c r="BO45" s="50">
        <f t="shared" si="32"/>
        <v>3578700</v>
      </c>
      <c r="BP45" s="3">
        <f t="shared" si="33"/>
        <v>35787</v>
      </c>
      <c r="BQ45" s="11">
        <f>+'Rev mile pop elasticities'!P75</f>
        <v>5.6026646371842605E-2</v>
      </c>
      <c r="BR45" s="11">
        <f>+'Rev mile pop elasticities'!Q75</f>
        <v>0.11492522513593874</v>
      </c>
      <c r="BS45" s="11">
        <f>+'Rev mile pop elasticities'!R75</f>
        <v>0.15371931856534432</v>
      </c>
      <c r="BT45" s="11">
        <f>+'Rev mile pop elasticities'!S75</f>
        <v>0.13609566134519063</v>
      </c>
      <c r="BU45" s="32">
        <f t="shared" si="34"/>
        <v>2579436.7045714897</v>
      </c>
      <c r="BV45" s="33">
        <f t="shared" si="35"/>
        <v>5.6026646371842609E-4</v>
      </c>
      <c r="BW45" s="40">
        <f t="shared" si="36"/>
        <v>5291095.6338405041</v>
      </c>
      <c r="BX45" s="33">
        <f t="shared" si="37"/>
        <v>1.1492522513593874E-3</v>
      </c>
      <c r="BY45" s="40">
        <f t="shared" si="38"/>
        <v>9369192.4665577356</v>
      </c>
      <c r="BZ45" s="41">
        <f t="shared" si="39"/>
        <v>1.5371931856534432E-3</v>
      </c>
      <c r="CA45" s="40">
        <f t="shared" si="40"/>
        <v>8295030.5589893693</v>
      </c>
      <c r="CB45" s="41">
        <f t="shared" si="41"/>
        <v>1.3609566134519064E-3</v>
      </c>
      <c r="CQ45" s="70">
        <f t="shared" si="54"/>
        <v>0.66674461771628946</v>
      </c>
      <c r="CR45" s="70">
        <f t="shared" si="55"/>
        <v>18.020124803142959</v>
      </c>
      <c r="CS45" s="70">
        <f t="shared" si="56"/>
        <v>18.686869420859249</v>
      </c>
      <c r="CT45" s="70">
        <f t="shared" si="57"/>
        <v>2.6334627098021359</v>
      </c>
      <c r="CU45" s="70">
        <f t="shared" si="58"/>
        <v>36.963963294075143</v>
      </c>
      <c r="CV45" s="70">
        <f t="shared" si="59"/>
        <v>39.597426003877281</v>
      </c>
      <c r="CW45" s="69">
        <f t="shared" si="60"/>
        <v>2.4217917959972359</v>
      </c>
      <c r="CX45" s="69">
        <f t="shared" si="61"/>
        <v>65.453832324249589</v>
      </c>
      <c r="CY45" s="70">
        <f t="shared" si="62"/>
        <v>67.875624120246826</v>
      </c>
      <c r="CZ45" s="69">
        <f t="shared" si="63"/>
        <v>4.1285690460884519</v>
      </c>
      <c r="DA45" s="69">
        <f t="shared" si="64"/>
        <v>57.94966228632665</v>
      </c>
      <c r="DB45" s="70">
        <f t="shared" si="65"/>
        <v>62.0782313324151</v>
      </c>
    </row>
    <row r="46" spans="1:106">
      <c r="W46" t="s">
        <v>350</v>
      </c>
      <c r="X46">
        <v>303331</v>
      </c>
      <c r="Y46">
        <v>182844</v>
      </c>
      <c r="Z46" s="51">
        <v>38115.96</v>
      </c>
      <c r="AA46" s="32">
        <f t="shared" si="3"/>
        <v>6969274590.2399998</v>
      </c>
      <c r="AB46">
        <v>12561</v>
      </c>
      <c r="AC46" s="37">
        <f t="shared" si="4"/>
        <v>4.1410208649956648E-2</v>
      </c>
      <c r="AD46" s="50">
        <f>+'Revenue mile elasticities'!M75</f>
        <v>2319541</v>
      </c>
      <c r="AE46" s="3">
        <f t="shared" si="15"/>
        <v>23195.41</v>
      </c>
      <c r="AF46" s="11">
        <f>+'Revenue mile elasticities'!P75</f>
        <v>1.2499172561699415E-3</v>
      </c>
      <c r="AG46" s="11">
        <f>+'Revenue mile elasticities'!Q75</f>
        <v>4.9368384790807228E-3</v>
      </c>
      <c r="AH46" s="11">
        <f>+'Revenue mile elasticities'!R75</f>
        <v>3.4293758653038105E-3</v>
      </c>
      <c r="AI46" s="11">
        <f>+'Revenue mile elasticities'!S75</f>
        <v>5.8462560936482248E-3</v>
      </c>
      <c r="AJ46" s="32">
        <f t="shared" si="16"/>
        <v>87110.16573327675</v>
      </c>
      <c r="AK46" s="33">
        <f t="shared" si="17"/>
        <v>1.2499172561699417E-5</v>
      </c>
      <c r="AL46" s="40">
        <f t="shared" si="18"/>
        <v>344061.82968376373</v>
      </c>
      <c r="AM46" s="33">
        <f t="shared" si="19"/>
        <v>4.9368384790807235E-5</v>
      </c>
      <c r="AN46" s="40">
        <f t="shared" si="20"/>
        <v>430763.90244081162</v>
      </c>
      <c r="AO46" s="41">
        <f t="shared" si="21"/>
        <v>3.4293758653038101E-5</v>
      </c>
      <c r="AP46" s="40">
        <f t="shared" si="22"/>
        <v>734348.22792315343</v>
      </c>
      <c r="AQ46" s="41">
        <f t="shared" si="23"/>
        <v>5.8462560936482238E-5</v>
      </c>
      <c r="AR46" s="53"/>
      <c r="AS46" s="53"/>
      <c r="BH46" t="s">
        <v>350</v>
      </c>
      <c r="BI46">
        <v>303331</v>
      </c>
      <c r="BJ46">
        <v>182844</v>
      </c>
      <c r="BK46" s="51">
        <v>38115.96</v>
      </c>
      <c r="BL46" s="32">
        <f t="shared" si="5"/>
        <v>6969274590.2399998</v>
      </c>
      <c r="BM46">
        <v>12561</v>
      </c>
      <c r="BN46" s="37">
        <f t="shared" si="6"/>
        <v>4.1410208649956648E-2</v>
      </c>
      <c r="BO46" s="50">
        <f t="shared" si="32"/>
        <v>2319541</v>
      </c>
      <c r="BP46" s="3">
        <f t="shared" si="33"/>
        <v>23195.41</v>
      </c>
      <c r="BQ46" s="11">
        <f>+'Rev mile pop elasticities'!P76</f>
        <v>2.6816292332864096E-2</v>
      </c>
      <c r="BR46" s="11">
        <f>+'Rev mile pop elasticities'!Q76</f>
        <v>5.5007190921468635E-2</v>
      </c>
      <c r="BS46" s="11">
        <f>+'Rev mile pop elasticities'!R76</f>
        <v>7.3575386906053114E-2</v>
      </c>
      <c r="BT46" s="11">
        <f>+'Rev mile pop elasticities'!S76</f>
        <v>6.514009451226549E-2</v>
      </c>
      <c r="BU46" s="32">
        <f t="shared" si="34"/>
        <v>1868901.0475987748</v>
      </c>
      <c r="BV46" s="33">
        <f t="shared" si="35"/>
        <v>2.6816292332864099E-4</v>
      </c>
      <c r="BW46" s="40">
        <f t="shared" si="36"/>
        <v>3833602.1796947177</v>
      </c>
      <c r="BX46" s="33">
        <f t="shared" si="37"/>
        <v>5.5007190921468635E-4</v>
      </c>
      <c r="BY46" s="40">
        <f t="shared" si="38"/>
        <v>9241804.3492693324</v>
      </c>
      <c r="BZ46" s="41">
        <f t="shared" si="39"/>
        <v>7.3575386906053124E-4</v>
      </c>
      <c r="CA46" s="40">
        <f t="shared" si="40"/>
        <v>8182247.2716856701</v>
      </c>
      <c r="CB46" s="41">
        <f t="shared" si="41"/>
        <v>6.5140094512265506E-4</v>
      </c>
      <c r="CQ46" s="70">
        <f t="shared" si="54"/>
        <v>0.4764179613948325</v>
      </c>
      <c r="CR46" s="70">
        <f t="shared" si="55"/>
        <v>10.221287259077545</v>
      </c>
      <c r="CS46" s="70">
        <f t="shared" si="56"/>
        <v>10.697705220472377</v>
      </c>
      <c r="CT46" s="70">
        <f t="shared" si="57"/>
        <v>1.8817233799510169</v>
      </c>
      <c r="CU46" s="70">
        <f t="shared" si="58"/>
        <v>20.966518888750617</v>
      </c>
      <c r="CV46" s="70">
        <f t="shared" si="59"/>
        <v>22.848242268701632</v>
      </c>
      <c r="CW46" s="69">
        <f t="shared" si="60"/>
        <v>2.3559094224629282</v>
      </c>
      <c r="CX46" s="69">
        <f t="shared" si="61"/>
        <v>50.544750439004467</v>
      </c>
      <c r="CY46" s="70">
        <f t="shared" si="62"/>
        <v>52.900659861467396</v>
      </c>
      <c r="CZ46" s="69">
        <f t="shared" si="63"/>
        <v>4.0162555398216702</v>
      </c>
      <c r="DA46" s="69">
        <f t="shared" si="64"/>
        <v>44.749881164739726</v>
      </c>
      <c r="DB46" s="70">
        <f t="shared" si="65"/>
        <v>48.766136704561397</v>
      </c>
    </row>
    <row r="47" spans="1:106">
      <c r="W47" t="s">
        <v>351</v>
      </c>
      <c r="X47">
        <v>647194</v>
      </c>
      <c r="Y47">
        <v>407920</v>
      </c>
      <c r="Z47" s="51">
        <v>34801.839999999997</v>
      </c>
      <c r="AA47" s="32">
        <f t="shared" si="3"/>
        <v>14196366572.799999</v>
      </c>
      <c r="AB47">
        <v>21036</v>
      </c>
      <c r="AC47" s="37">
        <f t="shared" si="4"/>
        <v>3.250339156419868E-2</v>
      </c>
      <c r="AD47" s="50">
        <f>+'Revenue mile elasticities'!M76</f>
        <v>2720358</v>
      </c>
      <c r="AE47" s="3">
        <f t="shared" si="15"/>
        <v>27203.58</v>
      </c>
      <c r="AF47" s="11">
        <f>+'Revenue mile elasticities'!P76</f>
        <v>2.4460683117092899E-3</v>
      </c>
      <c r="AG47" s="11">
        <f>+'Revenue mile elasticities'!Q76</f>
        <v>9.6613148623212429E-3</v>
      </c>
      <c r="AH47" s="11">
        <f>+'Revenue mile elasticities'!R76</f>
        <v>6.7112343570363197E-3</v>
      </c>
      <c r="AI47" s="11">
        <f>+'Revenue mile elasticities'!S76</f>
        <v>1.1441030758011998E-2</v>
      </c>
      <c r="AJ47" s="32">
        <f t="shared" si="16"/>
        <v>347252.82415135088</v>
      </c>
      <c r="AK47" s="33">
        <f t="shared" si="17"/>
        <v>2.4460683117092897E-5</v>
      </c>
      <c r="AL47" s="40">
        <f t="shared" si="18"/>
        <v>1371555.6736075312</v>
      </c>
      <c r="AM47" s="33">
        <f t="shared" si="19"/>
        <v>9.6613148623212429E-5</v>
      </c>
      <c r="AN47" s="40">
        <f t="shared" si="20"/>
        <v>1411775.2593461606</v>
      </c>
      <c r="AO47" s="41">
        <f t="shared" si="21"/>
        <v>6.7112343570363203E-5</v>
      </c>
      <c r="AP47" s="40">
        <f t="shared" si="22"/>
        <v>2406735.230255404</v>
      </c>
      <c r="AQ47" s="41">
        <f t="shared" si="23"/>
        <v>1.1441030758011999E-4</v>
      </c>
      <c r="AR47" s="53"/>
      <c r="AS47" s="53"/>
      <c r="BH47" t="s">
        <v>351</v>
      </c>
      <c r="BI47">
        <v>647194</v>
      </c>
      <c r="BJ47">
        <v>407920</v>
      </c>
      <c r="BK47" s="51">
        <v>34801.839999999997</v>
      </c>
      <c r="BL47" s="32">
        <f t="shared" si="5"/>
        <v>14196366572.799999</v>
      </c>
      <c r="BM47">
        <v>21036</v>
      </c>
      <c r="BN47" s="37">
        <f t="shared" si="6"/>
        <v>3.250339156419868E-2</v>
      </c>
      <c r="BO47" s="50">
        <f t="shared" si="32"/>
        <v>2720358</v>
      </c>
      <c r="BP47" s="3">
        <f t="shared" si="33"/>
        <v>27203.58</v>
      </c>
      <c r="BQ47" s="11">
        <f>+'Rev mile pop elasticities'!P77</f>
        <v>1.4740256926918358E-2</v>
      </c>
      <c r="BR47" s="11">
        <f>+'Rev mile pop elasticities'!Q77</f>
        <v>3.0236101133817687E-2</v>
      </c>
      <c r="BS47" s="11">
        <f>+'Rev mile pop elasticities'!R77</f>
        <v>4.0442582182158675E-2</v>
      </c>
      <c r="BT47" s="11">
        <f>+'Rev mile pop elasticities'!S77</f>
        <v>3.5805909237415681E-2</v>
      </c>
      <c r="BU47" s="32">
        <f t="shared" si="34"/>
        <v>2092580.9071178741</v>
      </c>
      <c r="BV47" s="33">
        <f t="shared" si="35"/>
        <v>1.4740256926918359E-4</v>
      </c>
      <c r="BW47" s="40">
        <f t="shared" si="36"/>
        <v>4292427.7542792959</v>
      </c>
      <c r="BX47" s="33">
        <f t="shared" si="37"/>
        <v>3.0236101133817689E-4</v>
      </c>
      <c r="BY47" s="40">
        <f t="shared" si="38"/>
        <v>8507501.5878389012</v>
      </c>
      <c r="BZ47" s="41">
        <f t="shared" si="39"/>
        <v>4.0442582182158683E-4</v>
      </c>
      <c r="CA47" s="40">
        <f t="shared" si="40"/>
        <v>7532131.0671827635</v>
      </c>
      <c r="CB47" s="41">
        <f t="shared" si="41"/>
        <v>3.5805909237415686E-4</v>
      </c>
      <c r="CQ47" s="70">
        <f t="shared" si="54"/>
        <v>0.85127678013176822</v>
      </c>
      <c r="CR47" s="70">
        <f t="shared" si="55"/>
        <v>5.1298806312950438</v>
      </c>
      <c r="CS47" s="70">
        <f t="shared" si="56"/>
        <v>5.9811574114268122</v>
      </c>
      <c r="CT47" s="70">
        <f t="shared" si="57"/>
        <v>3.3623153402812593</v>
      </c>
      <c r="CU47" s="70">
        <f t="shared" si="58"/>
        <v>10.522719538829417</v>
      </c>
      <c r="CV47" s="70">
        <f t="shared" si="59"/>
        <v>13.885034879110677</v>
      </c>
      <c r="CW47" s="69">
        <f t="shared" si="60"/>
        <v>3.4609120890031391</v>
      </c>
      <c r="CX47" s="69">
        <f t="shared" si="61"/>
        <v>20.855808952340904</v>
      </c>
      <c r="CY47" s="70">
        <f t="shared" si="62"/>
        <v>24.316721041344042</v>
      </c>
      <c r="CZ47" s="69">
        <f t="shared" si="63"/>
        <v>5.900017724689655</v>
      </c>
      <c r="DA47" s="69">
        <f t="shared" si="64"/>
        <v>18.464726091348215</v>
      </c>
      <c r="DB47" s="70">
        <f t="shared" si="65"/>
        <v>24.364743816037869</v>
      </c>
    </row>
    <row r="48" spans="1:106">
      <c r="W48" t="s">
        <v>285</v>
      </c>
      <c r="X48">
        <v>1706469</v>
      </c>
      <c r="Y48">
        <v>1111511</v>
      </c>
      <c r="Z48" s="51">
        <v>44341.88</v>
      </c>
      <c r="AA48" s="32">
        <f t="shared" si="3"/>
        <v>49286487380.68</v>
      </c>
      <c r="AB48">
        <v>110738</v>
      </c>
      <c r="AC48" s="37">
        <f t="shared" si="4"/>
        <v>6.4893062809813717E-2</v>
      </c>
      <c r="AD48" s="50">
        <f>+'Revenue mile elasticities'!M77</f>
        <v>12100000</v>
      </c>
      <c r="AE48" s="3">
        <f t="shared" si="15"/>
        <v>121000</v>
      </c>
      <c r="AF48" s="11">
        <f>+'Revenue mile elasticities'!P77</f>
        <v>2.0383509044782644E-2</v>
      </c>
      <c r="AG48" s="11">
        <f>+'Revenue mile elasticities'!Q77</f>
        <v>8.0509402757850249E-2</v>
      </c>
      <c r="AH48" s="11">
        <f>+'Revenue mile elasticities'!R77</f>
        <v>5.592587319146141E-2</v>
      </c>
      <c r="AI48" s="11">
        <f>+'Revenue mile elasticities'!S77</f>
        <v>9.5340082213243721E-2</v>
      </c>
      <c r="AJ48" s="32">
        <f t="shared" si="16"/>
        <v>10046315.613096565</v>
      </c>
      <c r="AK48" s="33">
        <f t="shared" si="17"/>
        <v>2.0383509044782645E-4</v>
      </c>
      <c r="AL48" s="40">
        <f t="shared" si="18"/>
        <v>39680256.630508699</v>
      </c>
      <c r="AM48" s="33">
        <f t="shared" si="19"/>
        <v>8.0509402757850243E-4</v>
      </c>
      <c r="AN48" s="40">
        <f t="shared" si="20"/>
        <v>61931193.454760537</v>
      </c>
      <c r="AO48" s="41">
        <f t="shared" si="21"/>
        <v>5.5925873191461418E-4</v>
      </c>
      <c r="AP48" s="40">
        <f t="shared" si="22"/>
        <v>105577700.24130182</v>
      </c>
      <c r="AQ48" s="41">
        <f t="shared" si="23"/>
        <v>9.5340082213243719E-4</v>
      </c>
      <c r="AR48" s="53"/>
      <c r="AS48" s="53"/>
      <c r="BH48" t="s">
        <v>285</v>
      </c>
      <c r="BI48">
        <v>1706469</v>
      </c>
      <c r="BJ48">
        <v>1111511</v>
      </c>
      <c r="BK48" s="51">
        <v>44341.88</v>
      </c>
      <c r="BL48" s="32">
        <f t="shared" si="5"/>
        <v>49286487380.68</v>
      </c>
      <c r="BM48">
        <v>110738</v>
      </c>
      <c r="BN48" s="37">
        <f t="shared" si="6"/>
        <v>6.4893062809813717E-2</v>
      </c>
      <c r="BO48" s="50">
        <f t="shared" si="32"/>
        <v>12100000</v>
      </c>
      <c r="BP48" s="3">
        <f t="shared" si="33"/>
        <v>121000</v>
      </c>
      <c r="BQ48" s="11">
        <f>+'Rev mile pop elasticities'!P78</f>
        <v>2.4865685810876142E-2</v>
      </c>
      <c r="BR48" s="11">
        <f>+'Rev mile pop elasticities'!Q78</f>
        <v>5.1005989560900321E-2</v>
      </c>
      <c r="BS48" s="11">
        <f>+'Rev mile pop elasticities'!R78</f>
        <v>6.8223542296988696E-2</v>
      </c>
      <c r="BT48" s="11">
        <f>+'Rev mile pop elasticities'!S78</f>
        <v>6.0401829743171431E-2</v>
      </c>
      <c r="BU48" s="32">
        <f t="shared" si="34"/>
        <v>12255423.099297008</v>
      </c>
      <c r="BV48" s="33">
        <f t="shared" si="35"/>
        <v>2.4865685810876144E-4</v>
      </c>
      <c r="BW48" s="40">
        <f t="shared" si="36"/>
        <v>25139060.608324096</v>
      </c>
      <c r="BX48" s="33">
        <f t="shared" si="37"/>
        <v>5.1005989560900318E-4</v>
      </c>
      <c r="BY48" s="40">
        <f t="shared" si="38"/>
        <v>75549386.268839359</v>
      </c>
      <c r="BZ48" s="41">
        <f t="shared" si="39"/>
        <v>6.822354229698872E-4</v>
      </c>
      <c r="CA48" s="40">
        <f t="shared" si="40"/>
        <v>66887778.220993184</v>
      </c>
      <c r="CB48" s="41">
        <f t="shared" si="41"/>
        <v>6.0401829743171435E-4</v>
      </c>
      <c r="CQ48" s="70">
        <f t="shared" si="54"/>
        <v>9.038431120426667</v>
      </c>
      <c r="CR48" s="70">
        <f t="shared" si="55"/>
        <v>11.025912563435726</v>
      </c>
      <c r="CS48" s="70">
        <f t="shared" si="56"/>
        <v>20.064343683862393</v>
      </c>
      <c r="CT48" s="70">
        <f t="shared" si="57"/>
        <v>35.699382759602649</v>
      </c>
      <c r="CU48" s="70">
        <f t="shared" si="58"/>
        <v>22.617014683906948</v>
      </c>
      <c r="CV48" s="70">
        <f t="shared" si="59"/>
        <v>58.316397443509601</v>
      </c>
      <c r="CW48" s="69">
        <f t="shared" si="60"/>
        <v>55.718021193456956</v>
      </c>
      <c r="CX48" s="69">
        <f t="shared" si="61"/>
        <v>67.969985244266013</v>
      </c>
      <c r="CY48" s="70">
        <f t="shared" si="62"/>
        <v>123.68800643772298</v>
      </c>
      <c r="CZ48" s="69">
        <f t="shared" si="63"/>
        <v>94.985744847600984</v>
      </c>
      <c r="DA48" s="69">
        <f t="shared" si="64"/>
        <v>60.177342573301736</v>
      </c>
      <c r="DB48" s="70">
        <f t="shared" si="65"/>
        <v>155.16308742090271</v>
      </c>
    </row>
    <row r="49" spans="23:106">
      <c r="W49" t="s">
        <v>352</v>
      </c>
      <c r="X49">
        <v>520089</v>
      </c>
      <c r="Y49">
        <v>321197</v>
      </c>
      <c r="Z49" s="51">
        <v>33600.61</v>
      </c>
      <c r="AA49" s="32">
        <f t="shared" si="3"/>
        <v>10792415130.17</v>
      </c>
      <c r="AB49">
        <v>18171</v>
      </c>
      <c r="AC49" s="37">
        <f t="shared" si="4"/>
        <v>3.4938250953202243E-2</v>
      </c>
      <c r="AD49" s="50">
        <f>+'Revenue mile elasticities'!M78</f>
        <v>1972586</v>
      </c>
      <c r="AE49" s="3">
        <f t="shared" si="15"/>
        <v>19725.86</v>
      </c>
      <c r="AF49" s="11">
        <f>+'Revenue mile elasticities'!P78</f>
        <v>1.8657220431849333E-3</v>
      </c>
      <c r="AG49" s="11">
        <f>+'Revenue mile elasticities'!Q78</f>
        <v>7.3691024974633741E-3</v>
      </c>
      <c r="AH49" s="11">
        <f>+'Revenue mile elasticities'!R78</f>
        <v>5.1189485661391676E-3</v>
      </c>
      <c r="AI49" s="11">
        <f>+'Revenue mile elasticities'!S78</f>
        <v>8.7265687469961009E-3</v>
      </c>
      <c r="AJ49" s="32">
        <f t="shared" si="16"/>
        <v>201356.46807560758</v>
      </c>
      <c r="AK49" s="33">
        <f t="shared" si="17"/>
        <v>1.8657220431849333E-5</v>
      </c>
      <c r="AL49" s="40">
        <f t="shared" si="18"/>
        <v>795304.13289397245</v>
      </c>
      <c r="AM49" s="33">
        <f t="shared" si="19"/>
        <v>7.369102497463374E-5</v>
      </c>
      <c r="AN49" s="40">
        <f t="shared" si="20"/>
        <v>930164.14395314828</v>
      </c>
      <c r="AO49" s="41">
        <f t="shared" si="21"/>
        <v>5.1189485661391685E-5</v>
      </c>
      <c r="AP49" s="40">
        <f t="shared" si="22"/>
        <v>1585704.8070166614</v>
      </c>
      <c r="AQ49" s="41">
        <f t="shared" si="23"/>
        <v>8.7265687469961003E-5</v>
      </c>
      <c r="AR49" s="53"/>
      <c r="AS49" s="53"/>
      <c r="BH49" t="s">
        <v>352</v>
      </c>
      <c r="BI49">
        <v>520089</v>
      </c>
      <c r="BJ49">
        <v>321197</v>
      </c>
      <c r="BK49" s="51">
        <v>33600.61</v>
      </c>
      <c r="BL49" s="32">
        <f t="shared" si="5"/>
        <v>10792415130.17</v>
      </c>
      <c r="BM49">
        <v>18171</v>
      </c>
      <c r="BN49" s="37">
        <f t="shared" si="6"/>
        <v>3.4938250953202243E-2</v>
      </c>
      <c r="BO49" s="50">
        <f t="shared" si="32"/>
        <v>1972586</v>
      </c>
      <c r="BP49" s="3">
        <f t="shared" si="33"/>
        <v>19725.86</v>
      </c>
      <c r="BQ49" s="11">
        <f>+'Rev mile pop elasticities'!P79</f>
        <v>1.3300615926351065E-2</v>
      </c>
      <c r="BR49" s="11">
        <f>+'Rev mile pop elasticities'!Q79</f>
        <v>2.728302296799202E-2</v>
      </c>
      <c r="BS49" s="11">
        <f>+'Rev mile pop elasticities'!R79</f>
        <v>3.6492664635475847E-2</v>
      </c>
      <c r="BT49" s="11">
        <f>+'Rev mile pop elasticities'!S79</f>
        <v>3.2308842988411607E-2</v>
      </c>
      <c r="BU49" s="32">
        <f t="shared" si="34"/>
        <v>1435457.685641313</v>
      </c>
      <c r="BV49" s="33">
        <f t="shared" si="35"/>
        <v>1.3300615926351063E-4</v>
      </c>
      <c r="BW49" s="40">
        <f t="shared" si="36"/>
        <v>2944497.0987653267</v>
      </c>
      <c r="BX49" s="33">
        <f t="shared" si="37"/>
        <v>2.7283022967992016E-4</v>
      </c>
      <c r="BY49" s="40">
        <f t="shared" si="38"/>
        <v>6631082.0909123169</v>
      </c>
      <c r="BZ49" s="41">
        <f t="shared" si="39"/>
        <v>3.6492664635475852E-4</v>
      </c>
      <c r="CA49" s="40">
        <f t="shared" si="40"/>
        <v>5870839.8594242744</v>
      </c>
      <c r="CB49" s="41">
        <f t="shared" si="41"/>
        <v>3.2308842988411612E-4</v>
      </c>
      <c r="CQ49" s="70">
        <f t="shared" si="54"/>
        <v>0.62689398741460101</v>
      </c>
      <c r="CR49" s="70">
        <f t="shared" si="55"/>
        <v>4.4690880850111085</v>
      </c>
      <c r="CS49" s="70">
        <f t="shared" si="56"/>
        <v>5.0959820724257092</v>
      </c>
      <c r="CT49" s="70">
        <f t="shared" si="57"/>
        <v>2.4760633906729281</v>
      </c>
      <c r="CU49" s="70">
        <f t="shared" si="58"/>
        <v>9.1672621436854218</v>
      </c>
      <c r="CV49" s="70">
        <f t="shared" si="59"/>
        <v>11.64332553435835</v>
      </c>
      <c r="CW49" s="69">
        <f t="shared" si="60"/>
        <v>2.8959303603494062</v>
      </c>
      <c r="CX49" s="69">
        <f t="shared" si="61"/>
        <v>20.644906680050926</v>
      </c>
      <c r="CY49" s="70">
        <f t="shared" si="62"/>
        <v>23.540837040400334</v>
      </c>
      <c r="CZ49" s="69">
        <f t="shared" si="63"/>
        <v>4.9368605778281287</v>
      </c>
      <c r="DA49" s="69">
        <f t="shared" si="64"/>
        <v>18.278003404216957</v>
      </c>
      <c r="DB49" s="70">
        <f t="shared" si="65"/>
        <v>23.214863982045085</v>
      </c>
    </row>
    <row r="50" spans="23:106">
      <c r="W50" t="s">
        <v>353</v>
      </c>
      <c r="X50">
        <v>87759</v>
      </c>
      <c r="Y50">
        <v>63480</v>
      </c>
      <c r="Z50" s="51">
        <v>33411.25</v>
      </c>
      <c r="AA50" s="32">
        <f t="shared" si="3"/>
        <v>2120946150</v>
      </c>
      <c r="AB50">
        <v>3016</v>
      </c>
      <c r="AC50" s="37">
        <f t="shared" si="4"/>
        <v>3.4366845565696968E-2</v>
      </c>
      <c r="AD50" s="50">
        <f>+'Revenue mile elasticities'!M79</f>
        <v>382479</v>
      </c>
      <c r="AE50" s="3">
        <f t="shared" si="15"/>
        <v>3824.79</v>
      </c>
      <c r="AF50" s="11">
        <f>+'Revenue mile elasticities'!P79</f>
        <v>2.9277446177944166E-4</v>
      </c>
      <c r="AG50" s="11">
        <f>+'Revenue mile elasticities'!Q79</f>
        <v>1.1563807295803738E-3</v>
      </c>
      <c r="AH50" s="11">
        <f>+'Revenue mile elasticities'!R79</f>
        <v>8.0328011174142847E-4</v>
      </c>
      <c r="AI50" s="11">
        <f>+'Revenue mile elasticities'!S79</f>
        <v>1.3693982323978113E-3</v>
      </c>
      <c r="AJ50" s="32">
        <f t="shared" si="16"/>
        <v>6209.5886752942897</v>
      </c>
      <c r="AK50" s="33">
        <f t="shared" si="17"/>
        <v>2.9277446177944169E-6</v>
      </c>
      <c r="AL50" s="40">
        <f t="shared" si="18"/>
        <v>24526.212563376848</v>
      </c>
      <c r="AM50" s="33">
        <f t="shared" si="19"/>
        <v>1.1563807295803738E-5</v>
      </c>
      <c r="AN50" s="40">
        <f t="shared" si="20"/>
        <v>24226.92817012149</v>
      </c>
      <c r="AO50" s="41">
        <f t="shared" si="21"/>
        <v>8.0328011174142873E-6</v>
      </c>
      <c r="AP50" s="40">
        <f t="shared" si="22"/>
        <v>41301.05068911799</v>
      </c>
      <c r="AQ50" s="41">
        <f t="shared" si="23"/>
        <v>1.3693982323978114E-5</v>
      </c>
      <c r="AR50" s="53"/>
      <c r="AS50" s="53"/>
      <c r="BH50" t="s">
        <v>353</v>
      </c>
      <c r="BI50">
        <v>87759</v>
      </c>
      <c r="BJ50">
        <v>63480</v>
      </c>
      <c r="BK50" s="51">
        <v>33411.25</v>
      </c>
      <c r="BL50" s="32">
        <f t="shared" si="5"/>
        <v>2120946150</v>
      </c>
      <c r="BM50">
        <v>3016</v>
      </c>
      <c r="BN50" s="37">
        <f t="shared" si="6"/>
        <v>3.4366845565696968E-2</v>
      </c>
      <c r="BO50" s="50">
        <f t="shared" si="32"/>
        <v>382479</v>
      </c>
      <c r="BP50" s="3">
        <f t="shared" si="33"/>
        <v>3824.79</v>
      </c>
      <c r="BQ50" s="11">
        <f>+'Rev mile pop elasticities'!P80</f>
        <v>1.5283731660342529E-2</v>
      </c>
      <c r="BR50" s="11">
        <f>+'Rev mile pop elasticities'!Q80</f>
        <v>3.1350909178545799E-2</v>
      </c>
      <c r="BS50" s="11">
        <f>+'Rev mile pop elasticities'!R80</f>
        <v>4.1933704194441597E-2</v>
      </c>
      <c r="BT50" s="11">
        <f>+'Rev mile pop elasticities'!S80</f>
        <v>3.7126076658804234E-2</v>
      </c>
      <c r="BU50" s="32">
        <f t="shared" si="34"/>
        <v>324159.71822636592</v>
      </c>
      <c r="BV50" s="33">
        <f t="shared" si="35"/>
        <v>1.5283731660342527E-4</v>
      </c>
      <c r="BW50" s="40">
        <f t="shared" si="36"/>
        <v>664935.90121236374</v>
      </c>
      <c r="BX50" s="33">
        <f t="shared" si="37"/>
        <v>3.1350909178545799E-4</v>
      </c>
      <c r="BY50" s="40">
        <f t="shared" si="38"/>
        <v>1264720.5185043586</v>
      </c>
      <c r="BZ50" s="41">
        <f t="shared" si="39"/>
        <v>4.1933704194441603E-4</v>
      </c>
      <c r="CA50" s="40">
        <f t="shared" si="40"/>
        <v>1119722.4720295358</v>
      </c>
      <c r="CB50" s="41">
        <f t="shared" si="41"/>
        <v>3.7126076658804239E-4</v>
      </c>
      <c r="CQ50" s="70">
        <f t="shared" si="54"/>
        <v>9.78196073612837E-2</v>
      </c>
      <c r="CR50" s="70">
        <f t="shared" si="55"/>
        <v>5.1064857943661925</v>
      </c>
      <c r="CS50" s="70">
        <f t="shared" si="56"/>
        <v>5.2043054017274759</v>
      </c>
      <c r="CT50" s="70">
        <f t="shared" si="57"/>
        <v>0.3863612565119226</v>
      </c>
      <c r="CU50" s="70">
        <f t="shared" si="58"/>
        <v>10.474730642916883</v>
      </c>
      <c r="CV50" s="70">
        <f t="shared" si="59"/>
        <v>10.861091899428805</v>
      </c>
      <c r="CW50" s="69">
        <f t="shared" si="60"/>
        <v>0.38164663153940592</v>
      </c>
      <c r="CX50" s="69">
        <f t="shared" si="61"/>
        <v>19.923133561820393</v>
      </c>
      <c r="CY50" s="70">
        <f t="shared" si="62"/>
        <v>20.3047801933598</v>
      </c>
      <c r="CZ50" s="69">
        <f t="shared" si="63"/>
        <v>0.65061516523500296</v>
      </c>
      <c r="DA50" s="69">
        <f t="shared" si="64"/>
        <v>17.638980340729926</v>
      </c>
      <c r="DB50" s="70">
        <f t="shared" si="65"/>
        <v>18.289595505964929</v>
      </c>
    </row>
    <row r="51" spans="23:106">
      <c r="W51" t="s">
        <v>287</v>
      </c>
      <c r="X51">
        <v>9515636</v>
      </c>
      <c r="Y51">
        <v>5777274</v>
      </c>
      <c r="Z51" s="51">
        <v>49692.34</v>
      </c>
      <c r="AA51" s="32">
        <f t="shared" si="3"/>
        <v>287086263881.15997</v>
      </c>
      <c r="AB51">
        <v>476895</v>
      </c>
      <c r="AC51" s="37">
        <f t="shared" si="4"/>
        <v>5.0116986400068265E-2</v>
      </c>
      <c r="AD51" s="50">
        <f>+'Revenue mile elasticities'!M80</f>
        <v>133000000</v>
      </c>
      <c r="AE51" s="3">
        <f t="shared" si="15"/>
        <v>1330000</v>
      </c>
      <c r="AF51" s="11">
        <f>+'Revenue mile elasticities'!P80</f>
        <v>4.5840784313725493E-2</v>
      </c>
      <c r="AG51" s="11">
        <f>+'Revenue mile elasticities'!Q80</f>
        <v>0.1810588235294118</v>
      </c>
      <c r="AH51" s="11">
        <f>+'Revenue mile elasticities'!R80</f>
        <v>0.12577254901960785</v>
      </c>
      <c r="AI51" s="11">
        <f>+'Revenue mile elasticities'!S80</f>
        <v>0.21441176470588239</v>
      </c>
      <c r="AJ51" s="32">
        <f t="shared" si="16"/>
        <v>131602595.02009535</v>
      </c>
      <c r="AK51" s="33">
        <f t="shared" si="17"/>
        <v>4.5840784313725492E-4</v>
      </c>
      <c r="AL51" s="40">
        <f t="shared" si="18"/>
        <v>519795011.89777094</v>
      </c>
      <c r="AM51" s="33">
        <f t="shared" si="19"/>
        <v>1.8105882352941181E-3</v>
      </c>
      <c r="AN51" s="40">
        <f t="shared" si="20"/>
        <v>599802997.64705884</v>
      </c>
      <c r="AO51" s="41">
        <f t="shared" si="21"/>
        <v>1.2577254901960785E-3</v>
      </c>
      <c r="AP51" s="40">
        <f t="shared" si="22"/>
        <v>1022518985.2941178</v>
      </c>
      <c r="AQ51" s="41">
        <f t="shared" si="23"/>
        <v>2.1441176470588237E-3</v>
      </c>
      <c r="AR51" s="53"/>
      <c r="AS51" s="53"/>
      <c r="BH51" t="s">
        <v>287</v>
      </c>
      <c r="BI51">
        <v>9515636</v>
      </c>
      <c r="BJ51">
        <v>5777274</v>
      </c>
      <c r="BK51" s="51">
        <v>49692.34</v>
      </c>
      <c r="BL51" s="32">
        <f t="shared" si="5"/>
        <v>287086263881.15997</v>
      </c>
      <c r="BM51">
        <v>476895</v>
      </c>
      <c r="BN51" s="37">
        <f t="shared" si="6"/>
        <v>5.0116986400068265E-2</v>
      </c>
      <c r="BO51" s="50">
        <f t="shared" si="32"/>
        <v>133000000</v>
      </c>
      <c r="BP51" s="3">
        <f t="shared" si="33"/>
        <v>1330000</v>
      </c>
      <c r="BQ51" s="11">
        <f>+'Rev mile pop elasticities'!P81</f>
        <v>4.9014806787481151E-2</v>
      </c>
      <c r="BR51" s="11">
        <f>+'Rev mile pop elasticities'!Q81</f>
        <v>0.1005421182567303</v>
      </c>
      <c r="BS51" s="11">
        <f>+'Rev mile pop elasticities'!R81</f>
        <v>0.1344810583338833</v>
      </c>
      <c r="BT51" s="11">
        <f>+'Rev mile pop elasticities'!S81</f>
        <v>0.11906303477770695</v>
      </c>
      <c r="BU51" s="32">
        <f t="shared" si="34"/>
        <v>140714777.55474883</v>
      </c>
      <c r="BV51" s="33">
        <f t="shared" si="35"/>
        <v>4.9014806787481149E-4</v>
      </c>
      <c r="BW51" s="40">
        <f t="shared" si="36"/>
        <v>288642610.93022466</v>
      </c>
      <c r="BX51" s="33">
        <f t="shared" si="37"/>
        <v>1.0054211825673029E-3</v>
      </c>
      <c r="BY51" s="40">
        <f t="shared" si="38"/>
        <v>641333443.1413728</v>
      </c>
      <c r="BZ51" s="41">
        <f t="shared" si="39"/>
        <v>1.3448105833388331E-3</v>
      </c>
      <c r="CA51" s="40">
        <f t="shared" si="40"/>
        <v>567805659.7031455</v>
      </c>
      <c r="CB51" s="41">
        <f t="shared" si="41"/>
        <v>1.1906303477770693E-3</v>
      </c>
      <c r="CQ51" s="70">
        <f t="shared" si="54"/>
        <v>22.779358399843137</v>
      </c>
      <c r="CR51" s="70">
        <f t="shared" si="55"/>
        <v>24.356604439178206</v>
      </c>
      <c r="CS51" s="70">
        <f t="shared" si="56"/>
        <v>47.135962839021346</v>
      </c>
      <c r="CT51" s="70">
        <f t="shared" si="57"/>
        <v>89.972366188235313</v>
      </c>
      <c r="CU51" s="70">
        <f t="shared" si="58"/>
        <v>49.961731247336488</v>
      </c>
      <c r="CV51" s="70">
        <f t="shared" si="59"/>
        <v>139.9340974355718</v>
      </c>
      <c r="CW51" s="69">
        <f t="shared" si="60"/>
        <v>103.82110968720868</v>
      </c>
      <c r="CX51" s="69">
        <f t="shared" si="61"/>
        <v>111.00969819699962</v>
      </c>
      <c r="CY51" s="70">
        <f t="shared" si="62"/>
        <v>214.8308078842083</v>
      </c>
      <c r="CZ51" s="69">
        <f t="shared" si="63"/>
        <v>176.98987191781416</v>
      </c>
      <c r="DA51" s="69">
        <f t="shared" si="64"/>
        <v>98.282625976047783</v>
      </c>
      <c r="DB51" s="70">
        <f t="shared" si="65"/>
        <v>275.27249789386195</v>
      </c>
    </row>
    <row r="52" spans="23:106">
      <c r="W52" t="s">
        <v>354</v>
      </c>
      <c r="X52">
        <v>219503</v>
      </c>
      <c r="Y52">
        <v>108520</v>
      </c>
      <c r="Z52" s="51">
        <v>30257.82</v>
      </c>
      <c r="AA52" s="32">
        <f t="shared" si="3"/>
        <v>3283578626.4000001</v>
      </c>
      <c r="AB52">
        <v>5093</v>
      </c>
      <c r="AC52" s="37">
        <f t="shared" si="4"/>
        <v>2.3202416367885632E-2</v>
      </c>
      <c r="AD52" s="50">
        <f>+'Revenue mile elasticities'!M81</f>
        <v>1009113</v>
      </c>
      <c r="AE52" s="3">
        <f t="shared" si="15"/>
        <v>10091.130000000001</v>
      </c>
      <c r="AF52" s="11">
        <f>+'Revenue mile elasticities'!P81</f>
        <v>8.5216513890032722E-4</v>
      </c>
      <c r="AG52" s="11">
        <f>+'Revenue mile elasticities'!Q81</f>
        <v>3.3658241195466069E-3</v>
      </c>
      <c r="AH52" s="11">
        <f>+'Revenue mile elasticities'!R81</f>
        <v>2.3380704171994536E-3</v>
      </c>
      <c r="AI52" s="11">
        <f>+'Revenue mile elasticities'!S81</f>
        <v>3.9858443520946665E-3</v>
      </c>
      <c r="AJ52" s="32">
        <f t="shared" si="16"/>
        <v>27981.512362563019</v>
      </c>
      <c r="AK52" s="33">
        <f t="shared" si="17"/>
        <v>8.5216513890032719E-6</v>
      </c>
      <c r="AL52" s="40">
        <f t="shared" si="18"/>
        <v>110519.48139164837</v>
      </c>
      <c r="AM52" s="33">
        <f t="shared" si="19"/>
        <v>3.3658241195466068E-5</v>
      </c>
      <c r="AN52" s="40">
        <f t="shared" si="20"/>
        <v>119077.92634796817</v>
      </c>
      <c r="AO52" s="41">
        <f t="shared" si="21"/>
        <v>2.3380704171994535E-5</v>
      </c>
      <c r="AP52" s="40">
        <f t="shared" si="22"/>
        <v>202999.05285218134</v>
      </c>
      <c r="AQ52" s="41">
        <f t="shared" si="23"/>
        <v>3.9858443520946657E-5</v>
      </c>
      <c r="AR52" s="53"/>
      <c r="AS52" s="53"/>
      <c r="BH52" t="s">
        <v>354</v>
      </c>
      <c r="BI52">
        <v>219503</v>
      </c>
      <c r="BJ52">
        <v>108520</v>
      </c>
      <c r="BK52" s="51">
        <v>30257.82</v>
      </c>
      <c r="BL52" s="32">
        <f t="shared" si="5"/>
        <v>3283578626.4000001</v>
      </c>
      <c r="BM52">
        <v>5093</v>
      </c>
      <c r="BN52" s="37">
        <f t="shared" si="6"/>
        <v>2.3202416367885632E-2</v>
      </c>
      <c r="BO52" s="50">
        <f t="shared" si="32"/>
        <v>1009113</v>
      </c>
      <c r="BP52" s="3">
        <f t="shared" si="33"/>
        <v>10091.130000000001</v>
      </c>
      <c r="BQ52" s="11">
        <f>+'Rev mile pop elasticities'!P82</f>
        <v>1.6121773509519231E-2</v>
      </c>
      <c r="BR52" s="11">
        <f>+'Rev mile pop elasticities'!Q82</f>
        <v>3.3069950999302974E-2</v>
      </c>
      <c r="BS52" s="11">
        <f>+'Rev mile pop elasticities'!R82</f>
        <v>4.4233024791460705E-2</v>
      </c>
      <c r="BT52" s="11">
        <f>+'Rev mile pop elasticities'!S82</f>
        <v>3.9161784078121945E-2</v>
      </c>
      <c r="BU52" s="32">
        <f t="shared" si="34"/>
        <v>529371.10915519064</v>
      </c>
      <c r="BV52" s="33">
        <f t="shared" si="35"/>
        <v>1.612177350951923E-4</v>
      </c>
      <c r="BW52" s="40">
        <f t="shared" si="36"/>
        <v>1085877.8427740657</v>
      </c>
      <c r="BX52" s="33">
        <f t="shared" si="37"/>
        <v>3.3069950999302974E-4</v>
      </c>
      <c r="BY52" s="40">
        <f t="shared" si="38"/>
        <v>2252787.952629094</v>
      </c>
      <c r="BZ52" s="41">
        <f t="shared" si="39"/>
        <v>4.4233024791460714E-4</v>
      </c>
      <c r="CA52" s="40">
        <f t="shared" si="40"/>
        <v>1994509.6630987506</v>
      </c>
      <c r="CB52" s="41">
        <f t="shared" si="41"/>
        <v>3.9161784078121947E-4</v>
      </c>
      <c r="CQ52" s="70">
        <f t="shared" si="54"/>
        <v>0.257846593831211</v>
      </c>
      <c r="CR52" s="70">
        <f t="shared" si="55"/>
        <v>4.8780972093180122</v>
      </c>
      <c r="CS52" s="70">
        <f t="shared" si="56"/>
        <v>5.1359438031492228</v>
      </c>
      <c r="CT52" s="70">
        <f t="shared" si="57"/>
        <v>1.0184250036089972</v>
      </c>
      <c r="CU52" s="70">
        <f t="shared" si="58"/>
        <v>10.006246247457295</v>
      </c>
      <c r="CV52" s="70">
        <f t="shared" si="59"/>
        <v>11.024671251066291</v>
      </c>
      <c r="CW52" s="69">
        <f t="shared" si="60"/>
        <v>1.0972901432728361</v>
      </c>
      <c r="CX52" s="69">
        <f t="shared" si="61"/>
        <v>20.759196024964005</v>
      </c>
      <c r="CY52" s="70">
        <f t="shared" si="62"/>
        <v>21.856486168236842</v>
      </c>
      <c r="CZ52" s="69">
        <f t="shared" si="63"/>
        <v>1.8706141987853053</v>
      </c>
      <c r="DA52" s="69">
        <f t="shared" si="64"/>
        <v>18.379189671016871</v>
      </c>
      <c r="DB52" s="70">
        <f t="shared" si="65"/>
        <v>20.249803869802175</v>
      </c>
    </row>
    <row r="53" spans="23:106">
      <c r="W53" t="s">
        <v>355</v>
      </c>
      <c r="X53">
        <v>2158643</v>
      </c>
      <c r="Y53">
        <v>1309385</v>
      </c>
      <c r="Z53" s="51">
        <v>42040.34</v>
      </c>
      <c r="AA53" s="32">
        <f t="shared" si="3"/>
        <v>55046990590.899994</v>
      </c>
      <c r="AB53">
        <v>89678</v>
      </c>
      <c r="AC53" s="37">
        <f t="shared" si="4"/>
        <v>4.1543692032448162E-2</v>
      </c>
      <c r="AD53" s="50">
        <f>+'Revenue mile elasticities'!M82</f>
        <v>14000000</v>
      </c>
      <c r="AE53" s="3">
        <f t="shared" si="15"/>
        <v>140000</v>
      </c>
      <c r="AF53" s="11">
        <f>+'Revenue mile elasticities'!P82</f>
        <v>7.0200493050154786E-3</v>
      </c>
      <c r="AG53" s="11">
        <f>+'Revenue mile elasticities'!Q82</f>
        <v>2.7727315038630271E-2</v>
      </c>
      <c r="AH53" s="11">
        <f>+'Revenue mile elasticities'!R82</f>
        <v>1.9260785096793371E-2</v>
      </c>
      <c r="AI53" s="11">
        <f>+'Revenue mile elasticities'!S82</f>
        <v>3.2834978335220061E-2</v>
      </c>
      <c r="AJ53" s="32">
        <f t="shared" si="16"/>
        <v>3864325.8804084109</v>
      </c>
      <c r="AK53" s="33">
        <f t="shared" si="17"/>
        <v>7.020049305015478E-5</v>
      </c>
      <c r="AL53" s="40">
        <f t="shared" si="18"/>
        <v>15263052.500424003</v>
      </c>
      <c r="AM53" s="33">
        <f t="shared" si="19"/>
        <v>2.7727315038630267E-4</v>
      </c>
      <c r="AN53" s="40">
        <f t="shared" si="20"/>
        <v>17272686.859102361</v>
      </c>
      <c r="AO53" s="41">
        <f t="shared" si="21"/>
        <v>1.9260785096793373E-4</v>
      </c>
      <c r="AP53" s="40">
        <f t="shared" si="22"/>
        <v>29445751.871458642</v>
      </c>
      <c r="AQ53" s="41">
        <f t="shared" si="23"/>
        <v>3.2834978335220057E-4</v>
      </c>
      <c r="AR53" s="53"/>
      <c r="AS53" s="53"/>
      <c r="BH53" t="s">
        <v>355</v>
      </c>
      <c r="BI53">
        <v>2158643</v>
      </c>
      <c r="BJ53">
        <v>1309385</v>
      </c>
      <c r="BK53" s="51">
        <v>42040.34</v>
      </c>
      <c r="BL53" s="32">
        <f t="shared" si="5"/>
        <v>55046990590.899994</v>
      </c>
      <c r="BM53">
        <v>89678</v>
      </c>
      <c r="BN53" s="37">
        <f t="shared" si="6"/>
        <v>4.1543692032448162E-2</v>
      </c>
      <c r="BO53" s="50">
        <f t="shared" si="32"/>
        <v>14000000</v>
      </c>
      <c r="BP53" s="3">
        <f t="shared" si="33"/>
        <v>140000</v>
      </c>
      <c r="BQ53" s="11">
        <f>+'Rev mile pop elasticities'!P83</f>
        <v>2.2743677393621826E-2</v>
      </c>
      <c r="BR53" s="11">
        <f>+'Rev mile pop elasticities'!Q83</f>
        <v>4.6653198328764883E-2</v>
      </c>
      <c r="BS53" s="11">
        <f>+'Rev mile pop elasticities'!R83</f>
        <v>6.2401425339901034E-2</v>
      </c>
      <c r="BT53" s="11">
        <f>+'Rev mile pop elasticities'!S83</f>
        <v>5.5247208547221573E-2</v>
      </c>
      <c r="BU53" s="32">
        <f t="shared" si="34"/>
        <v>12519709.954891656</v>
      </c>
      <c r="BV53" s="33">
        <f t="shared" si="35"/>
        <v>2.2743677393621825E-4</v>
      </c>
      <c r="BW53" s="40">
        <f t="shared" si="36"/>
        <v>25681181.694389116</v>
      </c>
      <c r="BX53" s="33">
        <f t="shared" si="37"/>
        <v>4.665319832876488E-4</v>
      </c>
      <c r="BY53" s="40">
        <f t="shared" si="38"/>
        <v>55960350.216316439</v>
      </c>
      <c r="BZ53" s="41">
        <f t="shared" si="39"/>
        <v>6.2401425339901032E-4</v>
      </c>
      <c r="CA53" s="40">
        <f t="shared" si="40"/>
        <v>49544591.680977352</v>
      </c>
      <c r="CB53" s="41">
        <f t="shared" si="41"/>
        <v>5.5247208547221571E-4</v>
      </c>
      <c r="CQ53" s="70">
        <f t="shared" si="54"/>
        <v>2.9512525959961438</v>
      </c>
      <c r="CR53" s="70">
        <f t="shared" si="55"/>
        <v>9.5615193047817524</v>
      </c>
      <c r="CS53" s="70">
        <f t="shared" si="56"/>
        <v>12.512771900777896</v>
      </c>
      <c r="CT53" s="70">
        <f t="shared" si="57"/>
        <v>11.656657515111295</v>
      </c>
      <c r="CU53" s="70">
        <f t="shared" si="58"/>
        <v>19.613163198287072</v>
      </c>
      <c r="CV53" s="70">
        <f t="shared" si="59"/>
        <v>31.269820713398367</v>
      </c>
      <c r="CW53" s="69">
        <f t="shared" si="60"/>
        <v>13.191450077022694</v>
      </c>
      <c r="CX53" s="69">
        <f t="shared" si="61"/>
        <v>42.737888563192982</v>
      </c>
      <c r="CY53" s="70">
        <f t="shared" si="62"/>
        <v>55.929338640215676</v>
      </c>
      <c r="CZ53" s="69">
        <f t="shared" si="63"/>
        <v>22.488230636106753</v>
      </c>
      <c r="DA53" s="69">
        <f t="shared" si="64"/>
        <v>37.838062663752332</v>
      </c>
      <c r="DB53" s="70">
        <f t="shared" si="65"/>
        <v>60.326293299859088</v>
      </c>
    </row>
    <row r="54" spans="23:106">
      <c r="W54" t="s">
        <v>356</v>
      </c>
      <c r="X54">
        <v>261757</v>
      </c>
      <c r="Y54">
        <v>147168</v>
      </c>
      <c r="Z54" s="51">
        <v>28013.72</v>
      </c>
      <c r="AA54" s="32">
        <f t="shared" si="3"/>
        <v>4122723144.96</v>
      </c>
      <c r="AB54">
        <v>4969</v>
      </c>
      <c r="AC54" s="37">
        <f t="shared" si="4"/>
        <v>1.8983255462127088E-2</v>
      </c>
      <c r="AD54" s="50">
        <f>+'Revenue mile elasticities'!M83</f>
        <v>843433</v>
      </c>
      <c r="AE54" s="3">
        <f t="shared" si="15"/>
        <v>8434.33</v>
      </c>
      <c r="AF54" s="11">
        <f>+'Revenue mile elasticities'!P83</f>
        <v>2.0854976746143904E-3</v>
      </c>
      <c r="AG54" s="11">
        <f>+'Revenue mile elasticities'!Q83</f>
        <v>8.2371573936169881E-3</v>
      </c>
      <c r="AH54" s="11">
        <f>+'Revenue mile elasticities'!R83</f>
        <v>5.7219430783643924E-3</v>
      </c>
      <c r="AI54" s="11">
        <f>+'Revenue mile elasticities'!S83</f>
        <v>9.7545284924411696E-3</v>
      </c>
      <c r="AJ54" s="32">
        <f t="shared" si="16"/>
        <v>85979.295318930075</v>
      </c>
      <c r="AK54" s="33">
        <f t="shared" si="17"/>
        <v>2.0854976746143907E-5</v>
      </c>
      <c r="AL54" s="40">
        <f t="shared" si="18"/>
        <v>339595.19435343146</v>
      </c>
      <c r="AM54" s="33">
        <f t="shared" si="19"/>
        <v>8.2371573936169886E-5</v>
      </c>
      <c r="AN54" s="40">
        <f t="shared" si="20"/>
        <v>284323.35156392667</v>
      </c>
      <c r="AO54" s="41">
        <f t="shared" si="21"/>
        <v>5.7219430783643927E-5</v>
      </c>
      <c r="AP54" s="40">
        <f t="shared" si="22"/>
        <v>484702.52078940172</v>
      </c>
      <c r="AQ54" s="41">
        <f t="shared" si="23"/>
        <v>9.7545284924411703E-5</v>
      </c>
      <c r="AR54" s="53"/>
      <c r="AS54" s="53"/>
      <c r="BH54" t="s">
        <v>356</v>
      </c>
      <c r="BI54">
        <v>261757</v>
      </c>
      <c r="BJ54">
        <v>147168</v>
      </c>
      <c r="BK54" s="51">
        <v>28013.72</v>
      </c>
      <c r="BL54" s="32">
        <f t="shared" si="5"/>
        <v>4122723144.96</v>
      </c>
      <c r="BM54">
        <v>4969</v>
      </c>
      <c r="BN54" s="37">
        <f t="shared" si="6"/>
        <v>1.8983255462127088E-2</v>
      </c>
      <c r="BO54" s="50">
        <f t="shared" si="32"/>
        <v>843433</v>
      </c>
      <c r="BP54" s="3">
        <f t="shared" si="33"/>
        <v>8434.33</v>
      </c>
      <c r="BQ54" s="11">
        <f>+'Rev mile pop elasticities'!P84</f>
        <v>1.1299669972760995E-2</v>
      </c>
      <c r="BR54" s="11">
        <f>+'Rev mile pop elasticities'!Q84</f>
        <v>2.3178562339116054E-2</v>
      </c>
      <c r="BS54" s="11">
        <f>+'Rev mile pop elasticities'!R84</f>
        <v>3.1002704618405617E-2</v>
      </c>
      <c r="BT54" s="11">
        <f>+'Rev mile pop elasticities'!S84</f>
        <v>2.7448297506847959E-2</v>
      </c>
      <c r="BU54" s="32">
        <f t="shared" si="34"/>
        <v>465854.10927111289</v>
      </c>
      <c r="BV54" s="33">
        <f t="shared" si="35"/>
        <v>1.1299669972760995E-4</v>
      </c>
      <c r="BW54" s="40">
        <f t="shared" si="36"/>
        <v>955587.95422371966</v>
      </c>
      <c r="BX54" s="33">
        <f t="shared" si="37"/>
        <v>2.3178562339116058E-4</v>
      </c>
      <c r="BY54" s="40">
        <f t="shared" si="38"/>
        <v>1540524.3924885753</v>
      </c>
      <c r="BZ54" s="41">
        <f t="shared" si="39"/>
        <v>3.1002704618405619E-4</v>
      </c>
      <c r="CA54" s="40">
        <f t="shared" si="40"/>
        <v>1363905.9031152749</v>
      </c>
      <c r="CB54" s="41">
        <f t="shared" si="41"/>
        <v>2.7448297506847956E-4</v>
      </c>
      <c r="CQ54" s="70">
        <f t="shared" si="54"/>
        <v>0.58422547917298651</v>
      </c>
      <c r="CR54" s="70">
        <f t="shared" si="55"/>
        <v>3.1654579070933417</v>
      </c>
      <c r="CS54" s="70">
        <f t="shared" si="56"/>
        <v>3.7496833862663284</v>
      </c>
      <c r="CT54" s="70">
        <f t="shared" si="57"/>
        <v>2.3075342082071608</v>
      </c>
      <c r="CU54" s="70">
        <f t="shared" si="58"/>
        <v>6.493177553705423</v>
      </c>
      <c r="CV54" s="70">
        <f t="shared" si="59"/>
        <v>8.8007117619125843</v>
      </c>
      <c r="CW54" s="69">
        <f t="shared" si="60"/>
        <v>1.9319645001897605</v>
      </c>
      <c r="CX54" s="69">
        <f t="shared" si="61"/>
        <v>10.467794578227435</v>
      </c>
      <c r="CY54" s="70">
        <f t="shared" si="62"/>
        <v>12.399759078417196</v>
      </c>
      <c r="CZ54" s="69">
        <f t="shared" si="63"/>
        <v>3.2935320231939125</v>
      </c>
      <c r="DA54" s="69">
        <f t="shared" si="64"/>
        <v>9.2676798156887017</v>
      </c>
      <c r="DB54" s="70">
        <f t="shared" si="65"/>
        <v>12.561211838882613</v>
      </c>
    </row>
    <row r="55" spans="23:106">
      <c r="W55" t="s">
        <v>289</v>
      </c>
      <c r="X55">
        <v>2094051</v>
      </c>
      <c r="Y55">
        <v>1316713</v>
      </c>
      <c r="Z55" s="51">
        <v>41348.39</v>
      </c>
      <c r="AA55" s="32">
        <f t="shared" si="3"/>
        <v>54443962642.07</v>
      </c>
      <c r="AB55">
        <v>93805</v>
      </c>
      <c r="AC55" s="37">
        <f t="shared" si="4"/>
        <v>4.4795948140709085E-2</v>
      </c>
      <c r="AD55" s="50">
        <f>+'Revenue mile elasticities'!M84</f>
        <v>27000000</v>
      </c>
      <c r="AE55" s="3">
        <f t="shared" si="15"/>
        <v>270000</v>
      </c>
      <c r="AF55" s="11">
        <f>+'Revenue mile elasticities'!P84</f>
        <v>1.3230104465468046E-2</v>
      </c>
      <c r="AG55" s="11">
        <f>+'Revenue mile elasticities'!Q84</f>
        <v>5.2255370093474404E-2</v>
      </c>
      <c r="AH55" s="11">
        <f>+'Revenue mile elasticities'!R84</f>
        <v>3.6299203587565755E-2</v>
      </c>
      <c r="AI55" s="11">
        <f>+'Revenue mile elasticities'!S84</f>
        <v>6.1881359321219694E-2</v>
      </c>
      <c r="AJ55" s="32">
        <f t="shared" si="16"/>
        <v>7202993.1326862574</v>
      </c>
      <c r="AK55" s="33">
        <f t="shared" si="17"/>
        <v>1.3230104465468046E-4</v>
      </c>
      <c r="AL55" s="40">
        <f t="shared" si="18"/>
        <v>28449894.172166623</v>
      </c>
      <c r="AM55" s="33">
        <f t="shared" si="19"/>
        <v>5.2255370093474399E-4</v>
      </c>
      <c r="AN55" s="40">
        <f t="shared" si="20"/>
        <v>34050467.925316058</v>
      </c>
      <c r="AO55" s="41">
        <f t="shared" si="21"/>
        <v>3.6299203587565756E-4</v>
      </c>
      <c r="AP55" s="40">
        <f t="shared" si="22"/>
        <v>58047809.111270137</v>
      </c>
      <c r="AQ55" s="41">
        <f t="shared" si="23"/>
        <v>6.1881359321219699E-4</v>
      </c>
      <c r="AR55" s="53"/>
      <c r="AS55" s="53"/>
      <c r="BH55" t="s">
        <v>289</v>
      </c>
      <c r="BI55">
        <v>2094051</v>
      </c>
      <c r="BJ55">
        <v>1316713</v>
      </c>
      <c r="BK55" s="51">
        <v>41348.39</v>
      </c>
      <c r="BL55" s="32">
        <f t="shared" si="5"/>
        <v>54443962642.07</v>
      </c>
      <c r="BM55">
        <v>93805</v>
      </c>
      <c r="BN55" s="37">
        <f t="shared" si="6"/>
        <v>4.4795948140709085E-2</v>
      </c>
      <c r="BO55" s="50">
        <f t="shared" si="32"/>
        <v>27000000</v>
      </c>
      <c r="BP55" s="3">
        <f t="shared" si="33"/>
        <v>270000</v>
      </c>
      <c r="BQ55" s="11">
        <f>+'Rev mile pop elasticities'!P85</f>
        <v>4.5215775547013892E-2</v>
      </c>
      <c r="BR55" s="11">
        <f>+'Rev mile pop elasticities'!Q85</f>
        <v>9.2749316993712194E-2</v>
      </c>
      <c r="BS55" s="11">
        <f>+'Rev mile pop elasticities'!R85</f>
        <v>0.12405772352249299</v>
      </c>
      <c r="BT55" s="11">
        <f>+'Rev mile pop elasticities'!S85</f>
        <v>0.10983471749255391</v>
      </c>
      <c r="BU55" s="32">
        <f t="shared" si="34"/>
        <v>24617259.947138462</v>
      </c>
      <c r="BV55" s="33">
        <f t="shared" si="35"/>
        <v>4.5215775547013888E-4</v>
      </c>
      <c r="BW55" s="40">
        <f t="shared" si="36"/>
        <v>50496403.494831748</v>
      </c>
      <c r="BX55" s="33">
        <f t="shared" si="37"/>
        <v>9.2749316993712193E-4</v>
      </c>
      <c r="BY55" s="40">
        <f t="shared" si="38"/>
        <v>116372347.55027455</v>
      </c>
      <c r="BZ55" s="41">
        <f t="shared" si="39"/>
        <v>1.2405772352249299E-3</v>
      </c>
      <c r="CA55" s="40">
        <f t="shared" si="40"/>
        <v>103030456.74389021</v>
      </c>
      <c r="CB55" s="41">
        <f t="shared" si="41"/>
        <v>1.0983471749255393E-3</v>
      </c>
      <c r="CQ55" s="70">
        <f t="shared" si="54"/>
        <v>5.4704351917891429</v>
      </c>
      <c r="CR55" s="70">
        <f t="shared" si="55"/>
        <v>18.695995214703935</v>
      </c>
      <c r="CS55" s="70">
        <f t="shared" si="56"/>
        <v>24.166430406493077</v>
      </c>
      <c r="CT55" s="70">
        <f t="shared" si="57"/>
        <v>21.60675422219316</v>
      </c>
      <c r="CU55" s="70">
        <f t="shared" si="58"/>
        <v>38.350349312896391</v>
      </c>
      <c r="CV55" s="70">
        <f t="shared" si="59"/>
        <v>59.957103535089551</v>
      </c>
      <c r="CW55" s="69">
        <f t="shared" si="60"/>
        <v>25.860204862651205</v>
      </c>
      <c r="CX55" s="69">
        <f t="shared" si="61"/>
        <v>88.380951316098916</v>
      </c>
      <c r="CY55" s="70">
        <f t="shared" si="62"/>
        <v>114.24115617875012</v>
      </c>
      <c r="CZ55" s="69">
        <f t="shared" si="63"/>
        <v>44.085392269439232</v>
      </c>
      <c r="DA55" s="69">
        <f t="shared" si="64"/>
        <v>78.248226260308968</v>
      </c>
      <c r="DB55" s="70">
        <f t="shared" si="65"/>
        <v>122.33361852974821</v>
      </c>
    </row>
    <row r="56" spans="23:106">
      <c r="W56" t="s">
        <v>357</v>
      </c>
      <c r="X56">
        <v>207140</v>
      </c>
      <c r="Y56">
        <v>121819</v>
      </c>
      <c r="Z56" s="51">
        <v>29503.57</v>
      </c>
      <c r="AA56" s="32">
        <f t="shared" si="3"/>
        <v>3594095393.8299999</v>
      </c>
      <c r="AB56">
        <v>4551</v>
      </c>
      <c r="AC56" s="37">
        <f t="shared" si="4"/>
        <v>2.1970647871005118E-2</v>
      </c>
      <c r="AD56" s="50">
        <f>+'Revenue mile elasticities'!M85</f>
        <v>1879986</v>
      </c>
      <c r="AE56" s="3">
        <f t="shared" si="15"/>
        <v>18799.86</v>
      </c>
      <c r="AF56" s="11">
        <f>+'Revenue mile elasticities'!P85</f>
        <v>2.3775394234269755E-3</v>
      </c>
      <c r="AG56" s="11">
        <f>+'Revenue mile elasticities'!Q85</f>
        <v>9.3906441031723995E-3</v>
      </c>
      <c r="AH56" s="11">
        <f>+'Revenue mile elasticities'!R85</f>
        <v>6.5232128585000042E-3</v>
      </c>
      <c r="AI56" s="11">
        <f>+'Revenue mile elasticities'!S85</f>
        <v>1.1120499595862053E-2</v>
      </c>
      <c r="AJ56" s="32">
        <f t="shared" si="16"/>
        <v>85451.034903881256</v>
      </c>
      <c r="AK56" s="33">
        <f t="shared" si="17"/>
        <v>2.3775394234269753E-5</v>
      </c>
      <c r="AL56" s="40">
        <f t="shared" si="18"/>
        <v>337508.70716308773</v>
      </c>
      <c r="AM56" s="33">
        <f t="shared" si="19"/>
        <v>9.3906441031724004E-5</v>
      </c>
      <c r="AN56" s="40">
        <f t="shared" si="20"/>
        <v>296871.41719033523</v>
      </c>
      <c r="AO56" s="41">
        <f t="shared" si="21"/>
        <v>6.5232128585000058E-5</v>
      </c>
      <c r="AP56" s="40">
        <f t="shared" si="22"/>
        <v>506093.93660768209</v>
      </c>
      <c r="AQ56" s="41">
        <f t="shared" si="23"/>
        <v>1.1120499595862055E-4</v>
      </c>
      <c r="AR56" s="53"/>
      <c r="AS56" s="53"/>
      <c r="BH56" t="s">
        <v>357</v>
      </c>
      <c r="BI56">
        <v>207140</v>
      </c>
      <c r="BJ56">
        <v>121819</v>
      </c>
      <c r="BK56" s="51">
        <v>29503.57</v>
      </c>
      <c r="BL56" s="32">
        <f t="shared" si="5"/>
        <v>3594095393.8299999</v>
      </c>
      <c r="BM56">
        <v>4551</v>
      </c>
      <c r="BN56" s="37">
        <f t="shared" si="6"/>
        <v>2.1970647871005118E-2</v>
      </c>
      <c r="BO56" s="50">
        <f t="shared" si="32"/>
        <v>1879986</v>
      </c>
      <c r="BP56" s="3">
        <f t="shared" si="33"/>
        <v>18799.86</v>
      </c>
      <c r="BQ56" s="11">
        <f>+'Rev mile pop elasticities'!P86</f>
        <v>3.1827616609635991E-2</v>
      </c>
      <c r="BR56" s="11">
        <f>+'Rev mile pop elasticities'!Q86</f>
        <v>6.5286720538766052E-2</v>
      </c>
      <c r="BS56" s="11">
        <f>+'Rev mile pop elasticities'!R86</f>
        <v>8.7324868676257592E-2</v>
      </c>
      <c r="BT56" s="11">
        <f>+'Rev mile pop elasticities'!S86</f>
        <v>7.7313221690644016E-2</v>
      </c>
      <c r="BU56" s="32">
        <f t="shared" si="34"/>
        <v>1143914.9025327992</v>
      </c>
      <c r="BV56" s="33">
        <f t="shared" si="35"/>
        <v>3.1827616609635991E-4</v>
      </c>
      <c r="BW56" s="40">
        <f t="shared" si="36"/>
        <v>2346467.015666455</v>
      </c>
      <c r="BX56" s="33">
        <f t="shared" si="37"/>
        <v>6.5286720538766045E-4</v>
      </c>
      <c r="BY56" s="40">
        <f t="shared" si="38"/>
        <v>3974154.7734564831</v>
      </c>
      <c r="BZ56" s="41">
        <f t="shared" si="39"/>
        <v>8.7324868676257592E-4</v>
      </c>
      <c r="CA56" s="40">
        <f t="shared" si="40"/>
        <v>3518524.7191412095</v>
      </c>
      <c r="CB56" s="41">
        <f t="shared" si="41"/>
        <v>7.7313221690644023E-4</v>
      </c>
      <c r="CQ56" s="70">
        <f t="shared" si="54"/>
        <v>0.70145900806837402</v>
      </c>
      <c r="CR56" s="70">
        <f t="shared" si="55"/>
        <v>9.390283145755582</v>
      </c>
      <c r="CS56" s="70">
        <f t="shared" si="56"/>
        <v>10.091742153823956</v>
      </c>
      <c r="CT56" s="70">
        <f t="shared" si="57"/>
        <v>2.770575256430341</v>
      </c>
      <c r="CU56" s="70">
        <f t="shared" si="58"/>
        <v>19.261913294859216</v>
      </c>
      <c r="CV56" s="70">
        <f t="shared" si="59"/>
        <v>22.032488551289557</v>
      </c>
      <c r="CW56" s="69">
        <f t="shared" si="60"/>
        <v>2.4369878031369101</v>
      </c>
      <c r="CX56" s="69">
        <f t="shared" si="61"/>
        <v>32.623439475422416</v>
      </c>
      <c r="CY56" s="70">
        <f t="shared" si="62"/>
        <v>35.060427278559324</v>
      </c>
      <c r="CZ56" s="69">
        <f t="shared" si="63"/>
        <v>4.1544745615025738</v>
      </c>
      <c r="DA56" s="69">
        <f t="shared" si="64"/>
        <v>28.883217881785349</v>
      </c>
      <c r="DB56" s="70">
        <f t="shared" si="65"/>
        <v>33.037692443287924</v>
      </c>
    </row>
    <row r="57" spans="23:106">
      <c r="W57" t="s">
        <v>358</v>
      </c>
      <c r="X57">
        <v>164182</v>
      </c>
      <c r="Y57">
        <v>117487</v>
      </c>
      <c r="Z57" s="51">
        <v>30922.92</v>
      </c>
      <c r="AA57" s="32">
        <f t="shared" si="3"/>
        <v>3633041102.04</v>
      </c>
      <c r="AB57">
        <v>4204</v>
      </c>
      <c r="AC57" s="37">
        <f t="shared" si="4"/>
        <v>2.5605730226212375E-2</v>
      </c>
      <c r="AD57" s="50">
        <f>+'Revenue mile elasticities'!M86</f>
        <v>606134</v>
      </c>
      <c r="AE57" s="3">
        <f t="shared" si="15"/>
        <v>6061.34</v>
      </c>
      <c r="AF57" s="11">
        <f>+'Revenue mile elasticities'!P86</f>
        <v>5.4286077077136908E-4</v>
      </c>
      <c r="AG57" s="11">
        <f>+'Revenue mile elasticities'!Q86</f>
        <v>2.1441546859987774E-3</v>
      </c>
      <c r="AH57" s="11">
        <f>+'Revenue mile elasticities'!R86</f>
        <v>1.4894374938131424E-3</v>
      </c>
      <c r="AI57" s="11">
        <f>+'Revenue mile elasticities'!S86</f>
        <v>2.5391305492090789E-3</v>
      </c>
      <c r="AJ57" s="32">
        <f t="shared" si="16"/>
        <v>19722.354928974986</v>
      </c>
      <c r="AK57" s="33">
        <f t="shared" si="17"/>
        <v>5.4286077077136914E-6</v>
      </c>
      <c r="AL57" s="40">
        <f t="shared" si="18"/>
        <v>77898.021033652287</v>
      </c>
      <c r="AM57" s="33">
        <f t="shared" si="19"/>
        <v>2.1441546859987775E-5</v>
      </c>
      <c r="AN57" s="40">
        <f t="shared" si="20"/>
        <v>62615.952239904516</v>
      </c>
      <c r="AO57" s="41">
        <f t="shared" si="21"/>
        <v>1.4894374938131425E-5</v>
      </c>
      <c r="AP57" s="40">
        <f t="shared" si="22"/>
        <v>106745.04828874968</v>
      </c>
      <c r="AQ57" s="41">
        <f t="shared" si="23"/>
        <v>2.539130549209079E-5</v>
      </c>
      <c r="AR57" s="53"/>
      <c r="AS57" s="53"/>
      <c r="BH57" t="s">
        <v>358</v>
      </c>
      <c r="BI57">
        <v>164182</v>
      </c>
      <c r="BJ57">
        <v>117487</v>
      </c>
      <c r="BK57" s="51">
        <v>30922.92</v>
      </c>
      <c r="BL57" s="32">
        <f t="shared" si="5"/>
        <v>3633041102.04</v>
      </c>
      <c r="BM57">
        <v>4204</v>
      </c>
      <c r="BN57" s="37">
        <f t="shared" si="6"/>
        <v>2.5605730226212375E-2</v>
      </c>
      <c r="BO57" s="50">
        <f t="shared" si="32"/>
        <v>606134</v>
      </c>
      <c r="BP57" s="3">
        <f t="shared" si="33"/>
        <v>6061.34</v>
      </c>
      <c r="BQ57" s="11">
        <f>+'Rev mile pop elasticities'!P87</f>
        <v>1.2946625293150282E-2</v>
      </c>
      <c r="BR57" s="11">
        <f>+'Rev mile pop elasticities'!Q87</f>
        <v>2.6556896100668772E-2</v>
      </c>
      <c r="BS57" s="11">
        <f>+'Rev mile pop elasticities'!R87</f>
        <v>3.5521426797091027E-2</v>
      </c>
      <c r="BT57" s="11">
        <f>+'Rev mile pop elasticities'!S87</f>
        <v>3.1448955908686703E-2</v>
      </c>
      <c r="BU57" s="32">
        <f t="shared" si="34"/>
        <v>470356.21822725638</v>
      </c>
      <c r="BV57" s="33">
        <f t="shared" si="35"/>
        <v>1.2946625293150282E-4</v>
      </c>
      <c r="BW57" s="40">
        <f t="shared" si="36"/>
        <v>964822.95076335466</v>
      </c>
      <c r="BX57" s="33">
        <f t="shared" si="37"/>
        <v>2.6556896100668774E-4</v>
      </c>
      <c r="BY57" s="40">
        <f t="shared" si="38"/>
        <v>1493320.782549707</v>
      </c>
      <c r="BZ57" s="41">
        <f t="shared" si="39"/>
        <v>3.5521426797091034E-4</v>
      </c>
      <c r="CA57" s="40">
        <f t="shared" si="40"/>
        <v>1322114.1064011892</v>
      </c>
      <c r="CB57" s="41">
        <f t="shared" si="41"/>
        <v>3.1448955908686707E-4</v>
      </c>
      <c r="CQ57" s="70">
        <f t="shared" si="54"/>
        <v>0.16786840185701385</v>
      </c>
      <c r="CR57" s="70">
        <f t="shared" si="55"/>
        <v>4.003474582100627</v>
      </c>
      <c r="CS57" s="70">
        <f t="shared" si="56"/>
        <v>4.1713429839576408</v>
      </c>
      <c r="CT57" s="70">
        <f t="shared" si="57"/>
        <v>0.6630352382276532</v>
      </c>
      <c r="CU57" s="70">
        <f t="shared" si="58"/>
        <v>8.2121677356929244</v>
      </c>
      <c r="CV57" s="70">
        <f t="shared" si="59"/>
        <v>8.8752029739205778</v>
      </c>
      <c r="CW57" s="69">
        <f t="shared" si="60"/>
        <v>0.5329606870539253</v>
      </c>
      <c r="CX57" s="69">
        <f t="shared" si="61"/>
        <v>12.710519313198116</v>
      </c>
      <c r="CY57" s="70">
        <f t="shared" si="62"/>
        <v>13.243480000252042</v>
      </c>
      <c r="CZ57" s="69">
        <f t="shared" si="63"/>
        <v>0.90856901860418326</v>
      </c>
      <c r="DA57" s="69">
        <f t="shared" si="64"/>
        <v>11.253279991839005</v>
      </c>
      <c r="DB57" s="70">
        <f t="shared" si="65"/>
        <v>12.161849010443188</v>
      </c>
    </row>
    <row r="58" spans="23:106">
      <c r="W58" t="s">
        <v>359</v>
      </c>
      <c r="X58">
        <v>732558</v>
      </c>
      <c r="Y58">
        <v>477256</v>
      </c>
      <c r="Z58" s="51">
        <v>34438.730000000003</v>
      </c>
      <c r="AA58" s="32">
        <f t="shared" si="3"/>
        <v>16436090524.880001</v>
      </c>
      <c r="AB58">
        <v>23459</v>
      </c>
      <c r="AC58" s="37">
        <f t="shared" si="4"/>
        <v>3.202340292509262E-2</v>
      </c>
      <c r="AD58" s="50">
        <f>+'Revenue mile elasticities'!M87</f>
        <v>1567272</v>
      </c>
      <c r="AE58" s="3">
        <f t="shared" si="15"/>
        <v>15672.720000000001</v>
      </c>
      <c r="AF58" s="11">
        <f>+'Revenue mile elasticities'!P87</f>
        <v>8.8807313990768545E-4</v>
      </c>
      <c r="AG58" s="11">
        <f>+'Revenue mile elasticities'!Q87</f>
        <v>3.5076511086572317E-3</v>
      </c>
      <c r="AH58" s="11">
        <f>+'Revenue mile elasticities'!R87</f>
        <v>2.436590564367657E-3</v>
      </c>
      <c r="AI58" s="11">
        <f>+'Revenue mile elasticities'!S87</f>
        <v>4.1537973655151432E-3</v>
      </c>
      <c r="AJ58" s="32">
        <f t="shared" si="16"/>
        <v>145964.50520237139</v>
      </c>
      <c r="AK58" s="33">
        <f t="shared" si="17"/>
        <v>8.8807313990768534E-6</v>
      </c>
      <c r="AL58" s="40">
        <f t="shared" si="18"/>
        <v>576520.71151585958</v>
      </c>
      <c r="AM58" s="33">
        <f t="shared" si="19"/>
        <v>3.5076511086572316E-5</v>
      </c>
      <c r="AN58" s="40">
        <f t="shared" si="20"/>
        <v>571599.78049500857</v>
      </c>
      <c r="AO58" s="41">
        <f t="shared" si="21"/>
        <v>2.4365905643676566E-5</v>
      </c>
      <c r="AP58" s="40">
        <f t="shared" si="22"/>
        <v>974439.3239761974</v>
      </c>
      <c r="AQ58" s="41">
        <f t="shared" si="23"/>
        <v>4.153797365515143E-5</v>
      </c>
      <c r="AR58" s="53"/>
      <c r="AS58" s="53"/>
      <c r="BH58" t="s">
        <v>359</v>
      </c>
      <c r="BI58">
        <v>732558</v>
      </c>
      <c r="BJ58">
        <v>477256</v>
      </c>
      <c r="BK58" s="51">
        <v>34438.730000000003</v>
      </c>
      <c r="BL58" s="32">
        <f t="shared" si="5"/>
        <v>16436090524.880001</v>
      </c>
      <c r="BM58">
        <v>23459</v>
      </c>
      <c r="BN58" s="37">
        <f t="shared" si="6"/>
        <v>3.202340292509262E-2</v>
      </c>
      <c r="BO58" s="50">
        <f t="shared" si="32"/>
        <v>1567272</v>
      </c>
      <c r="BP58" s="3">
        <f t="shared" si="33"/>
        <v>15672.720000000001</v>
      </c>
      <c r="BQ58" s="11">
        <f>+'Rev mile pop elasticities'!P88</f>
        <v>7.5026698159599637E-3</v>
      </c>
      <c r="BR58" s="11">
        <f>+'Rev mile pop elasticities'!Q88</f>
        <v>1.5389927357014737E-2</v>
      </c>
      <c r="BS58" s="11">
        <f>+'Rev mile pop elasticities'!R88</f>
        <v>2.0584942455341416E-2</v>
      </c>
      <c r="BT58" s="11">
        <f>+'Rev mile pop elasticities'!S88</f>
        <v>1.8224913975412191E-2</v>
      </c>
      <c r="BU58" s="32">
        <f t="shared" si="34"/>
        <v>1233145.6027340274</v>
      </c>
      <c r="BV58" s="33">
        <f t="shared" si="35"/>
        <v>7.5026698159599641E-5</v>
      </c>
      <c r="BW58" s="40">
        <f t="shared" si="36"/>
        <v>2529502.3921122141</v>
      </c>
      <c r="BX58" s="33">
        <f t="shared" si="37"/>
        <v>1.5389927357014737E-4</v>
      </c>
      <c r="BY58" s="40">
        <f t="shared" si="38"/>
        <v>4829021.6505985418</v>
      </c>
      <c r="BZ58" s="41">
        <f t="shared" si="39"/>
        <v>2.058494245534141E-4</v>
      </c>
      <c r="CA58" s="40">
        <f t="shared" si="40"/>
        <v>4275382.5694919452</v>
      </c>
      <c r="CB58" s="41">
        <f t="shared" si="41"/>
        <v>1.8224913975412187E-4</v>
      </c>
      <c r="CQ58" s="70">
        <f t="shared" si="54"/>
        <v>0.30584111085533006</v>
      </c>
      <c r="CR58" s="70">
        <f t="shared" si="55"/>
        <v>2.583824200709949</v>
      </c>
      <c r="CS58" s="70">
        <f t="shared" si="56"/>
        <v>2.8896653115652793</v>
      </c>
      <c r="CT58" s="70">
        <f t="shared" si="57"/>
        <v>1.2079904946524707</v>
      </c>
      <c r="CU58" s="70">
        <f t="shared" si="58"/>
        <v>5.3000955296784413</v>
      </c>
      <c r="CV58" s="70">
        <f t="shared" si="59"/>
        <v>6.508086024330912</v>
      </c>
      <c r="CW58" s="69">
        <f t="shared" si="60"/>
        <v>1.1976796111416275</v>
      </c>
      <c r="CX58" s="69">
        <f t="shared" si="61"/>
        <v>10.118304747553811</v>
      </c>
      <c r="CY58" s="70">
        <f t="shared" si="62"/>
        <v>11.315984358695438</v>
      </c>
      <c r="CZ58" s="69">
        <f t="shared" si="63"/>
        <v>2.0417539517076735</v>
      </c>
      <c r="DA58" s="69">
        <f t="shared" si="64"/>
        <v>8.9582583969440837</v>
      </c>
      <c r="DB58" s="70">
        <f t="shared" si="65"/>
        <v>11.000012348651758</v>
      </c>
    </row>
    <row r="59" spans="23:106">
      <c r="W59" t="s">
        <v>360</v>
      </c>
      <c r="X59">
        <v>287251</v>
      </c>
      <c r="Y59">
        <v>174237</v>
      </c>
      <c r="Z59" s="51">
        <v>32899.43</v>
      </c>
      <c r="AA59" s="32">
        <f t="shared" si="3"/>
        <v>5732297984.9099998</v>
      </c>
      <c r="AB59">
        <v>7421</v>
      </c>
      <c r="AC59" s="37">
        <f t="shared" si="4"/>
        <v>2.5834548878855078E-2</v>
      </c>
      <c r="AD59" s="50">
        <f>+'Revenue mile elasticities'!M88</f>
        <v>919775</v>
      </c>
      <c r="AE59" s="3">
        <f t="shared" si="15"/>
        <v>9197.75</v>
      </c>
      <c r="AF59" s="11">
        <f>+'Revenue mile elasticities'!P88</f>
        <v>1.1036796567836676E-3</v>
      </c>
      <c r="AG59" s="11">
        <f>+'Revenue mile elasticities'!Q88</f>
        <v>4.3592391186632277E-3</v>
      </c>
      <c r="AH59" s="11">
        <f>+'Revenue mile elasticities'!R88</f>
        <v>3.0281463507421929E-3</v>
      </c>
      <c r="AI59" s="11">
        <f>+'Revenue mile elasticities'!S88</f>
        <v>5.1622568510485594E-3</v>
      </c>
      <c r="AJ59" s="32">
        <f t="shared" si="16"/>
        <v>63266.206725671786</v>
      </c>
      <c r="AK59" s="33">
        <f t="shared" si="17"/>
        <v>1.1036796567836676E-5</v>
      </c>
      <c r="AL59" s="40">
        <f t="shared" si="18"/>
        <v>249884.57615654066</v>
      </c>
      <c r="AM59" s="33">
        <f t="shared" si="19"/>
        <v>4.359239118663228E-5</v>
      </c>
      <c r="AN59" s="40">
        <f t="shared" si="20"/>
        <v>224718.74068857817</v>
      </c>
      <c r="AO59" s="41">
        <f t="shared" si="21"/>
        <v>3.0281463507421931E-5</v>
      </c>
      <c r="AP59" s="40">
        <f t="shared" si="22"/>
        <v>383091.08091631363</v>
      </c>
      <c r="AQ59" s="41">
        <f t="shared" si="23"/>
        <v>5.1622568510485597E-5</v>
      </c>
      <c r="AR59" s="53"/>
      <c r="AS59" s="53"/>
      <c r="BH59" t="s">
        <v>360</v>
      </c>
      <c r="BI59">
        <v>287251</v>
      </c>
      <c r="BJ59">
        <v>174237</v>
      </c>
      <c r="BK59" s="51">
        <v>32899.43</v>
      </c>
      <c r="BL59" s="32">
        <f t="shared" si="5"/>
        <v>5732297984.9099998</v>
      </c>
      <c r="BM59">
        <v>7421</v>
      </c>
      <c r="BN59" s="37">
        <f t="shared" si="6"/>
        <v>2.5834548878855078E-2</v>
      </c>
      <c r="BO59" s="50">
        <f t="shared" si="32"/>
        <v>919775</v>
      </c>
      <c r="BP59" s="3">
        <f t="shared" si="33"/>
        <v>9197.75</v>
      </c>
      <c r="BQ59" s="11">
        <f>+'Rev mile pop elasticities'!P89</f>
        <v>1.1228804653421571E-2</v>
      </c>
      <c r="BR59" s="11">
        <f>+'Rev mile pop elasticities'!Q89</f>
        <v>2.303319913594731E-2</v>
      </c>
      <c r="BS59" s="11">
        <f>+'Rev mile pop elasticities'!R89</f>
        <v>3.0808272695308281E-2</v>
      </c>
      <c r="BT59" s="11">
        <f>+'Rev mile pop elasticities'!S89</f>
        <v>2.7276156871516553E-2</v>
      </c>
      <c r="BU59" s="32">
        <f t="shared" si="34"/>
        <v>643668.54287756502</v>
      </c>
      <c r="BV59" s="33">
        <f t="shared" si="35"/>
        <v>1.1228804653421571E-4</v>
      </c>
      <c r="BW59" s="40">
        <f t="shared" si="36"/>
        <v>1320331.6099302152</v>
      </c>
      <c r="BX59" s="33">
        <f t="shared" si="37"/>
        <v>2.303319913594731E-4</v>
      </c>
      <c r="BY59" s="40">
        <f t="shared" si="38"/>
        <v>2286281.9167188271</v>
      </c>
      <c r="BZ59" s="41">
        <f t="shared" si="39"/>
        <v>3.0808272695308274E-4</v>
      </c>
      <c r="CA59" s="40">
        <f t="shared" si="40"/>
        <v>2024163.6014352436</v>
      </c>
      <c r="CB59" s="41">
        <f t="shared" si="41"/>
        <v>2.7276156871516556E-4</v>
      </c>
      <c r="CQ59" s="70">
        <f t="shared" si="54"/>
        <v>0.36310431610778299</v>
      </c>
      <c r="CR59" s="70">
        <f t="shared" si="55"/>
        <v>3.6942127267891722</v>
      </c>
      <c r="CS59" s="70">
        <f t="shared" si="56"/>
        <v>4.0573170428969556</v>
      </c>
      <c r="CT59" s="70">
        <f t="shared" si="57"/>
        <v>1.4341648223772256</v>
      </c>
      <c r="CU59" s="70">
        <f t="shared" si="58"/>
        <v>7.5777912264915903</v>
      </c>
      <c r="CV59" s="70">
        <f t="shared" si="59"/>
        <v>9.0119560488688162</v>
      </c>
      <c r="CW59" s="69">
        <f t="shared" si="60"/>
        <v>1.2897303138172613</v>
      </c>
      <c r="CX59" s="69">
        <f t="shared" si="61"/>
        <v>13.121678614294479</v>
      </c>
      <c r="CY59" s="70">
        <f t="shared" si="62"/>
        <v>14.41140892811174</v>
      </c>
      <c r="CZ59" s="69">
        <f t="shared" si="63"/>
        <v>2.1986781275866414</v>
      </c>
      <c r="DA59" s="69">
        <f t="shared" si="64"/>
        <v>11.617300581594286</v>
      </c>
      <c r="DB59" s="70">
        <f t="shared" si="65"/>
        <v>13.815978709180927</v>
      </c>
    </row>
    <row r="60" spans="23:106">
      <c r="W60" t="s">
        <v>361</v>
      </c>
      <c r="X60">
        <v>1779822</v>
      </c>
      <c r="Y60">
        <v>1197740</v>
      </c>
      <c r="Z60" s="51">
        <v>41755.07</v>
      </c>
      <c r="AA60" s="32">
        <f t="shared" si="3"/>
        <v>50011717541.800003</v>
      </c>
      <c r="AB60">
        <v>78640</v>
      </c>
      <c r="AC60" s="37">
        <f t="shared" si="4"/>
        <v>4.4184193700268902E-2</v>
      </c>
      <c r="AD60" s="50">
        <f>+'Revenue mile elasticities'!M89</f>
        <v>7628914</v>
      </c>
      <c r="AE60" s="3">
        <f t="shared" si="15"/>
        <v>76289.14</v>
      </c>
      <c r="AF60" s="11">
        <f>+'Revenue mile elasticities'!P89</f>
        <v>4.5310648213790321E-3</v>
      </c>
      <c r="AG60" s="11">
        <f>+'Revenue mile elasticities'!Q89</f>
        <v>1.7896492788600778E-2</v>
      </c>
      <c r="AH60" s="11">
        <f>+'Revenue mile elasticities'!R89</f>
        <v>1.2431802398007452E-2</v>
      </c>
      <c r="AI60" s="11">
        <f>+'Revenue mile elasticities'!S89</f>
        <v>2.119321514439566E-2</v>
      </c>
      <c r="AJ60" s="32">
        <f t="shared" si="16"/>
        <v>2266063.3401039466</v>
      </c>
      <c r="AK60" s="33">
        <f t="shared" si="17"/>
        <v>4.5310648213790327E-5</v>
      </c>
      <c r="AL60" s="40">
        <f t="shared" si="18"/>
        <v>8950343.4233236276</v>
      </c>
      <c r="AM60" s="33">
        <f t="shared" si="19"/>
        <v>1.7896492788600776E-4</v>
      </c>
      <c r="AN60" s="40">
        <f t="shared" si="20"/>
        <v>9776369.4057930596</v>
      </c>
      <c r="AO60" s="41">
        <f t="shared" si="21"/>
        <v>1.2431802398007452E-4</v>
      </c>
      <c r="AP60" s="40">
        <f t="shared" si="22"/>
        <v>16666344.389552748</v>
      </c>
      <c r="AQ60" s="41">
        <f t="shared" si="23"/>
        <v>2.1193215144395659E-4</v>
      </c>
      <c r="AR60" s="53"/>
      <c r="AS60" s="53"/>
      <c r="BH60" t="s">
        <v>361</v>
      </c>
      <c r="BI60">
        <v>1779822</v>
      </c>
      <c r="BJ60">
        <v>1197740</v>
      </c>
      <c r="BK60" s="51">
        <v>41755.07</v>
      </c>
      <c r="BL60" s="32">
        <f t="shared" si="5"/>
        <v>50011717541.800003</v>
      </c>
      <c r="BM60">
        <v>78640</v>
      </c>
      <c r="BN60" s="37">
        <f t="shared" si="6"/>
        <v>4.4184193700268902E-2</v>
      </c>
      <c r="BO60" s="50">
        <f t="shared" si="32"/>
        <v>7628914</v>
      </c>
      <c r="BP60" s="3">
        <f t="shared" si="33"/>
        <v>76289.14</v>
      </c>
      <c r="BQ60" s="11">
        <f>+'Rev mile pop elasticities'!P90</f>
        <v>1.503140662014516E-2</v>
      </c>
      <c r="BR60" s="11">
        <f>+'Rev mile pop elasticities'!Q90</f>
        <v>3.0833324887320195E-2</v>
      </c>
      <c r="BS60" s="11">
        <f>+'Rev mile pop elasticities'!R90</f>
        <v>4.1241404445163617E-2</v>
      </c>
      <c r="BT60" s="11">
        <f>+'Rev mile pop elasticities'!S90</f>
        <v>3.6513147892879176E-2</v>
      </c>
      <c r="BU60" s="32">
        <f t="shared" si="34"/>
        <v>7517464.621426424</v>
      </c>
      <c r="BV60" s="33">
        <f t="shared" si="35"/>
        <v>1.503140662014516E-4</v>
      </c>
      <c r="BW60" s="40">
        <f t="shared" si="36"/>
        <v>15420275.3513921</v>
      </c>
      <c r="BX60" s="33">
        <f t="shared" si="37"/>
        <v>3.0833324887320193E-4</v>
      </c>
      <c r="BY60" s="40">
        <f t="shared" si="38"/>
        <v>32432240.455676671</v>
      </c>
      <c r="BZ60" s="41">
        <f t="shared" si="39"/>
        <v>4.1241404445163616E-4</v>
      </c>
      <c r="CA60" s="40">
        <f t="shared" si="40"/>
        <v>28713939.502960183</v>
      </c>
      <c r="CB60" s="41">
        <f t="shared" si="41"/>
        <v>3.6513147892879174E-4</v>
      </c>
      <c r="CQ60" s="70">
        <f t="shared" si="54"/>
        <v>1.8919492879121902</v>
      </c>
      <c r="CR60" s="70">
        <f t="shared" si="55"/>
        <v>6.2763743562262464</v>
      </c>
      <c r="CS60" s="70">
        <f t="shared" si="56"/>
        <v>8.1683236441384359</v>
      </c>
      <c r="CT60" s="70">
        <f t="shared" si="57"/>
        <v>7.4726930914252074</v>
      </c>
      <c r="CU60" s="70">
        <f t="shared" si="58"/>
        <v>12.874476390027969</v>
      </c>
      <c r="CV60" s="70">
        <f t="shared" si="59"/>
        <v>20.347169481453175</v>
      </c>
      <c r="CW60" s="69">
        <f t="shared" si="60"/>
        <v>8.1623469248693876</v>
      </c>
      <c r="CX60" s="69">
        <f t="shared" si="61"/>
        <v>27.077863689679457</v>
      </c>
      <c r="CY60" s="70">
        <f t="shared" si="62"/>
        <v>35.240210614548843</v>
      </c>
      <c r="CZ60" s="69">
        <f t="shared" si="63"/>
        <v>13.914826581355509</v>
      </c>
      <c r="DA60" s="69">
        <f t="shared" si="64"/>
        <v>23.973432884399102</v>
      </c>
      <c r="DB60" s="70">
        <f t="shared" si="65"/>
        <v>37.888259465754615</v>
      </c>
    </row>
    <row r="61" spans="23:106">
      <c r="W61" t="s">
        <v>362</v>
      </c>
      <c r="X61">
        <v>413206</v>
      </c>
      <c r="Y61">
        <v>247857</v>
      </c>
      <c r="Z61" s="51">
        <v>34143.050000000003</v>
      </c>
      <c r="AA61" s="32">
        <f t="shared" si="3"/>
        <v>8462593943.8500004</v>
      </c>
      <c r="AB61">
        <v>13456</v>
      </c>
      <c r="AC61" s="37">
        <f t="shared" si="4"/>
        <v>3.2564870790840403E-2</v>
      </c>
      <c r="AD61" s="50">
        <f>+'Revenue mile elasticities'!M90</f>
        <v>2778104</v>
      </c>
      <c r="AE61" s="3">
        <f t="shared" si="15"/>
        <v>27781.040000000001</v>
      </c>
      <c r="AF61" s="11">
        <f>+'Revenue mile elasticities'!P90</f>
        <v>2.7368893413555182E-3</v>
      </c>
      <c r="AG61" s="11">
        <f>+'Revenue mile elasticities'!Q90</f>
        <v>1.080998005803414E-2</v>
      </c>
      <c r="AH61" s="11">
        <f>+'Revenue mile elasticities'!R90</f>
        <v>7.5091548715891477E-3</v>
      </c>
      <c r="AI61" s="11">
        <f>+'Revenue mile elasticities'!S90</f>
        <v>1.2801292173987799E-2</v>
      </c>
      <c r="AJ61" s="32">
        <f t="shared" si="16"/>
        <v>231611.83165142825</v>
      </c>
      <c r="AK61" s="33">
        <f t="shared" si="17"/>
        <v>2.7368893413555182E-5</v>
      </c>
      <c r="AL61" s="40">
        <f t="shared" si="18"/>
        <v>914804.71772258985</v>
      </c>
      <c r="AM61" s="33">
        <f t="shared" si="19"/>
        <v>1.080998005803414E-4</v>
      </c>
      <c r="AN61" s="40">
        <f t="shared" si="20"/>
        <v>1010431.8795210356</v>
      </c>
      <c r="AO61" s="41">
        <f t="shared" si="21"/>
        <v>7.5091548715891466E-5</v>
      </c>
      <c r="AP61" s="40">
        <f t="shared" si="22"/>
        <v>1722541.8749317983</v>
      </c>
      <c r="AQ61" s="41">
        <f t="shared" si="23"/>
        <v>1.2801292173987802E-4</v>
      </c>
      <c r="AR61" s="53"/>
      <c r="AS61" s="53"/>
      <c r="BH61" t="s">
        <v>362</v>
      </c>
      <c r="BI61">
        <v>413206</v>
      </c>
      <c r="BJ61">
        <v>247857</v>
      </c>
      <c r="BK61" s="51">
        <v>34143.050000000003</v>
      </c>
      <c r="BL61" s="32">
        <f t="shared" si="5"/>
        <v>8462593943.8500004</v>
      </c>
      <c r="BM61">
        <v>13456</v>
      </c>
      <c r="BN61" s="37">
        <f t="shared" si="6"/>
        <v>3.2564870790840403E-2</v>
      </c>
      <c r="BO61" s="50">
        <f t="shared" si="32"/>
        <v>2778104</v>
      </c>
      <c r="BP61" s="3">
        <f t="shared" si="33"/>
        <v>27781.040000000001</v>
      </c>
      <c r="BQ61" s="11">
        <f>+'Rev mile pop elasticities'!P91</f>
        <v>2.357736980895727E-2</v>
      </c>
      <c r="BR61" s="11">
        <f>+'Rev mile pop elasticities'!Q91</f>
        <v>4.8363318329356308E-2</v>
      </c>
      <c r="BS61" s="11">
        <f>+'Rev mile pop elasticities'!R91</f>
        <v>6.4688812472229337E-2</v>
      </c>
      <c r="BT61" s="11">
        <f>+'Rev mile pop elasticities'!S91</f>
        <v>5.7272350653185103E-2</v>
      </c>
      <c r="BU61" s="32">
        <f t="shared" si="34"/>
        <v>1995257.0695719363</v>
      </c>
      <c r="BV61" s="33">
        <f t="shared" si="35"/>
        <v>2.3577369808957269E-4</v>
      </c>
      <c r="BW61" s="40">
        <f t="shared" si="36"/>
        <v>4092791.247985004</v>
      </c>
      <c r="BX61" s="33">
        <f t="shared" si="37"/>
        <v>4.8363318329356308E-4</v>
      </c>
      <c r="BY61" s="40">
        <f t="shared" si="38"/>
        <v>8704526.6062631793</v>
      </c>
      <c r="BZ61" s="41">
        <f t="shared" si="39"/>
        <v>6.4688812472229334E-4</v>
      </c>
      <c r="CA61" s="40">
        <f t="shared" si="40"/>
        <v>7706567.5038925866</v>
      </c>
      <c r="CB61" s="41">
        <f t="shared" si="41"/>
        <v>5.7272350653185099E-4</v>
      </c>
      <c r="CQ61" s="70">
        <f t="shared" si="54"/>
        <v>0.93445749626368535</v>
      </c>
      <c r="CR61" s="70">
        <f t="shared" si="55"/>
        <v>8.0500331625571846</v>
      </c>
      <c r="CS61" s="70">
        <f t="shared" si="56"/>
        <v>8.9844906588208708</v>
      </c>
      <c r="CT61" s="70">
        <f t="shared" si="57"/>
        <v>3.6908568962046253</v>
      </c>
      <c r="CU61" s="70">
        <f t="shared" si="58"/>
        <v>16.512711958851288</v>
      </c>
      <c r="CV61" s="70">
        <f t="shared" si="59"/>
        <v>20.203568855055913</v>
      </c>
      <c r="CW61" s="69">
        <f t="shared" si="60"/>
        <v>4.0766727569567758</v>
      </c>
      <c r="CX61" s="69">
        <f t="shared" si="61"/>
        <v>35.119147759648421</v>
      </c>
      <c r="CY61" s="70">
        <f t="shared" si="62"/>
        <v>39.195820516605195</v>
      </c>
      <c r="CZ61" s="69">
        <f t="shared" si="63"/>
        <v>6.9497406768087986</v>
      </c>
      <c r="DA61" s="69">
        <f t="shared" si="64"/>
        <v>31.092797475530595</v>
      </c>
      <c r="DB61" s="70">
        <f t="shared" si="65"/>
        <v>38.042538152339397</v>
      </c>
    </row>
    <row r="62" spans="23:106">
      <c r="W62" t="s">
        <v>363</v>
      </c>
      <c r="X62">
        <v>99772</v>
      </c>
      <c r="Y62">
        <v>49565</v>
      </c>
      <c r="Z62" s="51">
        <v>28692.43</v>
      </c>
      <c r="AA62" s="32">
        <f t="shared" si="3"/>
        <v>1422140292.95</v>
      </c>
      <c r="AB62">
        <v>1915</v>
      </c>
      <c r="AC62" s="37">
        <f t="shared" si="4"/>
        <v>1.9193761776851222E-2</v>
      </c>
      <c r="AD62" s="50">
        <f>+'Revenue mile elasticities'!M91</f>
        <v>267128</v>
      </c>
      <c r="AE62" s="3">
        <f t="shared" si="15"/>
        <v>2671.28</v>
      </c>
      <c r="AF62" s="11">
        <f>+'Revenue mile elasticities'!P91</f>
        <v>2.3334511877743945E-4</v>
      </c>
      <c r="AG62" s="11">
        <f>+'Revenue mile elasticities'!Q91</f>
        <v>9.2165073775851453E-4</v>
      </c>
      <c r="AH62" s="11">
        <f>+'Revenue mile elasticities'!R91</f>
        <v>6.4022487462402154E-4</v>
      </c>
      <c r="AI62" s="11">
        <f>+'Revenue mile elasticities'!S91</f>
        <v>1.0914285052403463E-3</v>
      </c>
      <c r="AJ62" s="32">
        <f t="shared" si="16"/>
        <v>3318.4949557660029</v>
      </c>
      <c r="AK62" s="33">
        <f t="shared" si="17"/>
        <v>2.3334511877743946E-6</v>
      </c>
      <c r="AL62" s="40">
        <f t="shared" si="18"/>
        <v>13107.166501934775</v>
      </c>
      <c r="AM62" s="33">
        <f t="shared" si="19"/>
        <v>9.2165073775851445E-6</v>
      </c>
      <c r="AN62" s="40">
        <f t="shared" si="20"/>
        <v>12260.306349050014</v>
      </c>
      <c r="AO62" s="41">
        <f t="shared" si="21"/>
        <v>6.4022487462402159E-6</v>
      </c>
      <c r="AP62" s="40">
        <f t="shared" si="22"/>
        <v>20900.855875352634</v>
      </c>
      <c r="AQ62" s="41">
        <f t="shared" si="23"/>
        <v>1.0914285052403464E-5</v>
      </c>
      <c r="AR62" s="53"/>
      <c r="AS62" s="53"/>
      <c r="BH62" t="s">
        <v>363</v>
      </c>
      <c r="BI62">
        <v>99772</v>
      </c>
      <c r="BJ62">
        <v>49565</v>
      </c>
      <c r="BK62" s="51">
        <v>28692.43</v>
      </c>
      <c r="BL62" s="32">
        <f t="shared" si="5"/>
        <v>1422140292.95</v>
      </c>
      <c r="BM62">
        <v>1915</v>
      </c>
      <c r="BN62" s="37">
        <f t="shared" si="6"/>
        <v>1.9193761776851222E-2</v>
      </c>
      <c r="BO62" s="50">
        <f t="shared" si="32"/>
        <v>267128</v>
      </c>
      <c r="BP62" s="3">
        <f t="shared" si="33"/>
        <v>2671.28</v>
      </c>
      <c r="BQ62" s="11">
        <f>+'Rev mile pop elasticities'!P92</f>
        <v>9.3891052896604241E-3</v>
      </c>
      <c r="BR62" s="11">
        <f>+'Rev mile pop elasticities'!Q92</f>
        <v>1.9259497205628834E-2</v>
      </c>
      <c r="BS62" s="11">
        <f>+'Rev mile pop elasticities'!R92</f>
        <v>2.5760722094375174E-2</v>
      </c>
      <c r="BT62" s="11">
        <f>+'Rev mile pop elasticities'!S92</f>
        <v>2.2807299322455198E-2</v>
      </c>
      <c r="BU62" s="32">
        <f t="shared" si="34"/>
        <v>133526.2494717607</v>
      </c>
      <c r="BV62" s="33">
        <f t="shared" si="35"/>
        <v>9.3891052896604238E-5</v>
      </c>
      <c r="BW62" s="40">
        <f t="shared" si="36"/>
        <v>273897.06998082699</v>
      </c>
      <c r="BX62" s="33">
        <f t="shared" si="37"/>
        <v>1.9259497205628836E-4</v>
      </c>
      <c r="BY62" s="40">
        <f t="shared" si="38"/>
        <v>493317.82810728467</v>
      </c>
      <c r="BZ62" s="41">
        <f t="shared" si="39"/>
        <v>2.5760722094375177E-4</v>
      </c>
      <c r="CA62" s="40">
        <f t="shared" si="40"/>
        <v>436759.78202501708</v>
      </c>
      <c r="CB62" s="41">
        <f t="shared" si="41"/>
        <v>2.2807299322455198E-4</v>
      </c>
      <c r="CQ62" s="70">
        <f t="shared" si="54"/>
        <v>6.6952384863633668E-2</v>
      </c>
      <c r="CR62" s="70">
        <f t="shared" si="55"/>
        <v>2.6939624628621144</v>
      </c>
      <c r="CS62" s="70">
        <f t="shared" si="56"/>
        <v>2.7609148477257479</v>
      </c>
      <c r="CT62" s="70">
        <f t="shared" si="57"/>
        <v>0.26444399277584535</v>
      </c>
      <c r="CU62" s="70">
        <f t="shared" si="58"/>
        <v>5.5260177540770101</v>
      </c>
      <c r="CV62" s="70">
        <f t="shared" si="59"/>
        <v>5.7904617468528556</v>
      </c>
      <c r="CW62" s="69">
        <f t="shared" si="60"/>
        <v>0.24735814282356527</v>
      </c>
      <c r="CX62" s="69">
        <f t="shared" si="61"/>
        <v>9.952947202810142</v>
      </c>
      <c r="CY62" s="70">
        <f t="shared" si="62"/>
        <v>10.200305345633707</v>
      </c>
      <c r="CZ62" s="69">
        <f t="shared" si="63"/>
        <v>0.42168578382634186</v>
      </c>
      <c r="DA62" s="69">
        <f t="shared" si="64"/>
        <v>8.8118588121661876</v>
      </c>
      <c r="DB62" s="70">
        <f t="shared" si="65"/>
        <v>9.2335445959925302</v>
      </c>
    </row>
    <row r="63" spans="23:106">
      <c r="W63" t="s">
        <v>291</v>
      </c>
      <c r="X63">
        <v>6301085</v>
      </c>
      <c r="Y63">
        <v>4013361</v>
      </c>
      <c r="Z63" s="51">
        <v>47180.46</v>
      </c>
      <c r="AA63" s="32">
        <f t="shared" si="3"/>
        <v>189352218126.06</v>
      </c>
      <c r="AB63">
        <v>352414</v>
      </c>
      <c r="AC63" s="37">
        <f t="shared" si="4"/>
        <v>5.5929097925198595E-2</v>
      </c>
      <c r="AD63" s="50">
        <f>+'Revenue mile elasticities'!M92</f>
        <v>36500000</v>
      </c>
      <c r="AE63" s="3">
        <f t="shared" si="15"/>
        <v>365000</v>
      </c>
      <c r="AF63" s="11">
        <f>+'Revenue mile elasticities'!P92</f>
        <v>2.2823958937928119E-2</v>
      </c>
      <c r="AG63" s="11">
        <f>+'Revenue mile elasticities'!Q92</f>
        <v>9.0148526371254409E-2</v>
      </c>
      <c r="AH63" s="11">
        <f>+'Revenue mile elasticities'!R92</f>
        <v>6.2621692392871381E-2</v>
      </c>
      <c r="AI63" s="11">
        <f>+'Revenue mile elasticities'!S92</f>
        <v>0.10675483386069602</v>
      </c>
      <c r="AJ63" s="32">
        <f t="shared" si="16"/>
        <v>43217672.513148025</v>
      </c>
      <c r="AK63" s="33">
        <f t="shared" si="17"/>
        <v>2.2823958937928123E-4</v>
      </c>
      <c r="AL63" s="40">
        <f t="shared" si="18"/>
        <v>170698234.29192638</v>
      </c>
      <c r="AM63" s="33">
        <f t="shared" si="19"/>
        <v>9.0148526371254414E-4</v>
      </c>
      <c r="AN63" s="40">
        <f t="shared" si="20"/>
        <v>220687611.02941373</v>
      </c>
      <c r="AO63" s="41">
        <f t="shared" si="21"/>
        <v>6.2621692392871378E-4</v>
      </c>
      <c r="AP63" s="40">
        <f t="shared" si="22"/>
        <v>376218980.20183331</v>
      </c>
      <c r="AQ63" s="41">
        <f t="shared" si="23"/>
        <v>1.0675483386069602E-3</v>
      </c>
      <c r="AR63" s="53"/>
      <c r="AS63" s="53"/>
      <c r="BH63" t="s">
        <v>291</v>
      </c>
      <c r="BI63">
        <v>6301085</v>
      </c>
      <c r="BJ63">
        <v>4013361</v>
      </c>
      <c r="BK63" s="51">
        <v>47180.46</v>
      </c>
      <c r="BL63" s="32">
        <f t="shared" si="5"/>
        <v>189352218126.06</v>
      </c>
      <c r="BM63">
        <v>352414</v>
      </c>
      <c r="BN63" s="37">
        <f t="shared" si="6"/>
        <v>5.5929097925198595E-2</v>
      </c>
      <c r="BO63" s="50">
        <f t="shared" si="32"/>
        <v>36500000</v>
      </c>
      <c r="BP63" s="3">
        <f t="shared" si="33"/>
        <v>365000</v>
      </c>
      <c r="BQ63" s="11">
        <f>+'Rev mile pop elasticities'!P93</f>
        <v>2.0313791989792232E-2</v>
      </c>
      <c r="BR63" s="11">
        <f>+'Rev mile pop elasticities'!Q93</f>
        <v>4.1668871313432533E-2</v>
      </c>
      <c r="BS63" s="11">
        <f>+'Rev mile pop elasticities'!R93</f>
        <v>5.57345917409462E-2</v>
      </c>
      <c r="BT63" s="11">
        <f>+'Rev mile pop elasticities'!S93</f>
        <v>4.9344716029064845E-2</v>
      </c>
      <c r="BU63" s="32">
        <f t="shared" si="34"/>
        <v>38464615.718185492</v>
      </c>
      <c r="BV63" s="33">
        <f t="shared" si="35"/>
        <v>2.0313791989792234E-4</v>
      </c>
      <c r="BW63" s="40">
        <f t="shared" si="36"/>
        <v>78900932.100078017</v>
      </c>
      <c r="BX63" s="33">
        <f t="shared" si="37"/>
        <v>4.1668871313432537E-4</v>
      </c>
      <c r="BY63" s="40">
        <f t="shared" si="38"/>
        <v>196416504.13793811</v>
      </c>
      <c r="BZ63" s="41">
        <f t="shared" si="39"/>
        <v>5.5734591740946187E-4</v>
      </c>
      <c r="CA63" s="40">
        <f t="shared" si="40"/>
        <v>173897687.54666859</v>
      </c>
      <c r="CB63" s="41">
        <f t="shared" si="41"/>
        <v>4.9344716029064842E-4</v>
      </c>
      <c r="CQ63" s="70">
        <f t="shared" si="54"/>
        <v>10.768448817125602</v>
      </c>
      <c r="CR63" s="70">
        <f t="shared" si="55"/>
        <v>9.584140504227129</v>
      </c>
      <c r="CS63" s="70">
        <f t="shared" si="56"/>
        <v>20.352589321352731</v>
      </c>
      <c r="CT63" s="70">
        <f t="shared" si="57"/>
        <v>42.532489425179143</v>
      </c>
      <c r="CU63" s="70">
        <f t="shared" si="58"/>
        <v>19.659565162485514</v>
      </c>
      <c r="CV63" s="70">
        <f t="shared" si="59"/>
        <v>62.192054587664657</v>
      </c>
      <c r="CW63" s="69">
        <f t="shared" si="60"/>
        <v>54.988228327681895</v>
      </c>
      <c r="CX63" s="69">
        <f t="shared" si="61"/>
        <v>48.940652021569484</v>
      </c>
      <c r="CY63" s="70">
        <f t="shared" si="62"/>
        <v>103.92888034925139</v>
      </c>
      <c r="CZ63" s="69">
        <f t="shared" si="63"/>
        <v>93.741624588925163</v>
      </c>
      <c r="DA63" s="69">
        <f t="shared" si="64"/>
        <v>43.329689890012034</v>
      </c>
      <c r="DB63" s="70">
        <f t="shared" si="65"/>
        <v>137.07131447893721</v>
      </c>
    </row>
    <row r="64" spans="23:106">
      <c r="W64" t="s">
        <v>364</v>
      </c>
      <c r="X64">
        <v>376980</v>
      </c>
      <c r="Y64">
        <v>238059</v>
      </c>
      <c r="Z64" s="51">
        <v>37289.910000000003</v>
      </c>
      <c r="AA64" s="32">
        <f t="shared" si="3"/>
        <v>8877198684.6900005</v>
      </c>
      <c r="AB64">
        <v>14751</v>
      </c>
      <c r="AC64" s="37">
        <f t="shared" si="4"/>
        <v>3.9129396784975332E-2</v>
      </c>
      <c r="AD64" s="50">
        <f>+'Revenue mile elasticities'!M93</f>
        <v>3234926</v>
      </c>
      <c r="AE64" s="3">
        <f t="shared" si="15"/>
        <v>32349.260000000002</v>
      </c>
      <c r="AF64" s="11">
        <f>+'Revenue mile elasticities'!P93</f>
        <v>2.7470334563750591E-3</v>
      </c>
      <c r="AG64" s="11">
        <f>+'Revenue mile elasticities'!Q93</f>
        <v>1.0850046596132949E-2</v>
      </c>
      <c r="AH64" s="11">
        <f>+'Revenue mile elasticities'!R93</f>
        <v>7.5369871005236287E-3</v>
      </c>
      <c r="AI64" s="11">
        <f>+'Revenue mile elasticities'!S93</f>
        <v>1.2848739390157439E-2</v>
      </c>
      <c r="AJ64" s="32">
        <f t="shared" si="16"/>
        <v>243859.61785732099</v>
      </c>
      <c r="AK64" s="33">
        <f t="shared" si="17"/>
        <v>2.7470334563750591E-5</v>
      </c>
      <c r="AL64" s="40">
        <f t="shared" si="18"/>
        <v>963180.19372016622</v>
      </c>
      <c r="AM64" s="33">
        <f t="shared" si="19"/>
        <v>1.0850046596132948E-4</v>
      </c>
      <c r="AN64" s="40">
        <f t="shared" si="20"/>
        <v>1111780.9671982403</v>
      </c>
      <c r="AO64" s="41">
        <f t="shared" si="21"/>
        <v>7.5369871005236282E-5</v>
      </c>
      <c r="AP64" s="40">
        <f t="shared" si="22"/>
        <v>1895317.547442124</v>
      </c>
      <c r="AQ64" s="41">
        <f t="shared" si="23"/>
        <v>1.2848739390157438E-4</v>
      </c>
      <c r="AR64" s="53"/>
      <c r="AS64" s="53"/>
      <c r="BH64" t="s">
        <v>364</v>
      </c>
      <c r="BI64">
        <v>376980</v>
      </c>
      <c r="BJ64">
        <v>238059</v>
      </c>
      <c r="BK64" s="51">
        <v>37289.910000000003</v>
      </c>
      <c r="BL64" s="32">
        <f t="shared" si="5"/>
        <v>8877198684.6900005</v>
      </c>
      <c r="BM64">
        <v>14751</v>
      </c>
      <c r="BN64" s="37">
        <f t="shared" si="6"/>
        <v>3.9129396784975332E-2</v>
      </c>
      <c r="BO64" s="50">
        <f t="shared" si="32"/>
        <v>3234926</v>
      </c>
      <c r="BP64" s="3">
        <f t="shared" si="33"/>
        <v>32349.260000000002</v>
      </c>
      <c r="BQ64" s="11">
        <f>+'Rev mile pop elasticities'!P94</f>
        <v>3.0092586331688684E-2</v>
      </c>
      <c r="BR64" s="11">
        <f>+'Rev mile pop elasticities'!Q94</f>
        <v>6.1727722129555962E-2</v>
      </c>
      <c r="BS64" s="11">
        <f>+'Rev mile pop elasticities'!R94</f>
        <v>8.2564496794524905E-2</v>
      </c>
      <c r="BT64" s="11">
        <f>+'Rev mile pop elasticities'!S94</f>
        <v>7.3098618311316269E-2</v>
      </c>
      <c r="BU64" s="32">
        <f t="shared" si="34"/>
        <v>2671378.6780258706</v>
      </c>
      <c r="BV64" s="33">
        <f t="shared" si="35"/>
        <v>3.0092586331688685E-4</v>
      </c>
      <c r="BW64" s="40">
        <f t="shared" si="36"/>
        <v>5479692.5369740399</v>
      </c>
      <c r="BX64" s="33">
        <f t="shared" si="37"/>
        <v>6.1727722129555963E-4</v>
      </c>
      <c r="BY64" s="40">
        <f t="shared" si="38"/>
        <v>12179088.92216037</v>
      </c>
      <c r="BZ64" s="41">
        <f t="shared" si="39"/>
        <v>8.2564496794524918E-4</v>
      </c>
      <c r="CA64" s="40">
        <f t="shared" si="40"/>
        <v>10782777.187102264</v>
      </c>
      <c r="CB64" s="41">
        <f t="shared" si="41"/>
        <v>7.3098618311316275E-4</v>
      </c>
      <c r="CQ64" s="70">
        <f t="shared" si="54"/>
        <v>1.0243663035521489</v>
      </c>
      <c r="CR64" s="70">
        <f t="shared" si="55"/>
        <v>11.221498359759012</v>
      </c>
      <c r="CS64" s="70">
        <f t="shared" si="56"/>
        <v>12.245864663311162</v>
      </c>
      <c r="CT64" s="70">
        <f t="shared" si="57"/>
        <v>4.0459726106560403</v>
      </c>
      <c r="CU64" s="70">
        <f t="shared" si="58"/>
        <v>23.0182120271615</v>
      </c>
      <c r="CV64" s="70">
        <f t="shared" si="59"/>
        <v>27.06418463781754</v>
      </c>
      <c r="CW64" s="69">
        <f t="shared" si="60"/>
        <v>4.6701908652823052</v>
      </c>
      <c r="CX64" s="69">
        <f t="shared" si="61"/>
        <v>51.159960018988443</v>
      </c>
      <c r="CY64" s="70">
        <f t="shared" si="62"/>
        <v>55.830150884270751</v>
      </c>
      <c r="CZ64" s="69">
        <f t="shared" si="63"/>
        <v>7.961545446473874</v>
      </c>
      <c r="DA64" s="69">
        <f t="shared" si="64"/>
        <v>45.29455801755978</v>
      </c>
      <c r="DB64" s="70">
        <f t="shared" si="65"/>
        <v>53.256103464033657</v>
      </c>
    </row>
    <row r="65" spans="23:106">
      <c r="W65" t="s">
        <v>365</v>
      </c>
      <c r="X65">
        <v>837036</v>
      </c>
      <c r="Y65">
        <v>493099</v>
      </c>
      <c r="Z65" s="51">
        <v>38217.019999999997</v>
      </c>
      <c r="AA65" s="32">
        <f t="shared" si="3"/>
        <v>18844774344.98</v>
      </c>
      <c r="AB65">
        <v>27984</v>
      </c>
      <c r="AC65" s="37">
        <f t="shared" si="4"/>
        <v>3.3432253809871977E-2</v>
      </c>
      <c r="AD65" s="50">
        <f>+'Revenue mile elasticities'!M94</f>
        <v>5706803</v>
      </c>
      <c r="AE65" s="3">
        <f t="shared" si="15"/>
        <v>57068.03</v>
      </c>
      <c r="AF65" s="11">
        <f>+'Revenue mile elasticities'!P94</f>
        <v>3.9305711329341627E-3</v>
      </c>
      <c r="AG65" s="11">
        <f>+'Revenue mile elasticities'!Q94</f>
        <v>1.5524703509809768E-2</v>
      </c>
      <c r="AH65" s="11">
        <f>+'Revenue mile elasticities'!R94</f>
        <v>1.0784238487472793E-2</v>
      </c>
      <c r="AI65" s="11">
        <f>+'Revenue mile elasticities'!S94</f>
        <v>1.8384517314248412E-2</v>
      </c>
      <c r="AJ65" s="32">
        <f t="shared" si="16"/>
        <v>740707.2604703668</v>
      </c>
      <c r="AK65" s="33">
        <f t="shared" si="17"/>
        <v>3.9305711329341625E-5</v>
      </c>
      <c r="AL65" s="40">
        <f t="shared" si="18"/>
        <v>2925595.3441508408</v>
      </c>
      <c r="AM65" s="33">
        <f t="shared" si="19"/>
        <v>1.5524703509809767E-4</v>
      </c>
      <c r="AN65" s="40">
        <f t="shared" si="20"/>
        <v>3017861.2983343867</v>
      </c>
      <c r="AO65" s="41">
        <f t="shared" si="21"/>
        <v>1.0784238487472794E-4</v>
      </c>
      <c r="AP65" s="40">
        <f t="shared" si="22"/>
        <v>5144723.3252192754</v>
      </c>
      <c r="AQ65" s="41">
        <f t="shared" si="23"/>
        <v>1.838451731424841E-4</v>
      </c>
      <c r="AR65" s="53"/>
      <c r="AS65" s="53"/>
      <c r="BH65" t="s">
        <v>365</v>
      </c>
      <c r="BI65">
        <v>837036</v>
      </c>
      <c r="BJ65">
        <v>493099</v>
      </c>
      <c r="BK65" s="51">
        <v>38217.019999999997</v>
      </c>
      <c r="BL65" s="32">
        <f t="shared" si="5"/>
        <v>18844774344.98</v>
      </c>
      <c r="BM65">
        <v>27984</v>
      </c>
      <c r="BN65" s="37">
        <f t="shared" si="6"/>
        <v>3.3432253809871977E-2</v>
      </c>
      <c r="BO65" s="50">
        <f t="shared" si="32"/>
        <v>5706803</v>
      </c>
      <c r="BP65" s="3">
        <f t="shared" si="33"/>
        <v>57068.03</v>
      </c>
      <c r="BQ65" s="11">
        <f>+'Rev mile pop elasticities'!P95</f>
        <v>2.3909044409631125E-2</v>
      </c>
      <c r="BR65" s="11">
        <f>+'Rev mile pop elasticities'!Q95</f>
        <v>4.9043669209209641E-2</v>
      </c>
      <c r="BS65" s="11">
        <f>+'Rev mile pop elasticities'!R95</f>
        <v>6.5598822206930169E-2</v>
      </c>
      <c r="BT65" s="11">
        <f>+'Rev mile pop elasticities'!S95</f>
        <v>5.8078029326695625E-2</v>
      </c>
      <c r="BU65" s="32">
        <f t="shared" si="34"/>
        <v>4505605.4670360405</v>
      </c>
      <c r="BV65" s="33">
        <f t="shared" si="35"/>
        <v>2.3909044409631123E-4</v>
      </c>
      <c r="BW65" s="40">
        <f t="shared" si="36"/>
        <v>9242168.7929739933</v>
      </c>
      <c r="BX65" s="33">
        <f t="shared" si="37"/>
        <v>4.9043669209209643E-4</v>
      </c>
      <c r="BY65" s="40">
        <f t="shared" si="38"/>
        <v>18357174.406387337</v>
      </c>
      <c r="BZ65" s="41">
        <f t="shared" si="39"/>
        <v>6.5598822206930168E-4</v>
      </c>
      <c r="CA65" s="40">
        <f t="shared" si="40"/>
        <v>16252555.726782504</v>
      </c>
      <c r="CB65" s="41">
        <f t="shared" si="41"/>
        <v>5.8078029326695633E-4</v>
      </c>
      <c r="CQ65" s="70">
        <f t="shared" si="54"/>
        <v>1.5021471559876756</v>
      </c>
      <c r="CR65" s="70">
        <f t="shared" si="55"/>
        <v>9.1373242838376072</v>
      </c>
      <c r="CS65" s="70">
        <f t="shared" si="56"/>
        <v>10.639471439825282</v>
      </c>
      <c r="CT65" s="70">
        <f t="shared" si="57"/>
        <v>5.9330790452847006</v>
      </c>
      <c r="CU65" s="70">
        <f t="shared" si="58"/>
        <v>18.74302887041749</v>
      </c>
      <c r="CV65" s="70">
        <f t="shared" si="59"/>
        <v>24.67610791570219</v>
      </c>
      <c r="CW65" s="69">
        <f t="shared" si="60"/>
        <v>6.1201935074587182</v>
      </c>
      <c r="CX65" s="69">
        <f t="shared" si="61"/>
        <v>37.228172043316526</v>
      </c>
      <c r="CY65" s="70">
        <f t="shared" si="62"/>
        <v>43.348365550775242</v>
      </c>
      <c r="CZ65" s="69">
        <f t="shared" si="63"/>
        <v>10.433449115125514</v>
      </c>
      <c r="DA65" s="69">
        <f t="shared" si="64"/>
        <v>32.960025728672143</v>
      </c>
      <c r="DB65" s="70">
        <f t="shared" si="65"/>
        <v>43.393474843797655</v>
      </c>
    </row>
    <row r="66" spans="23:106">
      <c r="W66" t="s">
        <v>772</v>
      </c>
      <c r="X66">
        <v>150344</v>
      </c>
      <c r="Y66">
        <v>78502</v>
      </c>
      <c r="Z66" s="51">
        <v>34650.1</v>
      </c>
      <c r="AA66" s="32">
        <f t="shared" si="3"/>
        <v>2720102150.1999998</v>
      </c>
      <c r="AB66">
        <v>4722</v>
      </c>
      <c r="AC66" s="37">
        <f t="shared" si="4"/>
        <v>3.1407971053051667E-2</v>
      </c>
      <c r="AD66" s="50">
        <f>+'Revenue mile elasticities'!M95</f>
        <v>0</v>
      </c>
      <c r="AE66" s="3">
        <f t="shared" si="15"/>
        <v>0</v>
      </c>
      <c r="AF66" s="11">
        <f>+'Revenue mile elasticities'!P95</f>
        <v>0</v>
      </c>
      <c r="AG66" s="11">
        <f>+'Revenue mile elasticities'!Q95</f>
        <v>0</v>
      </c>
      <c r="AH66" s="11">
        <f>+'Revenue mile elasticities'!R95</f>
        <v>0</v>
      </c>
      <c r="AI66" s="11">
        <f>+'Revenue mile elasticities'!S95</f>
        <v>0</v>
      </c>
      <c r="AJ66" s="32">
        <f t="shared" si="16"/>
        <v>0</v>
      </c>
      <c r="AK66" s="33">
        <f t="shared" si="17"/>
        <v>0</v>
      </c>
      <c r="AL66" s="40">
        <f t="shared" si="18"/>
        <v>0</v>
      </c>
      <c r="AM66" s="33">
        <f t="shared" si="19"/>
        <v>0</v>
      </c>
      <c r="AN66" s="40">
        <f t="shared" si="20"/>
        <v>0</v>
      </c>
      <c r="AO66" s="41">
        <f t="shared" si="21"/>
        <v>0</v>
      </c>
      <c r="AP66" s="40">
        <f t="shared" si="22"/>
        <v>0</v>
      </c>
      <c r="AQ66" s="41">
        <f t="shared" si="23"/>
        <v>0</v>
      </c>
      <c r="AR66" s="53"/>
      <c r="AS66" s="53"/>
      <c r="BH66" t="s">
        <v>772</v>
      </c>
      <c r="BI66">
        <v>150344</v>
      </c>
      <c r="BJ66">
        <v>78502</v>
      </c>
      <c r="BK66" s="51">
        <v>34650.1</v>
      </c>
      <c r="BL66" s="32">
        <f t="shared" si="5"/>
        <v>2720102150.1999998</v>
      </c>
      <c r="BM66">
        <v>4722</v>
      </c>
      <c r="BN66" s="37">
        <f t="shared" si="6"/>
        <v>3.1407971053051667E-2</v>
      </c>
      <c r="BO66" s="50">
        <f t="shared" si="32"/>
        <v>0</v>
      </c>
      <c r="BP66" s="3">
        <f t="shared" si="33"/>
        <v>0</v>
      </c>
      <c r="BQ66" s="11">
        <f>+'Rev mile pop elasticities'!P96</f>
        <v>0</v>
      </c>
      <c r="BR66" s="11">
        <f>+'Rev mile pop elasticities'!Q96</f>
        <v>0</v>
      </c>
      <c r="BS66" s="11">
        <f>+'Rev mile pop elasticities'!R96</f>
        <v>0</v>
      </c>
      <c r="BT66" s="11">
        <f>+'Rev mile pop elasticities'!S96</f>
        <v>0</v>
      </c>
      <c r="BU66" s="32">
        <f t="shared" si="34"/>
        <v>0</v>
      </c>
      <c r="BV66" s="33">
        <f t="shared" si="35"/>
        <v>0</v>
      </c>
      <c r="BW66" s="40">
        <f t="shared" si="36"/>
        <v>0</v>
      </c>
      <c r="BX66" s="33">
        <f t="shared" si="37"/>
        <v>0</v>
      </c>
      <c r="BY66" s="40">
        <f t="shared" si="38"/>
        <v>0</v>
      </c>
      <c r="BZ66" s="41">
        <f t="shared" si="39"/>
        <v>0</v>
      </c>
      <c r="CA66" s="40">
        <f t="shared" si="40"/>
        <v>0</v>
      </c>
      <c r="CB66" s="41">
        <f t="shared" si="41"/>
        <v>0</v>
      </c>
      <c r="CQ66" s="70">
        <f t="shared" si="54"/>
        <v>0</v>
      </c>
      <c r="CR66" s="70">
        <f t="shared" si="55"/>
        <v>0</v>
      </c>
      <c r="CS66" s="70">
        <f t="shared" si="56"/>
        <v>0</v>
      </c>
      <c r="CT66" s="70">
        <f t="shared" si="57"/>
        <v>0</v>
      </c>
      <c r="CU66" s="70">
        <f t="shared" si="58"/>
        <v>0</v>
      </c>
      <c r="CV66" s="70">
        <f t="shared" si="59"/>
        <v>0</v>
      </c>
      <c r="CW66" s="69">
        <f t="shared" si="60"/>
        <v>0</v>
      </c>
      <c r="CX66" s="69">
        <f t="shared" si="61"/>
        <v>0</v>
      </c>
      <c r="CY66" s="70">
        <f t="shared" si="62"/>
        <v>0</v>
      </c>
      <c r="CZ66" s="69">
        <f t="shared" si="63"/>
        <v>0</v>
      </c>
      <c r="DA66" s="69">
        <f t="shared" si="64"/>
        <v>0</v>
      </c>
      <c r="DB66" s="70">
        <f t="shared" si="65"/>
        <v>0</v>
      </c>
    </row>
    <row r="67" spans="23:106">
      <c r="W67" t="s">
        <v>366</v>
      </c>
      <c r="X67">
        <v>108326</v>
      </c>
      <c r="Y67">
        <v>67919</v>
      </c>
      <c r="Z67" s="51">
        <v>37665.75</v>
      </c>
      <c r="AA67" s="32">
        <f t="shared" si="3"/>
        <v>2558220074.25</v>
      </c>
      <c r="AB67">
        <v>4819</v>
      </c>
      <c r="AC67" s="37">
        <f t="shared" si="4"/>
        <v>4.4486088289053413E-2</v>
      </c>
      <c r="AD67" s="50">
        <f>+'Revenue mile elasticities'!M96</f>
        <v>932091</v>
      </c>
      <c r="AE67" s="3">
        <f t="shared" si="15"/>
        <v>9320.91</v>
      </c>
      <c r="AF67" s="11">
        <f>+'Revenue mile elasticities'!P96</f>
        <v>1.0336974436833516E-3</v>
      </c>
      <c r="AG67" s="11">
        <f>+'Revenue mile elasticities'!Q96</f>
        <v>4.0828281156312851E-3</v>
      </c>
      <c r="AH67" s="11">
        <f>+'Revenue mile elasticities'!R96</f>
        <v>2.8361373906113617E-3</v>
      </c>
      <c r="AI67" s="11">
        <f>+'Revenue mile elasticities'!S96</f>
        <v>4.8349280316686274E-3</v>
      </c>
      <c r="AJ67" s="32">
        <f t="shared" si="16"/>
        <v>26444.255511316591</v>
      </c>
      <c r="AK67" s="33">
        <f t="shared" si="17"/>
        <v>1.0336974436833517E-5</v>
      </c>
      <c r="AL67" s="40">
        <f t="shared" si="18"/>
        <v>104447.72845120254</v>
      </c>
      <c r="AM67" s="33">
        <f t="shared" si="19"/>
        <v>4.0828281156312847E-5</v>
      </c>
      <c r="AN67" s="40">
        <f t="shared" si="20"/>
        <v>136673.46085356153</v>
      </c>
      <c r="AO67" s="41">
        <f t="shared" si="21"/>
        <v>2.8361373906113616E-5</v>
      </c>
      <c r="AP67" s="40">
        <f t="shared" si="22"/>
        <v>232995.18184611117</v>
      </c>
      <c r="AQ67" s="41">
        <f t="shared" si="23"/>
        <v>4.8349280316686273E-5</v>
      </c>
      <c r="AR67" s="53"/>
      <c r="AS67" s="53"/>
      <c r="BH67" t="s">
        <v>366</v>
      </c>
      <c r="BI67">
        <v>108326</v>
      </c>
      <c r="BJ67">
        <v>67919</v>
      </c>
      <c r="BK67" s="51">
        <v>37665.75</v>
      </c>
      <c r="BL67" s="32">
        <f t="shared" si="5"/>
        <v>2558220074.25</v>
      </c>
      <c r="BM67">
        <v>4819</v>
      </c>
      <c r="BN67" s="37">
        <f t="shared" si="6"/>
        <v>4.4486088289053413E-2</v>
      </c>
      <c r="BO67" s="50">
        <f t="shared" si="32"/>
        <v>932091</v>
      </c>
      <c r="BP67" s="3">
        <f t="shared" si="33"/>
        <v>9320.91</v>
      </c>
      <c r="BQ67" s="11">
        <f>+'Rev mile pop elasticities'!P97</f>
        <v>3.0174430521019879E-2</v>
      </c>
      <c r="BR67" s="11">
        <f>+'Rev mile pop elasticities'!Q97</f>
        <v>6.1895605850857606E-2</v>
      </c>
      <c r="BS67" s="11">
        <f>+'Rev mile pop elasticities'!R97</f>
        <v>8.2789051249007609E-2</v>
      </c>
      <c r="BT67" s="11">
        <f>+'Rev mile pop elasticities'!S97</f>
        <v>7.3297427981278751E-2</v>
      </c>
      <c r="BU67" s="32">
        <f t="shared" si="34"/>
        <v>771928.33887934941</v>
      </c>
      <c r="BV67" s="33">
        <f t="shared" si="35"/>
        <v>3.0174430521019881E-4</v>
      </c>
      <c r="BW67" s="40">
        <f t="shared" si="36"/>
        <v>1583425.8139552968</v>
      </c>
      <c r="BX67" s="33">
        <f t="shared" si="37"/>
        <v>6.1895605850857606E-4</v>
      </c>
      <c r="BY67" s="40">
        <f t="shared" si="38"/>
        <v>3989604.3796896762</v>
      </c>
      <c r="BZ67" s="41">
        <f t="shared" si="39"/>
        <v>8.2789051249007606E-4</v>
      </c>
      <c r="CA67" s="40">
        <f t="shared" si="40"/>
        <v>3532203.0544178225</v>
      </c>
      <c r="CB67" s="41">
        <f t="shared" si="41"/>
        <v>7.3297427981278737E-4</v>
      </c>
      <c r="CQ67" s="70">
        <f t="shared" si="54"/>
        <v>0.38934989489416205</v>
      </c>
      <c r="CR67" s="70">
        <f t="shared" si="55"/>
        <v>11.365425563971044</v>
      </c>
      <c r="CS67" s="70">
        <f t="shared" si="56"/>
        <v>11.754775458865206</v>
      </c>
      <c r="CT67" s="70">
        <f t="shared" si="57"/>
        <v>1.5378278309633908</v>
      </c>
      <c r="CU67" s="70">
        <f t="shared" si="58"/>
        <v>23.313444160769397</v>
      </c>
      <c r="CV67" s="70">
        <f t="shared" si="59"/>
        <v>24.851271991732787</v>
      </c>
      <c r="CW67" s="69">
        <f t="shared" si="60"/>
        <v>2.012300841495922</v>
      </c>
      <c r="CX67" s="69">
        <f t="shared" si="61"/>
        <v>58.740623090588443</v>
      </c>
      <c r="CY67" s="70">
        <f t="shared" si="62"/>
        <v>60.752923932084364</v>
      </c>
      <c r="CZ67" s="69">
        <f t="shared" si="63"/>
        <v>3.4304860472932637</v>
      </c>
      <c r="DA67" s="69">
        <f t="shared" si="64"/>
        <v>52.006111020742686</v>
      </c>
      <c r="DB67" s="70">
        <f t="shared" si="65"/>
        <v>55.436597068035951</v>
      </c>
    </row>
    <row r="68" spans="23:106">
      <c r="W68" t="s">
        <v>367</v>
      </c>
      <c r="X68">
        <v>497344</v>
      </c>
      <c r="Y68">
        <v>215822</v>
      </c>
      <c r="Z68" s="51">
        <v>28576.240000000002</v>
      </c>
      <c r="AA68" s="32">
        <f t="shared" ref="AA68:AA131" si="66">Y68*Z68</f>
        <v>6167381269.2800007</v>
      </c>
      <c r="AB68">
        <v>10798</v>
      </c>
      <c r="AC68" s="37">
        <f t="shared" ref="AC68:AC131" si="67">+AB68/X68</f>
        <v>2.1711330588083902E-2</v>
      </c>
      <c r="AD68" s="50">
        <f>+'Revenue mile elasticities'!M97</f>
        <v>2480335</v>
      </c>
      <c r="AE68" s="3">
        <f t="shared" si="15"/>
        <v>24803.350000000002</v>
      </c>
      <c r="AF68" s="11">
        <f>+'Revenue mile elasticities'!P97</f>
        <v>3.5598647235274179E-3</v>
      </c>
      <c r="AG68" s="11">
        <f>+'Revenue mile elasticities'!Q97</f>
        <v>1.4060512454468226E-2</v>
      </c>
      <c r="AH68" s="11">
        <f>+'Revenue mile elasticities'!R97</f>
        <v>9.767137869605912E-3</v>
      </c>
      <c r="AI68" s="11">
        <f>+'Revenue mile elasticities'!S97</f>
        <v>1.6650606853975531E-2</v>
      </c>
      <c r="AJ68" s="32">
        <f t="shared" si="16"/>
        <v>219550.43017053624</v>
      </c>
      <c r="AK68" s="33">
        <f t="shared" si="17"/>
        <v>3.5598647235274179E-5</v>
      </c>
      <c r="AL68" s="40">
        <f t="shared" si="18"/>
        <v>867165.41148165509</v>
      </c>
      <c r="AM68" s="33">
        <f t="shared" si="19"/>
        <v>1.4060512454468227E-4</v>
      </c>
      <c r="AN68" s="40">
        <f t="shared" si="20"/>
        <v>1054655.5471600464</v>
      </c>
      <c r="AO68" s="41">
        <f t="shared" si="21"/>
        <v>9.7671378696059124E-5</v>
      </c>
      <c r="AP68" s="40">
        <f t="shared" si="22"/>
        <v>1797932.5280922777</v>
      </c>
      <c r="AQ68" s="41">
        <f t="shared" si="23"/>
        <v>1.665060685397553E-4</v>
      </c>
      <c r="AR68" s="53"/>
      <c r="AS68" s="53"/>
      <c r="BH68" t="s">
        <v>367</v>
      </c>
      <c r="BI68">
        <v>497344</v>
      </c>
      <c r="BJ68">
        <v>215822</v>
      </c>
      <c r="BK68" s="51">
        <v>28576.240000000002</v>
      </c>
      <c r="BL68" s="32">
        <f t="shared" ref="BL68:BL131" si="68">BJ68*BK68</f>
        <v>6167381269.2800007</v>
      </c>
      <c r="BM68">
        <v>10798</v>
      </c>
      <c r="BN68" s="37">
        <f t="shared" ref="BN68:BN131" si="69">+BM68/BI68</f>
        <v>2.1711330588083902E-2</v>
      </c>
      <c r="BO68" s="50">
        <f t="shared" si="32"/>
        <v>2480335</v>
      </c>
      <c r="BP68" s="3">
        <f t="shared" si="33"/>
        <v>24803.350000000002</v>
      </c>
      <c r="BQ68" s="11">
        <f>+'Rev mile pop elasticities'!P98</f>
        <v>1.7489078755750544E-2</v>
      </c>
      <c r="BR68" s="11">
        <f>+'Rev mile pop elasticities'!Q98</f>
        <v>3.5874649717298292E-2</v>
      </c>
      <c r="BS68" s="11">
        <f>+'Rev mile pop elasticities'!R98</f>
        <v>4.7984476008557451E-2</v>
      </c>
      <c r="BT68" s="11">
        <f>+'Rev mile pop elasticities'!S98</f>
        <v>4.2483137823116399E-2</v>
      </c>
      <c r="BU68" s="32">
        <f t="shared" si="34"/>
        <v>1078618.1673517867</v>
      </c>
      <c r="BV68" s="33">
        <f t="shared" si="35"/>
        <v>1.7489078755750543E-4</v>
      </c>
      <c r="BW68" s="40">
        <f t="shared" si="36"/>
        <v>2212526.4270844655</v>
      </c>
      <c r="BX68" s="33">
        <f t="shared" si="37"/>
        <v>3.5874649717298292E-4</v>
      </c>
      <c r="BY68" s="40">
        <f t="shared" si="38"/>
        <v>5181363.7194040334</v>
      </c>
      <c r="BZ68" s="41">
        <f t="shared" si="39"/>
        <v>4.798447600855745E-4</v>
      </c>
      <c r="CA68" s="40">
        <f t="shared" si="40"/>
        <v>4587329.2221401092</v>
      </c>
      <c r="CB68" s="41">
        <f t="shared" si="41"/>
        <v>4.2483137823116403E-4</v>
      </c>
      <c r="CQ68" s="70">
        <f t="shared" si="54"/>
        <v>1.0172754870705314</v>
      </c>
      <c r="CR68" s="70">
        <f t="shared" si="55"/>
        <v>4.9977211190322892</v>
      </c>
      <c r="CS68" s="70">
        <f t="shared" si="56"/>
        <v>6.0149966061028204</v>
      </c>
      <c r="CT68" s="70">
        <f t="shared" si="57"/>
        <v>4.017965784218732</v>
      </c>
      <c r="CU68" s="70">
        <f t="shared" si="58"/>
        <v>10.251626002374483</v>
      </c>
      <c r="CV68" s="70">
        <f t="shared" si="59"/>
        <v>14.269591786593214</v>
      </c>
      <c r="CW68" s="69">
        <f t="shared" si="60"/>
        <v>4.8866915660129475</v>
      </c>
      <c r="CX68" s="69">
        <f t="shared" si="61"/>
        <v>24.007579020693132</v>
      </c>
      <c r="CY68" s="70">
        <f t="shared" si="62"/>
        <v>28.894270586706078</v>
      </c>
      <c r="CZ68" s="69">
        <f t="shared" si="63"/>
        <v>8.3306267576626922</v>
      </c>
      <c r="DA68" s="69">
        <f t="shared" si="64"/>
        <v>21.255151106653209</v>
      </c>
      <c r="DB68" s="70">
        <f t="shared" si="65"/>
        <v>29.585777864315901</v>
      </c>
    </row>
    <row r="69" spans="23:106">
      <c r="W69" t="s">
        <v>293</v>
      </c>
      <c r="X69">
        <v>2500384</v>
      </c>
      <c r="Y69">
        <v>1701841</v>
      </c>
      <c r="Z69" s="51">
        <v>47081.16</v>
      </c>
      <c r="AA69" s="32">
        <f t="shared" si="66"/>
        <v>80124648415.560013</v>
      </c>
      <c r="AB69">
        <v>136608</v>
      </c>
      <c r="AC69" s="37">
        <f t="shared" si="67"/>
        <v>5.4634808093476844E-2</v>
      </c>
      <c r="AD69" s="50">
        <f>+'Revenue mile elasticities'!M98</f>
        <v>45900000</v>
      </c>
      <c r="AE69" s="3">
        <f t="shared" ref="AE69:AE132" si="70">+AD69*$C$1</f>
        <v>459000</v>
      </c>
      <c r="AF69" s="11">
        <f>+'Revenue mile elasticities'!P98</f>
        <v>2.053899528234716E-2</v>
      </c>
      <c r="AG69" s="11">
        <f>+'Revenue mile elasticities'!Q98</f>
        <v>8.1123531762619855E-2</v>
      </c>
      <c r="AH69" s="11">
        <f>+'Revenue mile elasticities'!R98</f>
        <v>5.6352478030988605E-2</v>
      </c>
      <c r="AI69" s="11">
        <f>+'Revenue mile elasticities'!S98</f>
        <v>9.6067340245207716E-2</v>
      </c>
      <c r="AJ69" s="32">
        <f t="shared" ref="AJ69:AJ132" si="71">AA69*$C$1*AF69</f>
        <v>16456797.75806912</v>
      </c>
      <c r="AK69" s="33">
        <f t="shared" ref="AK69:AK132" si="72">AJ69/AA69</f>
        <v>2.0538995282347162E-4</v>
      </c>
      <c r="AL69" s="40">
        <f t="shared" ref="AL69:AL132" si="73">+AA69*$C$1*AG69</f>
        <v>64999944.607084319</v>
      </c>
      <c r="AM69" s="33">
        <f t="shared" ref="AM69:AM132" si="74">AL69/AA69</f>
        <v>8.1123531762619867E-4</v>
      </c>
      <c r="AN69" s="40">
        <f t="shared" ref="AN69:AN132" si="75">+AH69*$C$1*AC69*X69*1000000</f>
        <v>76981993.188572913</v>
      </c>
      <c r="AO69" s="41">
        <f t="shared" ref="AO69:AO132" si="76">+AN69/AB69/1000000</f>
        <v>5.6352478030988608E-4</v>
      </c>
      <c r="AP69" s="40">
        <f t="shared" ref="AP69:AP132" si="77">+AI69*AC69*X69*$C$1*1000000</f>
        <v>131235672.16217339</v>
      </c>
      <c r="AQ69" s="41">
        <f t="shared" ref="AQ69:AQ132" si="78">+AP69/AB69/1000000</f>
        <v>9.6067340245207741E-4</v>
      </c>
      <c r="AR69" s="53"/>
      <c r="AS69" s="53"/>
      <c r="BH69" t="s">
        <v>293</v>
      </c>
      <c r="BI69">
        <v>2500384</v>
      </c>
      <c r="BJ69">
        <v>1701841</v>
      </c>
      <c r="BK69" s="51">
        <v>47081.16</v>
      </c>
      <c r="BL69" s="32">
        <f t="shared" si="68"/>
        <v>80124648415.560013</v>
      </c>
      <c r="BM69">
        <v>136608</v>
      </c>
      <c r="BN69" s="37">
        <f t="shared" si="69"/>
        <v>5.4634808093476844E-2</v>
      </c>
      <c r="BO69" s="50">
        <f t="shared" ref="BO69:BO132" si="79">+AD69</f>
        <v>45900000</v>
      </c>
      <c r="BP69" s="3">
        <f t="shared" ref="BP69:BP132" si="80">+BO69*$C$1</f>
        <v>459000</v>
      </c>
      <c r="BQ69" s="11">
        <f>+'Rev mile pop elasticities'!P99</f>
        <v>6.4375327149749792E-2</v>
      </c>
      <c r="BR69" s="11">
        <f>+'Rev mile pop elasticities'!Q99</f>
        <v>0.13205054103689676</v>
      </c>
      <c r="BS69" s="11">
        <f>+'Rev mile pop elasticities'!R99</f>
        <v>0.17662544633144348</v>
      </c>
      <c r="BT69" s="11">
        <f>+'Rev mile pop elasticities'!S99</f>
        <v>0.15637564070158827</v>
      </c>
      <c r="BU69" s="32">
        <f t="shared" ref="BU69:BU132" si="81">BL69*$C$1*BQ69</f>
        <v>51580504.545103572</v>
      </c>
      <c r="BV69" s="33">
        <f t="shared" ref="BV69:BV132" si="82">BU69/BL69</f>
        <v>6.4375327149749793E-4</v>
      </c>
      <c r="BW69" s="40">
        <f t="shared" ref="BW69:BW132" si="83">+BL69*$C$1*BR69</f>
        <v>105805031.73665833</v>
      </c>
      <c r="BX69" s="33">
        <f t="shared" ref="BX69:BX132" si="84">BW69/BL69</f>
        <v>1.3205054103689678E-3</v>
      </c>
      <c r="BY69" s="40">
        <f t="shared" ref="BY69:BY132" si="85">+BS69*$C$1*BN69*BI69*1000000</f>
        <v>241284489.72445834</v>
      </c>
      <c r="BZ69" s="41">
        <f t="shared" ref="BZ69:BZ132" si="86">+BY69/BM69/1000000</f>
        <v>1.7662544633144351E-3</v>
      </c>
      <c r="CA69" s="40">
        <f t="shared" ref="CA69:CA132" si="87">+BT69*BN69*BI69*$C$1*1000000</f>
        <v>213621635.24962574</v>
      </c>
      <c r="CB69" s="41">
        <f t="shared" ref="CB69:CB132" si="88">+CA69/BM69/1000000</f>
        <v>1.5637564070158832E-3</v>
      </c>
      <c r="CQ69" s="70">
        <f t="shared" ref="CQ69:CQ132" si="89">+AJ69/Y69</f>
        <v>9.669997231274321</v>
      </c>
      <c r="CR69" s="70">
        <f t="shared" ref="CR69:CR132" si="90">+BU69/Y69</f>
        <v>30.308650775897146</v>
      </c>
      <c r="CS69" s="70">
        <f t="shared" ref="CS69:CS132" si="91">+(CQ69+CR69)</f>
        <v>39.978648007171465</v>
      </c>
      <c r="CT69" s="70">
        <f t="shared" ref="CT69:CT132" si="92">+AL69/Y69</f>
        <v>38.193899786809887</v>
      </c>
      <c r="CU69" s="70">
        <f t="shared" ref="CU69:CU132" si="93">+BW69/Y69</f>
        <v>62.170926506447039</v>
      </c>
      <c r="CV69" s="70">
        <f t="shared" ref="CV69:CV132" si="94">+(CT69+CU69)</f>
        <v>100.36482629325693</v>
      </c>
      <c r="CW69" s="69">
        <f t="shared" ref="CW69:CW132" si="95">+AN69/Y69</f>
        <v>45.234539060096047</v>
      </c>
      <c r="CX69" s="69">
        <f t="shared" ref="CX69:CX132" si="96">+BY69/Y69</f>
        <v>141.77851498727458</v>
      </c>
      <c r="CY69" s="70">
        <f t="shared" ref="CY69:CY132" si="97">+(CW69+CX69)</f>
        <v>187.01305404737062</v>
      </c>
      <c r="CZ69" s="69">
        <f t="shared" ref="CZ69:CZ132" si="98">+AP69/Y69</f>
        <v>77.113944347429282</v>
      </c>
      <c r="DA69" s="69">
        <f t="shared" ref="DA69:DA132" si="99">+CA69/Y69</f>
        <v>125.52385049462654</v>
      </c>
      <c r="DB69" s="70">
        <f t="shared" ref="DB69:DB132" si="100">+(CZ69+DA69)</f>
        <v>202.63779484205583</v>
      </c>
    </row>
    <row r="70" spans="23:106">
      <c r="W70" t="s">
        <v>368</v>
      </c>
      <c r="X70">
        <v>554101</v>
      </c>
      <c r="Y70">
        <v>408872</v>
      </c>
      <c r="Z70" s="51">
        <v>41561.08</v>
      </c>
      <c r="AA70" s="32">
        <f t="shared" si="66"/>
        <v>16993161901.76</v>
      </c>
      <c r="AB70">
        <v>31211</v>
      </c>
      <c r="AC70" s="37">
        <f t="shared" si="67"/>
        <v>5.6327276074217517E-2</v>
      </c>
      <c r="AD70" s="50">
        <f>+'Revenue mile elasticities'!M99</f>
        <v>2318224</v>
      </c>
      <c r="AE70" s="3">
        <f t="shared" si="70"/>
        <v>23182.240000000002</v>
      </c>
      <c r="AF70" s="11">
        <f>+'Revenue mile elasticities'!P99</f>
        <v>1.2923552478250626E-3</v>
      </c>
      <c r="AG70" s="11">
        <f>+'Revenue mile elasticities'!Q99</f>
        <v>5.1044571827538751E-3</v>
      </c>
      <c r="AH70" s="11">
        <f>+'Revenue mile elasticities'!R99</f>
        <v>3.5458122322998111E-3</v>
      </c>
      <c r="AI70" s="11">
        <f>+'Revenue mile elasticities'!S99</f>
        <v>6.0447519269453791E-3</v>
      </c>
      <c r="AJ70" s="32">
        <f t="shared" si="71"/>
        <v>219612.01960880458</v>
      </c>
      <c r="AK70" s="33">
        <f t="shared" si="72"/>
        <v>1.2923552478250626E-5</v>
      </c>
      <c r="AL70" s="40">
        <f t="shared" si="73"/>
        <v>867408.67327138328</v>
      </c>
      <c r="AM70" s="33">
        <f t="shared" si="74"/>
        <v>5.1044571827538745E-5</v>
      </c>
      <c r="AN70" s="40">
        <f t="shared" si="75"/>
        <v>1106683.4558230941</v>
      </c>
      <c r="AO70" s="41">
        <f t="shared" si="76"/>
        <v>3.5458122322998117E-5</v>
      </c>
      <c r="AP70" s="40">
        <f t="shared" si="77"/>
        <v>1886627.5239189225</v>
      </c>
      <c r="AQ70" s="41">
        <f t="shared" si="78"/>
        <v>6.0447519269453797E-5</v>
      </c>
      <c r="AR70" s="53"/>
      <c r="AS70" s="53"/>
      <c r="BH70" t="s">
        <v>368</v>
      </c>
      <c r="BI70">
        <v>554101</v>
      </c>
      <c r="BJ70">
        <v>408872</v>
      </c>
      <c r="BK70" s="51">
        <v>41561.08</v>
      </c>
      <c r="BL70" s="32">
        <f t="shared" si="68"/>
        <v>16993161901.76</v>
      </c>
      <c r="BM70">
        <v>31211</v>
      </c>
      <c r="BN70" s="37">
        <f t="shared" si="69"/>
        <v>5.6327276074217517E-2</v>
      </c>
      <c r="BO70" s="50">
        <f t="shared" si="79"/>
        <v>2318224</v>
      </c>
      <c r="BP70" s="3">
        <f t="shared" si="80"/>
        <v>23182.240000000002</v>
      </c>
      <c r="BQ70" s="11">
        <f>+'Rev mile pop elasticities'!P100</f>
        <v>1.4671683118565027E-2</v>
      </c>
      <c r="BR70" s="11">
        <f>+'Rev mile pop elasticities'!Q100</f>
        <v>3.0095438415740097E-2</v>
      </c>
      <c r="BS70" s="11">
        <f>+'Rev mile pop elasticities'!R100</f>
        <v>4.0254437437218127E-2</v>
      </c>
      <c r="BT70" s="11">
        <f>+'Rev mile pop elasticities'!S100</f>
        <v>3.5639334966008011E-2</v>
      </c>
      <c r="BU70" s="32">
        <f t="shared" si="81"/>
        <v>2493182.8660509456</v>
      </c>
      <c r="BV70" s="33">
        <f t="shared" si="82"/>
        <v>1.4671683118565028E-4</v>
      </c>
      <c r="BW70" s="40">
        <f t="shared" si="83"/>
        <v>5114166.5750311892</v>
      </c>
      <c r="BX70" s="33">
        <f t="shared" si="84"/>
        <v>3.0095438415740096E-4</v>
      </c>
      <c r="BY70" s="40">
        <f t="shared" si="85"/>
        <v>12563812.46853015</v>
      </c>
      <c r="BZ70" s="41">
        <f t="shared" si="86"/>
        <v>4.0254437437218127E-4</v>
      </c>
      <c r="CA70" s="40">
        <f t="shared" si="87"/>
        <v>11123392.836240759</v>
      </c>
      <c r="CB70" s="41">
        <f t="shared" si="88"/>
        <v>3.5639334966008007E-4</v>
      </c>
      <c r="CQ70" s="70">
        <f t="shared" si="89"/>
        <v>0.5371167984327726</v>
      </c>
      <c r="CR70" s="70">
        <f t="shared" si="90"/>
        <v>6.0977099582533061</v>
      </c>
      <c r="CS70" s="70">
        <f t="shared" si="91"/>
        <v>6.6348267566860786</v>
      </c>
      <c r="CT70" s="70">
        <f t="shared" si="92"/>
        <v>2.1214675332900841</v>
      </c>
      <c r="CU70" s="70">
        <f t="shared" si="93"/>
        <v>12.507989236316474</v>
      </c>
      <c r="CV70" s="70">
        <f t="shared" si="94"/>
        <v>14.629456769606559</v>
      </c>
      <c r="CW70" s="69">
        <f t="shared" si="95"/>
        <v>2.7066745969963559</v>
      </c>
      <c r="CX70" s="69">
        <f t="shared" si="96"/>
        <v>30.72798447565534</v>
      </c>
      <c r="CY70" s="70">
        <f t="shared" si="97"/>
        <v>33.434659072651698</v>
      </c>
      <c r="CZ70" s="69">
        <f t="shared" si="98"/>
        <v>4.6142252928029368</v>
      </c>
      <c r="DA70" s="69">
        <f t="shared" si="99"/>
        <v>27.205073559061905</v>
      </c>
      <c r="DB70" s="70">
        <f t="shared" si="100"/>
        <v>31.819298851864843</v>
      </c>
    </row>
    <row r="71" spans="23:106">
      <c r="W71" t="s">
        <v>369</v>
      </c>
      <c r="X71">
        <v>4423781</v>
      </c>
      <c r="Y71">
        <v>2416644</v>
      </c>
      <c r="Z71" s="51">
        <v>46027.11</v>
      </c>
      <c r="AA71" s="32">
        <f t="shared" si="66"/>
        <v>111231139218.84</v>
      </c>
      <c r="AB71">
        <v>183453</v>
      </c>
      <c r="AC71" s="37">
        <f t="shared" si="67"/>
        <v>4.146972917511061E-2</v>
      </c>
      <c r="AD71" s="50">
        <f>+'Revenue mile elasticities'!M100</f>
        <v>26600000</v>
      </c>
      <c r="AE71" s="3">
        <f t="shared" si="70"/>
        <v>266000</v>
      </c>
      <c r="AF71" s="11">
        <f>+'Revenue mile elasticities'!P100</f>
        <v>1.4981160929248331E-2</v>
      </c>
      <c r="AG71" s="11">
        <f>+'Revenue mile elasticities'!Q100</f>
        <v>5.91715742555987E-2</v>
      </c>
      <c r="AH71" s="11">
        <f>+'Revenue mile elasticities'!R100</f>
        <v>4.1103546231872679E-2</v>
      </c>
      <c r="AI71" s="11">
        <f>+'Revenue mile elasticities'!S100</f>
        <v>7.0071601092156363E-2</v>
      </c>
      <c r="AJ71" s="32">
        <f t="shared" si="71"/>
        <v>16663715.969810676</v>
      </c>
      <c r="AK71" s="33">
        <f t="shared" si="72"/>
        <v>1.4981160929248332E-4</v>
      </c>
      <c r="AL71" s="40">
        <f t="shared" si="73"/>
        <v>65817216.138224281</v>
      </c>
      <c r="AM71" s="33">
        <f t="shared" si="74"/>
        <v>5.91715742555987E-4</v>
      </c>
      <c r="AN71" s="40">
        <f t="shared" si="75"/>
        <v>75405688.668757379</v>
      </c>
      <c r="AO71" s="41">
        <f t="shared" si="76"/>
        <v>4.1103546231872673E-4</v>
      </c>
      <c r="AP71" s="40">
        <f t="shared" si="77"/>
        <v>128548454.35159361</v>
      </c>
      <c r="AQ71" s="41">
        <f t="shared" si="78"/>
        <v>7.0071601092156367E-4</v>
      </c>
      <c r="AR71" s="53"/>
      <c r="AS71" s="53"/>
      <c r="BH71" t="s">
        <v>369</v>
      </c>
      <c r="BI71">
        <v>4423781</v>
      </c>
      <c r="BJ71">
        <v>2416644</v>
      </c>
      <c r="BK71" s="51">
        <v>46027.11</v>
      </c>
      <c r="BL71" s="32">
        <f t="shared" si="68"/>
        <v>111231139218.84</v>
      </c>
      <c r="BM71">
        <v>183453</v>
      </c>
      <c r="BN71" s="37">
        <f t="shared" si="69"/>
        <v>4.146972917511061E-2</v>
      </c>
      <c r="BO71" s="50">
        <f t="shared" si="79"/>
        <v>26600000</v>
      </c>
      <c r="BP71" s="3">
        <f t="shared" si="80"/>
        <v>266000</v>
      </c>
      <c r="BQ71" s="11">
        <f>+'Rev mile pop elasticities'!P101</f>
        <v>2.1086353958299473E-2</v>
      </c>
      <c r="BR71" s="11">
        <f>+'Rev mile pop elasticities'!Q101</f>
        <v>4.3253596866571833E-2</v>
      </c>
      <c r="BS71" s="11">
        <f>+'Rev mile pop elasticities'!R101</f>
        <v>5.7854256347680863E-2</v>
      </c>
      <c r="BT71" s="11">
        <f>+'Rev mile pop elasticities'!S101</f>
        <v>5.1221364710414018E-2</v>
      </c>
      <c r="BU71" s="32">
        <f t="shared" si="81"/>
        <v>23454591.727533467</v>
      </c>
      <c r="BV71" s="33">
        <f t="shared" si="82"/>
        <v>2.1086353958299476E-4</v>
      </c>
      <c r="BW71" s="40">
        <f t="shared" si="83"/>
        <v>48111468.547812335</v>
      </c>
      <c r="BX71" s="33">
        <f t="shared" si="84"/>
        <v>4.3253596866571839E-4</v>
      </c>
      <c r="BY71" s="40">
        <f t="shared" si="85"/>
        <v>106135368.89751098</v>
      </c>
      <c r="BZ71" s="41">
        <f t="shared" si="86"/>
        <v>5.7854256347680865E-4</v>
      </c>
      <c r="CA71" s="40">
        <f t="shared" si="87"/>
        <v>93967130.202195823</v>
      </c>
      <c r="CB71" s="41">
        <f t="shared" si="88"/>
        <v>5.122136471041401E-4</v>
      </c>
      <c r="CQ71" s="70">
        <f t="shared" si="89"/>
        <v>6.8953954201821519</v>
      </c>
      <c r="CR71" s="70">
        <f t="shared" si="90"/>
        <v>9.7054393313758531</v>
      </c>
      <c r="CS71" s="70">
        <f t="shared" si="91"/>
        <v>16.600834751558004</v>
      </c>
      <c r="CT71" s="70">
        <f t="shared" si="92"/>
        <v>27.234965571356096</v>
      </c>
      <c r="CU71" s="70">
        <f t="shared" si="93"/>
        <v>19.908380608733573</v>
      </c>
      <c r="CV71" s="70">
        <f t="shared" si="94"/>
        <v>47.143346180089665</v>
      </c>
      <c r="CW71" s="69">
        <f t="shared" si="95"/>
        <v>31.202646591205564</v>
      </c>
      <c r="CX71" s="69">
        <f t="shared" si="96"/>
        <v>43.918495606928857</v>
      </c>
      <c r="CY71" s="70">
        <f t="shared" si="97"/>
        <v>75.121142198134422</v>
      </c>
      <c r="CZ71" s="69">
        <f t="shared" si="98"/>
        <v>53.192962782931048</v>
      </c>
      <c r="DA71" s="69">
        <f t="shared" si="99"/>
        <v>38.88331512717464</v>
      </c>
      <c r="DB71" s="70">
        <f t="shared" si="100"/>
        <v>92.076277910105688</v>
      </c>
    </row>
    <row r="72" spans="23:106">
      <c r="W72" t="s">
        <v>773</v>
      </c>
      <c r="X72">
        <v>141446</v>
      </c>
      <c r="Y72">
        <v>81303</v>
      </c>
      <c r="Z72" s="51">
        <v>31389.33</v>
      </c>
      <c r="AA72" s="32">
        <f t="shared" si="66"/>
        <v>2552046696.9900002</v>
      </c>
      <c r="AB72">
        <v>3802</v>
      </c>
      <c r="AC72" s="37">
        <f t="shared" si="67"/>
        <v>2.6879515857641787E-2</v>
      </c>
      <c r="AD72" s="50">
        <f>+'Revenue mile elasticities'!M101</f>
        <v>0</v>
      </c>
      <c r="AE72" s="3">
        <f t="shared" si="70"/>
        <v>0</v>
      </c>
      <c r="AF72" s="11">
        <f>+'Revenue mile elasticities'!P101</f>
        <v>0</v>
      </c>
      <c r="AG72" s="11">
        <f>+'Revenue mile elasticities'!Q101</f>
        <v>0</v>
      </c>
      <c r="AH72" s="11">
        <f>+'Revenue mile elasticities'!R101</f>
        <v>0</v>
      </c>
      <c r="AI72" s="11">
        <f>+'Revenue mile elasticities'!S101</f>
        <v>0</v>
      </c>
      <c r="AJ72" s="32">
        <f t="shared" si="71"/>
        <v>0</v>
      </c>
      <c r="AK72" s="33">
        <f t="shared" si="72"/>
        <v>0</v>
      </c>
      <c r="AL72" s="40">
        <f t="shared" si="73"/>
        <v>0</v>
      </c>
      <c r="AM72" s="33">
        <f t="shared" si="74"/>
        <v>0</v>
      </c>
      <c r="AN72" s="40">
        <f t="shared" si="75"/>
        <v>0</v>
      </c>
      <c r="AO72" s="41">
        <f t="shared" si="76"/>
        <v>0</v>
      </c>
      <c r="AP72" s="40">
        <f t="shared" si="77"/>
        <v>0</v>
      </c>
      <c r="AQ72" s="41">
        <f t="shared" si="78"/>
        <v>0</v>
      </c>
      <c r="AR72" s="53"/>
      <c r="AS72" s="53"/>
      <c r="BH72" t="s">
        <v>773</v>
      </c>
      <c r="BI72">
        <v>141446</v>
      </c>
      <c r="BJ72">
        <v>81303</v>
      </c>
      <c r="BK72" s="51">
        <v>31389.33</v>
      </c>
      <c r="BL72" s="32">
        <f t="shared" si="68"/>
        <v>2552046696.9900002</v>
      </c>
      <c r="BM72">
        <v>3802</v>
      </c>
      <c r="BN72" s="37">
        <f t="shared" si="69"/>
        <v>2.6879515857641787E-2</v>
      </c>
      <c r="BO72" s="50">
        <f t="shared" si="79"/>
        <v>0</v>
      </c>
      <c r="BP72" s="3">
        <f t="shared" si="80"/>
        <v>0</v>
      </c>
      <c r="BQ72" s="11">
        <f>+'Rev mile pop elasticities'!P102</f>
        <v>0</v>
      </c>
      <c r="BR72" s="11">
        <f>+'Rev mile pop elasticities'!Q102</f>
        <v>0</v>
      </c>
      <c r="BS72" s="11">
        <f>+'Rev mile pop elasticities'!R102</f>
        <v>0</v>
      </c>
      <c r="BT72" s="11">
        <f>+'Rev mile pop elasticities'!S102</f>
        <v>0</v>
      </c>
      <c r="BU72" s="32">
        <f t="shared" si="81"/>
        <v>0</v>
      </c>
      <c r="BV72" s="33">
        <f t="shared" si="82"/>
        <v>0</v>
      </c>
      <c r="BW72" s="40">
        <f t="shared" si="83"/>
        <v>0</v>
      </c>
      <c r="BX72" s="33">
        <f t="shared" si="84"/>
        <v>0</v>
      </c>
      <c r="BY72" s="40">
        <f t="shared" si="85"/>
        <v>0</v>
      </c>
      <c r="BZ72" s="41">
        <f t="shared" si="86"/>
        <v>0</v>
      </c>
      <c r="CA72" s="40">
        <f t="shared" si="87"/>
        <v>0</v>
      </c>
      <c r="CB72" s="41">
        <f t="shared" si="88"/>
        <v>0</v>
      </c>
      <c r="CQ72" s="70">
        <f t="shared" si="89"/>
        <v>0</v>
      </c>
      <c r="CR72" s="70">
        <f t="shared" si="90"/>
        <v>0</v>
      </c>
      <c r="CS72" s="70">
        <f t="shared" si="91"/>
        <v>0</v>
      </c>
      <c r="CT72" s="70">
        <f t="shared" si="92"/>
        <v>0</v>
      </c>
      <c r="CU72" s="70">
        <f t="shared" si="93"/>
        <v>0</v>
      </c>
      <c r="CV72" s="70">
        <f t="shared" si="94"/>
        <v>0</v>
      </c>
      <c r="CW72" s="69">
        <f t="shared" si="95"/>
        <v>0</v>
      </c>
      <c r="CX72" s="69">
        <f t="shared" si="96"/>
        <v>0</v>
      </c>
      <c r="CY72" s="70">
        <f t="shared" si="97"/>
        <v>0</v>
      </c>
      <c r="CZ72" s="69">
        <f t="shared" si="98"/>
        <v>0</v>
      </c>
      <c r="DA72" s="69">
        <f t="shared" si="99"/>
        <v>0</v>
      </c>
      <c r="DB72" s="70">
        <f t="shared" si="100"/>
        <v>0</v>
      </c>
    </row>
    <row r="73" spans="23:106">
      <c r="W73" t="s">
        <v>370</v>
      </c>
      <c r="X73">
        <v>92589</v>
      </c>
      <c r="Y73">
        <v>67386</v>
      </c>
      <c r="Z73" s="51">
        <v>33052.629999999997</v>
      </c>
      <c r="AA73" s="32">
        <f t="shared" si="66"/>
        <v>2227284525.1799998</v>
      </c>
      <c r="AB73">
        <v>4037</v>
      </c>
      <c r="AC73" s="37">
        <f t="shared" si="67"/>
        <v>4.3601291730119125E-2</v>
      </c>
      <c r="AD73" s="50">
        <f>+'Revenue mile elasticities'!M102</f>
        <v>301395</v>
      </c>
      <c r="AE73" s="3">
        <f t="shared" si="70"/>
        <v>3013.9500000000003</v>
      </c>
      <c r="AF73" s="11">
        <f>+'Revenue mile elasticities'!P102</f>
        <v>2.3513564449409945E-4</v>
      </c>
      <c r="AG73" s="11">
        <f>+'Revenue mile elasticities'!Q102</f>
        <v>9.2872283490107047E-4</v>
      </c>
      <c r="AH73" s="11">
        <f>+'Revenue mile elasticities'!R102</f>
        <v>6.4513750835926208E-4</v>
      </c>
      <c r="AI73" s="11">
        <f>+'Revenue mile elasticities'!S102</f>
        <v>1.0998033571196887E-3</v>
      </c>
      <c r="AJ73" s="32">
        <f t="shared" si="71"/>
        <v>5237.1398229993347</v>
      </c>
      <c r="AK73" s="33">
        <f t="shared" si="72"/>
        <v>2.3513564449409943E-6</v>
      </c>
      <c r="AL73" s="40">
        <f t="shared" si="73"/>
        <v>20685.299983564539</v>
      </c>
      <c r="AM73" s="33">
        <f t="shared" si="74"/>
        <v>9.2872283490107031E-6</v>
      </c>
      <c r="AN73" s="40">
        <f t="shared" si="75"/>
        <v>26044.201212463409</v>
      </c>
      <c r="AO73" s="41">
        <f t="shared" si="76"/>
        <v>6.4513750835926208E-6</v>
      </c>
      <c r="AP73" s="40">
        <f t="shared" si="77"/>
        <v>44399.061526921832</v>
      </c>
      <c r="AQ73" s="41">
        <f t="shared" si="78"/>
        <v>1.0998033571196887E-5</v>
      </c>
      <c r="AR73" s="53"/>
      <c r="AS73" s="53"/>
      <c r="BH73" t="s">
        <v>370</v>
      </c>
      <c r="BI73">
        <v>92589</v>
      </c>
      <c r="BJ73">
        <v>67386</v>
      </c>
      <c r="BK73" s="51">
        <v>33052.629999999997</v>
      </c>
      <c r="BL73" s="32">
        <f t="shared" si="68"/>
        <v>2227284525.1799998</v>
      </c>
      <c r="BM73">
        <v>4037</v>
      </c>
      <c r="BN73" s="37">
        <f t="shared" si="69"/>
        <v>4.3601291730119125E-2</v>
      </c>
      <c r="BO73" s="50">
        <f t="shared" si="79"/>
        <v>301395</v>
      </c>
      <c r="BP73" s="3">
        <f t="shared" si="80"/>
        <v>3013.9500000000003</v>
      </c>
      <c r="BQ73" s="11">
        <f>+'Rev mile pop elasticities'!P103</f>
        <v>1.1415373466610503E-2</v>
      </c>
      <c r="BR73" s="11">
        <f>+'Rev mile pop elasticities'!Q103</f>
        <v>2.3415900301331696E-2</v>
      </c>
      <c r="BS73" s="11">
        <f>+'Rev mile pop elasticities'!R103</f>
        <v>3.132015824774001E-2</v>
      </c>
      <c r="BT73" s="11">
        <f>+'Rev mile pop elasticities'!S103</f>
        <v>2.7729355619998061E-2</v>
      </c>
      <c r="BU73" s="32">
        <f t="shared" si="81"/>
        <v>254252.84671331942</v>
      </c>
      <c r="BV73" s="33">
        <f t="shared" si="82"/>
        <v>1.1415373466610503E-4</v>
      </c>
      <c r="BW73" s="40">
        <f t="shared" si="83"/>
        <v>521538.72384313779</v>
      </c>
      <c r="BX73" s="33">
        <f t="shared" si="84"/>
        <v>2.3415900301331695E-4</v>
      </c>
      <c r="BY73" s="40">
        <f t="shared" si="85"/>
        <v>1264394.7884612642</v>
      </c>
      <c r="BZ73" s="41">
        <f t="shared" si="86"/>
        <v>3.1320158247740012E-4</v>
      </c>
      <c r="CA73" s="40">
        <f t="shared" si="87"/>
        <v>1119434.0863793215</v>
      </c>
      <c r="CB73" s="41">
        <f t="shared" si="88"/>
        <v>2.7729355619998057E-4</v>
      </c>
      <c r="CQ73" s="70">
        <f t="shared" si="89"/>
        <v>7.7718514572750044E-2</v>
      </c>
      <c r="CR73" s="70">
        <f t="shared" si="90"/>
        <v>3.7730811550369427</v>
      </c>
      <c r="CS73" s="70">
        <f t="shared" si="91"/>
        <v>3.8507996696096929</v>
      </c>
      <c r="CT73" s="70">
        <f t="shared" si="92"/>
        <v>0.30696732234536162</v>
      </c>
      <c r="CU73" s="70">
        <f t="shared" si="93"/>
        <v>7.7395708877680498</v>
      </c>
      <c r="CV73" s="70">
        <f t="shared" si="94"/>
        <v>8.0465382101134111</v>
      </c>
      <c r="CW73" s="69">
        <f t="shared" si="95"/>
        <v>0.38649276129260396</v>
      </c>
      <c r="CX73" s="69">
        <f t="shared" si="96"/>
        <v>18.76346404982139</v>
      </c>
      <c r="CY73" s="70">
        <f t="shared" si="97"/>
        <v>19.149956811113995</v>
      </c>
      <c r="CZ73" s="69">
        <f t="shared" si="98"/>
        <v>0.65887664391597411</v>
      </c>
      <c r="DA73" s="69">
        <f t="shared" si="99"/>
        <v>16.612264956805888</v>
      </c>
      <c r="DB73" s="70">
        <f t="shared" si="100"/>
        <v>17.271141600721862</v>
      </c>
    </row>
    <row r="74" spans="23:106">
      <c r="W74" t="s">
        <v>371</v>
      </c>
      <c r="X74">
        <v>275188</v>
      </c>
      <c r="Y74">
        <v>165180</v>
      </c>
      <c r="Z74" s="51">
        <v>33884.67</v>
      </c>
      <c r="AA74" s="32">
        <f t="shared" si="66"/>
        <v>5597069790.5999994</v>
      </c>
      <c r="AB74">
        <v>8262</v>
      </c>
      <c r="AC74" s="37">
        <f t="shared" si="67"/>
        <v>3.0023111472883991E-2</v>
      </c>
      <c r="AD74" s="50">
        <f>+'Revenue mile elasticities'!M103</f>
        <v>1766017</v>
      </c>
      <c r="AE74" s="3">
        <f t="shared" si="70"/>
        <v>17660.170000000002</v>
      </c>
      <c r="AF74" s="11">
        <f>+'Revenue mile elasticities'!P103</f>
        <v>1.7191032210619234E-3</v>
      </c>
      <c r="AG74" s="11">
        <f>+'Revenue mile elasticities'!Q103</f>
        <v>6.7899974093134806E-3</v>
      </c>
      <c r="AH74" s="11">
        <f>+'Revenue mile elasticities'!R103</f>
        <v>4.7166730974984175E-3</v>
      </c>
      <c r="AI74" s="11">
        <f>+'Revenue mile elasticities'!S103</f>
        <v>8.0407864057659654E-3</v>
      </c>
      <c r="AJ74" s="32">
        <f t="shared" si="71"/>
        <v>96219.407055288437</v>
      </c>
      <c r="AK74" s="33">
        <f t="shared" si="72"/>
        <v>1.7191032210619234E-5</v>
      </c>
      <c r="AL74" s="40">
        <f t="shared" si="73"/>
        <v>380040.89377920743</v>
      </c>
      <c r="AM74" s="33">
        <f t="shared" si="74"/>
        <v>6.7899974093134802E-5</v>
      </c>
      <c r="AN74" s="40">
        <f t="shared" si="75"/>
        <v>389691.53131531924</v>
      </c>
      <c r="AO74" s="41">
        <f t="shared" si="76"/>
        <v>4.7166730974984178E-5</v>
      </c>
      <c r="AP74" s="40">
        <f t="shared" si="77"/>
        <v>664329.77284438408</v>
      </c>
      <c r="AQ74" s="41">
        <f t="shared" si="78"/>
        <v>8.0407864057659655E-5</v>
      </c>
      <c r="AR74" s="53"/>
      <c r="AS74" s="53"/>
      <c r="BH74" t="s">
        <v>371</v>
      </c>
      <c r="BI74">
        <v>275188</v>
      </c>
      <c r="BJ74">
        <v>165180</v>
      </c>
      <c r="BK74" s="51">
        <v>33884.67</v>
      </c>
      <c r="BL74" s="32">
        <f t="shared" si="68"/>
        <v>5597069790.5999994</v>
      </c>
      <c r="BM74">
        <v>8262</v>
      </c>
      <c r="BN74" s="37">
        <f t="shared" si="69"/>
        <v>3.0023111472883991E-2</v>
      </c>
      <c r="BO74" s="50">
        <f t="shared" si="79"/>
        <v>1766017</v>
      </c>
      <c r="BP74" s="3">
        <f t="shared" si="80"/>
        <v>17660.170000000002</v>
      </c>
      <c r="BQ74" s="11">
        <f>+'Rev mile pop elasticities'!P104</f>
        <v>2.2504991990711803E-2</v>
      </c>
      <c r="BR74" s="11">
        <f>+'Rev mile pop elasticities'!Q104</f>
        <v>4.6163592481503563E-2</v>
      </c>
      <c r="BS74" s="11">
        <f>+'Rev mile pop elasticities'!R104</f>
        <v>6.1746548422169568E-2</v>
      </c>
      <c r="BT74" s="11">
        <f>+'Rev mile pop elasticities'!S104</f>
        <v>5.4667412149148956E-2</v>
      </c>
      <c r="BU74" s="32">
        <f t="shared" si="81"/>
        <v>1259620.1080890798</v>
      </c>
      <c r="BV74" s="33">
        <f t="shared" si="82"/>
        <v>2.2504991990711804E-4</v>
      </c>
      <c r="BW74" s="40">
        <f t="shared" si="83"/>
        <v>2583808.4890379286</v>
      </c>
      <c r="BX74" s="33">
        <f t="shared" si="84"/>
        <v>4.6163592481503565E-4</v>
      </c>
      <c r="BY74" s="40">
        <f t="shared" si="85"/>
        <v>5101499.8306396501</v>
      </c>
      <c r="BZ74" s="41">
        <f t="shared" si="86"/>
        <v>6.1746548422169571E-4</v>
      </c>
      <c r="CA74" s="40">
        <f t="shared" si="87"/>
        <v>4516621.5917626871</v>
      </c>
      <c r="CB74" s="41">
        <f t="shared" si="88"/>
        <v>5.4667412149148953E-4</v>
      </c>
      <c r="CQ74" s="70">
        <f t="shared" si="89"/>
        <v>0.58251245341620317</v>
      </c>
      <c r="CR74" s="70">
        <f t="shared" si="90"/>
        <v>7.625742269579125</v>
      </c>
      <c r="CS74" s="70">
        <f t="shared" si="91"/>
        <v>8.2082547229953278</v>
      </c>
      <c r="CT74" s="70">
        <f t="shared" si="92"/>
        <v>2.300768215154422</v>
      </c>
      <c r="CU74" s="70">
        <f t="shared" si="93"/>
        <v>15.642380972502293</v>
      </c>
      <c r="CV74" s="70">
        <f t="shared" si="94"/>
        <v>17.943149187656715</v>
      </c>
      <c r="CW74" s="69">
        <f t="shared" si="95"/>
        <v>2.3591931911570363</v>
      </c>
      <c r="CX74" s="69">
        <f t="shared" si="96"/>
        <v>30.884488622349256</v>
      </c>
      <c r="CY74" s="70">
        <f t="shared" si="97"/>
        <v>33.243681813506292</v>
      </c>
      <c r="CZ74" s="69">
        <f t="shared" si="98"/>
        <v>4.0218535709189007</v>
      </c>
      <c r="DA74" s="69">
        <f t="shared" si="99"/>
        <v>27.343634772749045</v>
      </c>
      <c r="DB74" s="70">
        <f t="shared" si="100"/>
        <v>31.365488343667945</v>
      </c>
    </row>
    <row r="75" spans="23:106">
      <c r="W75" t="s">
        <v>372</v>
      </c>
      <c r="X75">
        <v>158495</v>
      </c>
      <c r="Y75">
        <v>107051</v>
      </c>
      <c r="Z75" s="51">
        <v>33180.519999999997</v>
      </c>
      <c r="AA75" s="32">
        <f t="shared" si="66"/>
        <v>3552007846.5199995</v>
      </c>
      <c r="AB75">
        <v>5260</v>
      </c>
      <c r="AC75" s="37">
        <f t="shared" si="67"/>
        <v>3.3187166787595826E-2</v>
      </c>
      <c r="AD75" s="50">
        <f>+'Revenue mile elasticities'!M104</f>
        <v>678151</v>
      </c>
      <c r="AE75" s="3">
        <f t="shared" si="70"/>
        <v>6781.51</v>
      </c>
      <c r="AF75" s="11">
        <f>+'Revenue mile elasticities'!P104</f>
        <v>5.151736778881928E-4</v>
      </c>
      <c r="AG75" s="11">
        <f>+'Revenue mile elasticities'!Q104</f>
        <v>2.0347980827157821E-3</v>
      </c>
      <c r="AH75" s="11">
        <f>+'Revenue mile elasticities'!R104</f>
        <v>1.413472906841251E-3</v>
      </c>
      <c r="AI75" s="11">
        <f>+'Revenue mile elasticities'!S104</f>
        <v>2.4096293084792161E-3</v>
      </c>
      <c r="AJ75" s="32">
        <f t="shared" si="71"/>
        <v>18299.009461794274</v>
      </c>
      <c r="AK75" s="33">
        <f t="shared" si="72"/>
        <v>5.1517367788819277E-6</v>
      </c>
      <c r="AL75" s="40">
        <f t="shared" si="73"/>
        <v>72276.187558903082</v>
      </c>
      <c r="AM75" s="33">
        <f t="shared" si="74"/>
        <v>2.0347980827157818E-5</v>
      </c>
      <c r="AN75" s="40">
        <f t="shared" si="75"/>
        <v>74348.674899849808</v>
      </c>
      <c r="AO75" s="41">
        <f t="shared" si="76"/>
        <v>1.4134729068412511E-5</v>
      </c>
      <c r="AP75" s="40">
        <f t="shared" si="77"/>
        <v>126746.50162600678</v>
      </c>
      <c r="AQ75" s="41">
        <f t="shared" si="78"/>
        <v>2.4096293084792161E-5</v>
      </c>
      <c r="AR75" s="53"/>
      <c r="AS75" s="53"/>
      <c r="BH75" t="s">
        <v>372</v>
      </c>
      <c r="BI75">
        <v>158495</v>
      </c>
      <c r="BJ75">
        <v>107051</v>
      </c>
      <c r="BK75" s="51">
        <v>33180.519999999997</v>
      </c>
      <c r="BL75" s="32">
        <f t="shared" si="68"/>
        <v>3552007846.5199995</v>
      </c>
      <c r="BM75">
        <v>5260</v>
      </c>
      <c r="BN75" s="37">
        <f t="shared" si="69"/>
        <v>3.3187166787595826E-2</v>
      </c>
      <c r="BO75" s="50">
        <f t="shared" si="79"/>
        <v>678151</v>
      </c>
      <c r="BP75" s="3">
        <f t="shared" si="80"/>
        <v>6781.51</v>
      </c>
      <c r="BQ75" s="11">
        <f>+'Rev mile pop elasticities'!P105</f>
        <v>1.5004596295277452E-2</v>
      </c>
      <c r="BR75" s="11">
        <f>+'Rev mile pop elasticities'!Q105</f>
        <v>3.0778329937221995E-2</v>
      </c>
      <c r="BS75" s="11">
        <f>+'Rev mile pop elasticities'!R105</f>
        <v>4.1167845431086147E-2</v>
      </c>
      <c r="BT75" s="11">
        <f>+'Rev mile pop elasticities'!S105</f>
        <v>3.6448022294078682E-2</v>
      </c>
      <c r="BU75" s="32">
        <f t="shared" si="81"/>
        <v>532964.43774690421</v>
      </c>
      <c r="BV75" s="33">
        <f t="shared" si="82"/>
        <v>1.500459629527745E-4</v>
      </c>
      <c r="BW75" s="40">
        <f t="shared" si="83"/>
        <v>1093248.6943979391</v>
      </c>
      <c r="BX75" s="33">
        <f t="shared" si="84"/>
        <v>3.0778329937221989E-4</v>
      </c>
      <c r="BY75" s="40">
        <f t="shared" si="85"/>
        <v>2165428.6696751313</v>
      </c>
      <c r="BZ75" s="41">
        <f t="shared" si="86"/>
        <v>4.1167845431086146E-4</v>
      </c>
      <c r="CA75" s="40">
        <f t="shared" si="87"/>
        <v>1917165.9726685386</v>
      </c>
      <c r="CB75" s="41">
        <f t="shared" si="88"/>
        <v>3.644802229407868E-4</v>
      </c>
      <c r="CQ75" s="70">
        <f t="shared" si="89"/>
        <v>0.17093730522642736</v>
      </c>
      <c r="CR75" s="70">
        <f t="shared" si="90"/>
        <v>4.978603074673793</v>
      </c>
      <c r="CS75" s="70">
        <f t="shared" si="91"/>
        <v>5.1495403799002206</v>
      </c>
      <c r="CT75" s="70">
        <f t="shared" si="92"/>
        <v>0.67515658479512641</v>
      </c>
      <c r="CU75" s="70">
        <f t="shared" si="93"/>
        <v>10.212409920485928</v>
      </c>
      <c r="CV75" s="70">
        <f t="shared" si="94"/>
        <v>10.887566505281054</v>
      </c>
      <c r="CW75" s="69">
        <f t="shared" si="95"/>
        <v>0.69451639779030372</v>
      </c>
      <c r="CX75" s="69">
        <f t="shared" si="96"/>
        <v>20.228009730643631</v>
      </c>
      <c r="CY75" s="70">
        <f t="shared" si="97"/>
        <v>20.922526128433933</v>
      </c>
      <c r="CZ75" s="69">
        <f t="shared" si="98"/>
        <v>1.1839824161008004</v>
      </c>
      <c r="DA75" s="69">
        <f t="shared" si="99"/>
        <v>17.90890297772593</v>
      </c>
      <c r="DB75" s="70">
        <f t="shared" si="100"/>
        <v>19.09288539382673</v>
      </c>
    </row>
    <row r="76" spans="23:106">
      <c r="W76" t="s">
        <v>373</v>
      </c>
      <c r="X76">
        <v>163093</v>
      </c>
      <c r="Y76">
        <v>70817</v>
      </c>
      <c r="Z76" s="51">
        <v>26249.599999999999</v>
      </c>
      <c r="AA76" s="32">
        <f t="shared" si="66"/>
        <v>1858917923.1999998</v>
      </c>
      <c r="AB76">
        <v>2759</v>
      </c>
      <c r="AC76" s="37">
        <f t="shared" si="67"/>
        <v>1.6916728492332597E-2</v>
      </c>
      <c r="AD76" s="50">
        <f>+'Revenue mile elasticities'!M105</f>
        <v>651072</v>
      </c>
      <c r="AE76" s="3">
        <f t="shared" si="70"/>
        <v>6510.72</v>
      </c>
      <c r="AF76" s="11">
        <f>+'Revenue mile elasticities'!P105</f>
        <v>4.3482693441979499E-4</v>
      </c>
      <c r="AG76" s="11">
        <f>+'Revenue mile elasticities'!Q105</f>
        <v>1.7174499599775807E-3</v>
      </c>
      <c r="AH76" s="11">
        <f>+'Revenue mile elasticities'!R105</f>
        <v>1.193026968083192E-3</v>
      </c>
      <c r="AI76" s="11">
        <f>+'Revenue mile elasticities'!S105</f>
        <v>2.0338223210260827E-3</v>
      </c>
      <c r="AJ76" s="32">
        <f t="shared" si="71"/>
        <v>8083.0758188306772</v>
      </c>
      <c r="AK76" s="33">
        <f t="shared" si="72"/>
        <v>4.3482693441979492E-6</v>
      </c>
      <c r="AL76" s="40">
        <f t="shared" si="73"/>
        <v>31925.985128014469</v>
      </c>
      <c r="AM76" s="33">
        <f t="shared" si="74"/>
        <v>1.7174499599775807E-5</v>
      </c>
      <c r="AN76" s="40">
        <f t="shared" si="75"/>
        <v>32915.614049415271</v>
      </c>
      <c r="AO76" s="41">
        <f t="shared" si="76"/>
        <v>1.1930269680831922E-5</v>
      </c>
      <c r="AP76" s="40">
        <f t="shared" si="77"/>
        <v>56113.157837109618</v>
      </c>
      <c r="AQ76" s="41">
        <f t="shared" si="78"/>
        <v>2.0338223210260826E-5</v>
      </c>
      <c r="AR76" s="53"/>
      <c r="AS76" s="53"/>
      <c r="BH76" t="s">
        <v>373</v>
      </c>
      <c r="BI76">
        <v>163093</v>
      </c>
      <c r="BJ76">
        <v>70817</v>
      </c>
      <c r="BK76" s="51">
        <v>26249.599999999999</v>
      </c>
      <c r="BL76" s="32">
        <f t="shared" si="68"/>
        <v>1858917923.1999998</v>
      </c>
      <c r="BM76">
        <v>2759</v>
      </c>
      <c r="BN76" s="37">
        <f t="shared" si="69"/>
        <v>1.6916728492332597E-2</v>
      </c>
      <c r="BO76" s="50">
        <f t="shared" si="79"/>
        <v>651072</v>
      </c>
      <c r="BP76" s="3">
        <f t="shared" si="80"/>
        <v>6510.72</v>
      </c>
      <c r="BQ76" s="11">
        <f>+'Rev mile pop elasticities'!P106</f>
        <v>1.3999327445322608E-2</v>
      </c>
      <c r="BR76" s="11">
        <f>+'Rev mile pop elasticities'!Q106</f>
        <v>2.8716262039449891E-2</v>
      </c>
      <c r="BS76" s="11">
        <f>+'Rev mile pop elasticities'!R106</f>
        <v>3.8409707070199209E-2</v>
      </c>
      <c r="BT76" s="11">
        <f>+'Rev mile pop elasticities'!S106</f>
        <v>3.4006099783559084E-2</v>
      </c>
      <c r="BU76" s="32">
        <f t="shared" si="81"/>
        <v>260236.0070085586</v>
      </c>
      <c r="BV76" s="33">
        <f t="shared" si="82"/>
        <v>1.3999327445322608E-4</v>
      </c>
      <c r="BW76" s="40">
        <f t="shared" si="83"/>
        <v>533811.74192441173</v>
      </c>
      <c r="BX76" s="33">
        <f t="shared" si="84"/>
        <v>2.8716262039449883E-4</v>
      </c>
      <c r="BY76" s="40">
        <f t="shared" si="85"/>
        <v>1059723.8180667963</v>
      </c>
      <c r="BZ76" s="41">
        <f t="shared" si="86"/>
        <v>3.8409707070199213E-4</v>
      </c>
      <c r="CA76" s="40">
        <f t="shared" si="87"/>
        <v>938228.29302839527</v>
      </c>
      <c r="CB76" s="41">
        <f t="shared" si="88"/>
        <v>3.4006099783559089E-4</v>
      </c>
      <c r="CQ76" s="70">
        <f t="shared" si="89"/>
        <v>0.11414033097745849</v>
      </c>
      <c r="CR76" s="70">
        <f t="shared" si="90"/>
        <v>3.6747674570874027</v>
      </c>
      <c r="CS76" s="70">
        <f t="shared" si="91"/>
        <v>3.7889077880648614</v>
      </c>
      <c r="CT76" s="70">
        <f t="shared" si="92"/>
        <v>0.45082374469427494</v>
      </c>
      <c r="CU76" s="70">
        <f t="shared" si="93"/>
        <v>7.5379039203074365</v>
      </c>
      <c r="CV76" s="70">
        <f t="shared" si="94"/>
        <v>7.9887276650017114</v>
      </c>
      <c r="CW76" s="69">
        <f t="shared" si="95"/>
        <v>0.46479819887054341</v>
      </c>
      <c r="CX76" s="69">
        <f t="shared" si="96"/>
        <v>14.964257425008068</v>
      </c>
      <c r="CY76" s="70">
        <f t="shared" si="97"/>
        <v>15.429055623878611</v>
      </c>
      <c r="CZ76" s="69">
        <f t="shared" si="98"/>
        <v>0.79236846854723608</v>
      </c>
      <c r="DA76" s="69">
        <f t="shared" si="99"/>
        <v>13.248630879992026</v>
      </c>
      <c r="DB76" s="70">
        <f t="shared" si="100"/>
        <v>14.040999348539263</v>
      </c>
    </row>
    <row r="77" spans="23:106">
      <c r="W77" t="s">
        <v>374</v>
      </c>
      <c r="X77">
        <v>738416</v>
      </c>
      <c r="Y77">
        <v>382591</v>
      </c>
      <c r="Z77" s="51">
        <v>27438.880000000001</v>
      </c>
      <c r="AA77" s="32">
        <f t="shared" si="66"/>
        <v>10497868538.08</v>
      </c>
      <c r="AB77">
        <v>20271</v>
      </c>
      <c r="AC77" s="37">
        <f t="shared" si="67"/>
        <v>2.7452005373664708E-2</v>
      </c>
      <c r="AD77" s="50">
        <f>+'Revenue mile elasticities'!M106</f>
        <v>6523543</v>
      </c>
      <c r="AE77" s="3">
        <f t="shared" si="70"/>
        <v>65235.43</v>
      </c>
      <c r="AF77" s="11">
        <f>+'Revenue mile elasticities'!P106</f>
        <v>4.4625306305722152E-3</v>
      </c>
      <c r="AG77" s="11">
        <f>+'Revenue mile elasticities'!Q106</f>
        <v>1.7625801085899982E-2</v>
      </c>
      <c r="AH77" s="11">
        <f>+'Revenue mile elasticities'!R106</f>
        <v>1.2243766351028461E-2</v>
      </c>
      <c r="AI77" s="11">
        <f>+'Revenue mile elasticities'!S106</f>
        <v>2.0872659180671028E-2</v>
      </c>
      <c r="AJ77" s="32">
        <f t="shared" si="71"/>
        <v>468470.59906902368</v>
      </c>
      <c r="AK77" s="33">
        <f t="shared" si="72"/>
        <v>4.4625306305722161E-5</v>
      </c>
      <c r="AL77" s="40">
        <f t="shared" si="73"/>
        <v>1850333.4267812574</v>
      </c>
      <c r="AM77" s="33">
        <f t="shared" si="74"/>
        <v>1.7625801085899983E-4</v>
      </c>
      <c r="AN77" s="40">
        <f t="shared" si="75"/>
        <v>2481933.8770169793</v>
      </c>
      <c r="AO77" s="41">
        <f t="shared" si="76"/>
        <v>1.2243766351028462E-4</v>
      </c>
      <c r="AP77" s="40">
        <f t="shared" si="77"/>
        <v>4231096.7425138233</v>
      </c>
      <c r="AQ77" s="41">
        <f t="shared" si="78"/>
        <v>2.0872659180671025E-4</v>
      </c>
      <c r="AR77" s="53"/>
      <c r="AS77" s="53"/>
      <c r="BH77" t="s">
        <v>374</v>
      </c>
      <c r="BI77">
        <v>738416</v>
      </c>
      <c r="BJ77">
        <v>382591</v>
      </c>
      <c r="BK77" s="51">
        <v>27438.880000000001</v>
      </c>
      <c r="BL77" s="32">
        <f t="shared" si="68"/>
        <v>10497868538.08</v>
      </c>
      <c r="BM77">
        <v>20271</v>
      </c>
      <c r="BN77" s="37">
        <f t="shared" si="69"/>
        <v>2.7452005373664708E-2</v>
      </c>
      <c r="BO77" s="50">
        <f t="shared" si="79"/>
        <v>6523543</v>
      </c>
      <c r="BP77" s="3">
        <f t="shared" si="80"/>
        <v>65235.43</v>
      </c>
      <c r="BQ77" s="11">
        <f>+'Rev mile pop elasticities'!P107</f>
        <v>3.0981033811916317E-2</v>
      </c>
      <c r="BR77" s="11">
        <f>+'Rev mile pop elasticities'!Q107</f>
        <v>6.3550159010909851E-2</v>
      </c>
      <c r="BS77" s="11">
        <f>+'Rev mile pop elasticities'!R107</f>
        <v>8.50021144298065E-2</v>
      </c>
      <c r="BT77" s="11">
        <f>+'Rev mile pop elasticities'!S107</f>
        <v>7.5256767249761658E-2</v>
      </c>
      <c r="BU77" s="32">
        <f t="shared" si="81"/>
        <v>3252348.20131309</v>
      </c>
      <c r="BV77" s="33">
        <f t="shared" si="82"/>
        <v>3.0981033811916319E-4</v>
      </c>
      <c r="BW77" s="40">
        <f t="shared" si="83"/>
        <v>6671412.1487061176</v>
      </c>
      <c r="BX77" s="33">
        <f t="shared" si="84"/>
        <v>6.3550159010909853E-4</v>
      </c>
      <c r="BY77" s="40">
        <f t="shared" si="85"/>
        <v>17230778.616066076</v>
      </c>
      <c r="BZ77" s="41">
        <f t="shared" si="86"/>
        <v>8.5002114429806499E-4</v>
      </c>
      <c r="CA77" s="40">
        <f t="shared" si="87"/>
        <v>15255299.289199186</v>
      </c>
      <c r="CB77" s="41">
        <f t="shared" si="88"/>
        <v>7.5256767249761661E-4</v>
      </c>
      <c r="CQ77" s="70">
        <f t="shared" si="89"/>
        <v>1.2244684246859536</v>
      </c>
      <c r="CR77" s="70">
        <f t="shared" si="90"/>
        <v>8.5008486904111447</v>
      </c>
      <c r="CS77" s="70">
        <f t="shared" si="91"/>
        <v>9.7253171150970985</v>
      </c>
      <c r="CT77" s="70">
        <f t="shared" si="92"/>
        <v>4.8363224089987931</v>
      </c>
      <c r="CU77" s="70">
        <f t="shared" si="93"/>
        <v>17.43745187081274</v>
      </c>
      <c r="CV77" s="70">
        <f t="shared" si="94"/>
        <v>22.273774279811533</v>
      </c>
      <c r="CW77" s="69">
        <f t="shared" si="95"/>
        <v>6.487172664848309</v>
      </c>
      <c r="CX77" s="69">
        <f t="shared" si="96"/>
        <v>45.037072529322636</v>
      </c>
      <c r="CY77" s="70">
        <f t="shared" si="97"/>
        <v>51.524245194170945</v>
      </c>
      <c r="CZ77" s="69">
        <f t="shared" si="98"/>
        <v>11.059059785812586</v>
      </c>
      <c r="DA77" s="69">
        <f t="shared" si="99"/>
        <v>39.873649116678614</v>
      </c>
      <c r="DB77" s="70">
        <f t="shared" si="100"/>
        <v>50.9327089024912</v>
      </c>
    </row>
    <row r="78" spans="23:106">
      <c r="W78" t="s">
        <v>375</v>
      </c>
      <c r="X78">
        <v>200125</v>
      </c>
      <c r="Y78">
        <v>145709</v>
      </c>
      <c r="Z78" s="51">
        <v>32346.81</v>
      </c>
      <c r="AA78" s="32">
        <f t="shared" si="66"/>
        <v>4713221338.29</v>
      </c>
      <c r="AB78">
        <v>8631</v>
      </c>
      <c r="AC78" s="37">
        <f t="shared" si="67"/>
        <v>4.3128044971892564E-2</v>
      </c>
      <c r="AD78" s="50">
        <f>+'Revenue mile elasticities'!M107</f>
        <v>431264</v>
      </c>
      <c r="AE78" s="3">
        <f t="shared" si="70"/>
        <v>4312.6400000000003</v>
      </c>
      <c r="AF78" s="11">
        <f>+'Revenue mile elasticities'!P107</f>
        <v>3.366703331897487E-4</v>
      </c>
      <c r="AG78" s="11">
        <f>+'Revenue mile elasticities'!Q107</f>
        <v>1.3297576679188582E-3</v>
      </c>
      <c r="AH78" s="11">
        <f>+'Revenue mile elasticities'!R107</f>
        <v>9.2371643763252353E-4</v>
      </c>
      <c r="AI78" s="11">
        <f>+'Revenue mile elasticities'!S107</f>
        <v>1.5747130277986479E-3</v>
      </c>
      <c r="AJ78" s="32">
        <f t="shared" si="71"/>
        <v>15868.017983591275</v>
      </c>
      <c r="AK78" s="33">
        <f t="shared" si="72"/>
        <v>3.3667033318974867E-6</v>
      </c>
      <c r="AL78" s="40">
        <f t="shared" si="73"/>
        <v>62674.422151899103</v>
      </c>
      <c r="AM78" s="33">
        <f t="shared" si="74"/>
        <v>1.3297576679188582E-5</v>
      </c>
      <c r="AN78" s="40">
        <f t="shared" si="75"/>
        <v>79725.965732063109</v>
      </c>
      <c r="AO78" s="41">
        <f t="shared" si="76"/>
        <v>9.2371643763252359E-6</v>
      </c>
      <c r="AP78" s="40">
        <f t="shared" si="77"/>
        <v>135913.48142930129</v>
      </c>
      <c r="AQ78" s="41">
        <f t="shared" si="78"/>
        <v>1.5747130277986478E-5</v>
      </c>
      <c r="AR78" s="53"/>
      <c r="AS78" s="53"/>
      <c r="BH78" t="s">
        <v>375</v>
      </c>
      <c r="BI78">
        <v>200125</v>
      </c>
      <c r="BJ78">
        <v>145709</v>
      </c>
      <c r="BK78" s="51">
        <v>32346.81</v>
      </c>
      <c r="BL78" s="32">
        <f t="shared" si="68"/>
        <v>4713221338.29</v>
      </c>
      <c r="BM78">
        <v>8631</v>
      </c>
      <c r="BN78" s="37">
        <f t="shared" si="69"/>
        <v>4.3128044971892564E-2</v>
      </c>
      <c r="BO78" s="50">
        <f t="shared" si="79"/>
        <v>431264</v>
      </c>
      <c r="BP78" s="3">
        <f t="shared" si="80"/>
        <v>4312.6400000000003</v>
      </c>
      <c r="BQ78" s="11">
        <f>+'Rev mile pop elasticities'!P108</f>
        <v>7.5571029130793244E-3</v>
      </c>
      <c r="BR78" s="11">
        <f>+'Rev mile pop elasticities'!Q108</f>
        <v>1.5501583798126174E-2</v>
      </c>
      <c r="BS78" s="11">
        <f>+'Rev mile pop elasticities'!R108</f>
        <v>2.0734289581011867E-2</v>
      </c>
      <c r="BT78" s="11">
        <f>+'Rev mile pop elasticities'!S108</f>
        <v>1.8357138708307311E-2</v>
      </c>
      <c r="BU78" s="32">
        <f t="shared" si="81"/>
        <v>356182.98705578991</v>
      </c>
      <c r="BV78" s="33">
        <f t="shared" si="82"/>
        <v>7.5571029130793249E-5</v>
      </c>
      <c r="BW78" s="40">
        <f t="shared" si="83"/>
        <v>730623.95534618828</v>
      </c>
      <c r="BX78" s="33">
        <f t="shared" si="84"/>
        <v>1.5501583798126174E-4</v>
      </c>
      <c r="BY78" s="40">
        <f t="shared" si="85"/>
        <v>1789576.533737134</v>
      </c>
      <c r="BZ78" s="41">
        <f t="shared" si="86"/>
        <v>2.0734289581011864E-4</v>
      </c>
      <c r="CA78" s="40">
        <f t="shared" si="87"/>
        <v>1584404.6419140038</v>
      </c>
      <c r="CB78" s="41">
        <f t="shared" si="88"/>
        <v>1.8357138708307308E-4</v>
      </c>
      <c r="CQ78" s="70">
        <f t="shared" si="89"/>
        <v>0.10890211300325495</v>
      </c>
      <c r="CR78" s="70">
        <f t="shared" si="90"/>
        <v>2.4444817207982341</v>
      </c>
      <c r="CS78" s="70">
        <f t="shared" si="91"/>
        <v>2.5533838338014889</v>
      </c>
      <c r="CT78" s="70">
        <f t="shared" si="92"/>
        <v>0.43013418630214401</v>
      </c>
      <c r="CU78" s="70">
        <f t="shared" si="93"/>
        <v>5.0142678581706575</v>
      </c>
      <c r="CV78" s="70">
        <f t="shared" si="94"/>
        <v>5.4444020444728016</v>
      </c>
      <c r="CW78" s="69">
        <f t="shared" si="95"/>
        <v>0.5471588284324449</v>
      </c>
      <c r="CX78" s="69">
        <f t="shared" si="96"/>
        <v>12.28185310267131</v>
      </c>
      <c r="CY78" s="70">
        <f t="shared" si="97"/>
        <v>12.829011931103754</v>
      </c>
      <c r="CZ78" s="69">
        <f t="shared" si="98"/>
        <v>0.93277341433474448</v>
      </c>
      <c r="DA78" s="69">
        <f t="shared" si="99"/>
        <v>10.873759629906209</v>
      </c>
      <c r="DB78" s="70">
        <f t="shared" si="100"/>
        <v>11.806533044240954</v>
      </c>
    </row>
    <row r="79" spans="23:106">
      <c r="W79" t="s">
        <v>376</v>
      </c>
      <c r="X79">
        <v>87902</v>
      </c>
      <c r="Y79">
        <v>49747</v>
      </c>
      <c r="Z79" s="51">
        <v>33016.28</v>
      </c>
      <c r="AA79" s="32">
        <f t="shared" si="66"/>
        <v>1642460881.1599998</v>
      </c>
      <c r="AB79">
        <v>2303</v>
      </c>
      <c r="AC79" s="37">
        <f t="shared" si="67"/>
        <v>2.6199631407704035E-2</v>
      </c>
      <c r="AD79" s="50">
        <f>+'Revenue mile elasticities'!M108</f>
        <v>729407</v>
      </c>
      <c r="AE79" s="3">
        <f t="shared" si="70"/>
        <v>7294.07</v>
      </c>
      <c r="AF79" s="11">
        <f>+'Revenue mile elasticities'!P108</f>
        <v>3.5619401778478124E-4</v>
      </c>
      <c r="AG79" s="11">
        <f>+'Revenue mile elasticities'!Q108</f>
        <v>1.4068709943301924E-3</v>
      </c>
      <c r="AH79" s="11">
        <f>+'Revenue mile elasticities'!R108</f>
        <v>9.7728322569109669E-4</v>
      </c>
      <c r="AI79" s="11">
        <f>+'Revenue mile elasticities'!S108</f>
        <v>1.6660314406541752E-3</v>
      </c>
      <c r="AJ79" s="32">
        <f t="shared" si="71"/>
        <v>5850.3474031471251</v>
      </c>
      <c r="AK79" s="33">
        <f t="shared" si="72"/>
        <v>3.5619401778478127E-6</v>
      </c>
      <c r="AL79" s="40">
        <f t="shared" si="73"/>
        <v>23107.30573026013</v>
      </c>
      <c r="AM79" s="33">
        <f t="shared" si="74"/>
        <v>1.4068709943301924E-5</v>
      </c>
      <c r="AN79" s="40">
        <f t="shared" si="75"/>
        <v>22506.832687665959</v>
      </c>
      <c r="AO79" s="41">
        <f t="shared" si="76"/>
        <v>9.7728322569109678E-6</v>
      </c>
      <c r="AP79" s="40">
        <f t="shared" si="77"/>
        <v>38368.704078265655</v>
      </c>
      <c r="AQ79" s="41">
        <f t="shared" si="78"/>
        <v>1.6660314406541752E-5</v>
      </c>
      <c r="AR79" s="53"/>
      <c r="AS79" s="53"/>
      <c r="BH79" t="s">
        <v>376</v>
      </c>
      <c r="BI79">
        <v>87902</v>
      </c>
      <c r="BJ79">
        <v>49747</v>
      </c>
      <c r="BK79" s="51">
        <v>33016.28</v>
      </c>
      <c r="BL79" s="32">
        <f t="shared" si="68"/>
        <v>1642460881.1599998</v>
      </c>
      <c r="BM79">
        <v>2303</v>
      </c>
      <c r="BN79" s="37">
        <f t="shared" si="69"/>
        <v>2.6199631407704035E-2</v>
      </c>
      <c r="BO79" s="50">
        <f t="shared" si="79"/>
        <v>729407</v>
      </c>
      <c r="BP79" s="3">
        <f t="shared" si="80"/>
        <v>7294.07</v>
      </c>
      <c r="BQ79" s="11">
        <f>+'Rev mile pop elasticities'!P109</f>
        <v>2.9099440919888059E-2</v>
      </c>
      <c r="BR79" s="11">
        <f>+'Rev mile pop elasticities'!Q109</f>
        <v>5.9690522556938415E-2</v>
      </c>
      <c r="BS79" s="11">
        <f>+'Rev mile pop elasticities'!R109</f>
        <v>7.9839621296443772E-2</v>
      </c>
      <c r="BT79" s="11">
        <f>+'Rev mile pop elasticities'!S109</f>
        <v>7.0686145133216555E-2</v>
      </c>
      <c r="BU79" s="32">
        <f t="shared" si="81"/>
        <v>477946.933745427</v>
      </c>
      <c r="BV79" s="33">
        <f t="shared" si="82"/>
        <v>2.909944091988806E-4</v>
      </c>
      <c r="BW79" s="40">
        <f t="shared" si="83"/>
        <v>980393.48275769921</v>
      </c>
      <c r="BX79" s="33">
        <f t="shared" si="84"/>
        <v>5.9690522556938414E-4</v>
      </c>
      <c r="BY79" s="40">
        <f t="shared" si="85"/>
        <v>1838706.4784571</v>
      </c>
      <c r="BZ79" s="41">
        <f t="shared" si="86"/>
        <v>7.9839621296443769E-4</v>
      </c>
      <c r="CA79" s="40">
        <f t="shared" si="87"/>
        <v>1627901.9224179771</v>
      </c>
      <c r="CB79" s="41">
        <f t="shared" si="88"/>
        <v>7.0686145133216558E-4</v>
      </c>
      <c r="CQ79" s="70">
        <f t="shared" si="89"/>
        <v>0.11760201425507318</v>
      </c>
      <c r="CR79" s="70">
        <f t="shared" si="90"/>
        <v>9.6075528925448168</v>
      </c>
      <c r="CS79" s="70">
        <f t="shared" si="91"/>
        <v>9.7251549067998901</v>
      </c>
      <c r="CT79" s="70">
        <f t="shared" si="92"/>
        <v>0.46449646672684042</v>
      </c>
      <c r="CU79" s="70">
        <f t="shared" si="93"/>
        <v>19.707590060861946</v>
      </c>
      <c r="CV79" s="70">
        <f t="shared" si="94"/>
        <v>20.172086527588785</v>
      </c>
      <c r="CW79" s="69">
        <f t="shared" si="95"/>
        <v>0.45242592895382555</v>
      </c>
      <c r="CX79" s="69">
        <f t="shared" si="96"/>
        <v>36.961153003338893</v>
      </c>
      <c r="CY79" s="70">
        <f t="shared" si="97"/>
        <v>37.413578932292715</v>
      </c>
      <c r="CZ79" s="69">
        <f t="shared" si="98"/>
        <v>0.77127674187922202</v>
      </c>
      <c r="DA79" s="69">
        <f t="shared" si="99"/>
        <v>32.723619965384387</v>
      </c>
      <c r="DB79" s="70">
        <f t="shared" si="100"/>
        <v>33.494896707263607</v>
      </c>
    </row>
    <row r="80" spans="23:106">
      <c r="W80" t="s">
        <v>377</v>
      </c>
      <c r="X80">
        <v>279647</v>
      </c>
      <c r="Y80">
        <v>164959</v>
      </c>
      <c r="Z80" s="51">
        <v>32780.050000000003</v>
      </c>
      <c r="AA80" s="32">
        <f t="shared" si="66"/>
        <v>5407364267.9500008</v>
      </c>
      <c r="AB80">
        <v>8443</v>
      </c>
      <c r="AC80" s="37">
        <f t="shared" si="67"/>
        <v>3.019163445343594E-2</v>
      </c>
      <c r="AD80" s="50">
        <f>+'Revenue mile elasticities'!M109</f>
        <v>1660161</v>
      </c>
      <c r="AE80" s="3">
        <f t="shared" si="70"/>
        <v>16601.61</v>
      </c>
      <c r="AF80" s="11">
        <f>+'Revenue mile elasticities'!P109</f>
        <v>7.7534800424145791E-4</v>
      </c>
      <c r="AG80" s="11">
        <f>+'Revenue mile elasticities'!Q109</f>
        <v>3.0624170065040217E-3</v>
      </c>
      <c r="AH80" s="11">
        <f>+'Revenue mile elasticities'!R109</f>
        <v>2.1273086036949747E-3</v>
      </c>
      <c r="AI80" s="11">
        <f>+'Revenue mile elasticities'!S109</f>
        <v>3.626546455070552E-3</v>
      </c>
      <c r="AJ80" s="32">
        <f t="shared" si="71"/>
        <v>41925.89093361605</v>
      </c>
      <c r="AK80" s="33">
        <f t="shared" si="72"/>
        <v>7.7534800424145784E-6</v>
      </c>
      <c r="AL80" s="40">
        <f t="shared" si="73"/>
        <v>165596.04294532252</v>
      </c>
      <c r="AM80" s="33">
        <f t="shared" si="74"/>
        <v>3.062417006504022E-5</v>
      </c>
      <c r="AN80" s="40">
        <f t="shared" si="75"/>
        <v>179608.66540996672</v>
      </c>
      <c r="AO80" s="41">
        <f t="shared" si="76"/>
        <v>2.1273086036949749E-5</v>
      </c>
      <c r="AP80" s="40">
        <f t="shared" si="77"/>
        <v>306189.3172016067</v>
      </c>
      <c r="AQ80" s="41">
        <f t="shared" si="78"/>
        <v>3.6265464550705513E-5</v>
      </c>
      <c r="AR80" s="53"/>
      <c r="AS80" s="53"/>
      <c r="BH80" t="s">
        <v>377</v>
      </c>
      <c r="BI80">
        <v>279647</v>
      </c>
      <c r="BJ80">
        <v>164959</v>
      </c>
      <c r="BK80" s="51">
        <v>32780.050000000003</v>
      </c>
      <c r="BL80" s="32">
        <f t="shared" si="68"/>
        <v>5407364267.9500008</v>
      </c>
      <c r="BM80">
        <v>8443</v>
      </c>
      <c r="BN80" s="37">
        <f t="shared" si="69"/>
        <v>3.019163445343594E-2</v>
      </c>
      <c r="BO80" s="50">
        <f t="shared" si="79"/>
        <v>1660161</v>
      </c>
      <c r="BP80" s="3">
        <f t="shared" si="80"/>
        <v>16601.61</v>
      </c>
      <c r="BQ80" s="11">
        <f>+'Rev mile pop elasticities'!P110</f>
        <v>2.0818695705729005E-2</v>
      </c>
      <c r="BR80" s="11">
        <f>+'Rev mile pop elasticities'!Q110</f>
        <v>4.2704560168355103E-2</v>
      </c>
      <c r="BS80" s="11">
        <f>+'Rev mile pop elasticities'!R110</f>
        <v>5.7119887134852144E-2</v>
      </c>
      <c r="BT80" s="11">
        <f>+'Rev mile pop elasticities'!S110</f>
        <v>5.0571189673052103E-2</v>
      </c>
      <c r="BU80" s="32">
        <f t="shared" si="81"/>
        <v>1125742.7126448315</v>
      </c>
      <c r="BV80" s="33">
        <f t="shared" si="82"/>
        <v>2.0818695705729007E-4</v>
      </c>
      <c r="BW80" s="40">
        <f t="shared" si="83"/>
        <v>2309191.1273288424</v>
      </c>
      <c r="BX80" s="33">
        <f t="shared" si="84"/>
        <v>4.2704560168355099E-4</v>
      </c>
      <c r="BY80" s="40">
        <f t="shared" si="85"/>
        <v>4822632.0707955668</v>
      </c>
      <c r="BZ80" s="41">
        <f t="shared" si="86"/>
        <v>5.7119887134852152E-4</v>
      </c>
      <c r="CA80" s="40">
        <f t="shared" si="87"/>
        <v>4269725.54409579</v>
      </c>
      <c r="CB80" s="41">
        <f t="shared" si="88"/>
        <v>5.0571189673052116E-4</v>
      </c>
      <c r="CQ80" s="70">
        <f t="shared" si="89"/>
        <v>0.25415946346435203</v>
      </c>
      <c r="CR80" s="70">
        <f t="shared" si="90"/>
        <v>6.8243788616858216</v>
      </c>
      <c r="CS80" s="70">
        <f t="shared" si="91"/>
        <v>7.0785383251501734</v>
      </c>
      <c r="CT80" s="70">
        <f t="shared" si="92"/>
        <v>1.0038618259405216</v>
      </c>
      <c r="CU80" s="70">
        <f t="shared" si="93"/>
        <v>13.998576175466889</v>
      </c>
      <c r="CV80" s="70">
        <f t="shared" si="94"/>
        <v>15.002438001407411</v>
      </c>
      <c r="CW80" s="69">
        <f t="shared" si="95"/>
        <v>1.088807918391641</v>
      </c>
      <c r="CX80" s="69">
        <f t="shared" si="96"/>
        <v>29.235337694794264</v>
      </c>
      <c r="CY80" s="70">
        <f t="shared" si="97"/>
        <v>30.324145613185905</v>
      </c>
      <c r="CZ80" s="69">
        <f t="shared" si="98"/>
        <v>1.8561540576846773</v>
      </c>
      <c r="DA80" s="69">
        <f t="shared" si="99"/>
        <v>25.883556181207393</v>
      </c>
      <c r="DB80" s="70">
        <f t="shared" si="100"/>
        <v>27.739710238892069</v>
      </c>
    </row>
    <row r="81" spans="23:106">
      <c r="W81" t="s">
        <v>378</v>
      </c>
      <c r="X81">
        <v>348425</v>
      </c>
      <c r="Y81">
        <v>205956</v>
      </c>
      <c r="Z81" s="51">
        <v>32670.87</v>
      </c>
      <c r="AA81" s="32">
        <f t="shared" si="66"/>
        <v>6728761701.7199993</v>
      </c>
      <c r="AB81">
        <v>9628</v>
      </c>
      <c r="AC81" s="37">
        <f t="shared" si="67"/>
        <v>2.7632919566621224E-2</v>
      </c>
      <c r="AD81" s="50">
        <f>+'Revenue mile elasticities'!M110</f>
        <v>3334041</v>
      </c>
      <c r="AE81" s="3">
        <f t="shared" si="70"/>
        <v>33340.410000000003</v>
      </c>
      <c r="AF81" s="11">
        <f>+'Revenue mile elasticities'!P110</f>
        <v>2.3363390442773901E-3</v>
      </c>
      <c r="AG81" s="11">
        <f>+'Revenue mile elasticities'!Q110</f>
        <v>9.227913637508094E-3</v>
      </c>
      <c r="AH81" s="11">
        <f>+'Revenue mile elasticities'!R110</f>
        <v>6.410172107042659E-3</v>
      </c>
      <c r="AI81" s="11">
        <f>+'Revenue mile elasticities'!S110</f>
        <v>1.0927792465470111E-2</v>
      </c>
      <c r="AJ81" s="32">
        <f t="shared" si="71"/>
        <v>157206.68683366809</v>
      </c>
      <c r="AK81" s="33">
        <f t="shared" si="72"/>
        <v>2.3363390442773903E-5</v>
      </c>
      <c r="AL81" s="40">
        <f t="shared" si="73"/>
        <v>620924.31870844157</v>
      </c>
      <c r="AM81" s="33">
        <f t="shared" si="74"/>
        <v>9.2279136375080948E-5</v>
      </c>
      <c r="AN81" s="40">
        <f t="shared" si="75"/>
        <v>617171.37046606734</v>
      </c>
      <c r="AO81" s="41">
        <f t="shared" si="76"/>
        <v>6.4101721070426609E-5</v>
      </c>
      <c r="AP81" s="40">
        <f t="shared" si="77"/>
        <v>1052127.8585754624</v>
      </c>
      <c r="AQ81" s="41">
        <f t="shared" si="78"/>
        <v>1.0927792465470112E-4</v>
      </c>
      <c r="AR81" s="53"/>
      <c r="AS81" s="53"/>
      <c r="BH81" t="s">
        <v>378</v>
      </c>
      <c r="BI81">
        <v>348425</v>
      </c>
      <c r="BJ81">
        <v>205956</v>
      </c>
      <c r="BK81" s="51">
        <v>32670.87</v>
      </c>
      <c r="BL81" s="32">
        <f t="shared" si="68"/>
        <v>6728761701.7199993</v>
      </c>
      <c r="BM81">
        <v>9628</v>
      </c>
      <c r="BN81" s="37">
        <f t="shared" si="69"/>
        <v>2.7632919566621224E-2</v>
      </c>
      <c r="BO81" s="50">
        <f t="shared" si="79"/>
        <v>3334041</v>
      </c>
      <c r="BP81" s="3">
        <f t="shared" si="80"/>
        <v>33340.410000000003</v>
      </c>
      <c r="BQ81" s="11">
        <f>+'Rev mile pop elasticities'!P111</f>
        <v>3.3556379879801965E-2</v>
      </c>
      <c r="BR81" s="11">
        <f>+'Rev mile pop elasticities'!Q111</f>
        <v>6.8832863684867629E-2</v>
      </c>
      <c r="BS81" s="11">
        <f>+'Rev mile pop elasticities'!R111</f>
        <v>9.206804587960106E-2</v>
      </c>
      <c r="BT81" s="11">
        <f>+'Rev mile pop elasticities'!S111</f>
        <v>8.1512601732080095E-2</v>
      </c>
      <c r="BU81" s="32">
        <f t="shared" si="81"/>
        <v>2257928.8378357901</v>
      </c>
      <c r="BV81" s="33">
        <f t="shared" si="82"/>
        <v>3.3556379879801963E-4</v>
      </c>
      <c r="BW81" s="40">
        <f t="shared" si="83"/>
        <v>4631599.3698245063</v>
      </c>
      <c r="BX81" s="33">
        <f t="shared" si="84"/>
        <v>6.8832863684867632E-4</v>
      </c>
      <c r="BY81" s="40">
        <f t="shared" si="85"/>
        <v>8864311.4572879914</v>
      </c>
      <c r="BZ81" s="41">
        <f t="shared" si="86"/>
        <v>9.2068045879601073E-4</v>
      </c>
      <c r="CA81" s="40">
        <f t="shared" si="87"/>
        <v>7848033.2947646724</v>
      </c>
      <c r="CB81" s="41">
        <f t="shared" si="88"/>
        <v>8.1512601732080105E-4</v>
      </c>
      <c r="CQ81" s="70">
        <f t="shared" si="89"/>
        <v>0.76330229191510857</v>
      </c>
      <c r="CR81" s="70">
        <f t="shared" si="90"/>
        <v>10.963161247236254</v>
      </c>
      <c r="CS81" s="70">
        <f t="shared" si="91"/>
        <v>11.726463539151363</v>
      </c>
      <c r="CT81" s="70">
        <f t="shared" si="92"/>
        <v>3.0148396682225407</v>
      </c>
      <c r="CU81" s="70">
        <f t="shared" si="93"/>
        <v>22.488295411760308</v>
      </c>
      <c r="CV81" s="70">
        <f t="shared" si="94"/>
        <v>25.503135079982847</v>
      </c>
      <c r="CW81" s="69">
        <f t="shared" si="95"/>
        <v>2.9966175807748612</v>
      </c>
      <c r="CX81" s="69">
        <f t="shared" si="96"/>
        <v>43.039831115811104</v>
      </c>
      <c r="CY81" s="70">
        <f t="shared" si="97"/>
        <v>46.036448696585964</v>
      </c>
      <c r="CZ81" s="69">
        <f t="shared" si="98"/>
        <v>5.10850792681671</v>
      </c>
      <c r="DA81" s="69">
        <f t="shared" si="99"/>
        <v>38.105388018628602</v>
      </c>
      <c r="DB81" s="70">
        <f t="shared" si="100"/>
        <v>43.213895945445316</v>
      </c>
    </row>
    <row r="82" spans="23:106">
      <c r="W82" t="s">
        <v>379</v>
      </c>
      <c r="X82">
        <v>350614</v>
      </c>
      <c r="Y82">
        <v>211987</v>
      </c>
      <c r="Z82" s="51">
        <v>35386.19</v>
      </c>
      <c r="AA82" s="32">
        <f t="shared" si="66"/>
        <v>7501412259.5300007</v>
      </c>
      <c r="AB82">
        <v>14630</v>
      </c>
      <c r="AC82" s="37">
        <f t="shared" si="67"/>
        <v>4.1726799272134026E-2</v>
      </c>
      <c r="AD82" s="50">
        <f>+'Revenue mile elasticities'!M111</f>
        <v>1191468</v>
      </c>
      <c r="AE82" s="3">
        <f t="shared" si="70"/>
        <v>11914.68</v>
      </c>
      <c r="AF82" s="11">
        <f>+'Revenue mile elasticities'!P111</f>
        <v>7.3144189496261258E-4</v>
      </c>
      <c r="AG82" s="11">
        <f>+'Revenue mile elasticities'!Q111</f>
        <v>2.8889996313261439E-3</v>
      </c>
      <c r="AH82" s="11">
        <f>+'Revenue mile elasticities'!R111</f>
        <v>2.0068441883450746E-3</v>
      </c>
      <c r="AI82" s="11">
        <f>+'Revenue mile elasticities'!S111</f>
        <v>3.4211837739388548E-3</v>
      </c>
      <c r="AJ82" s="32">
        <f t="shared" si="71"/>
        <v>54868.471980063965</v>
      </c>
      <c r="AK82" s="33">
        <f t="shared" si="72"/>
        <v>7.3144189496261249E-6</v>
      </c>
      <c r="AL82" s="40">
        <f t="shared" si="73"/>
        <v>216715.77252207586</v>
      </c>
      <c r="AM82" s="33">
        <f t="shared" si="74"/>
        <v>2.8889996313261436E-5</v>
      </c>
      <c r="AN82" s="40">
        <f t="shared" si="75"/>
        <v>293601.30475488439</v>
      </c>
      <c r="AO82" s="41">
        <f t="shared" si="76"/>
        <v>2.0068441883450744E-5</v>
      </c>
      <c r="AP82" s="40">
        <f t="shared" si="77"/>
        <v>500519.18612725445</v>
      </c>
      <c r="AQ82" s="41">
        <f t="shared" si="78"/>
        <v>3.4211837739388549E-5</v>
      </c>
      <c r="AR82" s="53"/>
      <c r="AS82" s="53"/>
      <c r="BH82" t="s">
        <v>379</v>
      </c>
      <c r="BI82">
        <v>350614</v>
      </c>
      <c r="BJ82">
        <v>211987</v>
      </c>
      <c r="BK82" s="51">
        <v>35386.19</v>
      </c>
      <c r="BL82" s="32">
        <f t="shared" si="68"/>
        <v>7501412259.5300007</v>
      </c>
      <c r="BM82">
        <v>14630</v>
      </c>
      <c r="BN82" s="37">
        <f t="shared" si="69"/>
        <v>4.1726799272134026E-2</v>
      </c>
      <c r="BO82" s="50">
        <f t="shared" si="79"/>
        <v>1191468</v>
      </c>
      <c r="BP82" s="3">
        <f t="shared" si="80"/>
        <v>11914.68</v>
      </c>
      <c r="BQ82" s="11">
        <f>+'Rev mile pop elasticities'!P112</f>
        <v>1.1916990798313815E-2</v>
      </c>
      <c r="BR82" s="11">
        <f>+'Rev mile pop elasticities'!Q112</f>
        <v>2.4444847927350306E-2</v>
      </c>
      <c r="BS82" s="11">
        <f>+'Rev mile pop elasticities'!R112</f>
        <v>3.2696436847359199E-2</v>
      </c>
      <c r="BT82" s="11">
        <f>+'Rev mile pop elasticities'!S112</f>
        <v>2.8947846229756945E-2</v>
      </c>
      <c r="BU82" s="32">
        <f t="shared" si="81"/>
        <v>893942.60871177458</v>
      </c>
      <c r="BV82" s="33">
        <f t="shared" si="82"/>
        <v>1.1916990798313815E-4</v>
      </c>
      <c r="BW82" s="40">
        <f t="shared" si="83"/>
        <v>1833708.819245721</v>
      </c>
      <c r="BX82" s="33">
        <f t="shared" si="84"/>
        <v>2.4444847927350302E-4</v>
      </c>
      <c r="BY82" s="40">
        <f t="shared" si="85"/>
        <v>4783488.7107686503</v>
      </c>
      <c r="BZ82" s="41">
        <f t="shared" si="86"/>
        <v>3.2696436847359193E-4</v>
      </c>
      <c r="CA82" s="40">
        <f t="shared" si="87"/>
        <v>4235069.903413441</v>
      </c>
      <c r="CB82" s="41">
        <f t="shared" si="88"/>
        <v>2.8947846229756944E-4</v>
      </c>
      <c r="CQ82" s="70">
        <f t="shared" si="89"/>
        <v>0.25882941869107051</v>
      </c>
      <c r="CR82" s="70">
        <f t="shared" si="90"/>
        <v>4.2169690061738434</v>
      </c>
      <c r="CS82" s="70">
        <f t="shared" si="91"/>
        <v>4.4757984248649141</v>
      </c>
      <c r="CT82" s="70">
        <f t="shared" si="92"/>
        <v>1.0223068986403687</v>
      </c>
      <c r="CU82" s="70">
        <f t="shared" si="93"/>
        <v>8.6501003327832411</v>
      </c>
      <c r="CV82" s="70">
        <f t="shared" si="94"/>
        <v>9.6724072314236089</v>
      </c>
      <c r="CW82" s="69">
        <f t="shared" si="95"/>
        <v>1.3849967439271482</v>
      </c>
      <c r="CX82" s="69">
        <f t="shared" si="96"/>
        <v>22.565009697616599</v>
      </c>
      <c r="CY82" s="70">
        <f t="shared" si="97"/>
        <v>23.950006441543746</v>
      </c>
      <c r="CZ82" s="69">
        <f t="shared" si="98"/>
        <v>2.3610843406777513</v>
      </c>
      <c r="DA82" s="69">
        <f t="shared" si="99"/>
        <v>19.977969891613359</v>
      </c>
      <c r="DB82" s="70">
        <f t="shared" si="100"/>
        <v>22.339054232291112</v>
      </c>
    </row>
    <row r="83" spans="23:106">
      <c r="W83" t="s">
        <v>380</v>
      </c>
      <c r="X83">
        <v>98351</v>
      </c>
      <c r="Y83">
        <v>60183</v>
      </c>
      <c r="Z83" s="51">
        <v>43813.14</v>
      </c>
      <c r="AA83" s="32">
        <f t="shared" si="66"/>
        <v>2636806204.6199999</v>
      </c>
      <c r="AB83">
        <v>3043</v>
      </c>
      <c r="AC83" s="37">
        <f t="shared" si="67"/>
        <v>3.0940203963355735E-2</v>
      </c>
      <c r="AD83" s="50">
        <f>+'Revenue mile elasticities'!M112</f>
        <v>375675</v>
      </c>
      <c r="AE83" s="3">
        <f t="shared" si="70"/>
        <v>3756.75</v>
      </c>
      <c r="AF83" s="11">
        <f>+'Revenue mile elasticities'!P112</f>
        <v>4.2998837202470994E-4</v>
      </c>
      <c r="AG83" s="11">
        <f>+'Revenue mile elasticities'!Q112</f>
        <v>1.6983389341096089E-3</v>
      </c>
      <c r="AH83" s="11">
        <f>+'Revenue mile elasticities'!R112</f>
        <v>1.1797514900316953E-3</v>
      </c>
      <c r="AI83" s="11">
        <f>+'Revenue mile elasticities'!S112</f>
        <v>2.0111908430245368E-3</v>
      </c>
      <c r="AJ83" s="32">
        <f t="shared" si="71"/>
        <v>11337.96007269208</v>
      </c>
      <c r="AK83" s="33">
        <f t="shared" si="72"/>
        <v>4.2998837202470993E-6</v>
      </c>
      <c r="AL83" s="40">
        <f t="shared" si="73"/>
        <v>44781.906390079341</v>
      </c>
      <c r="AM83" s="33">
        <f t="shared" si="74"/>
        <v>1.6983389341096089E-5</v>
      </c>
      <c r="AN83" s="40">
        <f t="shared" si="75"/>
        <v>35899.837841664485</v>
      </c>
      <c r="AO83" s="41">
        <f t="shared" si="76"/>
        <v>1.1797514900316951E-5</v>
      </c>
      <c r="AP83" s="40">
        <f t="shared" si="77"/>
        <v>61200.537353236658</v>
      </c>
      <c r="AQ83" s="41">
        <f t="shared" si="78"/>
        <v>2.0111908430245369E-5</v>
      </c>
      <c r="AR83" s="53"/>
      <c r="AS83" s="53"/>
      <c r="BH83" t="s">
        <v>380</v>
      </c>
      <c r="BI83">
        <v>98351</v>
      </c>
      <c r="BJ83">
        <v>60183</v>
      </c>
      <c r="BK83" s="51">
        <v>43813.14</v>
      </c>
      <c r="BL83" s="32">
        <f t="shared" si="68"/>
        <v>2636806204.6199999</v>
      </c>
      <c r="BM83">
        <v>3043</v>
      </c>
      <c r="BN83" s="37">
        <f t="shared" si="69"/>
        <v>3.0940203963355735E-2</v>
      </c>
      <c r="BO83" s="50">
        <f t="shared" si="79"/>
        <v>375675</v>
      </c>
      <c r="BP83" s="3">
        <f t="shared" si="80"/>
        <v>3756.75</v>
      </c>
      <c r="BQ83" s="11">
        <f>+'Rev mile pop elasticities'!P113</f>
        <v>1.339513175768421E-2</v>
      </c>
      <c r="BR83" s="11">
        <f>+'Rev mile pop elasticities'!Q113</f>
        <v>2.7476899523136523E-2</v>
      </c>
      <c r="BS83" s="11">
        <f>+'Rev mile pop elasticities'!R113</f>
        <v>3.6751986049963895E-2</v>
      </c>
      <c r="BT83" s="11">
        <f>+'Rev mile pop elasticities'!S113</f>
        <v>3.253843364581957E-2</v>
      </c>
      <c r="BU83" s="32">
        <f t="shared" si="81"/>
        <v>353203.66530364129</v>
      </c>
      <c r="BV83" s="33">
        <f t="shared" si="82"/>
        <v>1.3395131757684209E-4</v>
      </c>
      <c r="BW83" s="40">
        <f t="shared" si="83"/>
        <v>724512.59146326699</v>
      </c>
      <c r="BX83" s="33">
        <f t="shared" si="84"/>
        <v>2.7476899523136525E-4</v>
      </c>
      <c r="BY83" s="40">
        <f t="shared" si="85"/>
        <v>1118362.9355004013</v>
      </c>
      <c r="BZ83" s="41">
        <f t="shared" si="86"/>
        <v>3.675198604996389E-4</v>
      </c>
      <c r="CA83" s="40">
        <f t="shared" si="87"/>
        <v>990144.53584228968</v>
      </c>
      <c r="CB83" s="41">
        <f t="shared" si="88"/>
        <v>3.2538433645819579E-4</v>
      </c>
      <c r="CQ83" s="70">
        <f t="shared" si="89"/>
        <v>0.188391407418907</v>
      </c>
      <c r="CR83" s="70">
        <f t="shared" si="90"/>
        <v>5.8688278301786436</v>
      </c>
      <c r="CS83" s="70">
        <f t="shared" si="91"/>
        <v>6.0572192375975504</v>
      </c>
      <c r="CT83" s="70">
        <f t="shared" si="92"/>
        <v>0.74409561487595066</v>
      </c>
      <c r="CU83" s="70">
        <f t="shared" si="93"/>
        <v>12.038492455731136</v>
      </c>
      <c r="CV83" s="70">
        <f t="shared" si="94"/>
        <v>12.782588070607087</v>
      </c>
      <c r="CW83" s="69">
        <f t="shared" si="95"/>
        <v>0.59651127131689152</v>
      </c>
      <c r="CX83" s="69">
        <f t="shared" si="96"/>
        <v>18.582705008065421</v>
      </c>
      <c r="CY83" s="70">
        <f t="shared" si="97"/>
        <v>19.179216279382313</v>
      </c>
      <c r="CZ83" s="69">
        <f t="shared" si="98"/>
        <v>1.0169073883528015</v>
      </c>
      <c r="DA83" s="69">
        <f t="shared" si="99"/>
        <v>16.452229630332315</v>
      </c>
      <c r="DB83" s="70">
        <f t="shared" si="100"/>
        <v>17.469137018685117</v>
      </c>
    </row>
    <row r="84" spans="23:106">
      <c r="W84" t="s">
        <v>381</v>
      </c>
      <c r="X84">
        <v>455408</v>
      </c>
      <c r="Y84">
        <v>266751</v>
      </c>
      <c r="Z84" s="51">
        <v>37201.99</v>
      </c>
      <c r="AA84" s="32">
        <f t="shared" si="66"/>
        <v>9923668034.4899998</v>
      </c>
      <c r="AB84">
        <v>15667</v>
      </c>
      <c r="AC84" s="37">
        <f t="shared" si="67"/>
        <v>3.4402118539858764E-2</v>
      </c>
      <c r="AD84" s="50">
        <f>+'Revenue mile elasticities'!M113</f>
        <v>617528</v>
      </c>
      <c r="AE84" s="3">
        <f t="shared" si="70"/>
        <v>6175.28</v>
      </c>
      <c r="AF84" s="11">
        <f>+'Revenue mile elasticities'!P113</f>
        <v>6.2297464471140567E-4</v>
      </c>
      <c r="AG84" s="11">
        <f>+'Revenue mile elasticities'!Q113</f>
        <v>2.4605830364540183E-3</v>
      </c>
      <c r="AH84" s="11">
        <f>+'Revenue mile elasticities'!R113</f>
        <v>1.7092445125655895E-3</v>
      </c>
      <c r="AI84" s="11">
        <f>+'Revenue mile elasticities'!S113</f>
        <v>2.9138483326429164E-3</v>
      </c>
      <c r="AJ84" s="32">
        <f t="shared" si="71"/>
        <v>61821.935680203409</v>
      </c>
      <c r="AK84" s="33">
        <f t="shared" si="72"/>
        <v>6.2297464471140567E-6</v>
      </c>
      <c r="AL84" s="40">
        <f t="shared" si="73"/>
        <v>244180.09225067083</v>
      </c>
      <c r="AM84" s="33">
        <f t="shared" si="74"/>
        <v>2.4605830364540181E-5</v>
      </c>
      <c r="AN84" s="40">
        <f t="shared" si="75"/>
        <v>267787.33778365096</v>
      </c>
      <c r="AO84" s="41">
        <f t="shared" si="76"/>
        <v>1.70924451256559E-5</v>
      </c>
      <c r="AP84" s="40">
        <f t="shared" si="77"/>
        <v>456512.61827516573</v>
      </c>
      <c r="AQ84" s="41">
        <f t="shared" si="78"/>
        <v>2.9138483326429163E-5</v>
      </c>
      <c r="AR84" s="53"/>
      <c r="AS84" s="53"/>
      <c r="BH84" t="s">
        <v>381</v>
      </c>
      <c r="BI84">
        <v>455408</v>
      </c>
      <c r="BJ84">
        <v>266751</v>
      </c>
      <c r="BK84" s="51">
        <v>37201.99</v>
      </c>
      <c r="BL84" s="32">
        <f t="shared" si="68"/>
        <v>9923668034.4899998</v>
      </c>
      <c r="BM84">
        <v>15667</v>
      </c>
      <c r="BN84" s="37">
        <f t="shared" si="69"/>
        <v>3.4402118539858764E-2</v>
      </c>
      <c r="BO84" s="50">
        <f t="shared" si="79"/>
        <v>617528</v>
      </c>
      <c r="BP84" s="3">
        <f t="shared" si="80"/>
        <v>6175.28</v>
      </c>
      <c r="BQ84" s="11">
        <f>+'Rev mile pop elasticities'!P114</f>
        <v>4.7552075083441654E-3</v>
      </c>
      <c r="BR84" s="11">
        <f>+'Rev mile pop elasticities'!Q114</f>
        <v>9.754167505182168E-3</v>
      </c>
      <c r="BS84" s="11">
        <f>+'Rev mile pop elasticities'!R114</f>
        <v>1.3046778723254751E-2</v>
      </c>
      <c r="BT84" s="11">
        <f>+'Rev mile pop elasticities'!S114</f>
        <v>1.1550987835084146E-2</v>
      </c>
      <c r="BU84" s="32">
        <f t="shared" si="81"/>
        <v>471891.0074792183</v>
      </c>
      <c r="BV84" s="33">
        <f t="shared" si="82"/>
        <v>4.7552075083441649E-5</v>
      </c>
      <c r="BW84" s="40">
        <f t="shared" si="83"/>
        <v>967971.20274237345</v>
      </c>
      <c r="BX84" s="33">
        <f t="shared" si="84"/>
        <v>9.7541675051821672E-5</v>
      </c>
      <c r="BY84" s="40">
        <f t="shared" si="85"/>
        <v>2044038.8225723219</v>
      </c>
      <c r="BZ84" s="41">
        <f t="shared" si="86"/>
        <v>1.3046778723254751E-4</v>
      </c>
      <c r="CA84" s="40">
        <f t="shared" si="87"/>
        <v>1809693.264122633</v>
      </c>
      <c r="CB84" s="41">
        <f t="shared" si="88"/>
        <v>1.1550987835084145E-4</v>
      </c>
      <c r="CQ84" s="70">
        <f t="shared" si="89"/>
        <v>0.23175896502807267</v>
      </c>
      <c r="CR84" s="70">
        <f t="shared" si="90"/>
        <v>1.7690318217334455</v>
      </c>
      <c r="CS84" s="70">
        <f t="shared" si="91"/>
        <v>2.000790786761518</v>
      </c>
      <c r="CT84" s="70">
        <f t="shared" si="92"/>
        <v>0.91538585516332016</v>
      </c>
      <c r="CU84" s="70">
        <f t="shared" si="93"/>
        <v>3.6287444198611194</v>
      </c>
      <c r="CV84" s="70">
        <f t="shared" si="94"/>
        <v>4.5441302750244397</v>
      </c>
      <c r="CW84" s="69">
        <f t="shared" si="95"/>
        <v>1.0038850380454092</v>
      </c>
      <c r="CX84" s="69">
        <f t="shared" si="96"/>
        <v>7.6627222487350446</v>
      </c>
      <c r="CY84" s="70">
        <f t="shared" si="97"/>
        <v>8.6666072867804544</v>
      </c>
      <c r="CZ84" s="69">
        <f t="shared" si="98"/>
        <v>1.7113810942608114</v>
      </c>
      <c r="DA84" s="69">
        <f t="shared" si="99"/>
        <v>6.7842042358702797</v>
      </c>
      <c r="DB84" s="70">
        <f t="shared" si="100"/>
        <v>8.4955853301310906</v>
      </c>
    </row>
    <row r="85" spans="23:106">
      <c r="W85" t="s">
        <v>382</v>
      </c>
      <c r="X85">
        <v>128426</v>
      </c>
      <c r="Y85">
        <v>86170</v>
      </c>
      <c r="Z85" s="51">
        <v>31467.84</v>
      </c>
      <c r="AA85" s="32">
        <f t="shared" si="66"/>
        <v>2711583772.8000002</v>
      </c>
      <c r="AB85">
        <v>3339</v>
      </c>
      <c r="AC85" s="37">
        <f t="shared" si="67"/>
        <v>2.5999408219519411E-2</v>
      </c>
      <c r="AD85" s="50">
        <f>+'Revenue mile elasticities'!M114</f>
        <v>650082</v>
      </c>
      <c r="AE85" s="3">
        <f t="shared" si="70"/>
        <v>6500.82</v>
      </c>
      <c r="AF85" s="11">
        <f>+'Revenue mile elasticities'!P114</f>
        <v>5.7420755544237913E-4</v>
      </c>
      <c r="AG85" s="11">
        <f>+'Revenue mile elasticities'!Q114</f>
        <v>2.2679660919101619E-3</v>
      </c>
      <c r="AH85" s="11">
        <f>+'Revenue mile elasticities'!R114</f>
        <v>1.5754431124050837E-3</v>
      </c>
      <c r="AI85" s="11">
        <f>+'Revenue mile elasticities'!S114</f>
        <v>2.6857493193672972E-3</v>
      </c>
      <c r="AJ85" s="32">
        <f t="shared" si="71"/>
        <v>15570.118895567119</v>
      </c>
      <c r="AK85" s="33">
        <f t="shared" si="72"/>
        <v>5.7420755544237923E-6</v>
      </c>
      <c r="AL85" s="40">
        <f t="shared" si="73"/>
        <v>61497.800520842291</v>
      </c>
      <c r="AM85" s="33">
        <f t="shared" si="74"/>
        <v>2.267966091910162E-5</v>
      </c>
      <c r="AN85" s="40">
        <f t="shared" si="75"/>
        <v>52604.045523205736</v>
      </c>
      <c r="AO85" s="41">
        <f t="shared" si="76"/>
        <v>1.5754431124050832E-5</v>
      </c>
      <c r="AP85" s="40">
        <f t="shared" si="77"/>
        <v>89677.169773674046</v>
      </c>
      <c r="AQ85" s="41">
        <f t="shared" si="78"/>
        <v>2.6857493193672968E-5</v>
      </c>
      <c r="AR85" s="53"/>
      <c r="AS85" s="53"/>
      <c r="BH85" t="s">
        <v>382</v>
      </c>
      <c r="BI85">
        <v>128426</v>
      </c>
      <c r="BJ85">
        <v>86170</v>
      </c>
      <c r="BK85" s="51">
        <v>31467.84</v>
      </c>
      <c r="BL85" s="32">
        <f t="shared" si="68"/>
        <v>2711583772.8000002</v>
      </c>
      <c r="BM85">
        <v>3339</v>
      </c>
      <c r="BN85" s="37">
        <f t="shared" si="69"/>
        <v>2.5999408219519411E-2</v>
      </c>
      <c r="BO85" s="50">
        <f t="shared" si="79"/>
        <v>650082</v>
      </c>
      <c r="BP85" s="3">
        <f t="shared" si="80"/>
        <v>6500.82</v>
      </c>
      <c r="BQ85" s="11">
        <f>+'Rev mile pop elasticities'!P115</f>
        <v>1.7751238528335381E-2</v>
      </c>
      <c r="BR85" s="11">
        <f>+'Rev mile pop elasticities'!Q115</f>
        <v>3.6412407602821863E-2</v>
      </c>
      <c r="BS85" s="11">
        <f>+'Rev mile pop elasticities'!R115</f>
        <v>4.8703759139115128E-2</v>
      </c>
      <c r="BT85" s="11">
        <f>+'Rev mile pop elasticities'!S115</f>
        <v>4.3119956371762733E-2</v>
      </c>
      <c r="BU85" s="32">
        <f t="shared" si="81"/>
        <v>481339.70340536378</v>
      </c>
      <c r="BV85" s="33">
        <f t="shared" si="82"/>
        <v>1.7751238528335381E-4</v>
      </c>
      <c r="BW85" s="40">
        <f t="shared" si="83"/>
        <v>987352.93584391125</v>
      </c>
      <c r="BX85" s="33">
        <f t="shared" si="84"/>
        <v>3.6412407602821867E-4</v>
      </c>
      <c r="BY85" s="40">
        <f t="shared" si="85"/>
        <v>1626218.5176550541</v>
      </c>
      <c r="BZ85" s="41">
        <f t="shared" si="86"/>
        <v>4.8703759139115128E-4</v>
      </c>
      <c r="CA85" s="40">
        <f t="shared" si="87"/>
        <v>1439775.343253158</v>
      </c>
      <c r="CB85" s="41">
        <f t="shared" si="88"/>
        <v>4.3119956371762743E-4</v>
      </c>
      <c r="CQ85" s="70">
        <f t="shared" si="89"/>
        <v>0.1806907148145192</v>
      </c>
      <c r="CR85" s="70">
        <f t="shared" si="90"/>
        <v>5.5859313381149329</v>
      </c>
      <c r="CS85" s="70">
        <f t="shared" si="91"/>
        <v>5.7666220529294518</v>
      </c>
      <c r="CT85" s="70">
        <f t="shared" si="92"/>
        <v>0.71367994105654275</v>
      </c>
      <c r="CU85" s="70">
        <f t="shared" si="93"/>
        <v>11.458198164603822</v>
      </c>
      <c r="CV85" s="70">
        <f t="shared" si="94"/>
        <v>12.171878105660364</v>
      </c>
      <c r="CW85" s="69">
        <f t="shared" si="95"/>
        <v>0.61046820846240846</v>
      </c>
      <c r="CX85" s="69">
        <f t="shared" si="96"/>
        <v>18.872212111582385</v>
      </c>
      <c r="CY85" s="70">
        <f t="shared" si="97"/>
        <v>19.482680320044793</v>
      </c>
      <c r="CZ85" s="69">
        <f t="shared" si="98"/>
        <v>1.040700589226808</v>
      </c>
      <c r="DA85" s="69">
        <f t="shared" si="99"/>
        <v>16.708545239098967</v>
      </c>
      <c r="DB85" s="70">
        <f t="shared" si="100"/>
        <v>17.749245828325776</v>
      </c>
    </row>
    <row r="86" spans="23:106">
      <c r="W86" t="s">
        <v>383</v>
      </c>
      <c r="X86">
        <v>428859</v>
      </c>
      <c r="Y86">
        <v>199443</v>
      </c>
      <c r="Z86" s="51">
        <v>36288.06</v>
      </c>
      <c r="AA86" s="32">
        <f t="shared" si="66"/>
        <v>7237399550.5799999</v>
      </c>
      <c r="AB86">
        <v>9771</v>
      </c>
      <c r="AC86" s="37">
        <f t="shared" si="67"/>
        <v>2.2783712129161332E-2</v>
      </c>
      <c r="AD86" s="50">
        <f>+'Revenue mile elasticities'!M115</f>
        <v>3208478</v>
      </c>
      <c r="AE86" s="3">
        <f t="shared" si="70"/>
        <v>32084.780000000002</v>
      </c>
      <c r="AF86" s="11">
        <f>+'Revenue mile elasticities'!P115</f>
        <v>2.7178771553918136E-3</v>
      </c>
      <c r="AG86" s="11">
        <f>+'Revenue mile elasticities'!Q115</f>
        <v>1.0734887014255654E-2</v>
      </c>
      <c r="AH86" s="11">
        <f>+'Revenue mile elasticities'!R115</f>
        <v>7.4569914732771775E-3</v>
      </c>
      <c r="AI86" s="11">
        <f>+'Revenue mile elasticities'!S115</f>
        <v>1.2712366201092222E-2</v>
      </c>
      <c r="AJ86" s="32">
        <f t="shared" si="71"/>
        <v>196703.62902964358</v>
      </c>
      <c r="AK86" s="33">
        <f t="shared" si="72"/>
        <v>2.7178771553918133E-5</v>
      </c>
      <c r="AL86" s="40">
        <f t="shared" si="73"/>
        <v>776926.66452500946</v>
      </c>
      <c r="AM86" s="33">
        <f t="shared" si="74"/>
        <v>1.0734887014255654E-4</v>
      </c>
      <c r="AN86" s="40">
        <f t="shared" si="75"/>
        <v>728622.63685391296</v>
      </c>
      <c r="AO86" s="41">
        <f t="shared" si="76"/>
        <v>7.4569914732771757E-5</v>
      </c>
      <c r="AP86" s="40">
        <f t="shared" si="77"/>
        <v>1242125.301508721</v>
      </c>
      <c r="AQ86" s="41">
        <f t="shared" si="78"/>
        <v>1.2712366201092222E-4</v>
      </c>
      <c r="AR86" s="53"/>
      <c r="AS86" s="53"/>
      <c r="BH86" t="s">
        <v>383</v>
      </c>
      <c r="BI86">
        <v>428859</v>
      </c>
      <c r="BJ86">
        <v>199443</v>
      </c>
      <c r="BK86" s="51">
        <v>36288.06</v>
      </c>
      <c r="BL86" s="32">
        <f t="shared" si="68"/>
        <v>7237399550.5799999</v>
      </c>
      <c r="BM86">
        <v>9771</v>
      </c>
      <c r="BN86" s="37">
        <f t="shared" si="69"/>
        <v>2.2783712129161332E-2</v>
      </c>
      <c r="BO86" s="50">
        <f t="shared" si="79"/>
        <v>3208478</v>
      </c>
      <c r="BP86" s="3">
        <f t="shared" si="80"/>
        <v>32084.780000000002</v>
      </c>
      <c r="BQ86" s="11">
        <f>+'Rev mile pop elasticities'!P116</f>
        <v>2.6236023541443689E-2</v>
      </c>
      <c r="BR86" s="11">
        <f>+'Rev mile pop elasticities'!Q116</f>
        <v>5.3816908693066962E-2</v>
      </c>
      <c r="BS86" s="11">
        <f>+'Rev mile pop elasticities'!R116</f>
        <v>7.1983313687715544E-2</v>
      </c>
      <c r="BT86" s="11">
        <f>+'Rev mile pop elasticities'!S116</f>
        <v>6.3730549768105618E-2</v>
      </c>
      <c r="BU86" s="32">
        <f t="shared" si="81"/>
        <v>1898805.8498785084</v>
      </c>
      <c r="BV86" s="33">
        <f t="shared" si="82"/>
        <v>2.6236023541443686E-4</v>
      </c>
      <c r="BW86" s="40">
        <f t="shared" si="83"/>
        <v>3894944.707888077</v>
      </c>
      <c r="BX86" s="33">
        <f t="shared" si="84"/>
        <v>5.381690869306696E-4</v>
      </c>
      <c r="BY86" s="40">
        <f t="shared" si="85"/>
        <v>7033489.5804266864</v>
      </c>
      <c r="BZ86" s="41">
        <f t="shared" si="86"/>
        <v>7.1983313687715557E-4</v>
      </c>
      <c r="CA86" s="40">
        <f t="shared" si="87"/>
        <v>6227112.0178415999</v>
      </c>
      <c r="CB86" s="41">
        <f t="shared" si="88"/>
        <v>6.3730549768105621E-4</v>
      </c>
      <c r="CQ86" s="70">
        <f t="shared" si="89"/>
        <v>0.9862648928748744</v>
      </c>
      <c r="CR86" s="70">
        <f t="shared" si="90"/>
        <v>9.5205439643332106</v>
      </c>
      <c r="CS86" s="70">
        <f t="shared" si="91"/>
        <v>10.506808857208085</v>
      </c>
      <c r="CT86" s="70">
        <f t="shared" si="92"/>
        <v>3.8954822406653</v>
      </c>
      <c r="CU86" s="70">
        <f t="shared" si="93"/>
        <v>19.529112116685354</v>
      </c>
      <c r="CV86" s="70">
        <f t="shared" si="94"/>
        <v>23.424594357350653</v>
      </c>
      <c r="CW86" s="69">
        <f t="shared" si="95"/>
        <v>3.6532875902082949</v>
      </c>
      <c r="CX86" s="69">
        <f t="shared" si="96"/>
        <v>35.265662772956112</v>
      </c>
      <c r="CY86" s="70">
        <f t="shared" si="97"/>
        <v>38.918950363164406</v>
      </c>
      <c r="CZ86" s="69">
        <f t="shared" si="98"/>
        <v>6.2279714079146471</v>
      </c>
      <c r="DA86" s="69">
        <f t="shared" si="99"/>
        <v>31.222514792906242</v>
      </c>
      <c r="DB86" s="70">
        <f t="shared" si="100"/>
        <v>37.45048620082089</v>
      </c>
    </row>
    <row r="87" spans="23:106">
      <c r="W87" t="s">
        <v>384</v>
      </c>
      <c r="X87">
        <v>200231</v>
      </c>
      <c r="Y87">
        <v>117854</v>
      </c>
      <c r="Z87" s="51">
        <v>34081.699999999997</v>
      </c>
      <c r="AA87" s="32">
        <f t="shared" si="66"/>
        <v>4016664671.7999997</v>
      </c>
      <c r="AB87">
        <v>5727</v>
      </c>
      <c r="AC87" s="37">
        <f t="shared" si="67"/>
        <v>2.8601964730736E-2</v>
      </c>
      <c r="AD87" s="50">
        <f>+'Revenue mile elasticities'!M116</f>
        <v>144738</v>
      </c>
      <c r="AE87" s="3">
        <f t="shared" si="70"/>
        <v>1447.38</v>
      </c>
      <c r="AF87" s="11">
        <f>+'Revenue mile elasticities'!P116</f>
        <v>1.6918496217113488E-4</v>
      </c>
      <c r="AG87" s="11">
        <f>+'Revenue mile elasticities'!Q116</f>
        <v>6.6823529894103186E-4</v>
      </c>
      <c r="AH87" s="11">
        <f>+'Revenue mile elasticities'!R116</f>
        <v>4.6418978790636287E-4</v>
      </c>
      <c r="AI87" s="11">
        <f>+'Revenue mile elasticities'!S116</f>
        <v>7.9133127506174827E-4</v>
      </c>
      <c r="AJ87" s="32">
        <f t="shared" si="71"/>
        <v>6795.592605526168</v>
      </c>
      <c r="AK87" s="33">
        <f t="shared" si="72"/>
        <v>1.6918496217113486E-6</v>
      </c>
      <c r="AL87" s="40">
        <f t="shared" si="73"/>
        <v>26840.771177061542</v>
      </c>
      <c r="AM87" s="33">
        <f t="shared" si="74"/>
        <v>6.6823529894103182E-6</v>
      </c>
      <c r="AN87" s="40">
        <f t="shared" si="75"/>
        <v>26584.149153397404</v>
      </c>
      <c r="AO87" s="41">
        <f t="shared" si="76"/>
        <v>4.6418978790636291E-6</v>
      </c>
      <c r="AP87" s="40">
        <f t="shared" si="77"/>
        <v>45319.542122786319</v>
      </c>
      <c r="AQ87" s="41">
        <f t="shared" si="78"/>
        <v>7.9133127506174828E-6</v>
      </c>
      <c r="AR87" s="53"/>
      <c r="AS87" s="53"/>
      <c r="BH87" t="s">
        <v>384</v>
      </c>
      <c r="BI87">
        <v>200231</v>
      </c>
      <c r="BJ87">
        <v>117854</v>
      </c>
      <c r="BK87" s="51">
        <v>34081.699999999997</v>
      </c>
      <c r="BL87" s="32">
        <f t="shared" si="68"/>
        <v>4016664671.7999997</v>
      </c>
      <c r="BM87">
        <v>5727</v>
      </c>
      <c r="BN87" s="37">
        <f t="shared" si="69"/>
        <v>2.8601964730736E-2</v>
      </c>
      <c r="BO87" s="50">
        <f t="shared" si="79"/>
        <v>144738</v>
      </c>
      <c r="BP87" s="3">
        <f t="shared" si="80"/>
        <v>1447.38</v>
      </c>
      <c r="BQ87" s="11">
        <f>+'Rev mile pop elasticities'!P117</f>
        <v>2.5349227300467958E-3</v>
      </c>
      <c r="BR87" s="11">
        <f>+'Rev mile pop elasticities'!Q117</f>
        <v>5.1997858932932468E-3</v>
      </c>
      <c r="BS87" s="11">
        <f>+'Rev mile pop elasticities'!R117</f>
        <v>6.9550226528359745E-3</v>
      </c>
      <c r="BT87" s="11">
        <f>+'Rev mile pop elasticities'!S117</f>
        <v>6.1576411894262145E-3</v>
      </c>
      <c r="BU87" s="32">
        <f t="shared" si="81"/>
        <v>101819.34575521771</v>
      </c>
      <c r="BV87" s="33">
        <f t="shared" si="82"/>
        <v>2.5349227300467955E-5</v>
      </c>
      <c r="BW87" s="40">
        <f t="shared" si="83"/>
        <v>208857.96298514988</v>
      </c>
      <c r="BX87" s="33">
        <f t="shared" si="84"/>
        <v>5.1997858932932467E-5</v>
      </c>
      <c r="BY87" s="40">
        <f t="shared" si="85"/>
        <v>398314.14732791629</v>
      </c>
      <c r="BZ87" s="41">
        <f t="shared" si="86"/>
        <v>6.9550226528359747E-5</v>
      </c>
      <c r="CA87" s="40">
        <f t="shared" si="87"/>
        <v>352648.11091843934</v>
      </c>
      <c r="CB87" s="41">
        <f t="shared" si="88"/>
        <v>6.1576411894262155E-5</v>
      </c>
      <c r="CQ87" s="70">
        <f t="shared" si="89"/>
        <v>5.766111125227967E-2</v>
      </c>
      <c r="CR87" s="70">
        <f t="shared" si="90"/>
        <v>0.86394476008635868</v>
      </c>
      <c r="CS87" s="70">
        <f t="shared" si="91"/>
        <v>0.92160587133863836</v>
      </c>
      <c r="CT87" s="70">
        <f t="shared" si="92"/>
        <v>0.22774594987918562</v>
      </c>
      <c r="CU87" s="70">
        <f t="shared" si="93"/>
        <v>1.7721754287945244</v>
      </c>
      <c r="CV87" s="70">
        <f t="shared" si="94"/>
        <v>1.99992137867371</v>
      </c>
      <c r="CW87" s="69">
        <f t="shared" si="95"/>
        <v>0.22556849282499877</v>
      </c>
      <c r="CX87" s="69">
        <f t="shared" si="96"/>
        <v>3.379725315457399</v>
      </c>
      <c r="CY87" s="70">
        <f t="shared" si="97"/>
        <v>3.6052938082823975</v>
      </c>
      <c r="CZ87" s="69">
        <f t="shared" si="98"/>
        <v>0.38453970270662274</v>
      </c>
      <c r="DA87" s="69">
        <f t="shared" si="99"/>
        <v>2.9922455828265426</v>
      </c>
      <c r="DB87" s="70">
        <f t="shared" si="100"/>
        <v>3.3767852855331655</v>
      </c>
    </row>
    <row r="88" spans="23:106">
      <c r="W88" t="s">
        <v>385</v>
      </c>
      <c r="X88">
        <v>99864</v>
      </c>
      <c r="Y88">
        <v>60915</v>
      </c>
      <c r="Z88" s="51">
        <v>33793.699999999997</v>
      </c>
      <c r="AA88" s="32">
        <f t="shared" si="66"/>
        <v>2058543235.4999998</v>
      </c>
      <c r="AB88">
        <v>3447</v>
      </c>
      <c r="AC88" s="37">
        <f t="shared" si="67"/>
        <v>3.451694304253785E-2</v>
      </c>
      <c r="AD88" s="50">
        <f>+'Revenue mile elasticities'!M117</f>
        <v>169083</v>
      </c>
      <c r="AE88" s="3">
        <f t="shared" si="70"/>
        <v>1690.83</v>
      </c>
      <c r="AF88" s="11">
        <f>+'Revenue mile elasticities'!P117</f>
        <v>1.0139844759442239E-4</v>
      </c>
      <c r="AG88" s="11">
        <f>+'Revenue mile elasticities'!Q117</f>
        <v>4.0049671714839787E-4</v>
      </c>
      <c r="AH88" s="11">
        <f>+'Revenue mile elasticities'!R117</f>
        <v>2.7820512697386649E-4</v>
      </c>
      <c r="AI88" s="11">
        <f>+'Revenue mile elasticities'!S117</f>
        <v>4.7427242820205013E-4</v>
      </c>
      <c r="AJ88" s="32">
        <f t="shared" si="71"/>
        <v>2087.3308838569942</v>
      </c>
      <c r="AK88" s="33">
        <f t="shared" si="72"/>
        <v>1.0139844759442239E-6</v>
      </c>
      <c r="AL88" s="40">
        <f t="shared" si="73"/>
        <v>8244.3980792579114</v>
      </c>
      <c r="AM88" s="33">
        <f t="shared" si="74"/>
        <v>4.0049671714839788E-6</v>
      </c>
      <c r="AN88" s="40">
        <f t="shared" si="75"/>
        <v>9589.7307267891774</v>
      </c>
      <c r="AO88" s="41">
        <f t="shared" si="76"/>
        <v>2.782051269738665E-6</v>
      </c>
      <c r="AP88" s="40">
        <f t="shared" si="77"/>
        <v>16348.170600124671</v>
      </c>
      <c r="AQ88" s="41">
        <f t="shared" si="78"/>
        <v>4.7427242820205017E-6</v>
      </c>
      <c r="AR88" s="53"/>
      <c r="AS88" s="53"/>
      <c r="BH88" t="s">
        <v>385</v>
      </c>
      <c r="BI88">
        <v>99864</v>
      </c>
      <c r="BJ88">
        <v>60915</v>
      </c>
      <c r="BK88" s="51">
        <v>33793.699999999997</v>
      </c>
      <c r="BL88" s="32">
        <f t="shared" si="68"/>
        <v>2058543235.4999998</v>
      </c>
      <c r="BM88">
        <v>3447</v>
      </c>
      <c r="BN88" s="37">
        <f t="shared" si="69"/>
        <v>3.451694304253785E-2</v>
      </c>
      <c r="BO88" s="50">
        <f t="shared" si="79"/>
        <v>169083</v>
      </c>
      <c r="BP88" s="3">
        <f t="shared" si="80"/>
        <v>1690.83</v>
      </c>
      <c r="BQ88" s="11">
        <f>+'Rev mile pop elasticities'!P118</f>
        <v>5.9375114762076414E-3</v>
      </c>
      <c r="BR88" s="11">
        <f>+'Rev mile pop elasticities'!Q118</f>
        <v>1.2179380479452056E-2</v>
      </c>
      <c r="BS88" s="11">
        <f>+'Rev mile pop elasticities'!R118</f>
        <v>1.6290645205479449E-2</v>
      </c>
      <c r="BT88" s="11">
        <f>+'Rev mile pop elasticities'!S118</f>
        <v>1.4422950567772172E-2</v>
      </c>
      <c r="BU88" s="32">
        <f t="shared" si="81"/>
        <v>122226.24085050858</v>
      </c>
      <c r="BV88" s="33">
        <f t="shared" si="82"/>
        <v>5.9375114762076415E-5</v>
      </c>
      <c r="BW88" s="40">
        <f t="shared" si="83"/>
        <v>250717.81298556773</v>
      </c>
      <c r="BX88" s="33">
        <f t="shared" si="84"/>
        <v>1.2179380479452055E-4</v>
      </c>
      <c r="BY88" s="40">
        <f t="shared" si="85"/>
        <v>561538.54023287666</v>
      </c>
      <c r="BZ88" s="41">
        <f t="shared" si="86"/>
        <v>1.6290645205479449E-4</v>
      </c>
      <c r="CA88" s="40">
        <f t="shared" si="87"/>
        <v>497159.10607110662</v>
      </c>
      <c r="CB88" s="41">
        <f t="shared" si="88"/>
        <v>1.4422950567772168E-4</v>
      </c>
      <c r="CQ88" s="70">
        <f t="shared" si="89"/>
        <v>3.4266287184716311E-2</v>
      </c>
      <c r="CR88" s="70">
        <f t="shared" si="90"/>
        <v>2.0065048157351812</v>
      </c>
      <c r="CS88" s="70">
        <f t="shared" si="91"/>
        <v>2.0407711029198974</v>
      </c>
      <c r="CT88" s="70">
        <f t="shared" si="92"/>
        <v>0.1353426591029781</v>
      </c>
      <c r="CU88" s="70">
        <f t="shared" si="93"/>
        <v>4.1158633010845884</v>
      </c>
      <c r="CV88" s="70">
        <f t="shared" si="94"/>
        <v>4.2512059601875665</v>
      </c>
      <c r="CW88" s="69">
        <f t="shared" si="95"/>
        <v>0.15742806741835635</v>
      </c>
      <c r="CX88" s="69">
        <f t="shared" si="96"/>
        <v>9.2183951445929022</v>
      </c>
      <c r="CY88" s="70">
        <f t="shared" si="97"/>
        <v>9.3758232120112588</v>
      </c>
      <c r="CZ88" s="69">
        <f t="shared" si="98"/>
        <v>0.26837676434580432</v>
      </c>
      <c r="DA88" s="69">
        <f t="shared" si="99"/>
        <v>8.1615218923271211</v>
      </c>
      <c r="DB88" s="70">
        <f t="shared" si="100"/>
        <v>8.4298986566729255</v>
      </c>
    </row>
    <row r="89" spans="23:106">
      <c r="W89" t="s">
        <v>386</v>
      </c>
      <c r="X89">
        <v>292889</v>
      </c>
      <c r="Y89">
        <v>195684</v>
      </c>
      <c r="Z89" s="51">
        <v>36290.74</v>
      </c>
      <c r="AA89" s="32">
        <f t="shared" si="66"/>
        <v>7101517166.1599998</v>
      </c>
      <c r="AB89">
        <v>9275</v>
      </c>
      <c r="AC89" s="37">
        <f t="shared" si="67"/>
        <v>3.1667286924397978E-2</v>
      </c>
      <c r="AD89" s="50">
        <f>+'Revenue mile elasticities'!M118</f>
        <v>935763</v>
      </c>
      <c r="AE89" s="3">
        <f t="shared" si="70"/>
        <v>9357.630000000001</v>
      </c>
      <c r="AF89" s="11">
        <f>+'Revenue mile elasticities'!P118</f>
        <v>8.2986180326102789E-4</v>
      </c>
      <c r="AG89" s="11">
        <f>+'Revenue mile elasticities'!Q118</f>
        <v>3.2777319158007819E-3</v>
      </c>
      <c r="AH89" s="11">
        <f>+'Revenue mile elasticities'!R118</f>
        <v>2.2768771497414485E-3</v>
      </c>
      <c r="AI89" s="11">
        <f>+'Revenue mile elasticities'!S118</f>
        <v>3.8815246371325051E-3</v>
      </c>
      <c r="AJ89" s="32">
        <f t="shared" si="71"/>
        <v>58932.778413986816</v>
      </c>
      <c r="AK89" s="33">
        <f t="shared" si="72"/>
        <v>8.2986180326102786E-6</v>
      </c>
      <c r="AL89" s="40">
        <f t="shared" si="73"/>
        <v>232768.69466129754</v>
      </c>
      <c r="AM89" s="33">
        <f t="shared" si="74"/>
        <v>3.2777319158007817E-5</v>
      </c>
      <c r="AN89" s="40">
        <f t="shared" si="75"/>
        <v>211180.35563851937</v>
      </c>
      <c r="AO89" s="41">
        <f t="shared" si="76"/>
        <v>2.2768771497414486E-5</v>
      </c>
      <c r="AP89" s="40">
        <f t="shared" si="77"/>
        <v>360011.41009403986</v>
      </c>
      <c r="AQ89" s="41">
        <f t="shared" si="78"/>
        <v>3.8815246371325054E-5</v>
      </c>
      <c r="AR89" s="53"/>
      <c r="AS89" s="53"/>
      <c r="BH89" t="s">
        <v>386</v>
      </c>
      <c r="BI89">
        <v>292889</v>
      </c>
      <c r="BJ89">
        <v>195684</v>
      </c>
      <c r="BK89" s="51">
        <v>36290.74</v>
      </c>
      <c r="BL89" s="32">
        <f t="shared" si="68"/>
        <v>7101517166.1599998</v>
      </c>
      <c r="BM89">
        <v>9275</v>
      </c>
      <c r="BN89" s="37">
        <f t="shared" si="69"/>
        <v>3.1667286924397978E-2</v>
      </c>
      <c r="BO89" s="50">
        <f t="shared" si="79"/>
        <v>935763</v>
      </c>
      <c r="BP89" s="3">
        <f t="shared" si="80"/>
        <v>9357.630000000001</v>
      </c>
      <c r="BQ89" s="11">
        <f>+'Rev mile pop elasticities'!P119</f>
        <v>1.1204082105029548E-2</v>
      </c>
      <c r="BR89" s="11">
        <f>+'Rev mile pop elasticities'!Q119</f>
        <v>2.2982486758464812E-2</v>
      </c>
      <c r="BS89" s="11">
        <f>+'Rev mile pop elasticities'!R119</f>
        <v>3.0740441876615371E-2</v>
      </c>
      <c r="BT89" s="11">
        <f>+'Rev mile pop elasticities'!S119</f>
        <v>2.7216102740287278E-2</v>
      </c>
      <c r="BU89" s="32">
        <f t="shared" si="81"/>
        <v>795659.813999334</v>
      </c>
      <c r="BV89" s="33">
        <f t="shared" si="82"/>
        <v>1.1204082105029548E-4</v>
      </c>
      <c r="BW89" s="40">
        <f t="shared" si="83"/>
        <v>1632105.2423628273</v>
      </c>
      <c r="BX89" s="33">
        <f t="shared" si="84"/>
        <v>2.2982486758464809E-4</v>
      </c>
      <c r="BY89" s="40">
        <f t="shared" si="85"/>
        <v>2851175.9840560751</v>
      </c>
      <c r="BZ89" s="41">
        <f t="shared" si="86"/>
        <v>3.0740441876615364E-4</v>
      </c>
      <c r="CA89" s="40">
        <f t="shared" si="87"/>
        <v>2524293.5291616446</v>
      </c>
      <c r="CB89" s="41">
        <f t="shared" si="88"/>
        <v>2.7216102740287271E-4</v>
      </c>
      <c r="CQ89" s="70">
        <f t="shared" si="89"/>
        <v>0.30116298938077113</v>
      </c>
      <c r="CR89" s="70">
        <f t="shared" si="90"/>
        <v>4.0660443061227998</v>
      </c>
      <c r="CS89" s="70">
        <f t="shared" si="91"/>
        <v>4.3672072955035706</v>
      </c>
      <c r="CT89" s="70">
        <f t="shared" si="92"/>
        <v>1.1895131674602806</v>
      </c>
      <c r="CU89" s="70">
        <f t="shared" si="93"/>
        <v>8.3405145150488913</v>
      </c>
      <c r="CV89" s="70">
        <f t="shared" si="94"/>
        <v>9.5300276825091714</v>
      </c>
      <c r="CW89" s="69">
        <f t="shared" si="95"/>
        <v>1.0791907137963215</v>
      </c>
      <c r="CX89" s="69">
        <f t="shared" si="96"/>
        <v>14.570307148545998</v>
      </c>
      <c r="CY89" s="70">
        <f t="shared" si="97"/>
        <v>15.64949786234232</v>
      </c>
      <c r="CZ89" s="69">
        <f t="shared" si="98"/>
        <v>1.8397590507861648</v>
      </c>
      <c r="DA89" s="69">
        <f t="shared" si="99"/>
        <v>12.899846329601013</v>
      </c>
      <c r="DB89" s="70">
        <f t="shared" si="100"/>
        <v>14.739605380387179</v>
      </c>
    </row>
    <row r="90" spans="23:106">
      <c r="W90" t="s">
        <v>387</v>
      </c>
      <c r="X90">
        <v>290977</v>
      </c>
      <c r="Y90">
        <v>163979</v>
      </c>
      <c r="Z90" s="51">
        <v>31221.63</v>
      </c>
      <c r="AA90" s="32">
        <f t="shared" si="66"/>
        <v>5119691665.7700005</v>
      </c>
      <c r="AB90">
        <v>8954</v>
      </c>
      <c r="AC90" s="37">
        <f t="shared" si="67"/>
        <v>3.077219161651952E-2</v>
      </c>
      <c r="AD90" s="50">
        <f>+'Revenue mile elasticities'!M119</f>
        <v>281454</v>
      </c>
      <c r="AE90" s="3">
        <f t="shared" si="70"/>
        <v>2814.54</v>
      </c>
      <c r="AF90" s="11">
        <f>+'Revenue mile elasticities'!P119</f>
        <v>2.2870019384433368E-4</v>
      </c>
      <c r="AG90" s="11">
        <f>+'Revenue mile elasticities'!Q119</f>
        <v>9.0330452801622716E-4</v>
      </c>
      <c r="AH90" s="11">
        <f>+'Revenue mile elasticities'!R119</f>
        <v>6.274806762516014E-4</v>
      </c>
      <c r="AI90" s="11">
        <f>+'Revenue mile elasticities'!S119</f>
        <v>1.0697027305455321E-3</v>
      </c>
      <c r="AJ90" s="32">
        <f t="shared" si="71"/>
        <v>11708.744763848186</v>
      </c>
      <c r="AK90" s="33">
        <f t="shared" si="72"/>
        <v>2.2870019384433365E-6</v>
      </c>
      <c r="AL90" s="40">
        <f t="shared" si="73"/>
        <v>46246.406637369815</v>
      </c>
      <c r="AM90" s="33">
        <f t="shared" si="74"/>
        <v>9.0330452801622709E-6</v>
      </c>
      <c r="AN90" s="40">
        <f t="shared" si="75"/>
        <v>56184.619751568396</v>
      </c>
      <c r="AO90" s="41">
        <f t="shared" si="76"/>
        <v>6.2748067625160144E-6</v>
      </c>
      <c r="AP90" s="40">
        <f t="shared" si="77"/>
        <v>95781.182493046959</v>
      </c>
      <c r="AQ90" s="41">
        <f t="shared" si="78"/>
        <v>1.0697027305455324E-5</v>
      </c>
      <c r="AR90" s="53"/>
      <c r="AS90" s="53"/>
      <c r="BH90" t="s">
        <v>387</v>
      </c>
      <c r="BI90">
        <v>290977</v>
      </c>
      <c r="BJ90">
        <v>163979</v>
      </c>
      <c r="BK90" s="51">
        <v>31221.63</v>
      </c>
      <c r="BL90" s="32">
        <f t="shared" si="68"/>
        <v>5119691665.7700005</v>
      </c>
      <c r="BM90">
        <v>8954</v>
      </c>
      <c r="BN90" s="37">
        <f t="shared" si="69"/>
        <v>3.077219161651952E-2</v>
      </c>
      <c r="BO90" s="50">
        <f t="shared" si="79"/>
        <v>281454</v>
      </c>
      <c r="BP90" s="3">
        <f t="shared" si="80"/>
        <v>2814.54</v>
      </c>
      <c r="BQ90" s="11">
        <f>+'Rev mile pop elasticities'!P120</f>
        <v>3.3920499430539178E-3</v>
      </c>
      <c r="BR90" s="11">
        <f>+'Rev mile pop elasticities'!Q120</f>
        <v>6.9579767596751642E-3</v>
      </c>
      <c r="BS90" s="11">
        <f>+'Rev mile pop elasticities'!R120</f>
        <v>9.3067074249854782E-3</v>
      </c>
      <c r="BT90" s="11">
        <f>+'Rev mile pop elasticities'!S120</f>
        <v>8.2397093206679588E-3</v>
      </c>
      <c r="BU90" s="32">
        <f t="shared" si="81"/>
        <v>173662.49823328748</v>
      </c>
      <c r="BV90" s="33">
        <f t="shared" si="82"/>
        <v>3.3920499430539175E-5</v>
      </c>
      <c r="BW90" s="40">
        <f t="shared" si="83"/>
        <v>356226.95627130289</v>
      </c>
      <c r="BX90" s="33">
        <f t="shared" si="84"/>
        <v>6.9579767596751642E-5</v>
      </c>
      <c r="BY90" s="40">
        <f t="shared" si="85"/>
        <v>833322.58283319976</v>
      </c>
      <c r="BZ90" s="41">
        <f t="shared" si="86"/>
        <v>9.3067074249854781E-5</v>
      </c>
      <c r="CA90" s="40">
        <f t="shared" si="87"/>
        <v>737783.57257260906</v>
      </c>
      <c r="CB90" s="41">
        <f t="shared" si="88"/>
        <v>8.2397093206679588E-5</v>
      </c>
      <c r="CQ90" s="70">
        <f t="shared" si="89"/>
        <v>7.1403928331360639E-2</v>
      </c>
      <c r="CR90" s="70">
        <f t="shared" si="90"/>
        <v>1.059053282635505</v>
      </c>
      <c r="CS90" s="70">
        <f t="shared" si="91"/>
        <v>1.1304572109668656</v>
      </c>
      <c r="CT90" s="70">
        <f t="shared" si="92"/>
        <v>0.28202639751047276</v>
      </c>
      <c r="CU90" s="70">
        <f t="shared" si="93"/>
        <v>2.172393759391769</v>
      </c>
      <c r="CV90" s="70">
        <f t="shared" si="94"/>
        <v>2.4544201569022417</v>
      </c>
      <c r="CW90" s="69">
        <f t="shared" si="95"/>
        <v>0.34263301856681888</v>
      </c>
      <c r="CX90" s="69">
        <f t="shared" si="96"/>
        <v>5.0818859904817062</v>
      </c>
      <c r="CY90" s="70">
        <f t="shared" si="97"/>
        <v>5.4245190090485247</v>
      </c>
      <c r="CZ90" s="69">
        <f t="shared" si="98"/>
        <v>0.58410639467887326</v>
      </c>
      <c r="DA90" s="69">
        <f t="shared" si="99"/>
        <v>4.4992564448655568</v>
      </c>
      <c r="DB90" s="70">
        <f t="shared" si="100"/>
        <v>5.0833628395444297</v>
      </c>
    </row>
    <row r="91" spans="23:106">
      <c r="W91" t="s">
        <v>388</v>
      </c>
      <c r="X91">
        <v>179529</v>
      </c>
      <c r="Y91">
        <v>127514</v>
      </c>
      <c r="Z91" s="51">
        <v>32113.91</v>
      </c>
      <c r="AA91" s="32">
        <f t="shared" si="66"/>
        <v>4094973119.7399998</v>
      </c>
      <c r="AB91">
        <v>6492</v>
      </c>
      <c r="AC91" s="37">
        <f t="shared" si="67"/>
        <v>3.6161288705445917E-2</v>
      </c>
      <c r="AD91" s="50">
        <f>+'Revenue mile elasticities'!M120</f>
        <v>442358</v>
      </c>
      <c r="AE91" s="3">
        <f t="shared" si="70"/>
        <v>4423.58</v>
      </c>
      <c r="AF91" s="11">
        <f>+'Revenue mile elasticities'!P120</f>
        <v>3.438310750066328E-4</v>
      </c>
      <c r="AG91" s="11">
        <f>+'Revenue mile elasticities'!Q120</f>
        <v>1.3580406807069856E-3</v>
      </c>
      <c r="AH91" s="11">
        <f>+'Revenue mile elasticities'!R120</f>
        <v>9.4336323828534633E-4</v>
      </c>
      <c r="AI91" s="11">
        <f>+'Revenue mile elasticities'!S120</f>
        <v>1.6082060692582723E-3</v>
      </c>
      <c r="AJ91" s="32">
        <f t="shared" si="71"/>
        <v>14079.79009883469</v>
      </c>
      <c r="AK91" s="33">
        <f t="shared" si="72"/>
        <v>3.4383107500663282E-6</v>
      </c>
      <c r="AL91" s="40">
        <f t="shared" si="73"/>
        <v>55611.400830085178</v>
      </c>
      <c r="AM91" s="33">
        <f t="shared" si="74"/>
        <v>1.3580406807069856E-5</v>
      </c>
      <c r="AN91" s="40">
        <f t="shared" si="75"/>
        <v>61243.141429484691</v>
      </c>
      <c r="AO91" s="41">
        <f t="shared" si="76"/>
        <v>9.4336323828534642E-6</v>
      </c>
      <c r="AP91" s="40">
        <f t="shared" si="77"/>
        <v>104404.73801624705</v>
      </c>
      <c r="AQ91" s="41">
        <f t="shared" si="78"/>
        <v>1.6082060692582727E-5</v>
      </c>
      <c r="AR91" s="53"/>
      <c r="AS91" s="53"/>
      <c r="BH91" t="s">
        <v>388</v>
      </c>
      <c r="BI91">
        <v>179529</v>
      </c>
      <c r="BJ91">
        <v>127514</v>
      </c>
      <c r="BK91" s="51">
        <v>32113.91</v>
      </c>
      <c r="BL91" s="32">
        <f t="shared" si="68"/>
        <v>4094973119.7399998</v>
      </c>
      <c r="BM91">
        <v>6492</v>
      </c>
      <c r="BN91" s="37">
        <f t="shared" si="69"/>
        <v>3.6161288705445917E-2</v>
      </c>
      <c r="BO91" s="50">
        <f t="shared" si="79"/>
        <v>442358</v>
      </c>
      <c r="BP91" s="3">
        <f t="shared" si="80"/>
        <v>4423.58</v>
      </c>
      <c r="BQ91" s="11">
        <f>+'Rev mile pop elasticities'!P121</f>
        <v>8.6407760393028415E-3</v>
      </c>
      <c r="BR91" s="11">
        <f>+'Rev mile pop elasticities'!Q121</f>
        <v>1.7724479260732253E-2</v>
      </c>
      <c r="BS91" s="11">
        <f>+'Rev mile pop elasticities'!R121</f>
        <v>2.3707544367762311E-2</v>
      </c>
      <c r="BT91" s="11">
        <f>+'Rev mile pop elasticities'!S121</f>
        <v>2.0989514914025037E-2</v>
      </c>
      <c r="BU91" s="32">
        <f t="shared" si="81"/>
        <v>353837.45614638593</v>
      </c>
      <c r="BV91" s="33">
        <f t="shared" si="82"/>
        <v>8.6407760393028411E-5</v>
      </c>
      <c r="BW91" s="40">
        <f t="shared" si="83"/>
        <v>725812.66134087672</v>
      </c>
      <c r="BX91" s="33">
        <f t="shared" si="84"/>
        <v>1.7724479260732251E-4</v>
      </c>
      <c r="BY91" s="40">
        <f t="shared" si="85"/>
        <v>1539093.7803551292</v>
      </c>
      <c r="BZ91" s="41">
        <f t="shared" si="86"/>
        <v>2.370754436776231E-4</v>
      </c>
      <c r="CA91" s="40">
        <f t="shared" si="87"/>
        <v>1362639.3082185055</v>
      </c>
      <c r="CB91" s="41">
        <f t="shared" si="88"/>
        <v>2.0989514914025037E-4</v>
      </c>
      <c r="CQ91" s="70">
        <f t="shared" si="89"/>
        <v>0.11041760197966255</v>
      </c>
      <c r="CR91" s="70">
        <f t="shared" si="90"/>
        <v>2.7748910405632787</v>
      </c>
      <c r="CS91" s="70">
        <f t="shared" si="91"/>
        <v>2.8853086425429413</v>
      </c>
      <c r="CT91" s="70">
        <f t="shared" si="92"/>
        <v>0.43611996196562869</v>
      </c>
      <c r="CU91" s="70">
        <f t="shared" si="93"/>
        <v>5.6920233177602197</v>
      </c>
      <c r="CV91" s="70">
        <f t="shared" si="94"/>
        <v>6.1281432797258484</v>
      </c>
      <c r="CW91" s="69">
        <f t="shared" si="95"/>
        <v>0.48028562690751364</v>
      </c>
      <c r="CX91" s="69">
        <f t="shared" si="96"/>
        <v>12.069998434329792</v>
      </c>
      <c r="CY91" s="70">
        <f t="shared" si="97"/>
        <v>12.550284061237305</v>
      </c>
      <c r="CZ91" s="69">
        <f t="shared" si="98"/>
        <v>0.81877078608032883</v>
      </c>
      <c r="DA91" s="69">
        <f t="shared" si="99"/>
        <v>10.686193737303398</v>
      </c>
      <c r="DB91" s="70">
        <f t="shared" si="100"/>
        <v>11.504964523383727</v>
      </c>
    </row>
    <row r="92" spans="23:106">
      <c r="W92" t="s">
        <v>389</v>
      </c>
      <c r="X92">
        <v>411625</v>
      </c>
      <c r="Y92">
        <v>261525</v>
      </c>
      <c r="Z92" s="51">
        <v>35456.449999999997</v>
      </c>
      <c r="AA92" s="32">
        <f t="shared" si="66"/>
        <v>9272748086.25</v>
      </c>
      <c r="AB92">
        <v>15459</v>
      </c>
      <c r="AC92" s="37">
        <f t="shared" si="67"/>
        <v>3.7556027938050407E-2</v>
      </c>
      <c r="AD92" s="50">
        <f>+'Revenue mile elasticities'!M121</f>
        <v>1526520</v>
      </c>
      <c r="AE92" s="3">
        <f t="shared" si="70"/>
        <v>15265.2</v>
      </c>
      <c r="AF92" s="11">
        <f>+'Revenue mile elasticities'!P121</f>
        <v>1.542988185365044E-3</v>
      </c>
      <c r="AG92" s="11">
        <f>+'Revenue mile elasticities'!Q121</f>
        <v>6.0943901755696681E-3</v>
      </c>
      <c r="AH92" s="11">
        <f>+'Revenue mile elasticities'!R121</f>
        <v>4.2334693894492178E-3</v>
      </c>
      <c r="AI92" s="11">
        <f>+'Revenue mile elasticities'!S121</f>
        <v>7.2170409973851338E-3</v>
      </c>
      <c r="AJ92" s="32">
        <f t="shared" si="71"/>
        <v>143077.40742950072</v>
      </c>
      <c r="AK92" s="33">
        <f t="shared" si="72"/>
        <v>1.542988185365044E-5</v>
      </c>
      <c r="AL92" s="40">
        <f t="shared" si="73"/>
        <v>565117.44837374438</v>
      </c>
      <c r="AM92" s="33">
        <f t="shared" si="74"/>
        <v>6.094390175569668E-5</v>
      </c>
      <c r="AN92" s="40">
        <f t="shared" si="75"/>
        <v>654452.03291495447</v>
      </c>
      <c r="AO92" s="41">
        <f t="shared" si="76"/>
        <v>4.233469389449217E-5</v>
      </c>
      <c r="AP92" s="40">
        <f t="shared" si="77"/>
        <v>1115682.3677857677</v>
      </c>
      <c r="AQ92" s="41">
        <f t="shared" si="78"/>
        <v>7.2170409973851317E-5</v>
      </c>
      <c r="AR92" s="53"/>
      <c r="AS92" s="53"/>
      <c r="BH92" t="s">
        <v>389</v>
      </c>
      <c r="BI92">
        <v>411625</v>
      </c>
      <c r="BJ92">
        <v>261525</v>
      </c>
      <c r="BK92" s="51">
        <v>35456.449999999997</v>
      </c>
      <c r="BL92" s="32">
        <f t="shared" si="68"/>
        <v>9272748086.25</v>
      </c>
      <c r="BM92">
        <v>15459</v>
      </c>
      <c r="BN92" s="37">
        <f t="shared" si="69"/>
        <v>3.7556027938050407E-2</v>
      </c>
      <c r="BO92" s="50">
        <f t="shared" si="79"/>
        <v>1526520</v>
      </c>
      <c r="BP92" s="3">
        <f t="shared" si="80"/>
        <v>15265.2</v>
      </c>
      <c r="BQ92" s="11">
        <f>+'Rev mile pop elasticities'!P122</f>
        <v>1.3005115982751288E-2</v>
      </c>
      <c r="BR92" s="11">
        <f>+'Rev mile pop elasticities'!Q122</f>
        <v>2.6676875719404799E-2</v>
      </c>
      <c r="BS92" s="11">
        <f>+'Rev mile pop elasticities'!R122</f>
        <v>3.5681906667476455E-2</v>
      </c>
      <c r="BT92" s="11">
        <f>+'Rev mile pop elasticities'!S122</f>
        <v>3.1591037036137262E-2</v>
      </c>
      <c r="BU92" s="32">
        <f t="shared" si="81"/>
        <v>1205931.643405163</v>
      </c>
      <c r="BV92" s="33">
        <f t="shared" si="82"/>
        <v>1.3005115982751288E-4</v>
      </c>
      <c r="BW92" s="40">
        <f t="shared" si="83"/>
        <v>2473679.4827423994</v>
      </c>
      <c r="BX92" s="33">
        <f t="shared" si="84"/>
        <v>2.6676875719404799E-4</v>
      </c>
      <c r="BY92" s="40">
        <f t="shared" si="85"/>
        <v>5516065.9517251849</v>
      </c>
      <c r="BZ92" s="41">
        <f t="shared" si="86"/>
        <v>3.5681906667476453E-4</v>
      </c>
      <c r="CA92" s="40">
        <f t="shared" si="87"/>
        <v>4883658.4154164586</v>
      </c>
      <c r="CB92" s="41">
        <f t="shared" si="88"/>
        <v>3.1591037036137262E-4</v>
      </c>
      <c r="CQ92" s="70">
        <f t="shared" si="89"/>
        <v>0.54708883444986411</v>
      </c>
      <c r="CR92" s="70">
        <f t="shared" si="90"/>
        <v>4.6111524458662192</v>
      </c>
      <c r="CS92" s="70">
        <f t="shared" si="91"/>
        <v>5.1582412803160835</v>
      </c>
      <c r="CT92" s="70">
        <f t="shared" si="92"/>
        <v>2.1608544054057717</v>
      </c>
      <c r="CU92" s="70">
        <f t="shared" si="93"/>
        <v>9.4586731010129022</v>
      </c>
      <c r="CV92" s="70">
        <f t="shared" si="94"/>
        <v>11.619527506418674</v>
      </c>
      <c r="CW92" s="69">
        <f t="shared" si="95"/>
        <v>2.5024453987762336</v>
      </c>
      <c r="CX92" s="69">
        <f t="shared" si="96"/>
        <v>21.091926017494256</v>
      </c>
      <c r="CY92" s="70">
        <f t="shared" si="97"/>
        <v>23.594371416270491</v>
      </c>
      <c r="CZ92" s="69">
        <f t="shared" si="98"/>
        <v>4.2660639242357998</v>
      </c>
      <c r="DA92" s="69">
        <f t="shared" si="99"/>
        <v>18.673772738424468</v>
      </c>
      <c r="DB92" s="70">
        <f t="shared" si="100"/>
        <v>22.939836662660269</v>
      </c>
    </row>
    <row r="93" spans="23:106">
      <c r="W93" t="s">
        <v>390</v>
      </c>
      <c r="X93">
        <v>903133</v>
      </c>
      <c r="Y93">
        <v>450031</v>
      </c>
      <c r="Z93" s="51">
        <v>35214.410000000003</v>
      </c>
      <c r="AA93" s="32">
        <f t="shared" si="66"/>
        <v>15847576146.710001</v>
      </c>
      <c r="AB93">
        <v>24094</v>
      </c>
      <c r="AC93" s="37">
        <f t="shared" si="67"/>
        <v>2.6678241189282199E-2</v>
      </c>
      <c r="AD93" s="50">
        <f>+'Revenue mile elasticities'!M122</f>
        <v>4661278</v>
      </c>
      <c r="AE93" s="3">
        <f t="shared" si="70"/>
        <v>46612.78</v>
      </c>
      <c r="AF93" s="11">
        <f>+'Revenue mile elasticities'!P122</f>
        <v>3.0606491437603816E-3</v>
      </c>
      <c r="AG93" s="11">
        <f>+'Revenue mile elasticities'!Q122</f>
        <v>1.2088744586327513E-2</v>
      </c>
      <c r="AH93" s="11">
        <f>+'Revenue mile elasticities'!R122</f>
        <v>8.3974489142884107E-3</v>
      </c>
      <c r="AI93" s="11">
        <f>+'Revenue mile elasticities'!S122</f>
        <v>1.4315618589072054E-2</v>
      </c>
      <c r="AJ93" s="32">
        <f t="shared" si="71"/>
        <v>485038.70364105416</v>
      </c>
      <c r="AK93" s="33">
        <f t="shared" si="72"/>
        <v>3.0606491437603819E-5</v>
      </c>
      <c r="AL93" s="40">
        <f t="shared" si="73"/>
        <v>1915773.0034995356</v>
      </c>
      <c r="AM93" s="33">
        <f t="shared" si="74"/>
        <v>1.2088744586327513E-4</v>
      </c>
      <c r="AN93" s="40">
        <f t="shared" si="75"/>
        <v>2023281.3414086497</v>
      </c>
      <c r="AO93" s="41">
        <f t="shared" si="76"/>
        <v>8.3974489142884108E-5</v>
      </c>
      <c r="AP93" s="40">
        <f t="shared" si="77"/>
        <v>3449205.1428510207</v>
      </c>
      <c r="AQ93" s="41">
        <f t="shared" si="78"/>
        <v>1.4315618589072054E-4</v>
      </c>
      <c r="AR93" s="53"/>
      <c r="AS93" s="53"/>
      <c r="BH93" t="s">
        <v>390</v>
      </c>
      <c r="BI93">
        <v>903133</v>
      </c>
      <c r="BJ93">
        <v>450031</v>
      </c>
      <c r="BK93" s="51">
        <v>35214.410000000003</v>
      </c>
      <c r="BL93" s="32">
        <f t="shared" si="68"/>
        <v>15847576146.710001</v>
      </c>
      <c r="BM93">
        <v>24094</v>
      </c>
      <c r="BN93" s="37">
        <f t="shared" si="69"/>
        <v>2.6678241189282199E-2</v>
      </c>
      <c r="BO93" s="50">
        <f t="shared" si="79"/>
        <v>4661278</v>
      </c>
      <c r="BP93" s="3">
        <f t="shared" si="80"/>
        <v>46612.78</v>
      </c>
      <c r="BQ93" s="11">
        <f>+'Rev mile pop elasticities'!P123</f>
        <v>1.8099507952826437E-2</v>
      </c>
      <c r="BR93" s="11">
        <f>+'Rev mile pop elasticities'!Q123</f>
        <v>3.7126798782903515E-2</v>
      </c>
      <c r="BS93" s="11">
        <f>+'Rev mile pop elasticities'!R123</f>
        <v>4.9659299798368563E-2</v>
      </c>
      <c r="BT93" s="11">
        <f>+'Rev mile pop elasticities'!S123</f>
        <v>4.3965945927122586E-2</v>
      </c>
      <c r="BU93" s="32">
        <f t="shared" si="81"/>
        <v>2868333.3050040021</v>
      </c>
      <c r="BV93" s="33">
        <f t="shared" si="82"/>
        <v>1.8099507952826438E-4</v>
      </c>
      <c r="BW93" s="40">
        <f t="shared" si="83"/>
        <v>5883697.707956437</v>
      </c>
      <c r="BX93" s="33">
        <f t="shared" si="84"/>
        <v>3.712679878290352E-4</v>
      </c>
      <c r="BY93" s="40">
        <f t="shared" si="85"/>
        <v>11964911.693418922</v>
      </c>
      <c r="BZ93" s="41">
        <f t="shared" si="86"/>
        <v>4.9659299798368562E-4</v>
      </c>
      <c r="CA93" s="40">
        <f t="shared" si="87"/>
        <v>10593155.011680916</v>
      </c>
      <c r="CB93" s="41">
        <f t="shared" si="88"/>
        <v>4.3965945927122583E-4</v>
      </c>
      <c r="CQ93" s="70">
        <f t="shared" si="89"/>
        <v>1.0777895381452705</v>
      </c>
      <c r="CR93" s="70">
        <f t="shared" si="90"/>
        <v>6.3736349384909081</v>
      </c>
      <c r="CS93" s="70">
        <f t="shared" si="91"/>
        <v>7.4514244766361788</v>
      </c>
      <c r="CT93" s="70">
        <f t="shared" si="92"/>
        <v>4.2569800824821744</v>
      </c>
      <c r="CU93" s="70">
        <f t="shared" si="93"/>
        <v>13.073983143286656</v>
      </c>
      <c r="CV93" s="70">
        <f t="shared" si="94"/>
        <v>17.33096322576883</v>
      </c>
      <c r="CW93" s="69">
        <f t="shared" si="95"/>
        <v>4.4958710431251392</v>
      </c>
      <c r="CX93" s="69">
        <f t="shared" si="96"/>
        <v>26.58686111272095</v>
      </c>
      <c r="CY93" s="70">
        <f t="shared" si="97"/>
        <v>31.082732155846088</v>
      </c>
      <c r="CZ93" s="69">
        <f t="shared" si="98"/>
        <v>7.6643723273530506</v>
      </c>
      <c r="DA93" s="69">
        <f t="shared" si="99"/>
        <v>23.538722913934631</v>
      </c>
      <c r="DB93" s="70">
        <f t="shared" si="100"/>
        <v>31.203095241287681</v>
      </c>
    </row>
    <row r="94" spans="23:106">
      <c r="W94" t="s">
        <v>391</v>
      </c>
      <c r="X94">
        <v>259179</v>
      </c>
      <c r="Y94">
        <v>165907</v>
      </c>
      <c r="Z94" s="51">
        <v>32927.599999999999</v>
      </c>
      <c r="AA94" s="32">
        <f t="shared" si="66"/>
        <v>5462919333.1999998</v>
      </c>
      <c r="AB94">
        <v>6590</v>
      </c>
      <c r="AC94" s="37">
        <f t="shared" si="67"/>
        <v>2.5426442728770465E-2</v>
      </c>
      <c r="AD94" s="50">
        <f>+'Revenue mile elasticities'!M123</f>
        <v>2846734</v>
      </c>
      <c r="AE94" s="3">
        <f t="shared" si="70"/>
        <v>28467.34</v>
      </c>
      <c r="AF94" s="11">
        <f>+'Revenue mile elasticities'!P123</f>
        <v>2.8591372757243304E-3</v>
      </c>
      <c r="AG94" s="11">
        <f>+'Revenue mile elasticities'!Q123</f>
        <v>1.1292826665200295E-2</v>
      </c>
      <c r="AH94" s="11">
        <f>+'Revenue mile elasticities'!R123</f>
        <v>7.8445643666082716E-3</v>
      </c>
      <c r="AI94" s="11">
        <f>+'Revenue mile elasticities'!S123</f>
        <v>1.3373084208789823E-2</v>
      </c>
      <c r="AJ94" s="32">
        <f t="shared" si="71"/>
        <v>156192.36299827223</v>
      </c>
      <c r="AK94" s="33">
        <f t="shared" si="72"/>
        <v>2.8591372757243303E-5</v>
      </c>
      <c r="AL94" s="40">
        <f t="shared" si="73"/>
        <v>616918.01115799171</v>
      </c>
      <c r="AM94" s="33">
        <f t="shared" si="74"/>
        <v>1.1292826665200294E-4</v>
      </c>
      <c r="AN94" s="40">
        <f t="shared" si="75"/>
        <v>516956.79175948503</v>
      </c>
      <c r="AO94" s="41">
        <f t="shared" si="76"/>
        <v>7.8445643666082699E-5</v>
      </c>
      <c r="AP94" s="40">
        <f t="shared" si="77"/>
        <v>881286.24935924937</v>
      </c>
      <c r="AQ94" s="41">
        <f t="shared" si="78"/>
        <v>1.3373084208789823E-4</v>
      </c>
      <c r="AR94" s="53"/>
      <c r="AS94" s="53"/>
      <c r="BH94" t="s">
        <v>391</v>
      </c>
      <c r="BI94">
        <v>259179</v>
      </c>
      <c r="BJ94">
        <v>165907</v>
      </c>
      <c r="BK94" s="51">
        <v>32927.599999999999</v>
      </c>
      <c r="BL94" s="32">
        <f t="shared" si="68"/>
        <v>5462919333.1999998</v>
      </c>
      <c r="BM94">
        <v>6590</v>
      </c>
      <c r="BN94" s="37">
        <f t="shared" si="69"/>
        <v>2.5426442728770465E-2</v>
      </c>
      <c r="BO94" s="50">
        <f t="shared" si="79"/>
        <v>2846734</v>
      </c>
      <c r="BP94" s="3">
        <f t="shared" si="80"/>
        <v>28467.34</v>
      </c>
      <c r="BQ94" s="11">
        <f>+'Rev mile pop elasticities'!P124</f>
        <v>3.8517718356348311E-2</v>
      </c>
      <c r="BR94" s="11">
        <f>+'Rev mile pop elasticities'!Q124</f>
        <v>7.9009859423795917E-2</v>
      </c>
      <c r="BS94" s="11">
        <f>+'Rev mile pop elasticities'!R124</f>
        <v>0.10568038249395205</v>
      </c>
      <c r="BT94" s="11">
        <f>+'Rev mile pop elasticities'!S124</f>
        <v>9.3564307212389911E-2</v>
      </c>
      <c r="BU94" s="32">
        <f t="shared" si="81"/>
        <v>2104191.8827964771</v>
      </c>
      <c r="BV94" s="33">
        <f t="shared" si="82"/>
        <v>3.851771835634831E-4</v>
      </c>
      <c r="BW94" s="40">
        <f t="shared" si="83"/>
        <v>4316244.8855966898</v>
      </c>
      <c r="BX94" s="33">
        <f t="shared" si="84"/>
        <v>7.9009859423795933E-4</v>
      </c>
      <c r="BY94" s="40">
        <f t="shared" si="85"/>
        <v>6964337.2063514413</v>
      </c>
      <c r="BZ94" s="41">
        <f t="shared" si="86"/>
        <v>1.0568038249395206E-3</v>
      </c>
      <c r="CA94" s="40">
        <f t="shared" si="87"/>
        <v>6165887.8452964956</v>
      </c>
      <c r="CB94" s="41">
        <f t="shared" si="88"/>
        <v>9.3564307212389919E-4</v>
      </c>
      <c r="CQ94" s="70">
        <f t="shared" si="89"/>
        <v>0.94144528560140461</v>
      </c>
      <c r="CR94" s="70">
        <f t="shared" si="90"/>
        <v>12.682960229504946</v>
      </c>
      <c r="CS94" s="70">
        <f t="shared" si="91"/>
        <v>13.62440551510635</v>
      </c>
      <c r="CT94" s="70">
        <f t="shared" si="92"/>
        <v>3.7184567930104921</v>
      </c>
      <c r="CU94" s="70">
        <f t="shared" si="93"/>
        <v>26.016050471629828</v>
      </c>
      <c r="CV94" s="70">
        <f t="shared" si="94"/>
        <v>29.734507264640321</v>
      </c>
      <c r="CW94" s="69">
        <f t="shared" si="95"/>
        <v>3.1159432197525421</v>
      </c>
      <c r="CX94" s="69">
        <f t="shared" si="96"/>
        <v>41.977356026879164</v>
      </c>
      <c r="CY94" s="70">
        <f t="shared" si="97"/>
        <v>45.093299246631709</v>
      </c>
      <c r="CZ94" s="69">
        <f t="shared" si="98"/>
        <v>5.311929269767095</v>
      </c>
      <c r="DA94" s="69">
        <f t="shared" si="99"/>
        <v>37.164723883238779</v>
      </c>
      <c r="DB94" s="70">
        <f t="shared" si="100"/>
        <v>42.47665315300587</v>
      </c>
    </row>
    <row r="95" spans="23:106">
      <c r="W95" t="s">
        <v>392</v>
      </c>
      <c r="X95">
        <v>128653</v>
      </c>
      <c r="Y95">
        <v>70059</v>
      </c>
      <c r="Z95" s="51">
        <v>33199.949999999997</v>
      </c>
      <c r="AA95" s="32">
        <f t="shared" si="66"/>
        <v>2325955297.0499997</v>
      </c>
      <c r="AB95">
        <v>3083</v>
      </c>
      <c r="AC95" s="37">
        <f t="shared" si="67"/>
        <v>2.3963685261906058E-2</v>
      </c>
      <c r="AD95" s="50">
        <f>+'Revenue mile elasticities'!M124</f>
        <v>305687</v>
      </c>
      <c r="AE95" s="3">
        <f t="shared" si="70"/>
        <v>3056.87</v>
      </c>
      <c r="AF95" s="11">
        <f>+'Revenue mile elasticities'!P124</f>
        <v>1.0795340407977314E-4</v>
      </c>
      <c r="AG95" s="11">
        <f>+'Revenue mile elasticities'!Q124</f>
        <v>4.2638704008444626E-4</v>
      </c>
      <c r="AH95" s="11">
        <f>+'Revenue mile elasticities'!R124</f>
        <v>2.9618984512861946E-4</v>
      </c>
      <c r="AI95" s="11">
        <f>+'Revenue mile elasticities'!S124</f>
        <v>5.0493202115263372E-4</v>
      </c>
      <c r="AJ95" s="32">
        <f t="shared" si="71"/>
        <v>2510.9479205392736</v>
      </c>
      <c r="AK95" s="33">
        <f t="shared" si="72"/>
        <v>1.0795340407977312E-6</v>
      </c>
      <c r="AL95" s="40">
        <f t="shared" si="73"/>
        <v>9917.5719447788833</v>
      </c>
      <c r="AM95" s="33">
        <f t="shared" si="74"/>
        <v>4.2638704008444624E-6</v>
      </c>
      <c r="AN95" s="40">
        <f t="shared" si="75"/>
        <v>9131.5329253153377</v>
      </c>
      <c r="AO95" s="41">
        <f t="shared" si="76"/>
        <v>2.9618984512861942E-6</v>
      </c>
      <c r="AP95" s="40">
        <f t="shared" si="77"/>
        <v>15567.054212135698</v>
      </c>
      <c r="AQ95" s="41">
        <f t="shared" si="78"/>
        <v>5.0493202115263376E-6</v>
      </c>
      <c r="AR95" s="53"/>
      <c r="AS95" s="53"/>
      <c r="BH95" t="s">
        <v>392</v>
      </c>
      <c r="BI95">
        <v>128653</v>
      </c>
      <c r="BJ95">
        <v>70059</v>
      </c>
      <c r="BK95" s="51">
        <v>33199.949999999997</v>
      </c>
      <c r="BL95" s="32">
        <f t="shared" si="68"/>
        <v>2325955297.0499997</v>
      </c>
      <c r="BM95">
        <v>3083</v>
      </c>
      <c r="BN95" s="37">
        <f t="shared" si="69"/>
        <v>2.3963685261906058E-2</v>
      </c>
      <c r="BO95" s="50">
        <f t="shared" si="79"/>
        <v>305687</v>
      </c>
      <c r="BP95" s="3">
        <f t="shared" si="80"/>
        <v>3056.87</v>
      </c>
      <c r="BQ95" s="11">
        <f>+'Rev mile pop elasticities'!P125</f>
        <v>8.3324079915742342E-3</v>
      </c>
      <c r="BR95" s="11">
        <f>+'Rev mile pop elasticities'!Q125</f>
        <v>1.7091936183376993E-2</v>
      </c>
      <c r="BS95" s="11">
        <f>+'Rev mile pop elasticities'!R125</f>
        <v>2.2861480410095371E-2</v>
      </c>
      <c r="BT95" s="11">
        <f>+'Rev mile pop elasticities'!S125</f>
        <v>2.0240450743472756E-2</v>
      </c>
      <c r="BU95" s="32">
        <f t="shared" si="81"/>
        <v>193808.0850518384</v>
      </c>
      <c r="BV95" s="33">
        <f t="shared" si="82"/>
        <v>8.3324079915742349E-5</v>
      </c>
      <c r="BW95" s="40">
        <f t="shared" si="83"/>
        <v>397550.79502566269</v>
      </c>
      <c r="BX95" s="33">
        <f t="shared" si="84"/>
        <v>1.7091936183376993E-4</v>
      </c>
      <c r="BY95" s="40">
        <f t="shared" si="85"/>
        <v>704819.44104324037</v>
      </c>
      <c r="BZ95" s="41">
        <f t="shared" si="86"/>
        <v>2.2861480410095374E-4</v>
      </c>
      <c r="CA95" s="40">
        <f t="shared" si="87"/>
        <v>624013.09642126516</v>
      </c>
      <c r="CB95" s="41">
        <f t="shared" si="88"/>
        <v>2.0240450743472759E-4</v>
      </c>
      <c r="CQ95" s="70">
        <f t="shared" si="89"/>
        <v>3.5840476177782632E-2</v>
      </c>
      <c r="CR95" s="70">
        <f t="shared" si="90"/>
        <v>2.7663552869986496</v>
      </c>
      <c r="CS95" s="70">
        <f t="shared" si="91"/>
        <v>2.8021957631764325</v>
      </c>
      <c r="CT95" s="70">
        <f t="shared" si="92"/>
        <v>0.1415602841145161</v>
      </c>
      <c r="CU95" s="70">
        <f t="shared" si="93"/>
        <v>5.6745142669130688</v>
      </c>
      <c r="CV95" s="70">
        <f t="shared" si="94"/>
        <v>5.8160745510275849</v>
      </c>
      <c r="CW95" s="69">
        <f t="shared" si="95"/>
        <v>0.13034061184594894</v>
      </c>
      <c r="CX95" s="69">
        <f t="shared" si="96"/>
        <v>10.06036970329637</v>
      </c>
      <c r="CY95" s="70">
        <f t="shared" si="97"/>
        <v>10.190710315142319</v>
      </c>
      <c r="CZ95" s="69">
        <f t="shared" si="98"/>
        <v>0.22219920655641243</v>
      </c>
      <c r="DA95" s="69">
        <f t="shared" si="99"/>
        <v>8.9069655065197217</v>
      </c>
      <c r="DB95" s="70">
        <f t="shared" si="100"/>
        <v>9.1291647130761344</v>
      </c>
    </row>
    <row r="96" spans="23:106">
      <c r="W96" t="s">
        <v>393</v>
      </c>
      <c r="X96">
        <v>97261</v>
      </c>
      <c r="Y96">
        <v>70785</v>
      </c>
      <c r="Z96" s="51">
        <v>30227.14</v>
      </c>
      <c r="AA96" s="32">
        <f t="shared" si="66"/>
        <v>2139628104.8999999</v>
      </c>
      <c r="AB96">
        <v>2846</v>
      </c>
      <c r="AC96" s="37">
        <f t="shared" si="67"/>
        <v>2.9261471710140756E-2</v>
      </c>
      <c r="AD96" s="50">
        <f>+'Revenue mile elasticities'!M125</f>
        <v>374692</v>
      </c>
      <c r="AE96" s="3">
        <f t="shared" si="70"/>
        <v>3746.92</v>
      </c>
      <c r="AF96" s="11">
        <f>+'Revenue mile elasticities'!P125</f>
        <v>2.793367401607043E-4</v>
      </c>
      <c r="AG96" s="11">
        <f>+'Revenue mile elasticities'!Q125</f>
        <v>1.1033053273238763E-3</v>
      </c>
      <c r="AH96" s="11">
        <f>+'Revenue mile elasticities'!R125</f>
        <v>7.6641127264308762E-4</v>
      </c>
      <c r="AI96" s="11">
        <f>+'Revenue mile elasticities'!S125</f>
        <v>1.3065457823572219E-3</v>
      </c>
      <c r="AJ96" s="32">
        <f t="shared" si="71"/>
        <v>5976.7673997899146</v>
      </c>
      <c r="AK96" s="33">
        <f t="shared" si="72"/>
        <v>2.7933674016070431E-6</v>
      </c>
      <c r="AL96" s="40">
        <f t="shared" si="73"/>
        <v>23606.630866280593</v>
      </c>
      <c r="AM96" s="33">
        <f t="shared" si="74"/>
        <v>1.1033053273238762E-5</v>
      </c>
      <c r="AN96" s="40">
        <f t="shared" si="75"/>
        <v>21812.064819422274</v>
      </c>
      <c r="AO96" s="41">
        <f t="shared" si="76"/>
        <v>7.6641127264308762E-6</v>
      </c>
      <c r="AP96" s="40">
        <f t="shared" si="77"/>
        <v>37184.29296588654</v>
      </c>
      <c r="AQ96" s="41">
        <f t="shared" si="78"/>
        <v>1.3065457823572221E-5</v>
      </c>
      <c r="AR96" s="53"/>
      <c r="AS96" s="53"/>
      <c r="BH96" t="s">
        <v>393</v>
      </c>
      <c r="BI96">
        <v>97261</v>
      </c>
      <c r="BJ96">
        <v>70785</v>
      </c>
      <c r="BK96" s="51">
        <v>30227.14</v>
      </c>
      <c r="BL96" s="32">
        <f t="shared" si="68"/>
        <v>2139628104.8999999</v>
      </c>
      <c r="BM96">
        <v>2846</v>
      </c>
      <c r="BN96" s="37">
        <f t="shared" si="69"/>
        <v>2.9261471710140756E-2</v>
      </c>
      <c r="BO96" s="50">
        <f t="shared" si="79"/>
        <v>374692</v>
      </c>
      <c r="BP96" s="3">
        <f t="shared" si="80"/>
        <v>3746.92</v>
      </c>
      <c r="BQ96" s="11">
        <f>+'Rev mile pop elasticities'!P126</f>
        <v>1.3509807625255754E-2</v>
      </c>
      <c r="BR96" s="11">
        <f>+'Rev mile pop elasticities'!Q126</f>
        <v>2.771212955655402E-2</v>
      </c>
      <c r="BS96" s="11">
        <f>+'Rev mile pop elasticities'!R126</f>
        <v>3.7066620199257667E-2</v>
      </c>
      <c r="BT96" s="11">
        <f>+'Rev mile pop elasticities'!S126</f>
        <v>3.2816995527498179E-2</v>
      </c>
      <c r="BU96" s="32">
        <f t="shared" si="81"/>
        <v>289059.64086789539</v>
      </c>
      <c r="BV96" s="33">
        <f t="shared" si="82"/>
        <v>1.3509807625255754E-4</v>
      </c>
      <c r="BW96" s="40">
        <f t="shared" si="83"/>
        <v>592936.51245832955</v>
      </c>
      <c r="BX96" s="33">
        <f t="shared" si="84"/>
        <v>2.7712129556554021E-4</v>
      </c>
      <c r="BY96" s="40">
        <f t="shared" si="85"/>
        <v>1054916.0108708732</v>
      </c>
      <c r="BZ96" s="41">
        <f t="shared" si="86"/>
        <v>3.7066620199257671E-4</v>
      </c>
      <c r="CA96" s="40">
        <f t="shared" si="87"/>
        <v>933971.69271259825</v>
      </c>
      <c r="CB96" s="41">
        <f t="shared" si="88"/>
        <v>3.2816995527498179E-4</v>
      </c>
      <c r="CQ96" s="70">
        <f t="shared" si="89"/>
        <v>8.4435507519812311E-2</v>
      </c>
      <c r="CR96" s="70">
        <f t="shared" si="90"/>
        <v>4.0836284646167318</v>
      </c>
      <c r="CS96" s="70">
        <f t="shared" si="91"/>
        <v>4.1680639721365438</v>
      </c>
      <c r="CT96" s="70">
        <f t="shared" si="92"/>
        <v>0.3334976459176463</v>
      </c>
      <c r="CU96" s="70">
        <f t="shared" si="93"/>
        <v>8.3765841980409625</v>
      </c>
      <c r="CV96" s="70">
        <f t="shared" si="94"/>
        <v>8.7100818439586085</v>
      </c>
      <c r="CW96" s="69">
        <f t="shared" si="95"/>
        <v>0.30814529659422579</v>
      </c>
      <c r="CX96" s="69">
        <f t="shared" si="96"/>
        <v>14.903101093040521</v>
      </c>
      <c r="CY96" s="70">
        <f t="shared" si="97"/>
        <v>15.211246389634747</v>
      </c>
      <c r="CZ96" s="69">
        <f t="shared" si="98"/>
        <v>0.52531317321306126</v>
      </c>
      <c r="DA96" s="69">
        <f t="shared" si="99"/>
        <v>13.194486016989451</v>
      </c>
      <c r="DB96" s="70">
        <f t="shared" si="100"/>
        <v>13.719799190202512</v>
      </c>
    </row>
    <row r="97" spans="23:106">
      <c r="W97" t="s">
        <v>394</v>
      </c>
      <c r="X97">
        <v>141905</v>
      </c>
      <c r="Y97">
        <v>91728</v>
      </c>
      <c r="Z97" s="51">
        <v>35538.07</v>
      </c>
      <c r="AA97" s="32">
        <f t="shared" si="66"/>
        <v>3259836084.96</v>
      </c>
      <c r="AB97">
        <v>4575</v>
      </c>
      <c r="AC97" s="37">
        <f t="shared" si="67"/>
        <v>3.2239878792149679E-2</v>
      </c>
      <c r="AD97" s="50">
        <f>+'Revenue mile elasticities'!M126</f>
        <v>743668</v>
      </c>
      <c r="AE97" s="3">
        <f t="shared" si="70"/>
        <v>7436.68</v>
      </c>
      <c r="AF97" s="11">
        <f>+'Revenue mile elasticities'!P126</f>
        <v>8.2543785350883353E-4</v>
      </c>
      <c r="AG97" s="11">
        <f>+'Revenue mile elasticities'!Q126</f>
        <v>3.2602584988539059E-3</v>
      </c>
      <c r="AH97" s="11">
        <f>+'Revenue mile elasticities'!R126</f>
        <v>2.2647392370639479E-3</v>
      </c>
      <c r="AI97" s="11">
        <f>+'Revenue mile elasticities'!S126</f>
        <v>3.8608324328533099E-3</v>
      </c>
      <c r="AJ97" s="32">
        <f t="shared" si="71"/>
        <v>26907.92100760022</v>
      </c>
      <c r="AK97" s="33">
        <f t="shared" si="72"/>
        <v>8.2543785350883361E-6</v>
      </c>
      <c r="AL97" s="40">
        <f t="shared" si="73"/>
        <v>106279.08300861483</v>
      </c>
      <c r="AM97" s="33">
        <f t="shared" si="74"/>
        <v>3.2602584988539059E-5</v>
      </c>
      <c r="AN97" s="40">
        <f t="shared" si="75"/>
        <v>103611.82009567563</v>
      </c>
      <c r="AO97" s="41">
        <f t="shared" si="76"/>
        <v>2.2647392370639484E-5</v>
      </c>
      <c r="AP97" s="40">
        <f t="shared" si="77"/>
        <v>176633.08380303896</v>
      </c>
      <c r="AQ97" s="41">
        <f t="shared" si="78"/>
        <v>3.8608324328533106E-5</v>
      </c>
      <c r="AR97" s="53"/>
      <c r="AS97" s="53"/>
      <c r="BH97" t="s">
        <v>394</v>
      </c>
      <c r="BI97">
        <v>141905</v>
      </c>
      <c r="BJ97">
        <v>91728</v>
      </c>
      <c r="BK97" s="51">
        <v>35538.07</v>
      </c>
      <c r="BL97" s="32">
        <f t="shared" si="68"/>
        <v>3259836084.96</v>
      </c>
      <c r="BM97">
        <v>4575</v>
      </c>
      <c r="BN97" s="37">
        <f t="shared" si="69"/>
        <v>3.2239878792149679E-2</v>
      </c>
      <c r="BO97" s="50">
        <f t="shared" si="79"/>
        <v>743668</v>
      </c>
      <c r="BP97" s="3">
        <f t="shared" si="80"/>
        <v>7436.68</v>
      </c>
      <c r="BQ97" s="11">
        <f>+'Rev mile pop elasticities'!P127</f>
        <v>1.8377857128078639E-2</v>
      </c>
      <c r="BR97" s="11">
        <f>+'Rev mile pop elasticities'!Q127</f>
        <v>3.7697765344420563E-2</v>
      </c>
      <c r="BS97" s="11">
        <f>+'Rev mile pop elasticities'!R127</f>
        <v>5.0423001506641758E-2</v>
      </c>
      <c r="BT97" s="11">
        <f>+'Rev mile pop elasticities'!S127</f>
        <v>4.4642090539445407E-2</v>
      </c>
      <c r="BU97" s="32">
        <f t="shared" si="81"/>
        <v>599088.01830350107</v>
      </c>
      <c r="BV97" s="33">
        <f t="shared" si="82"/>
        <v>1.837785712807864E-4</v>
      </c>
      <c r="BW97" s="40">
        <f t="shared" si="83"/>
        <v>1228885.357920967</v>
      </c>
      <c r="BX97" s="33">
        <f t="shared" si="84"/>
        <v>3.7697765344420567E-4</v>
      </c>
      <c r="BY97" s="40">
        <f t="shared" si="85"/>
        <v>2306852.3189288601</v>
      </c>
      <c r="BZ97" s="41">
        <f t="shared" si="86"/>
        <v>5.0423001506641756E-4</v>
      </c>
      <c r="CA97" s="40">
        <f t="shared" si="87"/>
        <v>2042375.6421796274</v>
      </c>
      <c r="CB97" s="41">
        <f t="shared" si="88"/>
        <v>4.4642090539445412E-4</v>
      </c>
      <c r="CQ97" s="70">
        <f t="shared" si="89"/>
        <v>0.29334468218646675</v>
      </c>
      <c r="CR97" s="70">
        <f t="shared" si="90"/>
        <v>6.5311357306765769</v>
      </c>
      <c r="CS97" s="70">
        <f t="shared" si="91"/>
        <v>6.8244804128630436</v>
      </c>
      <c r="CT97" s="70">
        <f t="shared" si="92"/>
        <v>1.1586329475036503</v>
      </c>
      <c r="CU97" s="70">
        <f t="shared" si="93"/>
        <v>13.397058236535923</v>
      </c>
      <c r="CV97" s="70">
        <f t="shared" si="94"/>
        <v>14.555691184039572</v>
      </c>
      <c r="CW97" s="69">
        <f t="shared" si="95"/>
        <v>1.1295549897051678</v>
      </c>
      <c r="CX97" s="69">
        <f t="shared" si="96"/>
        <v>25.148834804300325</v>
      </c>
      <c r="CY97" s="70">
        <f t="shared" si="97"/>
        <v>26.278389794005491</v>
      </c>
      <c r="CZ97" s="69">
        <f t="shared" si="98"/>
        <v>1.9256179552921568</v>
      </c>
      <c r="DA97" s="69">
        <f t="shared" si="99"/>
        <v>22.265563864682839</v>
      </c>
      <c r="DB97" s="70">
        <f t="shared" si="100"/>
        <v>24.191181819974997</v>
      </c>
    </row>
    <row r="98" spans="23:106">
      <c r="W98" t="s">
        <v>395</v>
      </c>
      <c r="X98">
        <v>776505</v>
      </c>
      <c r="Y98">
        <v>487530</v>
      </c>
      <c r="Z98" s="51">
        <v>37932.39</v>
      </c>
      <c r="AA98" s="32">
        <f t="shared" si="66"/>
        <v>18493178096.700001</v>
      </c>
      <c r="AB98">
        <v>30669</v>
      </c>
      <c r="AC98" s="37">
        <f t="shared" si="67"/>
        <v>3.94962041454981E-2</v>
      </c>
      <c r="AD98" s="50">
        <f>+'Revenue mile elasticities'!M127</f>
        <v>4114157</v>
      </c>
      <c r="AE98" s="3">
        <f t="shared" si="70"/>
        <v>41141.57</v>
      </c>
      <c r="AF98" s="11">
        <f>+'Revenue mile elasticities'!P127</f>
        <v>2.0487132218779207E-3</v>
      </c>
      <c r="AG98" s="11">
        <f>+'Revenue mile elasticities'!Q127</f>
        <v>8.0918686548585566E-3</v>
      </c>
      <c r="AH98" s="11">
        <f>+'Revenue mile elasticities'!R127</f>
        <v>5.6210182260910463E-3</v>
      </c>
      <c r="AI98" s="11">
        <f>+'Revenue mile elasticities'!S127</f>
        <v>9.5824760386482907E-3</v>
      </c>
      <c r="AJ98" s="32">
        <f t="shared" si="71"/>
        <v>378872.18481252453</v>
      </c>
      <c r="AK98" s="33">
        <f t="shared" si="72"/>
        <v>2.0487132218779208E-5</v>
      </c>
      <c r="AL98" s="40">
        <f t="shared" si="73"/>
        <v>1496443.6816940357</v>
      </c>
      <c r="AM98" s="33">
        <f t="shared" si="74"/>
        <v>8.0918686548585574E-5</v>
      </c>
      <c r="AN98" s="40">
        <f t="shared" si="75"/>
        <v>1723910.0797598632</v>
      </c>
      <c r="AO98" s="41">
        <f t="shared" si="76"/>
        <v>5.6210182260910471E-5</v>
      </c>
      <c r="AP98" s="40">
        <f t="shared" si="77"/>
        <v>2938849.5762930443</v>
      </c>
      <c r="AQ98" s="41">
        <f t="shared" si="78"/>
        <v>9.5824760386482901E-5</v>
      </c>
      <c r="AR98" s="53"/>
      <c r="AS98" s="53"/>
      <c r="BH98" t="s">
        <v>395</v>
      </c>
      <c r="BI98">
        <v>776505</v>
      </c>
      <c r="BJ98">
        <v>487530</v>
      </c>
      <c r="BK98" s="51">
        <v>37932.39</v>
      </c>
      <c r="BL98" s="32">
        <f t="shared" si="68"/>
        <v>18493178096.700001</v>
      </c>
      <c r="BM98">
        <v>30669</v>
      </c>
      <c r="BN98" s="37">
        <f t="shared" si="69"/>
        <v>3.94962041454981E-2</v>
      </c>
      <c r="BO98" s="50">
        <f t="shared" si="79"/>
        <v>4114157</v>
      </c>
      <c r="BP98" s="3">
        <f t="shared" si="80"/>
        <v>41141.57</v>
      </c>
      <c r="BQ98" s="11">
        <f>+'Rev mile pop elasticities'!P128</f>
        <v>1.8580186928274765E-2</v>
      </c>
      <c r="BR98" s="11">
        <f>+'Rev mile pop elasticities'!Q128</f>
        <v>3.8112796393841637E-2</v>
      </c>
      <c r="BS98" s="11">
        <f>+'Rev mile pop elasticities'!R128</f>
        <v>5.0978130200320659E-2</v>
      </c>
      <c r="BT98" s="11">
        <f>+'Rev mile pop elasticities'!S128</f>
        <v>4.5133574676917733E-2</v>
      </c>
      <c r="BU98" s="32">
        <f t="shared" si="81"/>
        <v>3436067.0593456253</v>
      </c>
      <c r="BV98" s="33">
        <f t="shared" si="82"/>
        <v>1.8580186928274765E-4</v>
      </c>
      <c r="BW98" s="40">
        <f t="shared" si="83"/>
        <v>7048267.3147457894</v>
      </c>
      <c r="BX98" s="33">
        <f t="shared" si="84"/>
        <v>3.8112796393841638E-4</v>
      </c>
      <c r="BY98" s="40">
        <f t="shared" si="85"/>
        <v>15634482.751136344</v>
      </c>
      <c r="BZ98" s="41">
        <f t="shared" si="86"/>
        <v>5.0978130200320668E-4</v>
      </c>
      <c r="CA98" s="40">
        <f t="shared" si="87"/>
        <v>13842016.0176639</v>
      </c>
      <c r="CB98" s="41">
        <f t="shared" si="88"/>
        <v>4.5133574676917734E-4</v>
      </c>
      <c r="CQ98" s="70">
        <f t="shared" si="89"/>
        <v>0.77712588930429827</v>
      </c>
      <c r="CR98" s="70">
        <f t="shared" si="90"/>
        <v>7.0479089683622043</v>
      </c>
      <c r="CS98" s="70">
        <f t="shared" si="91"/>
        <v>7.8250348576665028</v>
      </c>
      <c r="CT98" s="70">
        <f t="shared" si="92"/>
        <v>3.0694391764487019</v>
      </c>
      <c r="CU98" s="70">
        <f t="shared" si="93"/>
        <v>14.457094568017947</v>
      </c>
      <c r="CV98" s="70">
        <f t="shared" si="94"/>
        <v>17.526533744466647</v>
      </c>
      <c r="CW98" s="69">
        <f t="shared" si="95"/>
        <v>3.5360082041307472</v>
      </c>
      <c r="CX98" s="69">
        <f t="shared" si="96"/>
        <v>32.06876038630719</v>
      </c>
      <c r="CY98" s="70">
        <f t="shared" si="97"/>
        <v>35.604768590437935</v>
      </c>
      <c r="CZ98" s="69">
        <f t="shared" si="98"/>
        <v>6.0280384310566415</v>
      </c>
      <c r="DA98" s="69">
        <f t="shared" si="99"/>
        <v>28.392131802481693</v>
      </c>
      <c r="DB98" s="70">
        <f t="shared" si="100"/>
        <v>34.420170233538336</v>
      </c>
    </row>
    <row r="99" spans="23:106">
      <c r="W99" t="s">
        <v>396</v>
      </c>
      <c r="X99">
        <v>82022</v>
      </c>
      <c r="Y99">
        <v>52296</v>
      </c>
      <c r="Z99" s="51">
        <v>28743.83</v>
      </c>
      <c r="AA99" s="32">
        <f t="shared" si="66"/>
        <v>1503187333.6800001</v>
      </c>
      <c r="AB99">
        <v>2100</v>
      </c>
      <c r="AC99" s="37">
        <f t="shared" si="67"/>
        <v>2.5602887030308941E-2</v>
      </c>
      <c r="AD99" s="50">
        <f>+'Revenue mile elasticities'!M128</f>
        <v>440808</v>
      </c>
      <c r="AE99" s="3">
        <f t="shared" si="70"/>
        <v>4408.08</v>
      </c>
      <c r="AF99" s="11">
        <f>+'Revenue mile elasticities'!P128</f>
        <v>3.9429408833695407E-4</v>
      </c>
      <c r="AG99" s="11">
        <f>+'Revenue mile elasticities'!Q128</f>
        <v>1.5573560711856186E-3</v>
      </c>
      <c r="AH99" s="11">
        <f>+'Revenue mile elasticities'!R128</f>
        <v>1.081817715292726E-3</v>
      </c>
      <c r="AI99" s="11">
        <f>+'Revenue mile elasticities'!S128</f>
        <v>1.8442374527198116E-3</v>
      </c>
      <c r="AJ99" s="32">
        <f t="shared" si="71"/>
        <v>5926.9787933301241</v>
      </c>
      <c r="AK99" s="33">
        <f t="shared" si="72"/>
        <v>3.9429408833695411E-6</v>
      </c>
      <c r="AL99" s="40">
        <f t="shared" si="73"/>
        <v>23409.979202358703</v>
      </c>
      <c r="AM99" s="33">
        <f t="shared" si="74"/>
        <v>1.5573560711856186E-5</v>
      </c>
      <c r="AN99" s="40">
        <f t="shared" si="75"/>
        <v>22718.172021147242</v>
      </c>
      <c r="AO99" s="41">
        <f t="shared" si="76"/>
        <v>1.0818177152927258E-5</v>
      </c>
      <c r="AP99" s="40">
        <f t="shared" si="77"/>
        <v>38728.986507116046</v>
      </c>
      <c r="AQ99" s="41">
        <f t="shared" si="78"/>
        <v>1.8442374527198114E-5</v>
      </c>
      <c r="AR99" s="53"/>
      <c r="AS99" s="53"/>
      <c r="BH99" t="s">
        <v>396</v>
      </c>
      <c r="BI99">
        <v>82022</v>
      </c>
      <c r="BJ99">
        <v>52296</v>
      </c>
      <c r="BK99" s="51">
        <v>28743.83</v>
      </c>
      <c r="BL99" s="32">
        <f t="shared" si="68"/>
        <v>1503187333.6800001</v>
      </c>
      <c r="BM99">
        <v>2100</v>
      </c>
      <c r="BN99" s="37">
        <f t="shared" si="69"/>
        <v>2.5602887030308941E-2</v>
      </c>
      <c r="BO99" s="50">
        <f t="shared" si="79"/>
        <v>440808</v>
      </c>
      <c r="BP99" s="3">
        <f t="shared" si="80"/>
        <v>4408.08</v>
      </c>
      <c r="BQ99" s="11">
        <f>+'Rev mile pop elasticities'!P129</f>
        <v>1.8846581533734849E-2</v>
      </c>
      <c r="BR99" s="11">
        <f>+'Rev mile pop elasticities'!Q129</f>
        <v>3.865924102314014E-2</v>
      </c>
      <c r="BS99" s="11">
        <f>+'Rev mile pop elasticities'!R129</f>
        <v>5.1709032366925943E-2</v>
      </c>
      <c r="BT99" s="11">
        <f>+'Rev mile pop elasticities'!S129</f>
        <v>4.5780680158981749E-2</v>
      </c>
      <c r="BU99" s="32">
        <f t="shared" si="81"/>
        <v>283299.42644677614</v>
      </c>
      <c r="BV99" s="33">
        <f t="shared" si="82"/>
        <v>1.8846581533734849E-4</v>
      </c>
      <c r="BW99" s="40">
        <f t="shared" si="83"/>
        <v>581120.81435666513</v>
      </c>
      <c r="BX99" s="33">
        <f t="shared" si="84"/>
        <v>3.8659241023140148E-4</v>
      </c>
      <c r="BY99" s="40">
        <f t="shared" si="85"/>
        <v>1085889.679705445</v>
      </c>
      <c r="BZ99" s="41">
        <f t="shared" si="86"/>
        <v>5.1709032366925958E-4</v>
      </c>
      <c r="CA99" s="40">
        <f t="shared" si="87"/>
        <v>961394.28333861672</v>
      </c>
      <c r="CB99" s="41">
        <f t="shared" si="88"/>
        <v>4.5780680158981747E-4</v>
      </c>
      <c r="CQ99" s="70">
        <f t="shared" si="89"/>
        <v>0.11333522245162392</v>
      </c>
      <c r="CR99" s="70">
        <f t="shared" si="90"/>
        <v>5.4172293568681376</v>
      </c>
      <c r="CS99" s="70">
        <f t="shared" si="91"/>
        <v>5.5305645793197611</v>
      </c>
      <c r="CT99" s="70">
        <f t="shared" si="92"/>
        <v>0.44764378159627322</v>
      </c>
      <c r="CU99" s="70">
        <f t="shared" si="93"/>
        <v>11.112146518981664</v>
      </c>
      <c r="CV99" s="70">
        <f t="shared" si="94"/>
        <v>11.559790300577937</v>
      </c>
      <c r="CW99" s="69">
        <f t="shared" si="95"/>
        <v>0.43441509907349019</v>
      </c>
      <c r="CX99" s="69">
        <f t="shared" si="96"/>
        <v>20.764297072537957</v>
      </c>
      <c r="CY99" s="70">
        <f t="shared" si="97"/>
        <v>21.198712171611447</v>
      </c>
      <c r="CZ99" s="69">
        <f t="shared" si="98"/>
        <v>0.74057263475439894</v>
      </c>
      <c r="DA99" s="69">
        <f t="shared" si="99"/>
        <v>18.3837058922024</v>
      </c>
      <c r="DB99" s="70">
        <f t="shared" si="100"/>
        <v>19.1242785269568</v>
      </c>
    </row>
    <row r="100" spans="23:106">
      <c r="W100" t="s">
        <v>397</v>
      </c>
      <c r="X100">
        <v>248852</v>
      </c>
      <c r="Y100">
        <v>120420</v>
      </c>
      <c r="Z100" s="51">
        <v>37881.33</v>
      </c>
      <c r="AA100" s="32">
        <f t="shared" si="66"/>
        <v>4561669758.6000004</v>
      </c>
      <c r="AB100">
        <v>6356</v>
      </c>
      <c r="AC100" s="37">
        <f t="shared" si="67"/>
        <v>2.5541285583398968E-2</v>
      </c>
      <c r="AD100" s="50">
        <f>+'Revenue mile elasticities'!M129</f>
        <v>392470</v>
      </c>
      <c r="AE100" s="3">
        <f t="shared" si="70"/>
        <v>3924.7000000000003</v>
      </c>
      <c r="AF100" s="11">
        <f>+'Revenue mile elasticities'!P129</f>
        <v>2.9678446761093665E-4</v>
      </c>
      <c r="AG100" s="11">
        <f>+'Revenue mile elasticities'!Q129</f>
        <v>1.1722191788797497E-3</v>
      </c>
      <c r="AH100" s="11">
        <f>+'Revenue mile elasticities'!R129</f>
        <v>8.1428229380617995E-4</v>
      </c>
      <c r="AI100" s="11">
        <f>+'Revenue mile elasticities'!S129</f>
        <v>1.3881542907786509E-3</v>
      </c>
      <c r="AJ100" s="32">
        <f t="shared" si="71"/>
        <v>13538.327307230109</v>
      </c>
      <c r="AK100" s="33">
        <f t="shared" si="72"/>
        <v>2.9678446761093664E-6</v>
      </c>
      <c r="AL100" s="40">
        <f t="shared" si="73"/>
        <v>53472.767787466786</v>
      </c>
      <c r="AM100" s="33">
        <f t="shared" si="74"/>
        <v>1.1722191788797497E-5</v>
      </c>
      <c r="AN100" s="40">
        <f t="shared" si="75"/>
        <v>51755.782594320794</v>
      </c>
      <c r="AO100" s="41">
        <f t="shared" si="76"/>
        <v>8.1428229380617989E-6</v>
      </c>
      <c r="AP100" s="40">
        <f t="shared" si="77"/>
        <v>88231.086721891057</v>
      </c>
      <c r="AQ100" s="41">
        <f t="shared" si="78"/>
        <v>1.388154290778651E-5</v>
      </c>
      <c r="AR100" s="53"/>
      <c r="AS100" s="53"/>
      <c r="BH100" t="s">
        <v>397</v>
      </c>
      <c r="BI100">
        <v>248852</v>
      </c>
      <c r="BJ100">
        <v>120420</v>
      </c>
      <c r="BK100" s="51">
        <v>37881.33</v>
      </c>
      <c r="BL100" s="32">
        <f t="shared" si="68"/>
        <v>4561669758.6000004</v>
      </c>
      <c r="BM100">
        <v>6356</v>
      </c>
      <c r="BN100" s="37">
        <f t="shared" si="69"/>
        <v>2.5541285583398968E-2</v>
      </c>
      <c r="BO100" s="50">
        <f t="shared" si="79"/>
        <v>392470</v>
      </c>
      <c r="BP100" s="3">
        <f t="shared" si="80"/>
        <v>3924.7000000000003</v>
      </c>
      <c r="BQ100" s="11">
        <f>+'Rev mile pop elasticities'!P130</f>
        <v>5.5306834801408062E-3</v>
      </c>
      <c r="BR100" s="11">
        <f>+'Rev mile pop elasticities'!Q130</f>
        <v>1.1344870437046919E-2</v>
      </c>
      <c r="BS100" s="11">
        <f>+'Rev mile pop elasticities'!R130</f>
        <v>1.5174438429267193E-2</v>
      </c>
      <c r="BT100" s="11">
        <f>+'Rev mile pop elasticities'!S130</f>
        <v>1.3434714991239773E-2</v>
      </c>
      <c r="BU100" s="32">
        <f t="shared" si="81"/>
        <v>252291.5157574692</v>
      </c>
      <c r="BV100" s="33">
        <f t="shared" si="82"/>
        <v>5.5306834801408056E-5</v>
      </c>
      <c r="BW100" s="40">
        <f t="shared" si="83"/>
        <v>517515.523879121</v>
      </c>
      <c r="BX100" s="33">
        <f t="shared" si="84"/>
        <v>1.1344870437046919E-4</v>
      </c>
      <c r="BY100" s="40">
        <f t="shared" si="85"/>
        <v>964487.30656422279</v>
      </c>
      <c r="BZ100" s="41">
        <f t="shared" si="86"/>
        <v>1.5174438429267192E-4</v>
      </c>
      <c r="CA100" s="40">
        <f t="shared" si="87"/>
        <v>853910.48484319996</v>
      </c>
      <c r="CB100" s="41">
        <f t="shared" si="88"/>
        <v>1.3434714991239773E-4</v>
      </c>
      <c r="CQ100" s="70">
        <f t="shared" si="89"/>
        <v>0.11242590356444203</v>
      </c>
      <c r="CR100" s="70">
        <f t="shared" si="90"/>
        <v>2.0950964603676234</v>
      </c>
      <c r="CS100" s="70">
        <f t="shared" si="91"/>
        <v>2.2075223639320654</v>
      </c>
      <c r="CT100" s="70">
        <f t="shared" si="92"/>
        <v>0.44405221547472834</v>
      </c>
      <c r="CU100" s="70">
        <f t="shared" si="93"/>
        <v>4.2975878083301859</v>
      </c>
      <c r="CV100" s="70">
        <f t="shared" si="94"/>
        <v>4.7416400238049139</v>
      </c>
      <c r="CW100" s="69">
        <f t="shared" si="95"/>
        <v>0.42979390960239822</v>
      </c>
      <c r="CX100" s="69">
        <f t="shared" si="96"/>
        <v>8.0093614562715736</v>
      </c>
      <c r="CY100" s="70">
        <f t="shared" si="97"/>
        <v>8.4391553658739724</v>
      </c>
      <c r="CZ100" s="69">
        <f t="shared" si="98"/>
        <v>0.73269462482885783</v>
      </c>
      <c r="DA100" s="69">
        <f t="shared" si="99"/>
        <v>7.0911018505497418</v>
      </c>
      <c r="DB100" s="70">
        <f t="shared" si="100"/>
        <v>7.8237964753785993</v>
      </c>
    </row>
    <row r="101" spans="23:106">
      <c r="W101" t="s">
        <v>398</v>
      </c>
      <c r="X101">
        <v>302322</v>
      </c>
      <c r="Y101">
        <v>209142</v>
      </c>
      <c r="Z101" s="51">
        <v>38983.25</v>
      </c>
      <c r="AA101" s="32">
        <f t="shared" si="66"/>
        <v>8153034871.5</v>
      </c>
      <c r="AB101">
        <v>13143</v>
      </c>
      <c r="AC101" s="37">
        <f t="shared" si="67"/>
        <v>4.3473514993946853E-2</v>
      </c>
      <c r="AD101" s="50">
        <f>+'Revenue mile elasticities'!M130</f>
        <v>1296480</v>
      </c>
      <c r="AE101" s="3">
        <f t="shared" si="70"/>
        <v>12964.800000000001</v>
      </c>
      <c r="AF101" s="11">
        <f>+'Revenue mile elasticities'!P130</f>
        <v>1.0762032975476458E-3</v>
      </c>
      <c r="AG101" s="11">
        <f>+'Revenue mile elasticities'!Q130</f>
        <v>4.2507148568596172E-3</v>
      </c>
      <c r="AH101" s="11">
        <f>+'Revenue mile elasticities'!R130</f>
        <v>2.9527599499502197E-3</v>
      </c>
      <c r="AI101" s="11">
        <f>+'Revenue mile elasticities'!S130</f>
        <v>5.0337412778600739E-3</v>
      </c>
      <c r="AJ101" s="32">
        <f t="shared" si="71"/>
        <v>87743.23013729247</v>
      </c>
      <c r="AK101" s="33">
        <f t="shared" si="72"/>
        <v>1.0762032975476458E-5</v>
      </c>
      <c r="AL101" s="40">
        <f t="shared" si="73"/>
        <v>346562.26456779591</v>
      </c>
      <c r="AM101" s="33">
        <f t="shared" si="74"/>
        <v>4.2507148568596171E-5</v>
      </c>
      <c r="AN101" s="40">
        <f t="shared" si="75"/>
        <v>388081.24022195744</v>
      </c>
      <c r="AO101" s="41">
        <f t="shared" si="76"/>
        <v>2.9527599499502202E-5</v>
      </c>
      <c r="AP101" s="40">
        <f t="shared" si="77"/>
        <v>661584.61614914949</v>
      </c>
      <c r="AQ101" s="41">
        <f t="shared" si="78"/>
        <v>5.0337412778600738E-5</v>
      </c>
      <c r="AR101" s="53"/>
      <c r="AS101" s="53"/>
      <c r="BH101" t="s">
        <v>398</v>
      </c>
      <c r="BI101">
        <v>302322</v>
      </c>
      <c r="BJ101">
        <v>209142</v>
      </c>
      <c r="BK101" s="51">
        <v>38983.25</v>
      </c>
      <c r="BL101" s="32">
        <f t="shared" si="68"/>
        <v>8153034871.5</v>
      </c>
      <c r="BM101">
        <v>13143</v>
      </c>
      <c r="BN101" s="37">
        <f t="shared" si="69"/>
        <v>4.3473514993946853E-2</v>
      </c>
      <c r="BO101" s="50">
        <f t="shared" si="79"/>
        <v>1296480</v>
      </c>
      <c r="BP101" s="3">
        <f t="shared" si="80"/>
        <v>12964.800000000001</v>
      </c>
      <c r="BQ101" s="11">
        <f>+'Rev mile pop elasticities'!P131</f>
        <v>1.5038673975430168E-2</v>
      </c>
      <c r="BR101" s="11">
        <f>+'Rev mile pop elasticities'!Q131</f>
        <v>3.0848232123365162E-2</v>
      </c>
      <c r="BS101" s="11">
        <f>+'Rev mile pop elasticities'!R131</f>
        <v>4.1261343759302987E-2</v>
      </c>
      <c r="BT101" s="11">
        <f>+'Rev mile pop elasticities'!S131</f>
        <v>3.6530801198721902E-2</v>
      </c>
      <c r="BU101" s="32">
        <f t="shared" si="81"/>
        <v>1226108.3334280171</v>
      </c>
      <c r="BV101" s="33">
        <f t="shared" si="82"/>
        <v>1.503867397543017E-4</v>
      </c>
      <c r="BW101" s="40">
        <f t="shared" si="83"/>
        <v>2515067.1222592266</v>
      </c>
      <c r="BX101" s="33">
        <f t="shared" si="84"/>
        <v>3.0848232123365161E-4</v>
      </c>
      <c r="BY101" s="40">
        <f t="shared" si="85"/>
        <v>5422978.4102851925</v>
      </c>
      <c r="BZ101" s="41">
        <f t="shared" si="86"/>
        <v>4.1261343759303E-4</v>
      </c>
      <c r="CA101" s="40">
        <f t="shared" si="87"/>
        <v>4801243.2015480194</v>
      </c>
      <c r="CB101" s="41">
        <f t="shared" si="88"/>
        <v>3.65308011987219E-4</v>
      </c>
      <c r="CQ101" s="70">
        <f t="shared" si="89"/>
        <v>0.41953902199124266</v>
      </c>
      <c r="CR101" s="70">
        <f t="shared" si="90"/>
        <v>5.8625638725268816</v>
      </c>
      <c r="CS101" s="70">
        <f t="shared" si="91"/>
        <v>6.2821028945181245</v>
      </c>
      <c r="CT101" s="70">
        <f t="shared" si="92"/>
        <v>1.6570667994367267</v>
      </c>
      <c r="CU101" s="70">
        <f t="shared" si="93"/>
        <v>12.025643449231749</v>
      </c>
      <c r="CV101" s="70">
        <f t="shared" si="94"/>
        <v>13.682710248668476</v>
      </c>
      <c r="CW101" s="69">
        <f t="shared" si="95"/>
        <v>1.8555873053808296</v>
      </c>
      <c r="CX101" s="69">
        <f t="shared" si="96"/>
        <v>25.929647848281036</v>
      </c>
      <c r="CY101" s="70">
        <f t="shared" si="97"/>
        <v>27.785235153661866</v>
      </c>
      <c r="CZ101" s="69">
        <f t="shared" si="98"/>
        <v>3.1633273859346733</v>
      </c>
      <c r="DA101" s="69">
        <f t="shared" si="99"/>
        <v>22.956858027311679</v>
      </c>
      <c r="DB101" s="70">
        <f t="shared" si="100"/>
        <v>26.120185413246354</v>
      </c>
    </row>
    <row r="102" spans="23:106">
      <c r="W102" t="s">
        <v>399</v>
      </c>
      <c r="X102">
        <v>630098</v>
      </c>
      <c r="Y102">
        <v>401269</v>
      </c>
      <c r="Z102" s="51">
        <v>35794.89</v>
      </c>
      <c r="AA102" s="32">
        <f t="shared" si="66"/>
        <v>14363379715.41</v>
      </c>
      <c r="AB102">
        <v>21737</v>
      </c>
      <c r="AC102" s="37">
        <f t="shared" si="67"/>
        <v>3.449780827744256E-2</v>
      </c>
      <c r="AD102" s="50">
        <f>+'Revenue mile elasticities'!M131</f>
        <v>577666</v>
      </c>
      <c r="AE102" s="3">
        <f t="shared" si="70"/>
        <v>5776.66</v>
      </c>
      <c r="AF102" s="11">
        <f>+'Revenue mile elasticities'!P131</f>
        <v>3.6130320053848474E-4</v>
      </c>
      <c r="AG102" s="11">
        <f>+'Revenue mile elasticities'!Q131</f>
        <v>1.4270508981523297E-3</v>
      </c>
      <c r="AH102" s="11">
        <f>+'Revenue mile elasticities'!R131</f>
        <v>9.9130120003338784E-4</v>
      </c>
      <c r="AI102" s="11">
        <f>+'Revenue mile elasticities'!S131</f>
        <v>1.6899286951803903E-3</v>
      </c>
      <c r="AJ102" s="32">
        <f t="shared" si="71"/>
        <v>51895.350617271833</v>
      </c>
      <c r="AK102" s="33">
        <f t="shared" si="72"/>
        <v>3.6130320053848476E-6</v>
      </c>
      <c r="AL102" s="40">
        <f t="shared" si="73"/>
        <v>204972.73923378793</v>
      </c>
      <c r="AM102" s="33">
        <f t="shared" si="74"/>
        <v>1.4270508981523296E-5</v>
      </c>
      <c r="AN102" s="40">
        <f t="shared" si="75"/>
        <v>215479.14185125759</v>
      </c>
      <c r="AO102" s="41">
        <f t="shared" si="76"/>
        <v>9.9130120003338827E-6</v>
      </c>
      <c r="AP102" s="40">
        <f t="shared" si="77"/>
        <v>367339.80047136149</v>
      </c>
      <c r="AQ102" s="41">
        <f t="shared" si="78"/>
        <v>1.6899286951803904E-5</v>
      </c>
      <c r="AR102" s="53"/>
      <c r="AS102" s="53"/>
      <c r="BH102" t="s">
        <v>399</v>
      </c>
      <c r="BI102">
        <v>630098</v>
      </c>
      <c r="BJ102">
        <v>401269</v>
      </c>
      <c r="BK102" s="51">
        <v>35794.89</v>
      </c>
      <c r="BL102" s="32">
        <f t="shared" si="68"/>
        <v>14363379715.41</v>
      </c>
      <c r="BM102">
        <v>21737</v>
      </c>
      <c r="BN102" s="37">
        <f t="shared" si="69"/>
        <v>3.449780827744256E-2</v>
      </c>
      <c r="BO102" s="50">
        <f t="shared" si="79"/>
        <v>577666</v>
      </c>
      <c r="BP102" s="3">
        <f t="shared" si="80"/>
        <v>5776.66</v>
      </c>
      <c r="BQ102" s="11">
        <f>+'Rev mile pop elasticities'!P132</f>
        <v>3.2150089067414906E-3</v>
      </c>
      <c r="BR102" s="11">
        <f>+'Rev mile pop elasticities'!Q132</f>
        <v>6.5948195429917263E-3</v>
      </c>
      <c r="BS102" s="11">
        <f>+'Rev mile pop elasticities'!R132</f>
        <v>8.8209630654279159E-3</v>
      </c>
      <c r="BT102" s="11">
        <f>+'Rev mile pop elasticities'!S132</f>
        <v>7.8096547219638863E-3</v>
      </c>
      <c r="BU102" s="32">
        <f t="shared" si="81"/>
        <v>461783.93715953204</v>
      </c>
      <c r="BV102" s="33">
        <f t="shared" si="82"/>
        <v>3.2150089067414904E-5</v>
      </c>
      <c r="BW102" s="40">
        <f t="shared" si="83"/>
        <v>947238.97250596806</v>
      </c>
      <c r="BX102" s="33">
        <f t="shared" si="84"/>
        <v>6.5948195429917257E-5</v>
      </c>
      <c r="BY102" s="40">
        <f t="shared" si="85"/>
        <v>1917412.7415320664</v>
      </c>
      <c r="BZ102" s="41">
        <f t="shared" si="86"/>
        <v>8.820963065427916E-5</v>
      </c>
      <c r="CA102" s="40">
        <f t="shared" si="87"/>
        <v>1697584.64691329</v>
      </c>
      <c r="CB102" s="41">
        <f t="shared" si="88"/>
        <v>7.8096547219638871E-5</v>
      </c>
      <c r="CQ102" s="70">
        <f t="shared" si="89"/>
        <v>0.12932808319923003</v>
      </c>
      <c r="CR102" s="70">
        <f t="shared" si="90"/>
        <v>1.1508089016583192</v>
      </c>
      <c r="CS102" s="70">
        <f t="shared" si="91"/>
        <v>1.2801369848575492</v>
      </c>
      <c r="CT102" s="70">
        <f t="shared" si="92"/>
        <v>0.51081129923763846</v>
      </c>
      <c r="CU102" s="70">
        <f t="shared" si="93"/>
        <v>2.3606084011123909</v>
      </c>
      <c r="CV102" s="70">
        <f t="shared" si="94"/>
        <v>2.8714197003500295</v>
      </c>
      <c r="CW102" s="69">
        <f t="shared" si="95"/>
        <v>0.5369942404004735</v>
      </c>
      <c r="CX102" s="69">
        <f t="shared" si="96"/>
        <v>4.7783724671780439</v>
      </c>
      <c r="CY102" s="70">
        <f t="shared" si="97"/>
        <v>5.3153667075785176</v>
      </c>
      <c r="CZ102" s="69">
        <f t="shared" si="98"/>
        <v>0.91544525111922803</v>
      </c>
      <c r="DA102" s="69">
        <f t="shared" si="99"/>
        <v>4.2305402284085991</v>
      </c>
      <c r="DB102" s="70">
        <f t="shared" si="100"/>
        <v>5.1459854795278268</v>
      </c>
    </row>
    <row r="103" spans="23:106">
      <c r="W103" t="s">
        <v>400</v>
      </c>
      <c r="X103">
        <v>264278</v>
      </c>
      <c r="Y103">
        <v>126897</v>
      </c>
      <c r="Z103" s="51">
        <v>32463.68</v>
      </c>
      <c r="AA103" s="32">
        <f t="shared" si="66"/>
        <v>4119543600.96</v>
      </c>
      <c r="AB103">
        <v>6335</v>
      </c>
      <c r="AC103" s="37">
        <f t="shared" si="67"/>
        <v>2.397096996344758E-2</v>
      </c>
      <c r="AD103" s="50">
        <f>+'Revenue mile elasticities'!M132</f>
        <v>410144</v>
      </c>
      <c r="AE103" s="3">
        <f t="shared" si="70"/>
        <v>4101.4400000000005</v>
      </c>
      <c r="AF103" s="11">
        <f>+'Revenue mile elasticities'!P132</f>
        <v>2.4433927406679562E-4</v>
      </c>
      <c r="AG103" s="11">
        <f>+'Revenue mile elasticities'!Q132</f>
        <v>9.650747073129465E-4</v>
      </c>
      <c r="AH103" s="11">
        <f>+'Revenue mile elasticities'!R132</f>
        <v>6.7038934400998073E-4</v>
      </c>
      <c r="AI103" s="11">
        <f>+'Revenue mile elasticities'!S132</f>
        <v>1.1428516270811208E-3</v>
      </c>
      <c r="AJ103" s="32">
        <f t="shared" si="71"/>
        <v>10065.662929450795</v>
      </c>
      <c r="AK103" s="33">
        <f t="shared" si="72"/>
        <v>2.4433927406679559E-6</v>
      </c>
      <c r="AL103" s="40">
        <f t="shared" si="73"/>
        <v>39756.673349593933</v>
      </c>
      <c r="AM103" s="33">
        <f t="shared" si="74"/>
        <v>9.6507470731294645E-6</v>
      </c>
      <c r="AN103" s="40">
        <f t="shared" si="75"/>
        <v>42469.16494303228</v>
      </c>
      <c r="AO103" s="41">
        <f t="shared" si="76"/>
        <v>6.703893440099807E-6</v>
      </c>
      <c r="AP103" s="40">
        <f t="shared" si="77"/>
        <v>72399.650575588996</v>
      </c>
      <c r="AQ103" s="41">
        <f t="shared" si="78"/>
        <v>1.1428516270811207E-5</v>
      </c>
      <c r="AR103" s="53"/>
      <c r="AS103" s="53"/>
      <c r="BH103" t="s">
        <v>400</v>
      </c>
      <c r="BI103">
        <v>264278</v>
      </c>
      <c r="BJ103">
        <v>126897</v>
      </c>
      <c r="BK103" s="51">
        <v>32463.68</v>
      </c>
      <c r="BL103" s="32">
        <f t="shared" si="68"/>
        <v>4119543600.96</v>
      </c>
      <c r="BM103">
        <v>6335</v>
      </c>
      <c r="BN103" s="37">
        <f t="shared" si="69"/>
        <v>2.397096996344758E-2</v>
      </c>
      <c r="BO103" s="50">
        <f t="shared" si="79"/>
        <v>410144</v>
      </c>
      <c r="BP103" s="3">
        <f t="shared" si="80"/>
        <v>4101.4400000000005</v>
      </c>
      <c r="BQ103" s="11">
        <f>+'Rev mile pop elasticities'!P133</f>
        <v>5.4423795475976051E-3</v>
      </c>
      <c r="BR103" s="11">
        <f>+'Rev mile pop elasticities'!Q133</f>
        <v>1.1163736102134874E-2</v>
      </c>
      <c r="BS103" s="11">
        <f>+'Rev mile pop elasticities'!R133</f>
        <v>1.4932160491603537E-2</v>
      </c>
      <c r="BT103" s="11">
        <f>+'Rev mile pop elasticities'!S133</f>
        <v>1.322021380515972E-2</v>
      </c>
      <c r="BU103" s="32">
        <f t="shared" si="81"/>
        <v>224201.19839301292</v>
      </c>
      <c r="BV103" s="33">
        <f t="shared" si="82"/>
        <v>5.4423795475976048E-5</v>
      </c>
      <c r="BW103" s="40">
        <f t="shared" si="83"/>
        <v>459894.97622355854</v>
      </c>
      <c r="BX103" s="33">
        <f t="shared" si="84"/>
        <v>1.1163736102134874E-4</v>
      </c>
      <c r="BY103" s="40">
        <f t="shared" si="85"/>
        <v>945952.36714308406</v>
      </c>
      <c r="BZ103" s="41">
        <f t="shared" si="86"/>
        <v>1.4932160491603537E-4</v>
      </c>
      <c r="CA103" s="40">
        <f t="shared" si="87"/>
        <v>837500.54455686826</v>
      </c>
      <c r="CB103" s="41">
        <f t="shared" si="88"/>
        <v>1.3220213805159719E-4</v>
      </c>
      <c r="CQ103" s="70">
        <f t="shared" si="89"/>
        <v>7.9321520047367505E-2</v>
      </c>
      <c r="CR103" s="70">
        <f t="shared" si="90"/>
        <v>1.7667966807175342</v>
      </c>
      <c r="CS103" s="70">
        <f t="shared" si="91"/>
        <v>1.8461182007649017</v>
      </c>
      <c r="CT103" s="70">
        <f t="shared" si="92"/>
        <v>0.31329876474301155</v>
      </c>
      <c r="CU103" s="70">
        <f t="shared" si="93"/>
        <v>3.6241595642415385</v>
      </c>
      <c r="CV103" s="70">
        <f t="shared" si="94"/>
        <v>3.9374583289845502</v>
      </c>
      <c r="CW103" s="69">
        <f t="shared" si="95"/>
        <v>0.3346743023320668</v>
      </c>
      <c r="CX103" s="69">
        <f t="shared" si="96"/>
        <v>7.4544896029305976</v>
      </c>
      <c r="CY103" s="70">
        <f t="shared" si="97"/>
        <v>7.7891639052626642</v>
      </c>
      <c r="CZ103" s="69">
        <f t="shared" si="98"/>
        <v>0.57053870915458205</v>
      </c>
      <c r="DA103" s="69">
        <f t="shared" si="99"/>
        <v>6.599845107109453</v>
      </c>
      <c r="DB103" s="70">
        <f t="shared" si="100"/>
        <v>7.1703838162640352</v>
      </c>
    </row>
    <row r="104" spans="23:106">
      <c r="W104" t="s">
        <v>401</v>
      </c>
      <c r="X104">
        <v>148746</v>
      </c>
      <c r="Y104">
        <v>57973</v>
      </c>
      <c r="Z104" s="51">
        <v>32879.68</v>
      </c>
      <c r="AA104" s="32">
        <f t="shared" si="66"/>
        <v>1906133688.6400001</v>
      </c>
      <c r="AB104">
        <v>2460</v>
      </c>
      <c r="AC104" s="37">
        <f t="shared" si="67"/>
        <v>1.6538259852365778E-2</v>
      </c>
      <c r="AD104" s="50">
        <f>+'Revenue mile elasticities'!M133</f>
        <v>767251</v>
      </c>
      <c r="AE104" s="3">
        <f t="shared" si="70"/>
        <v>7672.51</v>
      </c>
      <c r="AF104" s="11">
        <f>+'Revenue mile elasticities'!P133</f>
        <v>9.1950708521597237E-4</v>
      </c>
      <c r="AG104" s="11">
        <f>+'Revenue mile elasticities'!Q133</f>
        <v>3.6318067757473826E-3</v>
      </c>
      <c r="AH104" s="11">
        <f>+'Revenue mile elasticities'!R133</f>
        <v>2.5228353240582635E-3</v>
      </c>
      <c r="AI104" s="11">
        <f>+'Revenue mile elasticities'!S133</f>
        <v>4.3008238133850586E-3</v>
      </c>
      <c r="AJ104" s="32">
        <f t="shared" si="71"/>
        <v>17527.034320733364</v>
      </c>
      <c r="AK104" s="33">
        <f t="shared" si="72"/>
        <v>9.195070852159725E-6</v>
      </c>
      <c r="AL104" s="40">
        <f t="shared" si="73"/>
        <v>69227.092458831044</v>
      </c>
      <c r="AM104" s="33">
        <f t="shared" si="74"/>
        <v>3.6318067757473826E-5</v>
      </c>
      <c r="AN104" s="40">
        <f t="shared" si="75"/>
        <v>62061.74897183328</v>
      </c>
      <c r="AO104" s="41">
        <f t="shared" si="76"/>
        <v>2.5228353240582635E-5</v>
      </c>
      <c r="AP104" s="40">
        <f t="shared" si="77"/>
        <v>105800.26580927245</v>
      </c>
      <c r="AQ104" s="41">
        <f t="shared" si="78"/>
        <v>4.3008238133850589E-5</v>
      </c>
      <c r="AR104" s="53"/>
      <c r="AS104" s="53"/>
      <c r="BH104" t="s">
        <v>401</v>
      </c>
      <c r="BI104">
        <v>148746</v>
      </c>
      <c r="BJ104">
        <v>57973</v>
      </c>
      <c r="BK104" s="51">
        <v>32879.68</v>
      </c>
      <c r="BL104" s="32">
        <f t="shared" si="68"/>
        <v>1906133688.6400001</v>
      </c>
      <c r="BM104">
        <v>2460</v>
      </c>
      <c r="BN104" s="37">
        <f t="shared" si="69"/>
        <v>1.6538259852365778E-2</v>
      </c>
      <c r="BO104" s="50">
        <f t="shared" si="79"/>
        <v>767251</v>
      </c>
      <c r="BP104" s="3">
        <f t="shared" si="80"/>
        <v>7672.51</v>
      </c>
      <c r="BQ104" s="11">
        <f>+'Rev mile pop elasticities'!P134</f>
        <v>1.8088628614013148E-2</v>
      </c>
      <c r="BR104" s="11">
        <f>+'Rev mile pop elasticities'!Q134</f>
        <v>3.7104482429107341E-2</v>
      </c>
      <c r="BS104" s="11">
        <f>+'Rev mile pop elasticities'!R134</f>
        <v>4.9629450348916936E-2</v>
      </c>
      <c r="BT104" s="11">
        <f>+'Rev mile pop elasticities'!S134</f>
        <v>4.3939518666048165E-2</v>
      </c>
      <c r="BU104" s="32">
        <f t="shared" si="81"/>
        <v>344793.44382467936</v>
      </c>
      <c r="BV104" s="33">
        <f t="shared" si="82"/>
        <v>1.8088628614013148E-4</v>
      </c>
      <c r="BW104" s="40">
        <f t="shared" si="83"/>
        <v>707261.03957672452</v>
      </c>
      <c r="BX104" s="33">
        <f t="shared" si="84"/>
        <v>3.7104482429107345E-4</v>
      </c>
      <c r="BY104" s="40">
        <f t="shared" si="85"/>
        <v>1220884.4785833566</v>
      </c>
      <c r="BZ104" s="41">
        <f t="shared" si="86"/>
        <v>4.962945034891694E-4</v>
      </c>
      <c r="CA104" s="40">
        <f t="shared" si="87"/>
        <v>1080912.1591847849</v>
      </c>
      <c r="CB104" s="41">
        <f t="shared" si="88"/>
        <v>4.3939518666048164E-4</v>
      </c>
      <c r="CQ104" s="70">
        <f t="shared" si="89"/>
        <v>0.30233098719633905</v>
      </c>
      <c r="CR104" s="70">
        <f t="shared" si="90"/>
        <v>5.9474832046759589</v>
      </c>
      <c r="CS104" s="70">
        <f t="shared" si="91"/>
        <v>6.2498141918722983</v>
      </c>
      <c r="CT104" s="70">
        <f t="shared" si="92"/>
        <v>1.194126446084057</v>
      </c>
      <c r="CU104" s="70">
        <f t="shared" si="93"/>
        <v>12.199835088346722</v>
      </c>
      <c r="CV104" s="70">
        <f t="shared" si="94"/>
        <v>13.39396153443078</v>
      </c>
      <c r="CW104" s="69">
        <f t="shared" si="95"/>
        <v>1.0705285041628565</v>
      </c>
      <c r="CX104" s="69">
        <f t="shared" si="96"/>
        <v>21.05953596645605</v>
      </c>
      <c r="CY104" s="70">
        <f t="shared" si="97"/>
        <v>22.130064470618905</v>
      </c>
      <c r="CZ104" s="69">
        <f t="shared" si="98"/>
        <v>1.824992079231236</v>
      </c>
      <c r="DA104" s="69">
        <f t="shared" si="99"/>
        <v>18.645096151394352</v>
      </c>
      <c r="DB104" s="70">
        <f t="shared" si="100"/>
        <v>20.470088230625588</v>
      </c>
    </row>
    <row r="105" spans="23:106">
      <c r="W105" t="s">
        <v>402</v>
      </c>
      <c r="X105">
        <v>533802</v>
      </c>
      <c r="Y105">
        <v>402933</v>
      </c>
      <c r="Z105" s="51">
        <v>39059.410000000003</v>
      </c>
      <c r="AA105" s="32">
        <f t="shared" si="66"/>
        <v>15738325249.530001</v>
      </c>
      <c r="AB105">
        <v>23255</v>
      </c>
      <c r="AC105" s="37">
        <f t="shared" si="67"/>
        <v>4.3564842394745618E-2</v>
      </c>
      <c r="AD105" s="50">
        <f>+'Revenue mile elasticities'!M134</f>
        <v>1739043</v>
      </c>
      <c r="AE105" s="3">
        <f t="shared" si="70"/>
        <v>17390.43</v>
      </c>
      <c r="AF105" s="11">
        <f>+'Revenue mile elasticities'!P134</f>
        <v>3.5132297180169347E-4</v>
      </c>
      <c r="AG105" s="11">
        <f>+'Revenue mile elasticities'!Q134</f>
        <v>1.3876316669875432E-3</v>
      </c>
      <c r="AH105" s="11">
        <f>+'Revenue mile elasticities'!R134</f>
        <v>9.6391862299381606E-4</v>
      </c>
      <c r="AI105" s="11">
        <f>+'Revenue mile elasticities'!S134</f>
        <v>1.6432480266957751E-3</v>
      </c>
      <c r="AJ105" s="32">
        <f t="shared" si="71"/>
        <v>55292.351978465093</v>
      </c>
      <c r="AK105" s="33">
        <f t="shared" si="72"/>
        <v>3.5132297180169348E-6</v>
      </c>
      <c r="AL105" s="40">
        <f t="shared" si="73"/>
        <v>218389.98501597458</v>
      </c>
      <c r="AM105" s="33">
        <f t="shared" si="74"/>
        <v>1.3876316669875434E-5</v>
      </c>
      <c r="AN105" s="40">
        <f t="shared" si="75"/>
        <v>224159.27577721191</v>
      </c>
      <c r="AO105" s="41">
        <f t="shared" si="76"/>
        <v>9.63918622993816E-6</v>
      </c>
      <c r="AP105" s="40">
        <f t="shared" si="77"/>
        <v>382137.32860810246</v>
      </c>
      <c r="AQ105" s="41">
        <f t="shared" si="78"/>
        <v>1.6432480266957749E-5</v>
      </c>
      <c r="AR105" s="53"/>
      <c r="AS105" s="53"/>
      <c r="BH105" t="s">
        <v>402</v>
      </c>
      <c r="BI105">
        <v>533802</v>
      </c>
      <c r="BJ105">
        <v>402933</v>
      </c>
      <c r="BK105" s="51">
        <v>39059.410000000003</v>
      </c>
      <c r="BL105" s="32">
        <f t="shared" si="68"/>
        <v>15738325249.530001</v>
      </c>
      <c r="BM105">
        <v>23255</v>
      </c>
      <c r="BN105" s="37">
        <f t="shared" si="69"/>
        <v>4.3564842394745618E-2</v>
      </c>
      <c r="BO105" s="50">
        <f t="shared" si="79"/>
        <v>1739043</v>
      </c>
      <c r="BP105" s="3">
        <f t="shared" si="80"/>
        <v>17390.43</v>
      </c>
      <c r="BQ105" s="11">
        <f>+'Rev mile pop elasticities'!P135</f>
        <v>1.1424668272617934E-2</v>
      </c>
      <c r="BR105" s="11">
        <f>+'Rev mile pop elasticities'!Q135</f>
        <v>2.3434966366180719E-2</v>
      </c>
      <c r="BS105" s="11">
        <f>+'Rev mile pop elasticities'!R135</f>
        <v>3.1345660242561843E-2</v>
      </c>
      <c r="BT105" s="11">
        <f>+'Rev mile pop elasticities'!S135</f>
        <v>2.7751933854687695E-2</v>
      </c>
      <c r="BU105" s="32">
        <f t="shared" si="81"/>
        <v>1798051.4514244716</v>
      </c>
      <c r="BV105" s="33">
        <f t="shared" si="82"/>
        <v>1.1424668272617936E-4</v>
      </c>
      <c r="BW105" s="40">
        <f t="shared" si="83"/>
        <v>3688271.228827484</v>
      </c>
      <c r="BX105" s="33">
        <f t="shared" si="84"/>
        <v>2.3434966366180722E-4</v>
      </c>
      <c r="BY105" s="40">
        <f t="shared" si="85"/>
        <v>7289433.2894077562</v>
      </c>
      <c r="BZ105" s="41">
        <f t="shared" si="86"/>
        <v>3.1345660242561844E-4</v>
      </c>
      <c r="CA105" s="40">
        <f t="shared" si="87"/>
        <v>6453712.2179076243</v>
      </c>
      <c r="CB105" s="41">
        <f t="shared" si="88"/>
        <v>2.77519338546877E-4</v>
      </c>
      <c r="CQ105" s="70">
        <f t="shared" si="89"/>
        <v>0.13722467998020785</v>
      </c>
      <c r="CR105" s="70">
        <f t="shared" si="90"/>
        <v>4.4624080217417577</v>
      </c>
      <c r="CS105" s="70">
        <f t="shared" si="91"/>
        <v>4.5996327017219656</v>
      </c>
      <c r="CT105" s="70">
        <f t="shared" si="92"/>
        <v>0.54200074209849924</v>
      </c>
      <c r="CU105" s="70">
        <f t="shared" si="93"/>
        <v>9.1535595963286305</v>
      </c>
      <c r="CV105" s="70">
        <f t="shared" si="94"/>
        <v>9.6955603384271303</v>
      </c>
      <c r="CW105" s="69">
        <f t="shared" si="95"/>
        <v>0.5563189805183788</v>
      </c>
      <c r="CX105" s="69">
        <f t="shared" si="96"/>
        <v>18.090931468526421</v>
      </c>
      <c r="CY105" s="70">
        <f t="shared" si="97"/>
        <v>18.647250449044801</v>
      </c>
      <c r="CZ105" s="69">
        <f t="shared" si="98"/>
        <v>0.94838925729116863</v>
      </c>
      <c r="DA105" s="69">
        <f t="shared" si="99"/>
        <v>16.016837086829881</v>
      </c>
      <c r="DB105" s="70">
        <f t="shared" si="100"/>
        <v>16.965226344121049</v>
      </c>
    </row>
    <row r="106" spans="23:106">
      <c r="W106" t="s">
        <v>403</v>
      </c>
      <c r="X106">
        <v>260891</v>
      </c>
      <c r="Y106">
        <v>139364</v>
      </c>
      <c r="Z106" s="51">
        <v>34475</v>
      </c>
      <c r="AA106" s="32">
        <f t="shared" si="66"/>
        <v>4804573900</v>
      </c>
      <c r="AB106">
        <v>8380</v>
      </c>
      <c r="AC106" s="37">
        <f t="shared" si="67"/>
        <v>3.2120694082969518E-2</v>
      </c>
      <c r="AD106" s="50">
        <f>+'Revenue mile elasticities'!M135</f>
        <v>314845</v>
      </c>
      <c r="AE106" s="3">
        <f t="shared" si="70"/>
        <v>3148.4500000000003</v>
      </c>
      <c r="AF106" s="11">
        <f>+'Revenue mile elasticities'!P135</f>
        <v>2.1447243579694885E-4</v>
      </c>
      <c r="AG106" s="11">
        <f>+'Revenue mile elasticities'!Q135</f>
        <v>8.4710869340985239E-4</v>
      </c>
      <c r="AH106" s="11">
        <f>+'Revenue mile elasticities'!R135</f>
        <v>5.8844422817935424E-4</v>
      </c>
      <c r="AI106" s="11">
        <f>+'Revenue mile elasticities'!S135</f>
        <v>1.0031550316695621E-3</v>
      </c>
      <c r="AJ106" s="32">
        <f t="shared" si="71"/>
        <v>10304.486672994461</v>
      </c>
      <c r="AK106" s="33">
        <f t="shared" si="72"/>
        <v>2.1447243579694882E-6</v>
      </c>
      <c r="AL106" s="40">
        <f t="shared" si="73"/>
        <v>40699.963188200789</v>
      </c>
      <c r="AM106" s="33">
        <f t="shared" si="74"/>
        <v>8.4710869340985247E-6</v>
      </c>
      <c r="AN106" s="40">
        <f t="shared" si="75"/>
        <v>49311.626321429889</v>
      </c>
      <c r="AO106" s="41">
        <f t="shared" si="76"/>
        <v>5.8844422817935431E-6</v>
      </c>
      <c r="AP106" s="40">
        <f t="shared" si="77"/>
        <v>84064.391653909319</v>
      </c>
      <c r="AQ106" s="41">
        <f t="shared" si="78"/>
        <v>1.0031550316695621E-5</v>
      </c>
      <c r="AR106" s="53"/>
      <c r="AS106" s="53"/>
      <c r="BH106" t="s">
        <v>403</v>
      </c>
      <c r="BI106">
        <v>260891</v>
      </c>
      <c r="BJ106">
        <v>139364</v>
      </c>
      <c r="BK106" s="51">
        <v>34475</v>
      </c>
      <c r="BL106" s="32">
        <f t="shared" si="68"/>
        <v>4804573900</v>
      </c>
      <c r="BM106">
        <v>8380</v>
      </c>
      <c r="BN106" s="37">
        <f t="shared" si="69"/>
        <v>3.2120694082969518E-2</v>
      </c>
      <c r="BO106" s="50">
        <f t="shared" si="79"/>
        <v>314845</v>
      </c>
      <c r="BP106" s="3">
        <f t="shared" si="80"/>
        <v>3148.4500000000003</v>
      </c>
      <c r="BQ106" s="11">
        <f>+'Rev mile pop elasticities'!P136</f>
        <v>4.2320537806976857E-3</v>
      </c>
      <c r="BR106" s="11">
        <f>+'Rev mile pop elasticities'!Q136</f>
        <v>8.6810431291228906E-3</v>
      </c>
      <c r="BS106" s="11">
        <f>+'Rev mile pop elasticities'!R136</f>
        <v>1.1611411095055021E-2</v>
      </c>
      <c r="BT106" s="11">
        <f>+'Rev mile pop elasticities'!S136</f>
        <v>1.0280182652908688E-2</v>
      </c>
      <c r="BU106" s="32">
        <f t="shared" si="81"/>
        <v>203332.15138136424</v>
      </c>
      <c r="BV106" s="33">
        <f t="shared" si="82"/>
        <v>4.2320537806976858E-5</v>
      </c>
      <c r="BW106" s="40">
        <f t="shared" si="83"/>
        <v>417087.13242958172</v>
      </c>
      <c r="BX106" s="33">
        <f t="shared" si="84"/>
        <v>8.6810431291228904E-5</v>
      </c>
      <c r="BY106" s="40">
        <f t="shared" si="85"/>
        <v>973036.2497656109</v>
      </c>
      <c r="BZ106" s="41">
        <f t="shared" si="86"/>
        <v>1.1611411095055023E-4</v>
      </c>
      <c r="CA106" s="40">
        <f t="shared" si="87"/>
        <v>861479.30631374824</v>
      </c>
      <c r="CB106" s="41">
        <f t="shared" si="88"/>
        <v>1.0280182652908689E-4</v>
      </c>
      <c r="CQ106" s="70">
        <f t="shared" si="89"/>
        <v>7.3939372240998114E-2</v>
      </c>
      <c r="CR106" s="70">
        <f t="shared" si="90"/>
        <v>1.4590005408955271</v>
      </c>
      <c r="CS106" s="70">
        <f t="shared" si="91"/>
        <v>1.5329399131365253</v>
      </c>
      <c r="CT106" s="70">
        <f t="shared" si="92"/>
        <v>0.2920407220530466</v>
      </c>
      <c r="CU106" s="70">
        <f t="shared" si="93"/>
        <v>2.9927896187651166</v>
      </c>
      <c r="CV106" s="70">
        <f t="shared" si="94"/>
        <v>3.2848303408181634</v>
      </c>
      <c r="CW106" s="69">
        <f t="shared" si="95"/>
        <v>0.35383331650519423</v>
      </c>
      <c r="CX106" s="69">
        <f t="shared" si="96"/>
        <v>6.9819770512156003</v>
      </c>
      <c r="CY106" s="70">
        <f t="shared" si="97"/>
        <v>7.3358103677207946</v>
      </c>
      <c r="CZ106" s="69">
        <f t="shared" si="98"/>
        <v>0.60320019268899661</v>
      </c>
      <c r="DA106" s="69">
        <f t="shared" si="99"/>
        <v>6.1815053120873991</v>
      </c>
      <c r="DB106" s="70">
        <f t="shared" si="100"/>
        <v>6.7847055047763956</v>
      </c>
    </row>
    <row r="107" spans="23:106">
      <c r="W107" t="s">
        <v>404</v>
      </c>
      <c r="X107">
        <v>902745</v>
      </c>
      <c r="Y107">
        <v>626137</v>
      </c>
      <c r="Z107" s="51">
        <v>37387.129999999997</v>
      </c>
      <c r="AA107" s="32">
        <f t="shared" si="66"/>
        <v>23409465416.809998</v>
      </c>
      <c r="AB107">
        <v>35107</v>
      </c>
      <c r="AC107" s="37">
        <f t="shared" si="67"/>
        <v>3.8889165822020615E-2</v>
      </c>
      <c r="AD107" s="50">
        <f>+'Revenue mile elasticities'!M136</f>
        <v>18300000</v>
      </c>
      <c r="AE107" s="3">
        <f t="shared" si="70"/>
        <v>183000</v>
      </c>
      <c r="AF107" s="11">
        <f>+'Revenue mile elasticities'!P136</f>
        <v>6.3634271048009783E-3</v>
      </c>
      <c r="AG107" s="11">
        <f>+'Revenue mile elasticities'!Q136</f>
        <v>2.5133833167541635E-2</v>
      </c>
      <c r="AH107" s="11">
        <f>+'Revenue mile elasticities'!R136</f>
        <v>1.7459222381403405E-2</v>
      </c>
      <c r="AI107" s="11">
        <f>+'Revenue mile elasticities'!S136</f>
        <v>2.9763749803667725E-2</v>
      </c>
      <c r="AJ107" s="32">
        <f t="shared" si="71"/>
        <v>1489644.2674222987</v>
      </c>
      <c r="AK107" s="33">
        <f t="shared" si="72"/>
        <v>6.3634271048009782E-5</v>
      </c>
      <c r="AL107" s="40">
        <f t="shared" si="73"/>
        <v>5883695.9832743797</v>
      </c>
      <c r="AM107" s="33">
        <f t="shared" si="74"/>
        <v>2.5133833167541634E-4</v>
      </c>
      <c r="AN107" s="40">
        <f t="shared" si="75"/>
        <v>6129409.201439294</v>
      </c>
      <c r="AO107" s="41">
        <f t="shared" si="76"/>
        <v>1.7459222381403406E-4</v>
      </c>
      <c r="AP107" s="40">
        <f t="shared" si="77"/>
        <v>10449159.643573629</v>
      </c>
      <c r="AQ107" s="41">
        <f t="shared" si="78"/>
        <v>2.9763749803667723E-4</v>
      </c>
      <c r="AR107" s="53"/>
      <c r="AS107" s="53"/>
      <c r="BH107" t="s">
        <v>404</v>
      </c>
      <c r="BI107">
        <v>902745</v>
      </c>
      <c r="BJ107">
        <v>626137</v>
      </c>
      <c r="BK107" s="51">
        <v>37387.129999999997</v>
      </c>
      <c r="BL107" s="32">
        <f t="shared" si="68"/>
        <v>23409465416.809998</v>
      </c>
      <c r="BM107">
        <v>35107</v>
      </c>
      <c r="BN107" s="37">
        <f t="shared" si="69"/>
        <v>3.8889165822020615E-2</v>
      </c>
      <c r="BO107" s="50">
        <f t="shared" si="79"/>
        <v>18300000</v>
      </c>
      <c r="BP107" s="3">
        <f t="shared" si="80"/>
        <v>183000</v>
      </c>
      <c r="BQ107" s="11">
        <f>+'Rev mile pop elasticities'!P137</f>
        <v>7.1088520013957421E-2</v>
      </c>
      <c r="BR107" s="11">
        <f>+'Rev mile pop elasticities'!Q137</f>
        <v>0.14582104581027866</v>
      </c>
      <c r="BS107" s="11">
        <f>+'Rev mile pop elasticities'!R137</f>
        <v>0.19504431483973877</v>
      </c>
      <c r="BT107" s="11">
        <f>+'Rev mile pop elasticities'!S137</f>
        <v>0.17268281740690894</v>
      </c>
      <c r="BU107" s="32">
        <f t="shared" si="81"/>
        <v>16641442.507989416</v>
      </c>
      <c r="BV107" s="33">
        <f t="shared" si="82"/>
        <v>7.1088520013957415E-4</v>
      </c>
      <c r="BW107" s="40">
        <f t="shared" si="83"/>
        <v>34135927.289387845</v>
      </c>
      <c r="BX107" s="33">
        <f t="shared" si="84"/>
        <v>1.4582104581027865E-3</v>
      </c>
      <c r="BY107" s="40">
        <f t="shared" si="85"/>
        <v>68474207.610787094</v>
      </c>
      <c r="BZ107" s="41">
        <f t="shared" si="86"/>
        <v>1.950443148397388E-3</v>
      </c>
      <c r="CA107" s="40">
        <f t="shared" si="87"/>
        <v>60623756.707043529</v>
      </c>
      <c r="CB107" s="41">
        <f t="shared" si="88"/>
        <v>1.7268281740690896E-3</v>
      </c>
      <c r="CQ107" s="70">
        <f t="shared" si="89"/>
        <v>2.3791027641271776</v>
      </c>
      <c r="CR107" s="70">
        <f t="shared" si="90"/>
        <v>26.577957392694277</v>
      </c>
      <c r="CS107" s="70">
        <f t="shared" si="91"/>
        <v>28.957060156821456</v>
      </c>
      <c r="CT107" s="70">
        <f t="shared" si="92"/>
        <v>9.3968188803319084</v>
      </c>
      <c r="CU107" s="70">
        <f t="shared" si="93"/>
        <v>54.518303964448428</v>
      </c>
      <c r="CV107" s="70">
        <f t="shared" si="94"/>
        <v>63.915122844780335</v>
      </c>
      <c r="CW107" s="69">
        <f t="shared" si="95"/>
        <v>9.7892461257509051</v>
      </c>
      <c r="CX107" s="69">
        <f t="shared" si="96"/>
        <v>109.35978485664813</v>
      </c>
      <c r="CY107" s="70">
        <f t="shared" si="97"/>
        <v>119.14903098239904</v>
      </c>
      <c r="CZ107" s="69">
        <f t="shared" si="98"/>
        <v>16.688296081486367</v>
      </c>
      <c r="DA107" s="69">
        <f t="shared" si="99"/>
        <v>96.821872381034069</v>
      </c>
      <c r="DB107" s="70">
        <f t="shared" si="100"/>
        <v>113.51016846252044</v>
      </c>
    </row>
    <row r="108" spans="23:106">
      <c r="W108" t="s">
        <v>295</v>
      </c>
      <c r="X108">
        <v>5726705</v>
      </c>
      <c r="Y108">
        <v>3487033</v>
      </c>
      <c r="Z108" s="51">
        <v>52427.95</v>
      </c>
      <c r="AA108" s="32">
        <f t="shared" si="66"/>
        <v>182817991772.34998</v>
      </c>
      <c r="AB108">
        <v>377223</v>
      </c>
      <c r="AC108" s="37">
        <f t="shared" si="67"/>
        <v>6.5870862913315772E-2</v>
      </c>
      <c r="AD108" s="50">
        <f>+'Revenue mile elasticities'!M137</f>
        <v>40700000</v>
      </c>
      <c r="AE108" s="3">
        <f t="shared" si="70"/>
        <v>407000</v>
      </c>
      <c r="AF108" s="11">
        <f>+'Revenue mile elasticities'!P137</f>
        <v>1.9552801887556259E-2</v>
      </c>
      <c r="AG108" s="11">
        <f>+'Revenue mile elasticities'!Q137</f>
        <v>7.722833192024163E-2</v>
      </c>
      <c r="AH108" s="11">
        <f>+'Revenue mile elasticities'!R137</f>
        <v>5.3646676658999123E-2</v>
      </c>
      <c r="AI108" s="11">
        <f>+'Revenue mile elasticities'!S137</f>
        <v>9.1454603589759834E-2</v>
      </c>
      <c r="AJ108" s="32">
        <f t="shared" si="71"/>
        <v>35746039.74605649</v>
      </c>
      <c r="AK108" s="33">
        <f t="shared" si="72"/>
        <v>1.9552801887556259E-4</v>
      </c>
      <c r="AL108" s="40">
        <f t="shared" si="73"/>
        <v>141187285.49587047</v>
      </c>
      <c r="AM108" s="33">
        <f t="shared" si="74"/>
        <v>7.7228331920241625E-4</v>
      </c>
      <c r="AN108" s="40">
        <f t="shared" si="75"/>
        <v>202367603.09337625</v>
      </c>
      <c r="AO108" s="41">
        <f t="shared" si="76"/>
        <v>5.3646676658999112E-4</v>
      </c>
      <c r="AP108" s="40">
        <f t="shared" si="77"/>
        <v>344987799.29939979</v>
      </c>
      <c r="AQ108" s="41">
        <f t="shared" si="78"/>
        <v>9.145460358975985E-4</v>
      </c>
      <c r="AR108" s="53"/>
      <c r="AS108" s="53"/>
      <c r="BH108" t="s">
        <v>295</v>
      </c>
      <c r="BI108">
        <v>5726705</v>
      </c>
      <c r="BJ108">
        <v>3487033</v>
      </c>
      <c r="BK108" s="51">
        <v>52427.95</v>
      </c>
      <c r="BL108" s="32">
        <f t="shared" si="68"/>
        <v>182817991772.34998</v>
      </c>
      <c r="BM108">
        <v>377223</v>
      </c>
      <c r="BN108" s="37">
        <f t="shared" si="69"/>
        <v>6.5870862913315772E-2</v>
      </c>
      <c r="BO108" s="50">
        <f t="shared" si="79"/>
        <v>40700000</v>
      </c>
      <c r="BP108" s="3">
        <f t="shared" si="80"/>
        <v>407000</v>
      </c>
      <c r="BQ108" s="11">
        <f>+'Rev mile pop elasticities'!P138</f>
        <v>2.492315808130504E-2</v>
      </c>
      <c r="BR108" s="11">
        <f>+'Rev mile pop elasticities'!Q138</f>
        <v>5.1123880137007235E-2</v>
      </c>
      <c r="BS108" s="11">
        <f>+'Rev mile pop elasticities'!R138</f>
        <v>6.8381227948706963E-2</v>
      </c>
      <c r="BT108" s="11">
        <f>+'Rev mile pop elasticities'!S138</f>
        <v>6.0541437004350676E-2</v>
      </c>
      <c r="BU108" s="32">
        <f t="shared" si="81"/>
        <v>45564017.090490028</v>
      </c>
      <c r="BV108" s="33">
        <f t="shared" si="82"/>
        <v>2.4923158081305042E-4</v>
      </c>
      <c r="BW108" s="40">
        <f t="shared" si="83"/>
        <v>93463650.982579947</v>
      </c>
      <c r="BX108" s="33">
        <f t="shared" si="84"/>
        <v>5.1123880137007231E-4</v>
      </c>
      <c r="BY108" s="40">
        <f t="shared" si="85"/>
        <v>257949719.50495091</v>
      </c>
      <c r="BZ108" s="41">
        <f t="shared" si="86"/>
        <v>6.8381227948706978E-4</v>
      </c>
      <c r="CA108" s="40">
        <f t="shared" si="87"/>
        <v>228376224.91092172</v>
      </c>
      <c r="CB108" s="41">
        <f t="shared" si="88"/>
        <v>6.0541437004350666E-4</v>
      </c>
      <c r="CQ108" s="70">
        <f t="shared" si="89"/>
        <v>10.25113319720705</v>
      </c>
      <c r="CR108" s="70">
        <f t="shared" si="90"/>
        <v>13.066700857287564</v>
      </c>
      <c r="CS108" s="70">
        <f t="shared" si="91"/>
        <v>23.317834054494615</v>
      </c>
      <c r="CT108" s="70">
        <f t="shared" si="92"/>
        <v>40.489231244978313</v>
      </c>
      <c r="CU108" s="70">
        <f t="shared" si="93"/>
        <v>26.803202316290079</v>
      </c>
      <c r="CV108" s="70">
        <f t="shared" si="94"/>
        <v>67.292433561268396</v>
      </c>
      <c r="CW108" s="69">
        <f t="shared" si="95"/>
        <v>58.034324049521828</v>
      </c>
      <c r="CX108" s="69">
        <f t="shared" si="96"/>
        <v>73.973982897480724</v>
      </c>
      <c r="CY108" s="70">
        <f t="shared" si="97"/>
        <v>132.00830694700255</v>
      </c>
      <c r="CZ108" s="69">
        <f t="shared" si="98"/>
        <v>98.934480774744543</v>
      </c>
      <c r="DA108" s="69">
        <f t="shared" si="99"/>
        <v>65.492992154339149</v>
      </c>
      <c r="DB108" s="70">
        <f t="shared" si="100"/>
        <v>164.42747292908371</v>
      </c>
    </row>
    <row r="109" spans="23:106">
      <c r="W109" t="s">
        <v>405</v>
      </c>
      <c r="X109">
        <v>284903</v>
      </c>
      <c r="Y109">
        <v>147009</v>
      </c>
      <c r="Z109" s="51">
        <v>33787.71</v>
      </c>
      <c r="AA109" s="32">
        <f t="shared" si="66"/>
        <v>4967097459.3900003</v>
      </c>
      <c r="AB109">
        <v>8047</v>
      </c>
      <c r="AC109" s="37">
        <f t="shared" si="67"/>
        <v>2.824470082800111E-2</v>
      </c>
      <c r="AD109" s="50">
        <f>+'Revenue mile elasticities'!M138</f>
        <v>782021</v>
      </c>
      <c r="AE109" s="3">
        <f t="shared" si="70"/>
        <v>7820.21</v>
      </c>
      <c r="AF109" s="11">
        <f>+'Revenue mile elasticities'!P138</f>
        <v>4.8327382003523047E-4</v>
      </c>
      <c r="AG109" s="11">
        <f>+'Revenue mile elasticities'!Q138</f>
        <v>1.9088021858287502E-3</v>
      </c>
      <c r="AH109" s="11">
        <f>+'Revenue mile elasticities'!R138</f>
        <v>1.3259498311435926E-3</v>
      </c>
      <c r="AI109" s="11">
        <f>+'Revenue mile elasticities'!S138</f>
        <v>2.2604236411129935E-3</v>
      </c>
      <c r="AJ109" s="32">
        <f t="shared" si="71"/>
        <v>24004.681636866935</v>
      </c>
      <c r="AK109" s="33">
        <f t="shared" si="72"/>
        <v>4.8327382003523047E-6</v>
      </c>
      <c r="AL109" s="40">
        <f t="shared" si="73"/>
        <v>94812.064877080644</v>
      </c>
      <c r="AM109" s="33">
        <f t="shared" si="74"/>
        <v>1.9088021858287503E-5</v>
      </c>
      <c r="AN109" s="40">
        <f t="shared" si="75"/>
        <v>106699.1829121249</v>
      </c>
      <c r="AO109" s="41">
        <f t="shared" si="76"/>
        <v>1.3259498311435927E-5</v>
      </c>
      <c r="AP109" s="40">
        <f t="shared" si="77"/>
        <v>181896.2904003626</v>
      </c>
      <c r="AQ109" s="41">
        <f t="shared" si="78"/>
        <v>2.2604236411129936E-5</v>
      </c>
      <c r="AR109" s="53"/>
      <c r="AS109" s="53"/>
      <c r="BH109" t="s">
        <v>405</v>
      </c>
      <c r="BI109">
        <v>284903</v>
      </c>
      <c r="BJ109">
        <v>147009</v>
      </c>
      <c r="BK109" s="51">
        <v>33787.71</v>
      </c>
      <c r="BL109" s="32">
        <f t="shared" si="68"/>
        <v>4967097459.3900003</v>
      </c>
      <c r="BM109">
        <v>8047</v>
      </c>
      <c r="BN109" s="37">
        <f t="shared" si="69"/>
        <v>2.824470082800111E-2</v>
      </c>
      <c r="BO109" s="50">
        <f t="shared" si="79"/>
        <v>782021</v>
      </c>
      <c r="BP109" s="3">
        <f t="shared" si="80"/>
        <v>7820.21</v>
      </c>
      <c r="BQ109" s="11">
        <f>+'Rev mile pop elasticities'!P139</f>
        <v>9.6257564266434524E-3</v>
      </c>
      <c r="BR109" s="11">
        <f>+'Rev mile pop elasticities'!Q139</f>
        <v>1.9744930244328777E-2</v>
      </c>
      <c r="BS109" s="11">
        <f>+'Rev mile pop elasticities'!R139</f>
        <v>2.6410017632667957E-2</v>
      </c>
      <c r="BT109" s="11">
        <f>+'Rev mile pop elasticities'!S139</f>
        <v>2.338215423670513E-2</v>
      </c>
      <c r="BU109" s="32">
        <f t="shared" si="81"/>
        <v>478120.70291487657</v>
      </c>
      <c r="BV109" s="33">
        <f t="shared" si="82"/>
        <v>9.6257564266434518E-5</v>
      </c>
      <c r="BW109" s="40">
        <f t="shared" si="83"/>
        <v>980749.92852438241</v>
      </c>
      <c r="BX109" s="33">
        <f t="shared" si="84"/>
        <v>1.9744930244328777E-4</v>
      </c>
      <c r="BY109" s="40">
        <f t="shared" si="85"/>
        <v>2125214.1189007908</v>
      </c>
      <c r="BZ109" s="41">
        <f t="shared" si="86"/>
        <v>2.6410017632667963E-4</v>
      </c>
      <c r="CA109" s="40">
        <f t="shared" si="87"/>
        <v>1881561.951427662</v>
      </c>
      <c r="CB109" s="41">
        <f t="shared" si="88"/>
        <v>2.3382154236705133E-4</v>
      </c>
      <c r="CQ109" s="70">
        <f t="shared" si="89"/>
        <v>0.16328715681942557</v>
      </c>
      <c r="CR109" s="70">
        <f t="shared" si="90"/>
        <v>3.2523226667406524</v>
      </c>
      <c r="CS109" s="70">
        <f t="shared" si="91"/>
        <v>3.4156098235600778</v>
      </c>
      <c r="CT109" s="70">
        <f t="shared" si="92"/>
        <v>0.64494054702147929</v>
      </c>
      <c r="CU109" s="70">
        <f t="shared" si="93"/>
        <v>6.6713597706560988</v>
      </c>
      <c r="CV109" s="70">
        <f t="shared" si="94"/>
        <v>7.3163003176775785</v>
      </c>
      <c r="CW109" s="69">
        <f t="shared" si="95"/>
        <v>0.72580034495932155</v>
      </c>
      <c r="CX109" s="69">
        <f t="shared" si="96"/>
        <v>14.4563538212</v>
      </c>
      <c r="CY109" s="70">
        <f t="shared" si="97"/>
        <v>15.182154166159322</v>
      </c>
      <c r="CZ109" s="69">
        <f t="shared" si="98"/>
        <v>1.237313976697771</v>
      </c>
      <c r="DA109" s="69">
        <f t="shared" si="99"/>
        <v>12.798957556528254</v>
      </c>
      <c r="DB109" s="70">
        <f t="shared" si="100"/>
        <v>14.036271533226024</v>
      </c>
    </row>
    <row r="110" spans="23:106">
      <c r="W110" t="s">
        <v>406</v>
      </c>
      <c r="X110">
        <v>397228</v>
      </c>
      <c r="Y110">
        <v>270156</v>
      </c>
      <c r="Z110" s="51">
        <v>41668.21</v>
      </c>
      <c r="AA110" s="32">
        <f t="shared" si="66"/>
        <v>11256916940.76</v>
      </c>
      <c r="AB110">
        <v>14734</v>
      </c>
      <c r="AC110" s="37">
        <f t="shared" si="67"/>
        <v>3.70920478918908E-2</v>
      </c>
      <c r="AD110" s="50">
        <f>+'Revenue mile elasticities'!M139</f>
        <v>612046</v>
      </c>
      <c r="AE110" s="3">
        <f t="shared" si="70"/>
        <v>6120.46</v>
      </c>
      <c r="AF110" s="11">
        <f>+'Revenue mile elasticities'!P139</f>
        <v>7.8749337099796337E-4</v>
      </c>
      <c r="AG110" s="11">
        <f>+'Revenue mile elasticities'!Q139</f>
        <v>3.1103879531007551E-3</v>
      </c>
      <c r="AH110" s="11">
        <f>+'Revenue mile elasticities'!R139</f>
        <v>2.1606316316189608E-3</v>
      </c>
      <c r="AI110" s="11">
        <f>+'Revenue mile elasticities'!S139</f>
        <v>3.6833541549877364E-3</v>
      </c>
      <c r="AJ110" s="32">
        <f t="shared" si="71"/>
        <v>88647.474687231734</v>
      </c>
      <c r="AK110" s="33">
        <f t="shared" si="72"/>
        <v>7.8749337099796334E-6</v>
      </c>
      <c r="AL110" s="40">
        <f t="shared" si="73"/>
        <v>350133.78841595713</v>
      </c>
      <c r="AM110" s="33">
        <f t="shared" si="74"/>
        <v>3.1103879531007551E-5</v>
      </c>
      <c r="AN110" s="40">
        <f t="shared" si="75"/>
        <v>318347.46460273769</v>
      </c>
      <c r="AO110" s="41">
        <f t="shared" si="76"/>
        <v>2.160631631618961E-5</v>
      </c>
      <c r="AP110" s="40">
        <f t="shared" si="77"/>
        <v>542705.40119589306</v>
      </c>
      <c r="AQ110" s="41">
        <f t="shared" si="78"/>
        <v>3.6833541549877361E-5</v>
      </c>
      <c r="AR110" s="53"/>
      <c r="AS110" s="53"/>
      <c r="BH110" t="s">
        <v>406</v>
      </c>
      <c r="BI110">
        <v>397228</v>
      </c>
      <c r="BJ110">
        <v>270156</v>
      </c>
      <c r="BK110" s="51">
        <v>41668.21</v>
      </c>
      <c r="BL110" s="32">
        <f t="shared" si="68"/>
        <v>11256916940.76</v>
      </c>
      <c r="BM110">
        <v>14734</v>
      </c>
      <c r="BN110" s="37">
        <f t="shared" si="69"/>
        <v>3.70920478918908E-2</v>
      </c>
      <c r="BO110" s="50">
        <f t="shared" si="79"/>
        <v>612046</v>
      </c>
      <c r="BP110" s="3">
        <f t="shared" si="80"/>
        <v>6120.46</v>
      </c>
      <c r="BQ110" s="11">
        <f>+'Rev mile pop elasticities'!P140</f>
        <v>5.4032826329463175E-3</v>
      </c>
      <c r="BR110" s="11">
        <f>+'Rev mile pop elasticities'!Q140</f>
        <v>1.1083538160451933E-2</v>
      </c>
      <c r="BS110" s="11">
        <f>+'Rev mile pop elasticities'!R140</f>
        <v>1.482489097848087E-2</v>
      </c>
      <c r="BT110" s="11">
        <f>+'Rev mile pop elasticities'!S140</f>
        <v>1.3125242558429921E-2</v>
      </c>
      <c r="BU110" s="32">
        <f t="shared" si="81"/>
        <v>608243.03806527692</v>
      </c>
      <c r="BV110" s="33">
        <f t="shared" si="82"/>
        <v>5.4032826329463168E-5</v>
      </c>
      <c r="BW110" s="40">
        <f t="shared" si="83"/>
        <v>1247664.684819513</v>
      </c>
      <c r="BX110" s="33">
        <f t="shared" si="84"/>
        <v>1.1083538160451934E-4</v>
      </c>
      <c r="BY110" s="40">
        <f t="shared" si="85"/>
        <v>2184299.4367693709</v>
      </c>
      <c r="BZ110" s="41">
        <f t="shared" si="86"/>
        <v>1.4824890978480865E-4</v>
      </c>
      <c r="CA110" s="40">
        <f t="shared" si="87"/>
        <v>1933873.2385590645</v>
      </c>
      <c r="CB110" s="41">
        <f t="shared" si="88"/>
        <v>1.3125242558429922E-4</v>
      </c>
      <c r="CQ110" s="70">
        <f t="shared" si="89"/>
        <v>0.32813439156351049</v>
      </c>
      <c r="CR110" s="70">
        <f t="shared" si="90"/>
        <v>2.2514511543896005</v>
      </c>
      <c r="CS110" s="70">
        <f t="shared" si="91"/>
        <v>2.579585545953111</v>
      </c>
      <c r="CT110" s="70">
        <f t="shared" si="92"/>
        <v>1.2960429841127241</v>
      </c>
      <c r="CU110" s="70">
        <f t="shared" si="93"/>
        <v>4.6183119561272488</v>
      </c>
      <c r="CV110" s="70">
        <f t="shared" si="94"/>
        <v>5.9143549402399724</v>
      </c>
      <c r="CW110" s="69">
        <f t="shared" si="95"/>
        <v>1.1783838397175621</v>
      </c>
      <c r="CX110" s="69">
        <f t="shared" si="96"/>
        <v>8.0853263920452285</v>
      </c>
      <c r="CY110" s="70">
        <f t="shared" si="97"/>
        <v>9.26371023176279</v>
      </c>
      <c r="CZ110" s="69">
        <f t="shared" si="98"/>
        <v>2.0088593301495914</v>
      </c>
      <c r="DA110" s="69">
        <f t="shared" si="99"/>
        <v>7.1583575362348588</v>
      </c>
      <c r="DB110" s="70">
        <f t="shared" si="100"/>
        <v>9.1672168663844502</v>
      </c>
    </row>
    <row r="111" spans="23:106">
      <c r="W111" t="s">
        <v>407</v>
      </c>
      <c r="X111">
        <v>1720796</v>
      </c>
      <c r="Y111">
        <v>1130429</v>
      </c>
      <c r="Z111" s="51">
        <v>41526.29</v>
      </c>
      <c r="AA111" s="32">
        <f t="shared" si="66"/>
        <v>46942522478.410004</v>
      </c>
      <c r="AB111">
        <v>88066</v>
      </c>
      <c r="AC111" s="37">
        <f t="shared" si="67"/>
        <v>5.117747832979621E-2</v>
      </c>
      <c r="AD111" s="50">
        <f>+'Revenue mile elasticities'!M140</f>
        <v>6798132</v>
      </c>
      <c r="AE111" s="3">
        <f t="shared" si="70"/>
        <v>67981.320000000007</v>
      </c>
      <c r="AF111" s="11">
        <f>+'Revenue mile elasticities'!P140</f>
        <v>4.8511338611910313E-3</v>
      </c>
      <c r="AG111" s="11">
        <f>+'Revenue mile elasticities'!Q140</f>
        <v>1.9160679792905533E-2</v>
      </c>
      <c r="AH111" s="11">
        <f>+'Revenue mile elasticities'!R140</f>
        <v>1.3309970160668535E-2</v>
      </c>
      <c r="AI111" s="11">
        <f>+'Revenue mile elasticities'!S140</f>
        <v>2.2690278702124974E-2</v>
      </c>
      <c r="AJ111" s="32">
        <f t="shared" si="71"/>
        <v>2277244.6032473589</v>
      </c>
      <c r="AK111" s="33">
        <f t="shared" si="72"/>
        <v>4.8511338611910311E-5</v>
      </c>
      <c r="AL111" s="40">
        <f t="shared" si="73"/>
        <v>8994506.4188008439</v>
      </c>
      <c r="AM111" s="33">
        <f t="shared" si="74"/>
        <v>1.9160679792905536E-4</v>
      </c>
      <c r="AN111" s="40">
        <f t="shared" si="75"/>
        <v>11721558.321694352</v>
      </c>
      <c r="AO111" s="41">
        <f t="shared" si="76"/>
        <v>1.3309970160668537E-4</v>
      </c>
      <c r="AP111" s="40">
        <f t="shared" si="77"/>
        <v>19982420.841813378</v>
      </c>
      <c r="AQ111" s="41">
        <f t="shared" si="78"/>
        <v>2.2690278702124973E-4</v>
      </c>
      <c r="AR111" s="53"/>
      <c r="AS111" s="53"/>
      <c r="BH111" t="s">
        <v>407</v>
      </c>
      <c r="BI111">
        <v>1720796</v>
      </c>
      <c r="BJ111">
        <v>1130429</v>
      </c>
      <c r="BK111" s="51">
        <v>41526.29</v>
      </c>
      <c r="BL111" s="32">
        <f t="shared" si="68"/>
        <v>46942522478.410004</v>
      </c>
      <c r="BM111">
        <v>88066</v>
      </c>
      <c r="BN111" s="37">
        <f t="shared" si="69"/>
        <v>5.117747832979621E-2</v>
      </c>
      <c r="BO111" s="50">
        <f t="shared" si="79"/>
        <v>6798132</v>
      </c>
      <c r="BP111" s="3">
        <f t="shared" si="80"/>
        <v>67981.320000000007</v>
      </c>
      <c r="BQ111" s="11">
        <f>+'Rev mile pop elasticities'!P141</f>
        <v>1.3853952043263697E-2</v>
      </c>
      <c r="BR111" s="11">
        <f>+'Rev mile pop elasticities'!Q141</f>
        <v>2.8418059275358617E-2</v>
      </c>
      <c r="BS111" s="11">
        <f>+'Rev mile pop elasticities'!R141</f>
        <v>3.8010843151192818E-2</v>
      </c>
      <c r="BT111" s="11">
        <f>+'Rev mile pop elasticities'!S141</f>
        <v>3.365296493134573E-2</v>
      </c>
      <c r="BU111" s="32">
        <f t="shared" si="81"/>
        <v>6503394.5520572038</v>
      </c>
      <c r="BV111" s="33">
        <f t="shared" si="82"/>
        <v>1.3853952043263698E-4</v>
      </c>
      <c r="BW111" s="40">
        <f t="shared" si="83"/>
        <v>13340153.863263099</v>
      </c>
      <c r="BX111" s="33">
        <f t="shared" si="84"/>
        <v>2.8418059275358621E-4</v>
      </c>
      <c r="BY111" s="40">
        <f t="shared" si="85"/>
        <v>33474629.129529469</v>
      </c>
      <c r="BZ111" s="41">
        <f t="shared" si="86"/>
        <v>3.8010843151192817E-4</v>
      </c>
      <c r="CA111" s="40">
        <f t="shared" si="87"/>
        <v>29636820.096438929</v>
      </c>
      <c r="CB111" s="41">
        <f t="shared" si="88"/>
        <v>3.3652964931345729E-4</v>
      </c>
      <c r="CQ111" s="70">
        <f t="shared" si="89"/>
        <v>2.0144959154863851</v>
      </c>
      <c r="CR111" s="70">
        <f t="shared" si="90"/>
        <v>5.7530323019466092</v>
      </c>
      <c r="CS111" s="70">
        <f t="shared" si="91"/>
        <v>7.7675282174329947</v>
      </c>
      <c r="CT111" s="70">
        <f t="shared" si="92"/>
        <v>7.9567194567733521</v>
      </c>
      <c r="CU111" s="70">
        <f t="shared" si="93"/>
        <v>11.800965707057319</v>
      </c>
      <c r="CV111" s="70">
        <f t="shared" si="94"/>
        <v>19.757685163830672</v>
      </c>
      <c r="CW111" s="69">
        <f t="shared" si="95"/>
        <v>10.369123865094005</v>
      </c>
      <c r="CX111" s="69">
        <f t="shared" si="96"/>
        <v>29.612323400699619</v>
      </c>
      <c r="CY111" s="70">
        <f t="shared" si="97"/>
        <v>39.981447265793626</v>
      </c>
      <c r="CZ111" s="69">
        <f t="shared" si="98"/>
        <v>17.676847322400061</v>
      </c>
      <c r="DA111" s="69">
        <f t="shared" si="99"/>
        <v>26.217321120069396</v>
      </c>
      <c r="DB111" s="70">
        <f t="shared" si="100"/>
        <v>43.894168442469457</v>
      </c>
    </row>
    <row r="112" spans="23:106">
      <c r="W112" t="s">
        <v>408</v>
      </c>
      <c r="X112">
        <v>149359</v>
      </c>
      <c r="Y112">
        <v>115376</v>
      </c>
      <c r="Z112" s="51">
        <v>32216.15</v>
      </c>
      <c r="AA112" s="32">
        <f t="shared" si="66"/>
        <v>3716970522.4000001</v>
      </c>
      <c r="AB112">
        <v>4774</v>
      </c>
      <c r="AC112" s="37">
        <f t="shared" si="67"/>
        <v>3.1963256315320807E-2</v>
      </c>
      <c r="AD112" s="50">
        <f>+'Revenue mile elasticities'!M141</f>
        <v>1544697</v>
      </c>
      <c r="AE112" s="3">
        <f t="shared" si="70"/>
        <v>15446.970000000001</v>
      </c>
      <c r="AF112" s="11">
        <f>+'Revenue mile elasticities'!P141</f>
        <v>8.7529575240242932E-4</v>
      </c>
      <c r="AG112" s="11">
        <f>+'Revenue mile elasticities'!Q141</f>
        <v>3.4571838493353091E-3</v>
      </c>
      <c r="AH112" s="11">
        <f>+'Revenue mile elasticities'!R141</f>
        <v>2.401533472295474E-3</v>
      </c>
      <c r="AI112" s="11">
        <f>+'Revenue mile elasticities'!S141</f>
        <v>4.0940335057918133E-3</v>
      </c>
      <c r="AJ112" s="32">
        <f t="shared" si="71"/>
        <v>32534.485100617589</v>
      </c>
      <c r="AK112" s="33">
        <f t="shared" si="72"/>
        <v>8.7529575240242933E-6</v>
      </c>
      <c r="AL112" s="40">
        <f t="shared" si="73"/>
        <v>128502.50458496707</v>
      </c>
      <c r="AM112" s="33">
        <f t="shared" si="74"/>
        <v>3.457183849335309E-5</v>
      </c>
      <c r="AN112" s="40">
        <f t="shared" si="75"/>
        <v>114649.20796738594</v>
      </c>
      <c r="AO112" s="41">
        <f t="shared" si="76"/>
        <v>2.4015334722954743E-5</v>
      </c>
      <c r="AP112" s="40">
        <f t="shared" si="77"/>
        <v>195449.15956650118</v>
      </c>
      <c r="AQ112" s="41">
        <f t="shared" si="78"/>
        <v>4.0940335057918135E-5</v>
      </c>
      <c r="AR112" s="53"/>
      <c r="AS112" s="53"/>
      <c r="BH112" t="s">
        <v>408</v>
      </c>
      <c r="BI112">
        <v>149359</v>
      </c>
      <c r="BJ112">
        <v>115376</v>
      </c>
      <c r="BK112" s="51">
        <v>32216.15</v>
      </c>
      <c r="BL112" s="32">
        <f t="shared" si="68"/>
        <v>3716970522.4000001</v>
      </c>
      <c r="BM112">
        <v>4774</v>
      </c>
      <c r="BN112" s="37">
        <f t="shared" si="69"/>
        <v>3.1963256315320807E-2</v>
      </c>
      <c r="BO112" s="50">
        <f t="shared" si="79"/>
        <v>1544697</v>
      </c>
      <c r="BP112" s="3">
        <f t="shared" si="80"/>
        <v>15446.970000000001</v>
      </c>
      <c r="BQ112" s="11">
        <f>+'Rev mile pop elasticities'!P142</f>
        <v>3.626814810985611E-2</v>
      </c>
      <c r="BR112" s="11">
        <f>+'Rev mile pop elasticities'!Q142</f>
        <v>7.4395405699020478E-2</v>
      </c>
      <c r="BS112" s="11">
        <f>+'Rev mile pop elasticities'!R142</f>
        <v>9.9508276402493295E-2</v>
      </c>
      <c r="BT112" s="11">
        <f>+'Rev mile pop elasticities'!S142</f>
        <v>8.8099822538313721E-2</v>
      </c>
      <c r="BU112" s="32">
        <f t="shared" si="81"/>
        <v>1348076.3742637243</v>
      </c>
      <c r="BV112" s="33">
        <f t="shared" si="82"/>
        <v>3.6268148109856106E-4</v>
      </c>
      <c r="BW112" s="40">
        <f t="shared" si="83"/>
        <v>2765255.2998524806</v>
      </c>
      <c r="BX112" s="33">
        <f t="shared" si="84"/>
        <v>7.4395405699020467E-4</v>
      </c>
      <c r="BY112" s="40">
        <f t="shared" si="85"/>
        <v>4750525.1154550305</v>
      </c>
      <c r="BZ112" s="41">
        <f t="shared" si="86"/>
        <v>9.9508276402493316E-4</v>
      </c>
      <c r="CA112" s="40">
        <f t="shared" si="87"/>
        <v>4205885.5279790973</v>
      </c>
      <c r="CB112" s="41">
        <f t="shared" si="88"/>
        <v>8.8099822538313731E-4</v>
      </c>
      <c r="CQ112" s="70">
        <f t="shared" si="89"/>
        <v>0.28198659253759523</v>
      </c>
      <c r="CR112" s="70">
        <f t="shared" si="90"/>
        <v>11.684200997293409</v>
      </c>
      <c r="CS112" s="70">
        <f t="shared" si="91"/>
        <v>11.966187589831005</v>
      </c>
      <c r="CT112" s="70">
        <f t="shared" si="92"/>
        <v>1.1137715346776371</v>
      </c>
      <c r="CU112" s="70">
        <f t="shared" si="93"/>
        <v>23.967335493104983</v>
      </c>
      <c r="CV112" s="70">
        <f t="shared" si="94"/>
        <v>25.081107027782622</v>
      </c>
      <c r="CW112" s="69">
        <f t="shared" si="95"/>
        <v>0.9937006653670255</v>
      </c>
      <c r="CX112" s="69">
        <f t="shared" si="96"/>
        <v>41.174292014414007</v>
      </c>
      <c r="CY112" s="70">
        <f t="shared" si="97"/>
        <v>42.16799267978103</v>
      </c>
      <c r="CZ112" s="69">
        <f t="shared" si="98"/>
        <v>1.6940192030101684</v>
      </c>
      <c r="DA112" s="69">
        <f t="shared" si="99"/>
        <v>36.453729787642985</v>
      </c>
      <c r="DB112" s="70">
        <f t="shared" si="100"/>
        <v>38.147748990653156</v>
      </c>
    </row>
    <row r="113" spans="23:106">
      <c r="W113" t="s">
        <v>409</v>
      </c>
      <c r="X113">
        <v>101027</v>
      </c>
      <c r="Y113">
        <v>68268</v>
      </c>
      <c r="Z113" s="51">
        <v>33516.26</v>
      </c>
      <c r="AA113" s="32">
        <f t="shared" si="66"/>
        <v>2288088037.6800003</v>
      </c>
      <c r="AB113">
        <v>3348</v>
      </c>
      <c r="AC113" s="37">
        <f t="shared" si="67"/>
        <v>3.3139655735595436E-2</v>
      </c>
      <c r="AD113" s="50">
        <f>+'Revenue mile elasticities'!M142</f>
        <v>1625848</v>
      </c>
      <c r="AE113" s="3">
        <f t="shared" si="70"/>
        <v>16258.48</v>
      </c>
      <c r="AF113" s="11">
        <f>+'Revenue mile elasticities'!P142</f>
        <v>6.4034147202623212E-4</v>
      </c>
      <c r="AG113" s="11">
        <f>+'Revenue mile elasticities'!Q142</f>
        <v>2.5291773541371789E-3</v>
      </c>
      <c r="AH113" s="11">
        <f>+'Revenue mile elasticities'!R142</f>
        <v>1.756893569458254E-3</v>
      </c>
      <c r="AI113" s="11">
        <f>+'Revenue mile elasticities'!S142</f>
        <v>2.9950784456887645E-3</v>
      </c>
      <c r="AJ113" s="32">
        <f t="shared" si="71"/>
        <v>14651.576621736243</v>
      </c>
      <c r="AK113" s="33">
        <f t="shared" si="72"/>
        <v>6.4034147202623214E-6</v>
      </c>
      <c r="AL113" s="40">
        <f t="shared" si="73"/>
        <v>57869.804491724331</v>
      </c>
      <c r="AM113" s="33">
        <f t="shared" si="74"/>
        <v>2.5291773541371791E-5</v>
      </c>
      <c r="AN113" s="40">
        <f t="shared" si="75"/>
        <v>58820.796705462344</v>
      </c>
      <c r="AO113" s="41">
        <f t="shared" si="76"/>
        <v>1.7568935694582537E-5</v>
      </c>
      <c r="AP113" s="40">
        <f t="shared" si="77"/>
        <v>100275.22636165984</v>
      </c>
      <c r="AQ113" s="41">
        <f t="shared" si="78"/>
        <v>2.9950784456887648E-5</v>
      </c>
      <c r="AR113" s="53"/>
      <c r="AS113" s="53"/>
      <c r="BH113" t="s">
        <v>409</v>
      </c>
      <c r="BI113">
        <v>101027</v>
      </c>
      <c r="BJ113">
        <v>68268</v>
      </c>
      <c r="BK113" s="51">
        <v>33516.26</v>
      </c>
      <c r="BL113" s="32">
        <f t="shared" si="68"/>
        <v>2288088037.6800003</v>
      </c>
      <c r="BM113">
        <v>3348</v>
      </c>
      <c r="BN113" s="37">
        <f t="shared" si="69"/>
        <v>3.3139655735595436E-2</v>
      </c>
      <c r="BO113" s="50">
        <f t="shared" si="79"/>
        <v>1625848</v>
      </c>
      <c r="BP113" s="3">
        <f t="shared" si="80"/>
        <v>16258.48</v>
      </c>
      <c r="BQ113" s="11">
        <f>+'Rev mile pop elasticities'!P143</f>
        <v>5.6435965468241159E-2</v>
      </c>
      <c r="BR113" s="11">
        <f>+'Rev mile pop elasticities'!Q143</f>
        <v>0.11576484507309927</v>
      </c>
      <c r="BS113" s="11">
        <f>+'Rev mile pop elasticities'!R143</f>
        <v>0.15484236012947034</v>
      </c>
      <c r="BT113" s="11">
        <f>+'Rev mile pop elasticities'!S143</f>
        <v>0.13708994811288072</v>
      </c>
      <c r="BU113" s="32">
        <f t="shared" si="81"/>
        <v>1291304.5748280417</v>
      </c>
      <c r="BV113" s="33">
        <f t="shared" si="82"/>
        <v>5.6435965468241154E-4</v>
      </c>
      <c r="BW113" s="40">
        <f t="shared" si="83"/>
        <v>2648801.5719563696</v>
      </c>
      <c r="BX113" s="33">
        <f t="shared" si="84"/>
        <v>1.1576484507309927E-3</v>
      </c>
      <c r="BY113" s="40">
        <f t="shared" si="85"/>
        <v>5184122.2171346666</v>
      </c>
      <c r="BZ113" s="41">
        <f t="shared" si="86"/>
        <v>1.5484236012947032E-3</v>
      </c>
      <c r="CA113" s="40">
        <f t="shared" si="87"/>
        <v>4589771.4628192466</v>
      </c>
      <c r="CB113" s="41">
        <f t="shared" si="88"/>
        <v>1.370899481128807E-3</v>
      </c>
      <c r="CQ113" s="70">
        <f t="shared" si="89"/>
        <v>0.21461851265213927</v>
      </c>
      <c r="CR113" s="70">
        <f t="shared" si="90"/>
        <v>18.915224919845926</v>
      </c>
      <c r="CS113" s="70">
        <f t="shared" si="91"/>
        <v>19.129843432498067</v>
      </c>
      <c r="CT113" s="70">
        <f t="shared" si="92"/>
        <v>0.84768565787373784</v>
      </c>
      <c r="CU113" s="70">
        <f t="shared" si="93"/>
        <v>38.800046463297143</v>
      </c>
      <c r="CV113" s="70">
        <f t="shared" si="94"/>
        <v>39.647732121170883</v>
      </c>
      <c r="CW113" s="69">
        <f t="shared" si="95"/>
        <v>0.86161593580392493</v>
      </c>
      <c r="CX113" s="69">
        <f t="shared" si="96"/>
        <v>75.937807129763087</v>
      </c>
      <c r="CY113" s="70">
        <f t="shared" si="97"/>
        <v>76.799423065567012</v>
      </c>
      <c r="CZ113" s="69">
        <f t="shared" si="98"/>
        <v>1.4688466977450612</v>
      </c>
      <c r="DA113" s="69">
        <f t="shared" si="99"/>
        <v>67.231667293889473</v>
      </c>
      <c r="DB113" s="70">
        <f t="shared" si="100"/>
        <v>68.700513991634537</v>
      </c>
    </row>
    <row r="114" spans="23:106">
      <c r="W114" t="s">
        <v>410</v>
      </c>
      <c r="X114">
        <v>160266</v>
      </c>
      <c r="Y114">
        <v>74845</v>
      </c>
      <c r="Z114" s="51">
        <v>37490.89</v>
      </c>
      <c r="AA114" s="32">
        <f t="shared" si="66"/>
        <v>2806005662.0500002</v>
      </c>
      <c r="AB114">
        <v>4218</v>
      </c>
      <c r="AC114" s="37">
        <f t="shared" si="67"/>
        <v>2.6318745086294035E-2</v>
      </c>
      <c r="AD114" s="50">
        <f>+'Revenue mile elasticities'!M143</f>
        <v>351738</v>
      </c>
      <c r="AE114" s="3">
        <f t="shared" si="70"/>
        <v>3517.38</v>
      </c>
      <c r="AF114" s="11">
        <f>+'Revenue mile elasticities'!P143</f>
        <v>1.5263344556232919E-4</v>
      </c>
      <c r="AG114" s="11">
        <f>+'Revenue mile elasticities'!Q143</f>
        <v>6.0286124023583242E-4</v>
      </c>
      <c r="AH114" s="11">
        <f>+'Revenue mile elasticities'!R143</f>
        <v>4.1877768457534368E-4</v>
      </c>
      <c r="AI114" s="11">
        <f>+'Revenue mile elasticities'!S143</f>
        <v>7.1391462659506474E-4</v>
      </c>
      <c r="AJ114" s="32">
        <f t="shared" si="71"/>
        <v>4282.903124660962</v>
      </c>
      <c r="AK114" s="33">
        <f t="shared" si="72"/>
        <v>1.526334455623292E-6</v>
      </c>
      <c r="AL114" s="40">
        <f t="shared" si="73"/>
        <v>16916.320535322313</v>
      </c>
      <c r="AM114" s="33">
        <f t="shared" si="74"/>
        <v>6.0286124023583246E-6</v>
      </c>
      <c r="AN114" s="40">
        <f t="shared" si="75"/>
        <v>17664.042735387997</v>
      </c>
      <c r="AO114" s="41">
        <f t="shared" si="76"/>
        <v>4.1877768457534364E-6</v>
      </c>
      <c r="AP114" s="40">
        <f t="shared" si="77"/>
        <v>30112.918949779829</v>
      </c>
      <c r="AQ114" s="41">
        <f t="shared" si="78"/>
        <v>7.1391462659506467E-6</v>
      </c>
      <c r="AR114" s="53"/>
      <c r="AS114" s="53"/>
      <c r="BH114" t="s">
        <v>410</v>
      </c>
      <c r="BI114">
        <v>160266</v>
      </c>
      <c r="BJ114">
        <v>74845</v>
      </c>
      <c r="BK114" s="51">
        <v>37490.89</v>
      </c>
      <c r="BL114" s="32">
        <f t="shared" si="68"/>
        <v>2806005662.0500002</v>
      </c>
      <c r="BM114">
        <v>4218</v>
      </c>
      <c r="BN114" s="37">
        <f t="shared" si="69"/>
        <v>2.6318745086294035E-2</v>
      </c>
      <c r="BO114" s="50">
        <f t="shared" si="79"/>
        <v>351738</v>
      </c>
      <c r="BP114" s="3">
        <f t="shared" si="80"/>
        <v>3517.38</v>
      </c>
      <c r="BQ114" s="11">
        <f>+'Rev mile pop elasticities'!P144</f>
        <v>7.6964662071805617E-3</v>
      </c>
      <c r="BR114" s="11">
        <f>+'Rev mile pop elasticities'!Q144</f>
        <v>1.5787454164950771E-2</v>
      </c>
      <c r="BS114" s="11">
        <f>+'Rev mile pop elasticities'!R144</f>
        <v>2.1116658185766163E-2</v>
      </c>
      <c r="BT114" s="11">
        <f>+'Rev mile pop elasticities'!S144</f>
        <v>1.8695669405862755E-2</v>
      </c>
      <c r="BU114" s="32">
        <f t="shared" si="81"/>
        <v>215963.27755125146</v>
      </c>
      <c r="BV114" s="33">
        <f t="shared" si="82"/>
        <v>7.6964662071805613E-5</v>
      </c>
      <c r="BW114" s="40">
        <f t="shared" si="83"/>
        <v>442996.85776206723</v>
      </c>
      <c r="BX114" s="33">
        <f t="shared" si="84"/>
        <v>1.5787454164950773E-4</v>
      </c>
      <c r="BY114" s="40">
        <f t="shared" si="85"/>
        <v>890700.64227561676</v>
      </c>
      <c r="BZ114" s="41">
        <f t="shared" si="86"/>
        <v>2.1116658185766165E-4</v>
      </c>
      <c r="CA114" s="40">
        <f t="shared" si="87"/>
        <v>788583.33553929103</v>
      </c>
      <c r="CB114" s="41">
        <f t="shared" si="88"/>
        <v>1.8695669405862755E-4</v>
      </c>
      <c r="CQ114" s="70">
        <f t="shared" si="89"/>
        <v>5.7223637178982725E-2</v>
      </c>
      <c r="CR114" s="70">
        <f t="shared" si="90"/>
        <v>2.8854736796212368</v>
      </c>
      <c r="CS114" s="70">
        <f t="shared" si="91"/>
        <v>2.9426973168002197</v>
      </c>
      <c r="CT114" s="70">
        <f t="shared" si="92"/>
        <v>0.2260180444294517</v>
      </c>
      <c r="CU114" s="70">
        <f t="shared" si="93"/>
        <v>5.918857074782113</v>
      </c>
      <c r="CV114" s="70">
        <f t="shared" si="94"/>
        <v>6.1448751192115649</v>
      </c>
      <c r="CW114" s="69">
        <f t="shared" si="95"/>
        <v>0.23600832033386326</v>
      </c>
      <c r="CX114" s="69">
        <f t="shared" si="96"/>
        <v>11.900603143504799</v>
      </c>
      <c r="CY114" s="70">
        <f t="shared" si="97"/>
        <v>12.136611463838662</v>
      </c>
      <c r="CZ114" s="69">
        <f t="shared" si="98"/>
        <v>0.40233708263450901</v>
      </c>
      <c r="DA114" s="69">
        <f t="shared" si="99"/>
        <v>10.536219327133288</v>
      </c>
      <c r="DB114" s="70">
        <f t="shared" si="100"/>
        <v>10.938556409767797</v>
      </c>
    </row>
    <row r="115" spans="23:106">
      <c r="W115" t="s">
        <v>411</v>
      </c>
      <c r="X115">
        <v>537194</v>
      </c>
      <c r="Y115">
        <v>342633</v>
      </c>
      <c r="Z115" s="51">
        <v>34641.96</v>
      </c>
      <c r="AA115" s="32">
        <f t="shared" si="66"/>
        <v>11869478680.68</v>
      </c>
      <c r="AB115">
        <v>19517</v>
      </c>
      <c r="AC115" s="37">
        <f t="shared" si="67"/>
        <v>3.6331381214235452E-2</v>
      </c>
      <c r="AD115" s="50">
        <f>+'Revenue mile elasticities'!M144</f>
        <v>953368</v>
      </c>
      <c r="AE115" s="3">
        <f t="shared" si="70"/>
        <v>9533.68</v>
      </c>
      <c r="AF115" s="11">
        <f>+'Revenue mile elasticities'!P144</f>
        <v>9.1498217533949667E-4</v>
      </c>
      <c r="AG115" s="11">
        <f>+'Revenue mile elasticities'!Q144</f>
        <v>3.6139345933430766E-3</v>
      </c>
      <c r="AH115" s="11">
        <f>+'Revenue mile elasticities'!R144</f>
        <v>2.5104204088737094E-3</v>
      </c>
      <c r="AI115" s="11">
        <f>+'Revenue mile elasticities'!S144</f>
        <v>4.2796593868536436E-3</v>
      </c>
      <c r="AJ115" s="32">
        <f t="shared" si="71"/>
        <v>108603.61423394366</v>
      </c>
      <c r="AK115" s="33">
        <f t="shared" si="72"/>
        <v>9.1498217533949669E-6</v>
      </c>
      <c r="AL115" s="40">
        <f t="shared" si="73"/>
        <v>428955.19609057595</v>
      </c>
      <c r="AM115" s="33">
        <f t="shared" si="74"/>
        <v>3.6139345933430766E-5</v>
      </c>
      <c r="AN115" s="40">
        <f t="shared" si="75"/>
        <v>489958.75119988178</v>
      </c>
      <c r="AO115" s="41">
        <f t="shared" si="76"/>
        <v>2.5104204088737089E-5</v>
      </c>
      <c r="AP115" s="40">
        <f t="shared" si="77"/>
        <v>835261.12253222556</v>
      </c>
      <c r="AQ115" s="41">
        <f t="shared" si="78"/>
        <v>4.2796593868536434E-5</v>
      </c>
      <c r="AR115" s="53"/>
      <c r="AS115" s="53"/>
      <c r="BH115" t="s">
        <v>411</v>
      </c>
      <c r="BI115">
        <v>537194</v>
      </c>
      <c r="BJ115">
        <v>342633</v>
      </c>
      <c r="BK115" s="51">
        <v>34641.96</v>
      </c>
      <c r="BL115" s="32">
        <f t="shared" si="68"/>
        <v>11869478680.68</v>
      </c>
      <c r="BM115">
        <v>19517</v>
      </c>
      <c r="BN115" s="37">
        <f t="shared" si="69"/>
        <v>3.6331381214235452E-2</v>
      </c>
      <c r="BO115" s="50">
        <f t="shared" si="79"/>
        <v>953368</v>
      </c>
      <c r="BP115" s="3">
        <f t="shared" si="80"/>
        <v>9533.68</v>
      </c>
      <c r="BQ115" s="11">
        <f>+'Rev mile pop elasticities'!P145</f>
        <v>6.2236174822503602E-3</v>
      </c>
      <c r="BR115" s="11">
        <f>+'Rev mile pop elasticities'!Q145</f>
        <v>1.2766258318596263E-2</v>
      </c>
      <c r="BS115" s="11">
        <f>+'Rev mile pop elasticities'!R145</f>
        <v>1.7075629193177882E-2</v>
      </c>
      <c r="BT115" s="11">
        <f>+'Rev mile pop elasticities'!S145</f>
        <v>1.5117937482548206E-2</v>
      </c>
      <c r="BU115" s="32">
        <f t="shared" si="81"/>
        <v>738710.95022277988</v>
      </c>
      <c r="BV115" s="33">
        <f t="shared" si="82"/>
        <v>6.2236174822503606E-5</v>
      </c>
      <c r="BW115" s="40">
        <f t="shared" si="83"/>
        <v>1515288.3094463206</v>
      </c>
      <c r="BX115" s="33">
        <f t="shared" si="84"/>
        <v>1.2766258318596264E-4</v>
      </c>
      <c r="BY115" s="40">
        <f t="shared" si="85"/>
        <v>3332650.5496325269</v>
      </c>
      <c r="BZ115" s="41">
        <f t="shared" si="86"/>
        <v>1.7075629193177882E-4</v>
      </c>
      <c r="CA115" s="40">
        <f t="shared" si="87"/>
        <v>2950567.8584689335</v>
      </c>
      <c r="CB115" s="41">
        <f t="shared" si="88"/>
        <v>1.5117937482548205E-4</v>
      </c>
      <c r="CQ115" s="70">
        <f t="shared" si="89"/>
        <v>0.31696775918823833</v>
      </c>
      <c r="CR115" s="70">
        <f t="shared" si="90"/>
        <v>2.1559830787541769</v>
      </c>
      <c r="CS115" s="70">
        <f t="shared" si="91"/>
        <v>2.4729508379424154</v>
      </c>
      <c r="CT115" s="70">
        <f t="shared" si="92"/>
        <v>1.2519377762520714</v>
      </c>
      <c r="CU115" s="70">
        <f t="shared" si="93"/>
        <v>4.4224821002247907</v>
      </c>
      <c r="CV115" s="70">
        <f t="shared" si="94"/>
        <v>5.6744198764768621</v>
      </c>
      <c r="CW115" s="69">
        <f t="shared" si="95"/>
        <v>1.4299812078809739</v>
      </c>
      <c r="CX115" s="69">
        <f t="shared" si="96"/>
        <v>9.7265895276652472</v>
      </c>
      <c r="CY115" s="70">
        <f t="shared" si="97"/>
        <v>11.156570735546222</v>
      </c>
      <c r="CZ115" s="69">
        <f t="shared" si="98"/>
        <v>2.4377719674760621</v>
      </c>
      <c r="DA115" s="69">
        <f t="shared" si="99"/>
        <v>8.6114526577093677</v>
      </c>
      <c r="DB115" s="70">
        <f t="shared" si="100"/>
        <v>11.049224625185429</v>
      </c>
    </row>
    <row r="116" spans="23:106">
      <c r="W116" t="s">
        <v>412</v>
      </c>
      <c r="X116">
        <v>113008</v>
      </c>
      <c r="Y116">
        <v>77424</v>
      </c>
      <c r="Z116" s="51">
        <v>33077.94</v>
      </c>
      <c r="AA116" s="32">
        <f t="shared" si="66"/>
        <v>2561026426.5599999</v>
      </c>
      <c r="AB116">
        <v>3844</v>
      </c>
      <c r="AC116" s="37">
        <f t="shared" si="67"/>
        <v>3.4015290952852897E-2</v>
      </c>
      <c r="AD116" s="50">
        <f>+'Revenue mile elasticities'!M145</f>
        <v>555425</v>
      </c>
      <c r="AE116" s="3">
        <f t="shared" si="70"/>
        <v>5554.25</v>
      </c>
      <c r="AF116" s="11">
        <f>+'Revenue mile elasticities'!P145</f>
        <v>5.4037238348334004E-4</v>
      </c>
      <c r="AG116" s="11">
        <f>+'Revenue mile elasticities'!Q145</f>
        <v>2.1343262225114899E-3</v>
      </c>
      <c r="AH116" s="11">
        <f>+'Revenue mile elasticities'!R145</f>
        <v>1.4826101496293806E-3</v>
      </c>
      <c r="AI116" s="11">
        <f>+'Revenue mile elasticities'!S145</f>
        <v>2.5274915792899227E-3</v>
      </c>
      <c r="AJ116" s="32">
        <f t="shared" si="71"/>
        <v>13839.079542840484</v>
      </c>
      <c r="AK116" s="33">
        <f t="shared" si="72"/>
        <v>5.4037238348334011E-6</v>
      </c>
      <c r="AL116" s="40">
        <f t="shared" si="73"/>
        <v>54660.658587519043</v>
      </c>
      <c r="AM116" s="33">
        <f t="shared" si="74"/>
        <v>2.1343262225114898E-5</v>
      </c>
      <c r="AN116" s="40">
        <f t="shared" si="75"/>
        <v>56991.534151753396</v>
      </c>
      <c r="AO116" s="41">
        <f t="shared" si="76"/>
        <v>1.4826101496293807E-5</v>
      </c>
      <c r="AP116" s="40">
        <f t="shared" si="77"/>
        <v>97156.776307904627</v>
      </c>
      <c r="AQ116" s="41">
        <f t="shared" si="78"/>
        <v>2.5274915792899226E-5</v>
      </c>
      <c r="AR116" s="53"/>
      <c r="AS116" s="53"/>
      <c r="BH116" t="s">
        <v>412</v>
      </c>
      <c r="BI116">
        <v>113008</v>
      </c>
      <c r="BJ116">
        <v>77424</v>
      </c>
      <c r="BK116" s="51">
        <v>33077.94</v>
      </c>
      <c r="BL116" s="32">
        <f t="shared" si="68"/>
        <v>2561026426.5599999</v>
      </c>
      <c r="BM116">
        <v>3844</v>
      </c>
      <c r="BN116" s="37">
        <f t="shared" si="69"/>
        <v>3.4015290952852897E-2</v>
      </c>
      <c r="BO116" s="50">
        <f t="shared" si="79"/>
        <v>555425</v>
      </c>
      <c r="BP116" s="3">
        <f t="shared" si="80"/>
        <v>5554.25</v>
      </c>
      <c r="BQ116" s="11">
        <f>+'Rev mile pop elasticities'!P146</f>
        <v>1.7235731085409881E-2</v>
      </c>
      <c r="BR116" s="11">
        <f>+'Rev mile pop elasticities'!Q146</f>
        <v>3.5354967745646323E-2</v>
      </c>
      <c r="BS116" s="11">
        <f>+'Rev mile pop elasticities'!R146</f>
        <v>4.7289370487045158E-2</v>
      </c>
      <c r="BT116" s="11">
        <f>+'Rev mile pop elasticities'!S146</f>
        <v>4.1867724961949598E-2</v>
      </c>
      <c r="BU116" s="32">
        <f t="shared" si="81"/>
        <v>441411.62790816376</v>
      </c>
      <c r="BV116" s="33">
        <f t="shared" si="82"/>
        <v>1.723573108540988E-4</v>
      </c>
      <c r="BW116" s="40">
        <f t="shared" si="83"/>
        <v>905450.06706776656</v>
      </c>
      <c r="BX116" s="33">
        <f t="shared" si="84"/>
        <v>3.535496774564632E-4</v>
      </c>
      <c r="BY116" s="40">
        <f t="shared" si="85"/>
        <v>1817803.4015220159</v>
      </c>
      <c r="BZ116" s="41">
        <f t="shared" si="86"/>
        <v>4.7289370487045161E-4</v>
      </c>
      <c r="CA116" s="40">
        <f t="shared" si="87"/>
        <v>1609395.3475373427</v>
      </c>
      <c r="CB116" s="41">
        <f t="shared" si="88"/>
        <v>4.1867724961949603E-4</v>
      </c>
      <c r="CQ116" s="70">
        <f t="shared" si="89"/>
        <v>0.17874405278518912</v>
      </c>
      <c r="CR116" s="70">
        <f t="shared" si="90"/>
        <v>5.7012247869932287</v>
      </c>
      <c r="CS116" s="70">
        <f t="shared" si="91"/>
        <v>5.8799688397784173</v>
      </c>
      <c r="CT116" s="70">
        <f t="shared" si="92"/>
        <v>0.70599114728661716</v>
      </c>
      <c r="CU116" s="70">
        <f t="shared" si="93"/>
        <v>11.694695017924243</v>
      </c>
      <c r="CV116" s="70">
        <f t="shared" si="94"/>
        <v>12.40068616521086</v>
      </c>
      <c r="CW116" s="69">
        <f t="shared" si="95"/>
        <v>0.73609648367112779</v>
      </c>
      <c r="CX116" s="69">
        <f t="shared" si="96"/>
        <v>23.478551889879313</v>
      </c>
      <c r="CY116" s="70">
        <f t="shared" si="97"/>
        <v>24.214648373550439</v>
      </c>
      <c r="CZ116" s="69">
        <f t="shared" si="98"/>
        <v>1.2548664019929818</v>
      </c>
      <c r="DA116" s="69">
        <f t="shared" si="99"/>
        <v>20.786776032462061</v>
      </c>
      <c r="DB116" s="70">
        <f t="shared" si="100"/>
        <v>22.041642434455042</v>
      </c>
    </row>
    <row r="117" spans="23:106">
      <c r="W117" t="s">
        <v>413</v>
      </c>
      <c r="X117">
        <v>1316528</v>
      </c>
      <c r="Y117">
        <v>826575</v>
      </c>
      <c r="Z117" s="51">
        <v>38499.519999999997</v>
      </c>
      <c r="AA117" s="32">
        <f t="shared" si="66"/>
        <v>31822740743.999996</v>
      </c>
      <c r="AB117">
        <v>51732</v>
      </c>
      <c r="AC117" s="37">
        <f t="shared" si="67"/>
        <v>3.9294264914988518E-2</v>
      </c>
      <c r="AD117" s="50">
        <f>+'Revenue mile elasticities'!M146</f>
        <v>9935161</v>
      </c>
      <c r="AE117" s="3">
        <f t="shared" si="70"/>
        <v>99351.61</v>
      </c>
      <c r="AF117" s="11">
        <f>+'Revenue mile elasticities'!P146</f>
        <v>8.9499981499371935E-3</v>
      </c>
      <c r="AG117" s="11">
        <f>+'Revenue mile elasticities'!Q146</f>
        <v>3.5350096205331347E-2</v>
      </c>
      <c r="AH117" s="11">
        <f>+'Revenue mile elasticities'!R146</f>
        <v>2.4555951602715766E-2</v>
      </c>
      <c r="AI117" s="11">
        <f>+'Revenue mile elasticities'!S146</f>
        <v>4.1861956032629231E-2</v>
      </c>
      <c r="AJ117" s="32">
        <f t="shared" si="71"/>
        <v>2848134.7078473093</v>
      </c>
      <c r="AK117" s="33">
        <f t="shared" si="72"/>
        <v>8.9499981499371935E-5</v>
      </c>
      <c r="AL117" s="40">
        <f t="shared" si="73"/>
        <v>11249369.468177177</v>
      </c>
      <c r="AM117" s="33">
        <f t="shared" si="74"/>
        <v>3.5350096205331351E-4</v>
      </c>
      <c r="AN117" s="40">
        <f t="shared" si="75"/>
        <v>12703284.88311692</v>
      </c>
      <c r="AO117" s="41">
        <f t="shared" si="76"/>
        <v>2.4555951602715765E-4</v>
      </c>
      <c r="AP117" s="40">
        <f t="shared" si="77"/>
        <v>21656027.094799757</v>
      </c>
      <c r="AQ117" s="41">
        <f t="shared" si="78"/>
        <v>4.1861956032629232E-4</v>
      </c>
      <c r="AR117" s="53"/>
      <c r="AS117" s="53"/>
      <c r="BH117" t="s">
        <v>413</v>
      </c>
      <c r="BI117">
        <v>1316528</v>
      </c>
      <c r="BJ117">
        <v>826575</v>
      </c>
      <c r="BK117" s="51">
        <v>38499.519999999997</v>
      </c>
      <c r="BL117" s="32">
        <f t="shared" si="68"/>
        <v>31822740743.999996</v>
      </c>
      <c r="BM117">
        <v>51732</v>
      </c>
      <c r="BN117" s="37">
        <f t="shared" si="69"/>
        <v>3.9294264914988518E-2</v>
      </c>
      <c r="BO117" s="50">
        <f t="shared" si="79"/>
        <v>9935161</v>
      </c>
      <c r="BP117" s="3">
        <f t="shared" si="80"/>
        <v>99351.61</v>
      </c>
      <c r="BQ117" s="11">
        <f>+'Rev mile pop elasticities'!P147</f>
        <v>2.6464170376946025E-2</v>
      </c>
      <c r="BR117" s="11">
        <f>+'Rev mile pop elasticities'!Q147</f>
        <v>5.4284897197325092E-2</v>
      </c>
      <c r="BS117" s="11">
        <f>+'Rev mile pop elasticities'!R147</f>
        <v>7.2609276124472849E-2</v>
      </c>
      <c r="BT117" s="11">
        <f>+'Rev mile pop elasticities'!S147</f>
        <v>6.4284746681042879E-2</v>
      </c>
      <c r="BU117" s="32">
        <f t="shared" si="81"/>
        <v>8421624.3291059807</v>
      </c>
      <c r="BV117" s="33">
        <f t="shared" si="82"/>
        <v>2.6464170376946027E-4</v>
      </c>
      <c r="BW117" s="40">
        <f t="shared" si="83"/>
        <v>17274942.098251686</v>
      </c>
      <c r="BX117" s="33">
        <f t="shared" si="84"/>
        <v>5.4284897197325098E-4</v>
      </c>
      <c r="BY117" s="40">
        <f t="shared" si="85"/>
        <v>37562230.72471229</v>
      </c>
      <c r="BZ117" s="41">
        <f t="shared" si="86"/>
        <v>7.260927612447284E-4</v>
      </c>
      <c r="CA117" s="40">
        <f t="shared" si="87"/>
        <v>33255785.153037101</v>
      </c>
      <c r="CB117" s="41">
        <f t="shared" si="88"/>
        <v>6.4284746681042874E-4</v>
      </c>
      <c r="CQ117" s="70">
        <f t="shared" si="89"/>
        <v>3.4457063277346998</v>
      </c>
      <c r="CR117" s="70">
        <f t="shared" si="90"/>
        <v>10.18857856710641</v>
      </c>
      <c r="CS117" s="70">
        <f t="shared" si="91"/>
        <v>13.634284894841109</v>
      </c>
      <c r="CT117" s="70">
        <f t="shared" si="92"/>
        <v>13.609617358590784</v>
      </c>
      <c r="CU117" s="70">
        <f t="shared" si="93"/>
        <v>20.899424853463614</v>
      </c>
      <c r="CV117" s="70">
        <f t="shared" si="94"/>
        <v>34.509042212054396</v>
      </c>
      <c r="CW117" s="69">
        <f t="shared" si="95"/>
        <v>15.368581052072612</v>
      </c>
      <c r="CX117" s="69">
        <f t="shared" si="96"/>
        <v>45.443221395169573</v>
      </c>
      <c r="CY117" s="70">
        <f t="shared" si="97"/>
        <v>60.811802447242187</v>
      </c>
      <c r="CZ117" s="69">
        <f t="shared" si="98"/>
        <v>26.199712179535744</v>
      </c>
      <c r="DA117" s="69">
        <f t="shared" si="99"/>
        <v>40.233233709024709</v>
      </c>
      <c r="DB117" s="70">
        <f t="shared" si="100"/>
        <v>66.432945888560454</v>
      </c>
    </row>
    <row r="118" spans="23:106">
      <c r="W118" t="s">
        <v>414</v>
      </c>
      <c r="X118">
        <v>160186</v>
      </c>
      <c r="Y118">
        <v>84361</v>
      </c>
      <c r="Z118" s="51">
        <v>36059.019999999997</v>
      </c>
      <c r="AA118" s="32">
        <f t="shared" si="66"/>
        <v>3041974986.2199998</v>
      </c>
      <c r="AB118">
        <v>4366</v>
      </c>
      <c r="AC118" s="37">
        <f t="shared" si="67"/>
        <v>2.7255815114928895E-2</v>
      </c>
      <c r="AD118" s="50">
        <f>+'Revenue mile elasticities'!M147</f>
        <v>1239799</v>
      </c>
      <c r="AE118" s="3">
        <f t="shared" si="70"/>
        <v>12397.99</v>
      </c>
      <c r="AF118" s="11">
        <f>+'Revenue mile elasticities'!P147</f>
        <v>1.165649327362123E-3</v>
      </c>
      <c r="AG118" s="11">
        <f>+'Revenue mile elasticities'!Q147</f>
        <v>4.6040027242039124E-3</v>
      </c>
      <c r="AH118" s="11">
        <f>+'Revenue mile elasticities'!R147</f>
        <v>3.1981714396939116E-3</v>
      </c>
      <c r="AI118" s="11">
        <f>+'Revenue mile elasticities'!S147</f>
        <v>5.4521084891888437E-3</v>
      </c>
      <c r="AJ118" s="32">
        <f t="shared" si="71"/>
        <v>35458.760965397465</v>
      </c>
      <c r="AK118" s="33">
        <f t="shared" si="72"/>
        <v>1.1656493273621231E-5</v>
      </c>
      <c r="AL118" s="40">
        <f t="shared" si="73"/>
        <v>140052.61123517039</v>
      </c>
      <c r="AM118" s="33">
        <f t="shared" si="74"/>
        <v>4.604002724203913E-5</v>
      </c>
      <c r="AN118" s="40">
        <f t="shared" si="75"/>
        <v>139632.16505703618</v>
      </c>
      <c r="AO118" s="41">
        <f t="shared" si="76"/>
        <v>3.1981714396939111E-5</v>
      </c>
      <c r="AP118" s="40">
        <f t="shared" si="77"/>
        <v>238039.0566379849</v>
      </c>
      <c r="AQ118" s="41">
        <f t="shared" si="78"/>
        <v>5.4521084891888436E-5</v>
      </c>
      <c r="AR118" s="53"/>
      <c r="AS118" s="53"/>
      <c r="BH118" t="s">
        <v>414</v>
      </c>
      <c r="BI118">
        <v>160186</v>
      </c>
      <c r="BJ118">
        <v>84361</v>
      </c>
      <c r="BK118" s="51">
        <v>36059.019999999997</v>
      </c>
      <c r="BL118" s="32">
        <f t="shared" si="68"/>
        <v>3041974986.2199998</v>
      </c>
      <c r="BM118">
        <v>4366</v>
      </c>
      <c r="BN118" s="37">
        <f t="shared" si="69"/>
        <v>2.7255815114928895E-2</v>
      </c>
      <c r="BO118" s="50">
        <f t="shared" si="79"/>
        <v>1239799</v>
      </c>
      <c r="BP118" s="3">
        <f t="shared" si="80"/>
        <v>12397.99</v>
      </c>
      <c r="BQ118" s="11">
        <f>+'Rev mile pop elasticities'!P148</f>
        <v>2.7141897101993929E-2</v>
      </c>
      <c r="BR118" s="11">
        <f>+'Rev mile pop elasticities'!Q148</f>
        <v>5.5675090997964867E-2</v>
      </c>
      <c r="BS118" s="11">
        <f>+'Rev mile pop elasticities'!R148</f>
        <v>7.4468742951319084E-2</v>
      </c>
      <c r="BT118" s="11">
        <f>+'Rev mile pop elasticities'!S148</f>
        <v>6.593102881337945E-2</v>
      </c>
      <c r="BU118" s="32">
        <f t="shared" si="81"/>
        <v>825649.72062822641</v>
      </c>
      <c r="BV118" s="33">
        <f t="shared" si="82"/>
        <v>2.7141897101993931E-4</v>
      </c>
      <c r="BW118" s="40">
        <f t="shared" si="83"/>
        <v>1693622.3417133142</v>
      </c>
      <c r="BX118" s="33">
        <f t="shared" si="84"/>
        <v>5.5675090997964866E-4</v>
      </c>
      <c r="BY118" s="40">
        <f t="shared" si="85"/>
        <v>3251305.3172545908</v>
      </c>
      <c r="BZ118" s="41">
        <f t="shared" si="86"/>
        <v>7.446874295131907E-4</v>
      </c>
      <c r="CA118" s="40">
        <f t="shared" si="87"/>
        <v>2878548.7179921474</v>
      </c>
      <c r="CB118" s="41">
        <f t="shared" si="88"/>
        <v>6.5931028813379468E-4</v>
      </c>
      <c r="CQ118" s="70">
        <f t="shared" si="89"/>
        <v>0.42032172408337343</v>
      </c>
      <c r="CR118" s="70">
        <f t="shared" si="90"/>
        <v>9.7871021043874116</v>
      </c>
      <c r="CS118" s="70">
        <f t="shared" si="91"/>
        <v>10.207423828470786</v>
      </c>
      <c r="CT118" s="70">
        <f t="shared" si="92"/>
        <v>1.6601582631212337</v>
      </c>
      <c r="CU118" s="70">
        <f t="shared" si="93"/>
        <v>20.075892197974351</v>
      </c>
      <c r="CV118" s="70">
        <f t="shared" si="94"/>
        <v>21.736050461095584</v>
      </c>
      <c r="CW118" s="69">
        <f t="shared" si="95"/>
        <v>1.6551743703492867</v>
      </c>
      <c r="CX118" s="69">
        <f t="shared" si="96"/>
        <v>38.54038379410617</v>
      </c>
      <c r="CY118" s="70">
        <f t="shared" si="97"/>
        <v>40.195558164455456</v>
      </c>
      <c r="CZ118" s="69">
        <f t="shared" si="98"/>
        <v>2.8216718227378159</v>
      </c>
      <c r="DA118" s="69">
        <f t="shared" si="99"/>
        <v>34.121794644351624</v>
      </c>
      <c r="DB118" s="70">
        <f t="shared" si="100"/>
        <v>36.943466467089436</v>
      </c>
    </row>
    <row r="119" spans="23:106">
      <c r="W119" t="s">
        <v>415</v>
      </c>
      <c r="X119">
        <v>146465</v>
      </c>
      <c r="Y119">
        <v>102421</v>
      </c>
      <c r="Z119" s="51">
        <v>33773.29</v>
      </c>
      <c r="AA119" s="32">
        <f t="shared" si="66"/>
        <v>3459094135.0900002</v>
      </c>
      <c r="AB119">
        <v>4085</v>
      </c>
      <c r="AC119" s="37">
        <f t="shared" si="67"/>
        <v>2.7890622332980574E-2</v>
      </c>
      <c r="AD119" s="50">
        <f>+'Revenue mile elasticities'!M148</f>
        <v>376210</v>
      </c>
      <c r="AE119" s="3">
        <f t="shared" si="70"/>
        <v>3762.1</v>
      </c>
      <c r="AF119" s="11">
        <f>+'Revenue mile elasticities'!P148</f>
        <v>2.5262679676948854E-4</v>
      </c>
      <c r="AG119" s="11">
        <f>+'Revenue mile elasticities'!Q148</f>
        <v>9.9780820288871016E-4</v>
      </c>
      <c r="AH119" s="11">
        <f>+'Revenue mile elasticities'!R148</f>
        <v>6.9312767344697221E-4</v>
      </c>
      <c r="AI119" s="11">
        <f>+'Revenue mile elasticities'!S148</f>
        <v>1.1816149771050515E-3</v>
      </c>
      <c r="AJ119" s="32">
        <f t="shared" si="71"/>
        <v>8738.5987107191122</v>
      </c>
      <c r="AK119" s="33">
        <f t="shared" si="72"/>
        <v>2.5262679676948853E-6</v>
      </c>
      <c r="AL119" s="40">
        <f t="shared" si="73"/>
        <v>34515.125025570305</v>
      </c>
      <c r="AM119" s="33">
        <f t="shared" si="74"/>
        <v>9.9780820288871025E-6</v>
      </c>
      <c r="AN119" s="40">
        <f t="shared" si="75"/>
        <v>28314.265460308816</v>
      </c>
      <c r="AO119" s="41">
        <f t="shared" si="76"/>
        <v>6.9312767344697218E-6</v>
      </c>
      <c r="AP119" s="40">
        <f t="shared" si="77"/>
        <v>48268.971814741344</v>
      </c>
      <c r="AQ119" s="41">
        <f t="shared" si="78"/>
        <v>1.1816149771050513E-5</v>
      </c>
      <c r="AR119" s="53"/>
      <c r="AS119" s="53"/>
      <c r="BH119" t="s">
        <v>415</v>
      </c>
      <c r="BI119">
        <v>146465</v>
      </c>
      <c r="BJ119">
        <v>102421</v>
      </c>
      <c r="BK119" s="51">
        <v>33773.29</v>
      </c>
      <c r="BL119" s="32">
        <f t="shared" si="68"/>
        <v>3459094135.0900002</v>
      </c>
      <c r="BM119">
        <v>4085</v>
      </c>
      <c r="BN119" s="37">
        <f t="shared" si="69"/>
        <v>2.7890622332980574E-2</v>
      </c>
      <c r="BO119" s="50">
        <f t="shared" si="79"/>
        <v>376210</v>
      </c>
      <c r="BP119" s="3">
        <f t="shared" si="80"/>
        <v>3762.1</v>
      </c>
      <c r="BQ119" s="11">
        <f>+'Rev mile pop elasticities'!P149</f>
        <v>9.0076178759430567E-3</v>
      </c>
      <c r="BR119" s="11">
        <f>+'Rev mile pop elasticities'!Q149</f>
        <v>1.8476967289113438E-2</v>
      </c>
      <c r="BS119" s="11">
        <f>+'Rev mile pop elasticities'!R149</f>
        <v>2.4714041825692142E-2</v>
      </c>
      <c r="BT119" s="11">
        <f>+'Rev mile pop elasticities'!S149</f>
        <v>2.1880619158160652E-2</v>
      </c>
      <c r="BU119" s="32">
        <f t="shared" si="81"/>
        <v>311581.9816580647</v>
      </c>
      <c r="BV119" s="33">
        <f t="shared" si="82"/>
        <v>9.0076178759430567E-5</v>
      </c>
      <c r="BW119" s="40">
        <f t="shared" si="83"/>
        <v>639135.69184022071</v>
      </c>
      <c r="BX119" s="33">
        <f t="shared" si="84"/>
        <v>1.8476967289113438E-4</v>
      </c>
      <c r="BY119" s="40">
        <f t="shared" si="85"/>
        <v>1009568.6085795239</v>
      </c>
      <c r="BZ119" s="41">
        <f t="shared" si="86"/>
        <v>2.4714041825692136E-4</v>
      </c>
      <c r="CA119" s="40">
        <f t="shared" si="87"/>
        <v>893823.29261086253</v>
      </c>
      <c r="CB119" s="41">
        <f t="shared" si="88"/>
        <v>2.188061915816065E-4</v>
      </c>
      <c r="CQ119" s="70">
        <f t="shared" si="89"/>
        <v>8.5320380690669995E-2</v>
      </c>
      <c r="CR119" s="70">
        <f t="shared" si="90"/>
        <v>3.0421689073340885</v>
      </c>
      <c r="CS119" s="70">
        <f t="shared" si="91"/>
        <v>3.1274892880247585</v>
      </c>
      <c r="CT119" s="70">
        <f t="shared" si="92"/>
        <v>0.33699265800539252</v>
      </c>
      <c r="CU119" s="70">
        <f t="shared" si="93"/>
        <v>6.2402797457574195</v>
      </c>
      <c r="CV119" s="70">
        <f t="shared" si="94"/>
        <v>6.5772724037628123</v>
      </c>
      <c r="CW119" s="69">
        <f t="shared" si="95"/>
        <v>0.27644980482819748</v>
      </c>
      <c r="CX119" s="69">
        <f t="shared" si="96"/>
        <v>9.8570469784470358</v>
      </c>
      <c r="CY119" s="70">
        <f t="shared" si="97"/>
        <v>10.133496783275234</v>
      </c>
      <c r="CZ119" s="69">
        <f t="shared" si="98"/>
        <v>0.47128002865370722</v>
      </c>
      <c r="DA119" s="69">
        <f t="shared" si="99"/>
        <v>8.7269533846658653</v>
      </c>
      <c r="DB119" s="70">
        <f t="shared" si="100"/>
        <v>9.1982334133195724</v>
      </c>
    </row>
    <row r="120" spans="23:106">
      <c r="W120" t="s">
        <v>416</v>
      </c>
      <c r="X120">
        <v>195783</v>
      </c>
      <c r="Y120">
        <v>109002</v>
      </c>
      <c r="Z120" s="51">
        <v>29152.83</v>
      </c>
      <c r="AA120" s="32">
        <f t="shared" si="66"/>
        <v>3177716775.6600003</v>
      </c>
      <c r="AB120">
        <v>4897</v>
      </c>
      <c r="AC120" s="37">
        <f t="shared" si="67"/>
        <v>2.5012386162230633E-2</v>
      </c>
      <c r="AD120" s="50">
        <f>+'Revenue mile elasticities'!M149</f>
        <v>417281</v>
      </c>
      <c r="AE120" s="3">
        <f t="shared" si="70"/>
        <v>4172.8100000000004</v>
      </c>
      <c r="AF120" s="11">
        <f>+'Revenue mile elasticities'!P149</f>
        <v>4.938403173973217E-4</v>
      </c>
      <c r="AG120" s="11">
        <f>+'Revenue mile elasticities'!Q149</f>
        <v>1.9505370210818644E-3</v>
      </c>
      <c r="AH120" s="11">
        <f>+'Revenue mile elasticities'!R149</f>
        <v>1.3549409430395831E-3</v>
      </c>
      <c r="AI120" s="11">
        <f>+'Revenue mile elasticities'!S149</f>
        <v>2.3098464723337866E-3</v>
      </c>
      <c r="AJ120" s="32">
        <f t="shared" si="71"/>
        <v>15692.846610907283</v>
      </c>
      <c r="AK120" s="33">
        <f t="shared" si="72"/>
        <v>4.9384031739732175E-6</v>
      </c>
      <c r="AL120" s="40">
        <f t="shared" si="73"/>
        <v>61982.54213437724</v>
      </c>
      <c r="AM120" s="33">
        <f t="shared" si="74"/>
        <v>1.9505370210818643E-5</v>
      </c>
      <c r="AN120" s="40">
        <f t="shared" si="75"/>
        <v>66351.457980648382</v>
      </c>
      <c r="AO120" s="41">
        <f t="shared" si="76"/>
        <v>1.354940943039583E-5</v>
      </c>
      <c r="AP120" s="40">
        <f t="shared" si="77"/>
        <v>113113.18175018553</v>
      </c>
      <c r="AQ120" s="41">
        <f t="shared" si="78"/>
        <v>2.3098464723337867E-5</v>
      </c>
      <c r="AR120" s="53"/>
      <c r="AS120" s="53"/>
      <c r="BH120" t="s">
        <v>416</v>
      </c>
      <c r="BI120">
        <v>195783</v>
      </c>
      <c r="BJ120">
        <v>109002</v>
      </c>
      <c r="BK120" s="51">
        <v>29152.83</v>
      </c>
      <c r="BL120" s="32">
        <f t="shared" si="68"/>
        <v>3177716775.6600003</v>
      </c>
      <c r="BM120">
        <v>4897</v>
      </c>
      <c r="BN120" s="37">
        <f t="shared" si="69"/>
        <v>2.5012386162230633E-2</v>
      </c>
      <c r="BO120" s="50">
        <f t="shared" si="79"/>
        <v>417281</v>
      </c>
      <c r="BP120" s="3">
        <f t="shared" si="80"/>
        <v>4172.8100000000004</v>
      </c>
      <c r="BQ120" s="11">
        <f>+'Rev mile pop elasticities'!P150</f>
        <v>7.4742411568930901E-3</v>
      </c>
      <c r="BR120" s="11">
        <f>+'Rev mile pop elasticities'!Q150</f>
        <v>1.5331612782519422E-2</v>
      </c>
      <c r="BS120" s="11">
        <f>+'Rev mile pop elasticities'!R150</f>
        <v>2.0506943246349271E-2</v>
      </c>
      <c r="BT120" s="11">
        <f>+'Rev mile pop elasticities'!S150</f>
        <v>1.8155857242457211E-2</v>
      </c>
      <c r="BU120" s="32">
        <f t="shared" si="81"/>
        <v>237510.21509587581</v>
      </c>
      <c r="BV120" s="33">
        <f t="shared" si="82"/>
        <v>7.4742411568930897E-5</v>
      </c>
      <c r="BW120" s="40">
        <f t="shared" si="83"/>
        <v>487195.23136935267</v>
      </c>
      <c r="BX120" s="33">
        <f t="shared" si="84"/>
        <v>1.5331612782519424E-4</v>
      </c>
      <c r="BY120" s="40">
        <f t="shared" si="85"/>
        <v>1004225.0107737238</v>
      </c>
      <c r="BZ120" s="41">
        <f t="shared" si="86"/>
        <v>2.0506943246349272E-4</v>
      </c>
      <c r="CA120" s="40">
        <f t="shared" si="87"/>
        <v>889092.32916312967</v>
      </c>
      <c r="CB120" s="41">
        <f t="shared" si="88"/>
        <v>1.8155857242457214E-4</v>
      </c>
      <c r="CQ120" s="70">
        <f t="shared" si="89"/>
        <v>0.14396842820230163</v>
      </c>
      <c r="CR120" s="70">
        <f t="shared" si="90"/>
        <v>2.1789528182590763</v>
      </c>
      <c r="CS120" s="70">
        <f t="shared" si="91"/>
        <v>2.322921246461378</v>
      </c>
      <c r="CT120" s="70">
        <f t="shared" si="92"/>
        <v>0.56863674184306012</v>
      </c>
      <c r="CU120" s="70">
        <f t="shared" si="93"/>
        <v>4.4695990107461574</v>
      </c>
      <c r="CV120" s="70">
        <f t="shared" si="94"/>
        <v>5.0382357525892179</v>
      </c>
      <c r="CW120" s="69">
        <f t="shared" si="95"/>
        <v>0.60871780316552337</v>
      </c>
      <c r="CX120" s="69">
        <f t="shared" si="96"/>
        <v>9.2129044492185823</v>
      </c>
      <c r="CY120" s="70">
        <f t="shared" si="97"/>
        <v>9.8216222523841061</v>
      </c>
      <c r="CZ120" s="69">
        <f t="shared" si="98"/>
        <v>1.0377165717159824</v>
      </c>
      <c r="DA120" s="69">
        <f t="shared" si="99"/>
        <v>8.1566606957957628</v>
      </c>
      <c r="DB120" s="70">
        <f t="shared" si="100"/>
        <v>9.1943772675117454</v>
      </c>
    </row>
    <row r="121" spans="23:106">
      <c r="W121" t="s">
        <v>417</v>
      </c>
      <c r="X121">
        <v>144488</v>
      </c>
      <c r="Y121">
        <v>78091</v>
      </c>
      <c r="Z121" s="51">
        <v>29701.25</v>
      </c>
      <c r="AA121" s="32">
        <f t="shared" si="66"/>
        <v>2319400313.75</v>
      </c>
      <c r="AB121">
        <v>3342</v>
      </c>
      <c r="AC121" s="37">
        <f t="shared" si="67"/>
        <v>2.312994850783456E-2</v>
      </c>
      <c r="AD121" s="50">
        <f>+'Revenue mile elasticities'!M150</f>
        <v>677186</v>
      </c>
      <c r="AE121" s="3">
        <f t="shared" si="70"/>
        <v>6771.8600000000006</v>
      </c>
      <c r="AF121" s="11">
        <f>+'Revenue mile elasticities'!P150</f>
        <v>3.3915049454657316E-4</v>
      </c>
      <c r="AG121" s="11">
        <f>+'Revenue mile elasticities'!Q150</f>
        <v>1.3395536411804955E-3</v>
      </c>
      <c r="AH121" s="11">
        <f>+'Revenue mile elasticities'!R150</f>
        <v>9.3052121247435247E-4</v>
      </c>
      <c r="AI121" s="11">
        <f>+'Revenue mile elasticities'!S150</f>
        <v>1.5863135224505867E-3</v>
      </c>
      <c r="AJ121" s="32">
        <f t="shared" si="71"/>
        <v>7866.2576345978941</v>
      </c>
      <c r="AK121" s="33">
        <f t="shared" si="72"/>
        <v>3.3915049454657314E-6</v>
      </c>
      <c r="AL121" s="40">
        <f t="shared" si="73"/>
        <v>31069.61135638996</v>
      </c>
      <c r="AM121" s="33">
        <f t="shared" si="74"/>
        <v>1.3395536411804955E-5</v>
      </c>
      <c r="AN121" s="40">
        <f t="shared" si="75"/>
        <v>31098.01892089286</v>
      </c>
      <c r="AO121" s="41">
        <f t="shared" si="76"/>
        <v>9.3052121247435245E-6</v>
      </c>
      <c r="AP121" s="40">
        <f t="shared" si="77"/>
        <v>53014.597920298613</v>
      </c>
      <c r="AQ121" s="41">
        <f t="shared" si="78"/>
        <v>1.5863135224505869E-5</v>
      </c>
      <c r="AR121" s="53"/>
      <c r="AS121" s="53"/>
      <c r="BH121" t="s">
        <v>417</v>
      </c>
      <c r="BI121">
        <v>144488</v>
      </c>
      <c r="BJ121">
        <v>78091</v>
      </c>
      <c r="BK121" s="51">
        <v>29701.25</v>
      </c>
      <c r="BL121" s="32">
        <f t="shared" si="68"/>
        <v>2319400313.75</v>
      </c>
      <c r="BM121">
        <v>3342</v>
      </c>
      <c r="BN121" s="37">
        <f t="shared" si="69"/>
        <v>2.312994850783456E-2</v>
      </c>
      <c r="BO121" s="50">
        <f t="shared" si="79"/>
        <v>677186</v>
      </c>
      <c r="BP121" s="3">
        <f t="shared" si="80"/>
        <v>6771.8600000000006</v>
      </c>
      <c r="BQ121" s="11">
        <f>+'Rev mile pop elasticities'!P151</f>
        <v>1.6435755277393275E-2</v>
      </c>
      <c r="BR121" s="11">
        <f>+'Rev mile pop elasticities'!Q151</f>
        <v>3.3714009276894968E-2</v>
      </c>
      <c r="BS121" s="11">
        <f>+'Rev mile pop elasticities'!R151</f>
        <v>4.5094491013786604E-2</v>
      </c>
      <c r="BT121" s="11">
        <f>+'Rev mile pop elasticities'!S151</f>
        <v>3.9924484670007199E-2</v>
      </c>
      <c r="BU121" s="32">
        <f t="shared" si="81"/>
        <v>381210.9594710418</v>
      </c>
      <c r="BV121" s="33">
        <f t="shared" si="82"/>
        <v>1.6435755277393276E-4</v>
      </c>
      <c r="BW121" s="40">
        <f t="shared" si="83"/>
        <v>781962.83694600593</v>
      </c>
      <c r="BX121" s="33">
        <f t="shared" si="84"/>
        <v>3.3714009276894963E-4</v>
      </c>
      <c r="BY121" s="40">
        <f t="shared" si="85"/>
        <v>1507057.8896807483</v>
      </c>
      <c r="BZ121" s="41">
        <f t="shared" si="86"/>
        <v>4.5094491013786606E-4</v>
      </c>
      <c r="CA121" s="40">
        <f t="shared" si="87"/>
        <v>1334276.2776716407</v>
      </c>
      <c r="CB121" s="41">
        <f t="shared" si="88"/>
        <v>3.9924484670007208E-4</v>
      </c>
      <c r="CQ121" s="70">
        <f t="shared" si="89"/>
        <v>0.10073193626151405</v>
      </c>
      <c r="CR121" s="70">
        <f t="shared" si="90"/>
        <v>4.8816247643267703</v>
      </c>
      <c r="CS121" s="70">
        <f t="shared" si="91"/>
        <v>4.9823567005882845</v>
      </c>
      <c r="CT121" s="70">
        <f t="shared" si="92"/>
        <v>0.39786417585112188</v>
      </c>
      <c r="CU121" s="70">
        <f t="shared" si="93"/>
        <v>10.013482180353765</v>
      </c>
      <c r="CV121" s="70">
        <f t="shared" si="94"/>
        <v>10.411346356204888</v>
      </c>
      <c r="CW121" s="69">
        <f t="shared" si="95"/>
        <v>0.39822795099170022</v>
      </c>
      <c r="CX121" s="69">
        <f t="shared" si="96"/>
        <v>19.298739799474308</v>
      </c>
      <c r="CY121" s="70">
        <f t="shared" si="97"/>
        <v>19.696967750466008</v>
      </c>
      <c r="CZ121" s="69">
        <f t="shared" si="98"/>
        <v>0.67888230295806962</v>
      </c>
      <c r="DA121" s="69">
        <f t="shared" si="99"/>
        <v>17.086172256362971</v>
      </c>
      <c r="DB121" s="70">
        <f t="shared" si="100"/>
        <v>17.76505455932104</v>
      </c>
    </row>
    <row r="122" spans="23:106">
      <c r="W122" t="s">
        <v>418</v>
      </c>
      <c r="X122">
        <v>324135</v>
      </c>
      <c r="Y122">
        <v>180716</v>
      </c>
      <c r="Z122" s="51">
        <v>36942.97</v>
      </c>
      <c r="AA122" s="32">
        <f t="shared" si="66"/>
        <v>6676185766.5200005</v>
      </c>
      <c r="AB122">
        <v>10483</v>
      </c>
      <c r="AC122" s="37">
        <f t="shared" si="67"/>
        <v>3.2341462662162368E-2</v>
      </c>
      <c r="AD122" s="50">
        <f>+'Revenue mile elasticities'!M151</f>
        <v>1515208</v>
      </c>
      <c r="AE122" s="3">
        <f t="shared" si="70"/>
        <v>15152.08</v>
      </c>
      <c r="AF122" s="11">
        <f>+'Revenue mile elasticities'!P151</f>
        <v>1.3351539859442973E-3</v>
      </c>
      <c r="AG122" s="11">
        <f>+'Revenue mile elasticities'!Q151</f>
        <v>5.2735007383653745E-3</v>
      </c>
      <c r="AH122" s="11">
        <f>+'Revenue mile elasticities'!R151</f>
        <v>3.6632383729879635E-3</v>
      </c>
      <c r="AI122" s="11">
        <f>+'Revenue mile elasticities'!S151</f>
        <v>6.244935084906365E-3</v>
      </c>
      <c r="AJ122" s="32">
        <f t="shared" si="71"/>
        <v>89137.360370737617</v>
      </c>
      <c r="AK122" s="33">
        <f t="shared" si="72"/>
        <v>1.3351539859442972E-5</v>
      </c>
      <c r="AL122" s="40">
        <f t="shared" si="73"/>
        <v>352068.70569207624</v>
      </c>
      <c r="AM122" s="33">
        <f t="shared" si="74"/>
        <v>5.2735007383653743E-5</v>
      </c>
      <c r="AN122" s="40">
        <f t="shared" si="75"/>
        <v>384017.27864032821</v>
      </c>
      <c r="AO122" s="41">
        <f t="shared" si="76"/>
        <v>3.6632383729879636E-5</v>
      </c>
      <c r="AP122" s="40">
        <f t="shared" si="77"/>
        <v>654656.54495073424</v>
      </c>
      <c r="AQ122" s="41">
        <f t="shared" si="78"/>
        <v>6.2449350849063653E-5</v>
      </c>
      <c r="AR122" s="53"/>
      <c r="AS122" s="53"/>
      <c r="BH122" t="s">
        <v>418</v>
      </c>
      <c r="BI122">
        <v>324135</v>
      </c>
      <c r="BJ122">
        <v>180716</v>
      </c>
      <c r="BK122" s="51">
        <v>36942.97</v>
      </c>
      <c r="BL122" s="32">
        <f t="shared" si="68"/>
        <v>6676185766.5200005</v>
      </c>
      <c r="BM122">
        <v>10483</v>
      </c>
      <c r="BN122" s="37">
        <f t="shared" si="69"/>
        <v>3.2341462662162368E-2</v>
      </c>
      <c r="BO122" s="50">
        <f t="shared" si="79"/>
        <v>1515208</v>
      </c>
      <c r="BP122" s="3">
        <f t="shared" si="80"/>
        <v>15152.08</v>
      </c>
      <c r="BQ122" s="11">
        <f>+'Rev mile pop elasticities'!P152</f>
        <v>1.6393051409320188E-2</v>
      </c>
      <c r="BR122" s="11">
        <f>+'Rev mile pop elasticities'!Q152</f>
        <v>3.3626412535517611E-2</v>
      </c>
      <c r="BS122" s="11">
        <f>+'Rev mile pop elasticities'!R152</f>
        <v>4.4977325166365857E-2</v>
      </c>
      <c r="BT122" s="11">
        <f>+'Rev mile pop elasticities'!S152</f>
        <v>3.9820751686797176E-2</v>
      </c>
      <c r="BU122" s="32">
        <f t="shared" si="81"/>
        <v>1094430.5648873406</v>
      </c>
      <c r="BV122" s="33">
        <f t="shared" si="82"/>
        <v>1.6393051409320186E-4</v>
      </c>
      <c r="BW122" s="40">
        <f t="shared" si="83"/>
        <v>2244961.7674875241</v>
      </c>
      <c r="BX122" s="33">
        <f t="shared" si="84"/>
        <v>3.3626412535517613E-4</v>
      </c>
      <c r="BY122" s="40">
        <f t="shared" si="85"/>
        <v>4714972.9971901327</v>
      </c>
      <c r="BZ122" s="41">
        <f t="shared" si="86"/>
        <v>4.497732516636586E-4</v>
      </c>
      <c r="CA122" s="40">
        <f t="shared" si="87"/>
        <v>4174409.399326948</v>
      </c>
      <c r="CB122" s="41">
        <f t="shared" si="88"/>
        <v>3.9820751686797179E-4</v>
      </c>
      <c r="CQ122" s="70">
        <f t="shared" si="89"/>
        <v>0.49324553648120595</v>
      </c>
      <c r="CR122" s="70">
        <f t="shared" si="90"/>
        <v>6.0560800642297341</v>
      </c>
      <c r="CS122" s="70">
        <f t="shared" si="91"/>
        <v>6.5493256007109402</v>
      </c>
      <c r="CT122" s="70">
        <f t="shared" si="92"/>
        <v>1.9481877957240987</v>
      </c>
      <c r="CU122" s="70">
        <f t="shared" si="93"/>
        <v>12.422595495072512</v>
      </c>
      <c r="CV122" s="70">
        <f t="shared" si="94"/>
        <v>14.370783290796611</v>
      </c>
      <c r="CW122" s="69">
        <f t="shared" si="95"/>
        <v>2.1249766409190562</v>
      </c>
      <c r="CX122" s="69">
        <f t="shared" si="96"/>
        <v>26.090512169316124</v>
      </c>
      <c r="CY122" s="70">
        <f t="shared" si="97"/>
        <v>28.215488810235179</v>
      </c>
      <c r="CZ122" s="69">
        <f t="shared" si="98"/>
        <v>3.6225710227690646</v>
      </c>
      <c r="DA122" s="69">
        <f t="shared" si="99"/>
        <v>23.099279528801812</v>
      </c>
      <c r="DB122" s="70">
        <f t="shared" si="100"/>
        <v>26.721850551570878</v>
      </c>
    </row>
    <row r="123" spans="23:106">
      <c r="W123" t="s">
        <v>419</v>
      </c>
      <c r="X123">
        <v>112719</v>
      </c>
      <c r="Y123">
        <v>55912</v>
      </c>
      <c r="Z123" s="51">
        <v>31264.99</v>
      </c>
      <c r="AA123" s="32">
        <f t="shared" si="66"/>
        <v>1748088120.8800001</v>
      </c>
      <c r="AB123">
        <v>2719</v>
      </c>
      <c r="AC123" s="37">
        <f t="shared" si="67"/>
        <v>2.4121931528846067E-2</v>
      </c>
      <c r="AD123" s="50">
        <f>+'Revenue mile elasticities'!M152</f>
        <v>643503</v>
      </c>
      <c r="AE123" s="3">
        <f t="shared" si="70"/>
        <v>6435.03</v>
      </c>
      <c r="AF123" s="11">
        <f>+'Revenue mile elasticities'!P152</f>
        <v>5.5687805422668783E-4</v>
      </c>
      <c r="AG123" s="11">
        <f>+'Revenue mile elasticities'!Q152</f>
        <v>2.1995192023240013E-3</v>
      </c>
      <c r="AH123" s="11">
        <f>+'Revenue mile elasticities'!R152</f>
        <v>1.527896466470335E-3</v>
      </c>
      <c r="AI123" s="11">
        <f>+'Revenue mile elasticities'!S152</f>
        <v>2.604693792225791E-3</v>
      </c>
      <c r="AJ123" s="32">
        <f t="shared" si="71"/>
        <v>9734.7191137244172</v>
      </c>
      <c r="AK123" s="33">
        <f t="shared" si="72"/>
        <v>5.5687805422668796E-6</v>
      </c>
      <c r="AL123" s="40">
        <f t="shared" si="73"/>
        <v>38449.533892300409</v>
      </c>
      <c r="AM123" s="33">
        <f t="shared" si="74"/>
        <v>2.1995192023240016E-5</v>
      </c>
      <c r="AN123" s="40">
        <f t="shared" si="75"/>
        <v>41543.504923328408</v>
      </c>
      <c r="AO123" s="41">
        <f t="shared" si="76"/>
        <v>1.5278964664703351E-5</v>
      </c>
      <c r="AP123" s="40">
        <f t="shared" si="77"/>
        <v>70821.624210619237</v>
      </c>
      <c r="AQ123" s="41">
        <f t="shared" si="78"/>
        <v>2.6046937922257903E-5</v>
      </c>
      <c r="AR123" s="53"/>
      <c r="AS123" s="53"/>
      <c r="BH123" t="s">
        <v>419</v>
      </c>
      <c r="BI123">
        <v>112719</v>
      </c>
      <c r="BJ123">
        <v>55912</v>
      </c>
      <c r="BK123" s="51">
        <v>31264.99</v>
      </c>
      <c r="BL123" s="32">
        <f t="shared" si="68"/>
        <v>1748088120.8800001</v>
      </c>
      <c r="BM123">
        <v>2719</v>
      </c>
      <c r="BN123" s="37">
        <f t="shared" si="69"/>
        <v>2.4121931528846067E-2</v>
      </c>
      <c r="BO123" s="50">
        <f t="shared" si="79"/>
        <v>643503</v>
      </c>
      <c r="BP123" s="3">
        <f t="shared" si="80"/>
        <v>6435.03</v>
      </c>
      <c r="BQ123" s="11">
        <f>+'Rev mile pop elasticities'!P153</f>
        <v>2.0020131392755432E-2</v>
      </c>
      <c r="BR123" s="11">
        <f>+'Rev mile pop elasticities'!Q153</f>
        <v>4.1066497043089449E-2</v>
      </c>
      <c r="BS123" s="11">
        <f>+'Rev mile pop elasticities'!R153</f>
        <v>5.4928880355574472E-2</v>
      </c>
      <c r="BT123" s="11">
        <f>+'Rev mile pop elasticities'!S153</f>
        <v>4.8631378077342774E-2</v>
      </c>
      <c r="BU123" s="32">
        <f t="shared" si="81"/>
        <v>349969.53866132547</v>
      </c>
      <c r="BV123" s="33">
        <f t="shared" si="82"/>
        <v>2.0020131392755434E-4</v>
      </c>
      <c r="BW123" s="40">
        <f t="shared" si="83"/>
        <v>717878.5564717832</v>
      </c>
      <c r="BX123" s="33">
        <f t="shared" si="84"/>
        <v>4.1066497043089453E-4</v>
      </c>
      <c r="BY123" s="40">
        <f t="shared" si="85"/>
        <v>1493516.2568680698</v>
      </c>
      <c r="BZ123" s="41">
        <f t="shared" si="86"/>
        <v>5.4928880355574472E-4</v>
      </c>
      <c r="CA123" s="40">
        <f t="shared" si="87"/>
        <v>1322287.1699229497</v>
      </c>
      <c r="CB123" s="41">
        <f t="shared" si="88"/>
        <v>4.8631378077342767E-4</v>
      </c>
      <c r="CQ123" s="70">
        <f t="shared" si="89"/>
        <v>0.17410786796616856</v>
      </c>
      <c r="CR123" s="70">
        <f t="shared" si="90"/>
        <v>6.2592920779318479</v>
      </c>
      <c r="CS123" s="70">
        <f t="shared" si="91"/>
        <v>6.4333999458980164</v>
      </c>
      <c r="CT123" s="70">
        <f t="shared" si="92"/>
        <v>0.68767945865467894</v>
      </c>
      <c r="CU123" s="70">
        <f t="shared" si="93"/>
        <v>12.839436193872213</v>
      </c>
      <c r="CV123" s="70">
        <f t="shared" si="94"/>
        <v>13.527115652526893</v>
      </c>
      <c r="CW123" s="69">
        <f t="shared" si="95"/>
        <v>0.74301589861440132</v>
      </c>
      <c r="CX123" s="69">
        <f t="shared" si="96"/>
        <v>26.71190901538256</v>
      </c>
      <c r="CY123" s="70">
        <f t="shared" si="97"/>
        <v>27.454924913996962</v>
      </c>
      <c r="CZ123" s="69">
        <f t="shared" si="98"/>
        <v>1.2666623302800692</v>
      </c>
      <c r="DA123" s="69">
        <f t="shared" si="99"/>
        <v>23.649434288219876</v>
      </c>
      <c r="DB123" s="70">
        <f t="shared" si="100"/>
        <v>24.916096618499946</v>
      </c>
    </row>
    <row r="124" spans="23:106">
      <c r="W124" t="s">
        <v>420</v>
      </c>
      <c r="X124">
        <v>2046083</v>
      </c>
      <c r="Y124">
        <v>1318998</v>
      </c>
      <c r="Z124" s="51">
        <v>41787.360000000001</v>
      </c>
      <c r="AA124" s="32">
        <f t="shared" si="66"/>
        <v>55117444265.279999</v>
      </c>
      <c r="AB124">
        <v>89587</v>
      </c>
      <c r="AC124" s="37">
        <f t="shared" si="67"/>
        <v>4.3784636302632886E-2</v>
      </c>
      <c r="AD124" s="50">
        <f>+'Revenue mile elasticities'!M153</f>
        <v>9688815</v>
      </c>
      <c r="AE124" s="3">
        <f t="shared" si="70"/>
        <v>96888.150000000009</v>
      </c>
      <c r="AF124" s="11">
        <f>+'Revenue mile elasticities'!P153</f>
        <v>8.1969437494345699E-3</v>
      </c>
      <c r="AG124" s="11">
        <f>+'Revenue mile elasticities'!Q153</f>
        <v>3.2375732964172163E-2</v>
      </c>
      <c r="AH124" s="11">
        <f>+'Revenue mile elasticities'!R153</f>
        <v>2.2489809565235643E-2</v>
      </c>
      <c r="AI124" s="11">
        <f>+'Revenue mile elasticities'!S153</f>
        <v>3.8339683773361777E-2</v>
      </c>
      <c r="AJ124" s="32">
        <f t="shared" si="71"/>
        <v>4517945.9025509516</v>
      </c>
      <c r="AK124" s="33">
        <f t="shared" si="72"/>
        <v>8.1969437494345697E-5</v>
      </c>
      <c r="AL124" s="40">
        <f t="shared" si="73"/>
        <v>17844676.572003476</v>
      </c>
      <c r="AM124" s="33">
        <f t="shared" si="74"/>
        <v>3.2375732964172162E-4</v>
      </c>
      <c r="AN124" s="40">
        <f t="shared" si="75"/>
        <v>20147945.695207655</v>
      </c>
      <c r="AO124" s="41">
        <f t="shared" si="76"/>
        <v>2.2489809565235644E-4</v>
      </c>
      <c r="AP124" s="40">
        <f t="shared" si="77"/>
        <v>34347372.502041616</v>
      </c>
      <c r="AQ124" s="41">
        <f t="shared" si="78"/>
        <v>3.8339683773361776E-4</v>
      </c>
      <c r="AR124" s="53"/>
      <c r="AS124" s="53"/>
      <c r="BH124" t="s">
        <v>420</v>
      </c>
      <c r="BI124">
        <v>2046083</v>
      </c>
      <c r="BJ124">
        <v>1318998</v>
      </c>
      <c r="BK124" s="51">
        <v>41787.360000000001</v>
      </c>
      <c r="BL124" s="32">
        <f t="shared" si="68"/>
        <v>55117444265.279999</v>
      </c>
      <c r="BM124">
        <v>89587</v>
      </c>
      <c r="BN124" s="37">
        <f t="shared" si="69"/>
        <v>4.3784636302632886E-2</v>
      </c>
      <c r="BO124" s="50">
        <f t="shared" si="79"/>
        <v>9688815</v>
      </c>
      <c r="BP124" s="3">
        <f t="shared" si="80"/>
        <v>96888.150000000009</v>
      </c>
      <c r="BQ124" s="11">
        <f>+'Rev mile pop elasticities'!P154</f>
        <v>1.6605841609700096E-2</v>
      </c>
      <c r="BR124" s="11">
        <f>+'Rev mile pop elasticities'!Q154</f>
        <v>3.4062900586633103E-2</v>
      </c>
      <c r="BS124" s="11">
        <f>+'Rev mile pop elasticities'!R154</f>
        <v>4.5561153874989428E-2</v>
      </c>
      <c r="BT124" s="11">
        <f>+'Rev mile pop elasticities'!S154</f>
        <v>4.0337645431539199E-2</v>
      </c>
      <c r="BU124" s="32">
        <f t="shared" si="81"/>
        <v>9152715.4940071255</v>
      </c>
      <c r="BV124" s="33">
        <f t="shared" si="82"/>
        <v>1.6605841609700097E-4</v>
      </c>
      <c r="BW124" s="40">
        <f t="shared" si="83"/>
        <v>18774600.245975234</v>
      </c>
      <c r="BX124" s="33">
        <f t="shared" si="84"/>
        <v>3.4062900586633103E-4</v>
      </c>
      <c r="BY124" s="40">
        <f t="shared" si="85"/>
        <v>40816870.921986781</v>
      </c>
      <c r="BZ124" s="41">
        <f t="shared" si="86"/>
        <v>4.5561153874989428E-4</v>
      </c>
      <c r="CA124" s="40">
        <f t="shared" si="87"/>
        <v>36137286.412753031</v>
      </c>
      <c r="CB124" s="41">
        <f t="shared" si="88"/>
        <v>4.033764543153921E-4</v>
      </c>
      <c r="CQ124" s="70">
        <f t="shared" si="89"/>
        <v>3.4252863935737214</v>
      </c>
      <c r="CR124" s="70">
        <f t="shared" si="90"/>
        <v>6.9391428144751739</v>
      </c>
      <c r="CS124" s="70">
        <f t="shared" si="91"/>
        <v>10.364429208048895</v>
      </c>
      <c r="CT124" s="70">
        <f t="shared" si="92"/>
        <v>13.528964086377293</v>
      </c>
      <c r="CU124" s="70">
        <f t="shared" si="93"/>
        <v>14.233986894578486</v>
      </c>
      <c r="CV124" s="70">
        <f t="shared" si="94"/>
        <v>27.762950980955779</v>
      </c>
      <c r="CW124" s="69">
        <f t="shared" si="95"/>
        <v>15.275190481871585</v>
      </c>
      <c r="CX124" s="69">
        <f t="shared" si="96"/>
        <v>30.945362253761402</v>
      </c>
      <c r="CY124" s="70">
        <f t="shared" si="97"/>
        <v>46.220552735632985</v>
      </c>
      <c r="CZ124" s="69">
        <f t="shared" si="98"/>
        <v>26.040503853714423</v>
      </c>
      <c r="DA124" s="69">
        <f t="shared" si="99"/>
        <v>27.397529346331861</v>
      </c>
      <c r="DB124" s="70">
        <f t="shared" si="100"/>
        <v>53.438033200046284</v>
      </c>
    </row>
    <row r="125" spans="23:106">
      <c r="W125" t="s">
        <v>421</v>
      </c>
      <c r="X125">
        <v>237206</v>
      </c>
      <c r="Y125">
        <v>126413</v>
      </c>
      <c r="Z125" s="51">
        <v>41884.51</v>
      </c>
      <c r="AA125" s="32">
        <f t="shared" si="66"/>
        <v>5294746562.6300001</v>
      </c>
      <c r="AB125">
        <v>7509</v>
      </c>
      <c r="AC125" s="37">
        <f t="shared" si="67"/>
        <v>3.1656028936873436E-2</v>
      </c>
      <c r="AD125" s="50">
        <f>+'Revenue mile elasticities'!M154</f>
        <v>2537360</v>
      </c>
      <c r="AE125" s="3">
        <f t="shared" si="70"/>
        <v>25373.600000000002</v>
      </c>
      <c r="AF125" s="11">
        <f>+'Revenue mile elasticities'!P154</f>
        <v>3.475937451394654E-3</v>
      </c>
      <c r="AG125" s="11">
        <f>+'Revenue mile elasticities'!Q154</f>
        <v>1.3729022202242303E-2</v>
      </c>
      <c r="AH125" s="11">
        <f>+'Revenue mile elasticities'!R154</f>
        <v>9.5368680976893033E-3</v>
      </c>
      <c r="AI125" s="11">
        <f>+'Revenue mile elasticities'!S154</f>
        <v>1.625805260791852E-2</v>
      </c>
      <c r="AJ125" s="32">
        <f t="shared" si="71"/>
        <v>184042.07872688727</v>
      </c>
      <c r="AK125" s="33">
        <f t="shared" si="72"/>
        <v>3.4759374513946538E-5</v>
      </c>
      <c r="AL125" s="40">
        <f t="shared" si="73"/>
        <v>726916.93113593385</v>
      </c>
      <c r="AM125" s="33">
        <f t="shared" si="74"/>
        <v>1.3729022202242302E-4</v>
      </c>
      <c r="AN125" s="40">
        <f t="shared" si="75"/>
        <v>716123.42545548978</v>
      </c>
      <c r="AO125" s="41">
        <f t="shared" si="76"/>
        <v>9.5368680976893038E-5</v>
      </c>
      <c r="AP125" s="40">
        <f t="shared" si="77"/>
        <v>1220817.1703286015</v>
      </c>
      <c r="AQ125" s="41">
        <f t="shared" si="78"/>
        <v>1.6258052607918518E-4</v>
      </c>
      <c r="AR125" s="53"/>
      <c r="AS125" s="53"/>
      <c r="BH125" t="s">
        <v>421</v>
      </c>
      <c r="BI125">
        <v>237206</v>
      </c>
      <c r="BJ125">
        <v>126413</v>
      </c>
      <c r="BK125" s="51">
        <v>41884.51</v>
      </c>
      <c r="BL125" s="32">
        <f t="shared" si="68"/>
        <v>5294746562.6300001</v>
      </c>
      <c r="BM125">
        <v>7509</v>
      </c>
      <c r="BN125" s="37">
        <f t="shared" si="69"/>
        <v>3.1656028936873436E-2</v>
      </c>
      <c r="BO125" s="50">
        <f t="shared" si="79"/>
        <v>2537360</v>
      </c>
      <c r="BP125" s="3">
        <f t="shared" si="80"/>
        <v>25373.600000000002</v>
      </c>
      <c r="BQ125" s="11">
        <f>+'Rev mile pop elasticities'!P155</f>
        <v>3.7511971852314016E-2</v>
      </c>
      <c r="BR125" s="11">
        <f>+'Rev mile pop elasticities'!Q155</f>
        <v>7.6946811733261386E-2</v>
      </c>
      <c r="BS125" s="11">
        <f>+'Rev mile pop elasticities'!R155</f>
        <v>0.1029209336020168</v>
      </c>
      <c r="BT125" s="11">
        <f>+'Rev mile pop elasticities'!S155</f>
        <v>9.1121224420967428E-2</v>
      </c>
      <c r="BU125" s="32">
        <f t="shared" si="81"/>
        <v>1986163.8402251294</v>
      </c>
      <c r="BV125" s="33">
        <f t="shared" si="82"/>
        <v>3.7511971852314011E-4</v>
      </c>
      <c r="BW125" s="40">
        <f t="shared" si="83"/>
        <v>4074138.6693002349</v>
      </c>
      <c r="BX125" s="33">
        <f t="shared" si="84"/>
        <v>7.6946811733261383E-4</v>
      </c>
      <c r="BY125" s="40">
        <f t="shared" si="85"/>
        <v>7728332.9041754408</v>
      </c>
      <c r="BZ125" s="41">
        <f t="shared" si="86"/>
        <v>1.029209336020168E-3</v>
      </c>
      <c r="CA125" s="40">
        <f t="shared" si="87"/>
        <v>6842292.7417704444</v>
      </c>
      <c r="CB125" s="41">
        <f t="shared" si="88"/>
        <v>9.112122442096743E-4</v>
      </c>
      <c r="CQ125" s="70">
        <f t="shared" si="89"/>
        <v>1.4558793694231389</v>
      </c>
      <c r="CR125" s="70">
        <f t="shared" si="90"/>
        <v>15.711705601679649</v>
      </c>
      <c r="CS125" s="70">
        <f t="shared" si="91"/>
        <v>17.167584971102787</v>
      </c>
      <c r="CT125" s="70">
        <f t="shared" si="92"/>
        <v>5.7503336772003975</v>
      </c>
      <c r="CU125" s="70">
        <f t="shared" si="93"/>
        <v>32.228795055099042</v>
      </c>
      <c r="CV125" s="70">
        <f t="shared" si="94"/>
        <v>37.979128732299436</v>
      </c>
      <c r="CW125" s="69">
        <f t="shared" si="95"/>
        <v>5.6649507998029458</v>
      </c>
      <c r="CX125" s="69">
        <f t="shared" si="96"/>
        <v>61.135586562896542</v>
      </c>
      <c r="CY125" s="70">
        <f t="shared" si="97"/>
        <v>66.800537362699487</v>
      </c>
      <c r="CZ125" s="69">
        <f t="shared" si="98"/>
        <v>9.657370447094852</v>
      </c>
      <c r="DA125" s="69">
        <f t="shared" si="99"/>
        <v>54.126496023118229</v>
      </c>
      <c r="DB125" s="70">
        <f t="shared" si="100"/>
        <v>63.783866470213084</v>
      </c>
    </row>
    <row r="126" spans="23:106">
      <c r="W126" t="s">
        <v>422</v>
      </c>
      <c r="X126">
        <v>379569</v>
      </c>
      <c r="Y126">
        <v>225225</v>
      </c>
      <c r="Z126" s="51">
        <v>31612.51</v>
      </c>
      <c r="AA126" s="32">
        <f t="shared" si="66"/>
        <v>7119927564.75</v>
      </c>
      <c r="AB126">
        <v>6707</v>
      </c>
      <c r="AC126" s="37">
        <f t="shared" si="67"/>
        <v>1.7670041547123184E-2</v>
      </c>
      <c r="AD126" s="50">
        <f>+'Revenue mile elasticities'!M155</f>
        <v>795480</v>
      </c>
      <c r="AE126" s="3">
        <f t="shared" si="70"/>
        <v>7954.8</v>
      </c>
      <c r="AF126" s="11">
        <f>+'Revenue mile elasticities'!P155</f>
        <v>1.0672469844283843E-3</v>
      </c>
      <c r="AG126" s="11">
        <f>+'Revenue mile elasticities'!Q155</f>
        <v>4.215339818216376E-3</v>
      </c>
      <c r="AH126" s="11">
        <f>+'Revenue mile elasticities'!R155</f>
        <v>2.9281866720778774E-3</v>
      </c>
      <c r="AI126" s="11">
        <f>+'Revenue mile elasticities'!S155</f>
        <v>4.9918497847299187E-3</v>
      </c>
      <c r="AJ126" s="32">
        <f t="shared" si="71"/>
        <v>75987.212228279677</v>
      </c>
      <c r="AK126" s="33">
        <f t="shared" si="72"/>
        <v>1.0672469844283843E-5</v>
      </c>
      <c r="AL126" s="40">
        <f t="shared" si="73"/>
        <v>300129.14166507032</v>
      </c>
      <c r="AM126" s="33">
        <f t="shared" si="74"/>
        <v>4.2153398182163763E-5</v>
      </c>
      <c r="AN126" s="40">
        <f t="shared" si="75"/>
        <v>196393.48009626326</v>
      </c>
      <c r="AO126" s="41">
        <f t="shared" si="76"/>
        <v>2.9281866720778775E-5</v>
      </c>
      <c r="AP126" s="40">
        <f t="shared" si="77"/>
        <v>334803.36506183574</v>
      </c>
      <c r="AQ126" s="41">
        <f t="shared" si="78"/>
        <v>4.9918497847299199E-5</v>
      </c>
      <c r="AR126" s="53"/>
      <c r="AS126" s="53"/>
      <c r="BH126" t="s">
        <v>422</v>
      </c>
      <c r="BI126">
        <v>379569</v>
      </c>
      <c r="BJ126">
        <v>225225</v>
      </c>
      <c r="BK126" s="51">
        <v>31612.51</v>
      </c>
      <c r="BL126" s="32">
        <f t="shared" si="68"/>
        <v>7119927564.75</v>
      </c>
      <c r="BM126">
        <v>6707</v>
      </c>
      <c r="BN126" s="37">
        <f t="shared" si="69"/>
        <v>1.7670041547123184E-2</v>
      </c>
      <c r="BO126" s="50">
        <f t="shared" si="79"/>
        <v>795480</v>
      </c>
      <c r="BP126" s="3">
        <f t="shared" si="80"/>
        <v>7954.8</v>
      </c>
      <c r="BQ126" s="11">
        <f>+'Rev mile pop elasticities'!P156</f>
        <v>7.3494020154438316E-3</v>
      </c>
      <c r="BR126" s="11">
        <f>+'Rev mile pop elasticities'!Q156</f>
        <v>1.5075535230748562E-2</v>
      </c>
      <c r="BS126" s="11">
        <f>+'Rev mile pop elasticities'!R156</f>
        <v>2.0164424302300768E-2</v>
      </c>
      <c r="BT126" s="11">
        <f>+'Rev mile pop elasticities'!S156</f>
        <v>1.7852607510096982E-2</v>
      </c>
      <c r="BU126" s="32">
        <f t="shared" si="81"/>
        <v>523272.09994187747</v>
      </c>
      <c r="BV126" s="33">
        <f t="shared" si="82"/>
        <v>7.3494020154438324E-5</v>
      </c>
      <c r="BW126" s="40">
        <f t="shared" si="83"/>
        <v>1073367.1884276646</v>
      </c>
      <c r="BX126" s="33">
        <f t="shared" si="84"/>
        <v>1.5075535230748565E-4</v>
      </c>
      <c r="BY126" s="40">
        <f t="shared" si="85"/>
        <v>1352427.9379553127</v>
      </c>
      <c r="BZ126" s="41">
        <f t="shared" si="86"/>
        <v>2.0164424302300771E-4</v>
      </c>
      <c r="CA126" s="40">
        <f t="shared" si="87"/>
        <v>1197374.3857022047</v>
      </c>
      <c r="CB126" s="41">
        <f t="shared" si="88"/>
        <v>1.7852607510096983E-4</v>
      </c>
      <c r="CQ126" s="70">
        <f t="shared" si="89"/>
        <v>0.33738355967712147</v>
      </c>
      <c r="CR126" s="70">
        <f t="shared" si="90"/>
        <v>2.323330447072383</v>
      </c>
      <c r="CS126" s="70">
        <f t="shared" si="91"/>
        <v>2.6607140067495045</v>
      </c>
      <c r="CT126" s="70">
        <f t="shared" si="92"/>
        <v>1.3325747215676338</v>
      </c>
      <c r="CU126" s="70">
        <f t="shared" si="93"/>
        <v>4.7657550823739134</v>
      </c>
      <c r="CV126" s="70">
        <f t="shared" si="94"/>
        <v>6.0983298039415477</v>
      </c>
      <c r="CW126" s="69">
        <f t="shared" si="95"/>
        <v>0.87198792361533251</v>
      </c>
      <c r="CX126" s="69">
        <f t="shared" si="96"/>
        <v>6.0047860493076373</v>
      </c>
      <c r="CY126" s="70">
        <f t="shared" si="97"/>
        <v>6.8767739729229698</v>
      </c>
      <c r="CZ126" s="69">
        <f t="shared" si="98"/>
        <v>1.486528427402978</v>
      </c>
      <c r="DA126" s="69">
        <f t="shared" si="99"/>
        <v>5.3163475888653773</v>
      </c>
      <c r="DB126" s="70">
        <f t="shared" si="100"/>
        <v>6.802876016268355</v>
      </c>
    </row>
    <row r="127" spans="23:106">
      <c r="W127" t="s">
        <v>423</v>
      </c>
      <c r="X127">
        <v>692210</v>
      </c>
      <c r="Y127">
        <v>457464</v>
      </c>
      <c r="Z127" s="51">
        <v>36553.910000000003</v>
      </c>
      <c r="AA127" s="32">
        <f t="shared" si="66"/>
        <v>16722097884.240002</v>
      </c>
      <c r="AB127">
        <v>26144</v>
      </c>
      <c r="AC127" s="37">
        <f t="shared" si="67"/>
        <v>3.7768885164906604E-2</v>
      </c>
      <c r="AD127" s="50">
        <f>+'Revenue mile elasticities'!M156</f>
        <v>2672176</v>
      </c>
      <c r="AE127" s="3">
        <f t="shared" si="70"/>
        <v>26721.760000000002</v>
      </c>
      <c r="AF127" s="11">
        <f>+'Revenue mile elasticities'!P156</f>
        <v>2.1076501606168813E-3</v>
      </c>
      <c r="AG127" s="11">
        <f>+'Revenue mile elasticities'!Q156</f>
        <v>8.3246537816895148E-3</v>
      </c>
      <c r="AH127" s="11">
        <f>+'Revenue mile elasticities'!R156</f>
        <v>5.7827224623423455E-3</v>
      </c>
      <c r="AI127" s="11">
        <f>+'Revenue mile elasticities'!S156</f>
        <v>9.8581426362112663E-3</v>
      </c>
      <c r="AJ127" s="32">
        <f t="shared" si="71"/>
        <v>352443.32291569648</v>
      </c>
      <c r="AK127" s="33">
        <f t="shared" si="72"/>
        <v>2.1076501606168812E-5</v>
      </c>
      <c r="AL127" s="40">
        <f t="shared" si="73"/>
        <v>1392056.7538982076</v>
      </c>
      <c r="AM127" s="33">
        <f t="shared" si="74"/>
        <v>8.324653781689514E-5</v>
      </c>
      <c r="AN127" s="40">
        <f t="shared" si="75"/>
        <v>1511834.960554783</v>
      </c>
      <c r="AO127" s="41">
        <f t="shared" si="76"/>
        <v>5.7827224623423459E-5</v>
      </c>
      <c r="AP127" s="40">
        <f t="shared" si="77"/>
        <v>2577312.8108110735</v>
      </c>
      <c r="AQ127" s="41">
        <f t="shared" si="78"/>
        <v>9.8581426362112672E-5</v>
      </c>
      <c r="AR127" s="53"/>
      <c r="AS127" s="53"/>
      <c r="BH127" t="s">
        <v>423</v>
      </c>
      <c r="BI127">
        <v>692210</v>
      </c>
      <c r="BJ127">
        <v>457464</v>
      </c>
      <c r="BK127" s="51">
        <v>36553.910000000003</v>
      </c>
      <c r="BL127" s="32">
        <f t="shared" si="68"/>
        <v>16722097884.240002</v>
      </c>
      <c r="BM127">
        <v>26144</v>
      </c>
      <c r="BN127" s="37">
        <f t="shared" si="69"/>
        <v>3.7768885164906604E-2</v>
      </c>
      <c r="BO127" s="50">
        <f t="shared" si="79"/>
        <v>2672176</v>
      </c>
      <c r="BP127" s="3">
        <f t="shared" si="80"/>
        <v>26721.760000000002</v>
      </c>
      <c r="BQ127" s="11">
        <f>+'Rev mile pop elasticities'!P157</f>
        <v>1.3537568426229033E-2</v>
      </c>
      <c r="BR127" s="11">
        <f>+'Rev mile pop elasticities'!Q157</f>
        <v>2.776907418037879E-2</v>
      </c>
      <c r="BS127" s="11">
        <f>+'Rev mile pop elasticities'!R157</f>
        <v>3.7142787017812512E-2</v>
      </c>
      <c r="BT127" s="11">
        <f>+'Rev mile pop elasticities'!S157</f>
        <v>3.2884429950448567E-2</v>
      </c>
      <c r="BU127" s="32">
        <f t="shared" si="81"/>
        <v>2263765.4433799875</v>
      </c>
      <c r="BV127" s="33">
        <f t="shared" si="82"/>
        <v>1.3537568426229033E-4</v>
      </c>
      <c r="BW127" s="40">
        <f t="shared" si="83"/>
        <v>4643571.7659901585</v>
      </c>
      <c r="BX127" s="33">
        <f t="shared" si="84"/>
        <v>2.7769074180378792E-4</v>
      </c>
      <c r="BY127" s="40">
        <f t="shared" si="85"/>
        <v>9710610.2379369028</v>
      </c>
      <c r="BZ127" s="41">
        <f t="shared" si="86"/>
        <v>3.7142787017812511E-4</v>
      </c>
      <c r="CA127" s="40">
        <f t="shared" si="87"/>
        <v>8597305.3662452754</v>
      </c>
      <c r="CB127" s="41">
        <f t="shared" si="88"/>
        <v>3.2884429950448573E-4</v>
      </c>
      <c r="CQ127" s="70">
        <f t="shared" si="89"/>
        <v>0.77042854282675022</v>
      </c>
      <c r="CR127" s="70">
        <f t="shared" si="90"/>
        <v>4.9485105787121775</v>
      </c>
      <c r="CS127" s="70">
        <f t="shared" si="91"/>
        <v>5.718939121538928</v>
      </c>
      <c r="CT127" s="70">
        <f t="shared" si="92"/>
        <v>3.0429864511703819</v>
      </c>
      <c r="CU127" s="70">
        <f t="shared" si="93"/>
        <v>10.150682383728903</v>
      </c>
      <c r="CV127" s="70">
        <f t="shared" si="94"/>
        <v>13.193668834899285</v>
      </c>
      <c r="CW127" s="69">
        <f t="shared" si="95"/>
        <v>3.3048173420308111</v>
      </c>
      <c r="CX127" s="69">
        <f t="shared" si="96"/>
        <v>21.227047894341201</v>
      </c>
      <c r="CY127" s="70">
        <f t="shared" si="97"/>
        <v>24.531865236372013</v>
      </c>
      <c r="CZ127" s="69">
        <f t="shared" si="98"/>
        <v>5.6339139490999806</v>
      </c>
      <c r="DA127" s="69">
        <f t="shared" si="99"/>
        <v>18.793403122967653</v>
      </c>
      <c r="DB127" s="70">
        <f t="shared" si="100"/>
        <v>24.427317072067634</v>
      </c>
    </row>
    <row r="128" spans="23:106">
      <c r="W128" t="s">
        <v>774</v>
      </c>
      <c r="X128">
        <v>99450</v>
      </c>
      <c r="Y128">
        <v>55672</v>
      </c>
      <c r="Z128" s="51">
        <v>40974.800000000003</v>
      </c>
      <c r="AA128" s="32">
        <f t="shared" si="66"/>
        <v>2281149065.6000004</v>
      </c>
      <c r="AB128">
        <v>3092</v>
      </c>
      <c r="AC128" s="37">
        <f t="shared" si="67"/>
        <v>3.1091000502765209E-2</v>
      </c>
      <c r="AD128" s="50">
        <f>+'Revenue mile elasticities'!M157</f>
        <v>0</v>
      </c>
      <c r="AE128" s="3">
        <f t="shared" si="70"/>
        <v>0</v>
      </c>
      <c r="AF128" s="11">
        <f>+'Revenue mile elasticities'!P157</f>
        <v>0</v>
      </c>
      <c r="AG128" s="11">
        <f>+'Revenue mile elasticities'!Q157</f>
        <v>0</v>
      </c>
      <c r="AH128" s="11">
        <f>+'Revenue mile elasticities'!R157</f>
        <v>0</v>
      </c>
      <c r="AI128" s="11">
        <f>+'Revenue mile elasticities'!S157</f>
        <v>0</v>
      </c>
      <c r="AJ128" s="32">
        <f t="shared" si="71"/>
        <v>0</v>
      </c>
      <c r="AK128" s="33">
        <f t="shared" si="72"/>
        <v>0</v>
      </c>
      <c r="AL128" s="40">
        <f t="shared" si="73"/>
        <v>0</v>
      </c>
      <c r="AM128" s="33">
        <f t="shared" si="74"/>
        <v>0</v>
      </c>
      <c r="AN128" s="40">
        <f t="shared" si="75"/>
        <v>0</v>
      </c>
      <c r="AO128" s="41">
        <f t="shared" si="76"/>
        <v>0</v>
      </c>
      <c r="AP128" s="40">
        <f t="shared" si="77"/>
        <v>0</v>
      </c>
      <c r="AQ128" s="41">
        <f t="shared" si="78"/>
        <v>0</v>
      </c>
      <c r="AR128" s="53"/>
      <c r="AS128" s="53"/>
      <c r="BH128" t="s">
        <v>774</v>
      </c>
      <c r="BI128">
        <v>99450</v>
      </c>
      <c r="BJ128">
        <v>55672</v>
      </c>
      <c r="BK128" s="51">
        <v>40974.800000000003</v>
      </c>
      <c r="BL128" s="32">
        <f t="shared" si="68"/>
        <v>2281149065.6000004</v>
      </c>
      <c r="BM128">
        <v>3092</v>
      </c>
      <c r="BN128" s="37">
        <f t="shared" si="69"/>
        <v>3.1091000502765209E-2</v>
      </c>
      <c r="BO128" s="50">
        <f t="shared" si="79"/>
        <v>0</v>
      </c>
      <c r="BP128" s="3">
        <f t="shared" si="80"/>
        <v>0</v>
      </c>
      <c r="BQ128" s="11">
        <f>+'Rev mile pop elasticities'!P158</f>
        <v>0</v>
      </c>
      <c r="BR128" s="11">
        <f>+'Rev mile pop elasticities'!Q158</f>
        <v>0</v>
      </c>
      <c r="BS128" s="11">
        <f>+'Rev mile pop elasticities'!R158</f>
        <v>0</v>
      </c>
      <c r="BT128" s="11">
        <f>+'Rev mile pop elasticities'!S158</f>
        <v>0</v>
      </c>
      <c r="BU128" s="32">
        <f t="shared" si="81"/>
        <v>0</v>
      </c>
      <c r="BV128" s="33">
        <f t="shared" si="82"/>
        <v>0</v>
      </c>
      <c r="BW128" s="40">
        <f t="shared" si="83"/>
        <v>0</v>
      </c>
      <c r="BX128" s="33">
        <f t="shared" si="84"/>
        <v>0</v>
      </c>
      <c r="BY128" s="40">
        <f t="shared" si="85"/>
        <v>0</v>
      </c>
      <c r="BZ128" s="41">
        <f t="shared" si="86"/>
        <v>0</v>
      </c>
      <c r="CA128" s="40">
        <f t="shared" si="87"/>
        <v>0</v>
      </c>
      <c r="CB128" s="41">
        <f t="shared" si="88"/>
        <v>0</v>
      </c>
      <c r="CQ128" s="70">
        <f t="shared" si="89"/>
        <v>0</v>
      </c>
      <c r="CR128" s="70">
        <f t="shared" si="90"/>
        <v>0</v>
      </c>
      <c r="CS128" s="70">
        <f t="shared" si="91"/>
        <v>0</v>
      </c>
      <c r="CT128" s="70">
        <f t="shared" si="92"/>
        <v>0</v>
      </c>
      <c r="CU128" s="70">
        <f t="shared" si="93"/>
        <v>0</v>
      </c>
      <c r="CV128" s="70">
        <f t="shared" si="94"/>
        <v>0</v>
      </c>
      <c r="CW128" s="69">
        <f t="shared" si="95"/>
        <v>0</v>
      </c>
      <c r="CX128" s="69">
        <f t="shared" si="96"/>
        <v>0</v>
      </c>
      <c r="CY128" s="70">
        <f t="shared" si="97"/>
        <v>0</v>
      </c>
      <c r="CZ128" s="69">
        <f t="shared" si="98"/>
        <v>0</v>
      </c>
      <c r="DA128" s="69">
        <f t="shared" si="99"/>
        <v>0</v>
      </c>
      <c r="DB128" s="70">
        <f t="shared" si="100"/>
        <v>0</v>
      </c>
    </row>
    <row r="129" spans="23:106">
      <c r="W129" t="s">
        <v>424</v>
      </c>
      <c r="X129">
        <v>131728</v>
      </c>
      <c r="Y129">
        <v>94998</v>
      </c>
      <c r="Z129" s="51">
        <v>31804.54</v>
      </c>
      <c r="AA129" s="32">
        <f t="shared" si="66"/>
        <v>3021367690.9200001</v>
      </c>
      <c r="AB129">
        <v>4574</v>
      </c>
      <c r="AC129" s="37">
        <f t="shared" si="67"/>
        <v>3.4723065711162397E-2</v>
      </c>
      <c r="AD129" s="50">
        <f>+'Revenue mile elasticities'!M158</f>
        <v>750397</v>
      </c>
      <c r="AE129" s="3">
        <f t="shared" si="70"/>
        <v>7503.97</v>
      </c>
      <c r="AF129" s="11">
        <f>+'Revenue mile elasticities'!P158</f>
        <v>4.2826485061710489E-4</v>
      </c>
      <c r="AG129" s="11">
        <f>+'Revenue mile elasticities'!Q158</f>
        <v>1.6915314860464811E-3</v>
      </c>
      <c r="AH129" s="11">
        <f>+'Revenue mile elasticities'!R158</f>
        <v>1.1750226948339341E-3</v>
      </c>
      <c r="AI129" s="11">
        <f>+'Revenue mile elasticities'!S158</f>
        <v>2.0031293913708326E-3</v>
      </c>
      <c r="AJ129" s="32">
        <f t="shared" si="71"/>
        <v>12939.45582811201</v>
      </c>
      <c r="AK129" s="33">
        <f t="shared" si="72"/>
        <v>4.2826485061710488E-6</v>
      </c>
      <c r="AL129" s="40">
        <f t="shared" si="73"/>
        <v>51107.385801147328</v>
      </c>
      <c r="AM129" s="33">
        <f t="shared" si="74"/>
        <v>1.6915314860464812E-5</v>
      </c>
      <c r="AN129" s="40">
        <f t="shared" si="75"/>
        <v>53745.538061704145</v>
      </c>
      <c r="AO129" s="41">
        <f t="shared" si="76"/>
        <v>1.1750226948339341E-5</v>
      </c>
      <c r="AP129" s="40">
        <f t="shared" si="77"/>
        <v>91623.138361301884</v>
      </c>
      <c r="AQ129" s="41">
        <f t="shared" si="78"/>
        <v>2.0031293913708325E-5</v>
      </c>
      <c r="AR129" s="53"/>
      <c r="AS129" s="53"/>
      <c r="BH129" t="s">
        <v>424</v>
      </c>
      <c r="BI129">
        <v>131728</v>
      </c>
      <c r="BJ129">
        <v>94998</v>
      </c>
      <c r="BK129" s="51">
        <v>31804.54</v>
      </c>
      <c r="BL129" s="32">
        <f t="shared" si="68"/>
        <v>3021367690.9200001</v>
      </c>
      <c r="BM129">
        <v>4574</v>
      </c>
      <c r="BN129" s="37">
        <f t="shared" si="69"/>
        <v>3.4723065711162397E-2</v>
      </c>
      <c r="BO129" s="50">
        <f t="shared" si="79"/>
        <v>750397</v>
      </c>
      <c r="BP129" s="3">
        <f t="shared" si="80"/>
        <v>7503.97</v>
      </c>
      <c r="BQ129" s="11">
        <f>+'Rev mile pop elasticities'!P159</f>
        <v>1.9976825029910116E-2</v>
      </c>
      <c r="BR129" s="11">
        <f>+'Rev mile pop elasticities'!Q159</f>
        <v>4.0977664428215724E-2</v>
      </c>
      <c r="BS129" s="11">
        <f>+'Rev mile pop elasticities'!R159</f>
        <v>5.4810061453905018E-2</v>
      </c>
      <c r="BT129" s="11">
        <f>+'Rev mile pop elasticities'!S159</f>
        <v>4.8526181559729147E-2</v>
      </c>
      <c r="BU129" s="32">
        <f t="shared" si="81"/>
        <v>603573.33712532395</v>
      </c>
      <c r="BV129" s="33">
        <f t="shared" si="82"/>
        <v>1.9976825029910118E-4</v>
      </c>
      <c r="BW129" s="40">
        <f t="shared" si="83"/>
        <v>1238085.9135277276</v>
      </c>
      <c r="BX129" s="33">
        <f t="shared" si="84"/>
        <v>4.0977664428215724E-4</v>
      </c>
      <c r="BY129" s="40">
        <f t="shared" si="85"/>
        <v>2507012.2109016157</v>
      </c>
      <c r="BZ129" s="41">
        <f t="shared" si="86"/>
        <v>5.4810061453905022E-4</v>
      </c>
      <c r="CA129" s="40">
        <f t="shared" si="87"/>
        <v>2219587.5445420113</v>
      </c>
      <c r="CB129" s="41">
        <f t="shared" si="88"/>
        <v>4.8526181559729149E-4</v>
      </c>
      <c r="CQ129" s="70">
        <f t="shared" si="89"/>
        <v>0.13620766572045737</v>
      </c>
      <c r="CR129" s="70">
        <f t="shared" si="90"/>
        <v>6.3535373073677759</v>
      </c>
      <c r="CS129" s="70">
        <f t="shared" si="91"/>
        <v>6.4897449730882331</v>
      </c>
      <c r="CT129" s="70">
        <f t="shared" si="92"/>
        <v>0.53798380809224755</v>
      </c>
      <c r="CU129" s="70">
        <f t="shared" si="93"/>
        <v>13.03275767413764</v>
      </c>
      <c r="CV129" s="70">
        <f t="shared" si="94"/>
        <v>13.570741482229888</v>
      </c>
      <c r="CW129" s="69">
        <f t="shared" si="95"/>
        <v>0.56575441653197067</v>
      </c>
      <c r="CX129" s="69">
        <f t="shared" si="96"/>
        <v>26.390157802286527</v>
      </c>
      <c r="CY129" s="70">
        <f t="shared" si="97"/>
        <v>26.955912218818497</v>
      </c>
      <c r="CZ129" s="69">
        <f t="shared" si="98"/>
        <v>0.9644743927377617</v>
      </c>
      <c r="DA129" s="69">
        <f t="shared" si="99"/>
        <v>23.364571301943318</v>
      </c>
      <c r="DB129" s="70">
        <f t="shared" si="100"/>
        <v>24.329045694681081</v>
      </c>
    </row>
    <row r="130" spans="23:106">
      <c r="W130" t="s">
        <v>425</v>
      </c>
      <c r="X130">
        <v>193753</v>
      </c>
      <c r="Y130">
        <v>116665</v>
      </c>
      <c r="Z130" s="51">
        <v>34471.19</v>
      </c>
      <c r="AA130" s="32">
        <f t="shared" si="66"/>
        <v>4021581381.3500004</v>
      </c>
      <c r="AB130">
        <v>5907</v>
      </c>
      <c r="AC130" s="37">
        <f t="shared" si="67"/>
        <v>3.0487269874530976E-2</v>
      </c>
      <c r="AD130" s="50">
        <f>+'Revenue mile elasticities'!M159</f>
        <v>1494773</v>
      </c>
      <c r="AE130" s="3">
        <f t="shared" si="70"/>
        <v>14947.73</v>
      </c>
      <c r="AF130" s="11">
        <f>+'Revenue mile elasticities'!P159</f>
        <v>9.3605939534622097E-4</v>
      </c>
      <c r="AG130" s="11">
        <f>+'Revenue mile elasticities'!Q159</f>
        <v>3.6971839686498051E-3</v>
      </c>
      <c r="AH130" s="11">
        <f>+'Revenue mile elasticities'!R159</f>
        <v>2.5682496045600287E-3</v>
      </c>
      <c r="AI130" s="11">
        <f>+'Revenue mile elasticities'!S159</f>
        <v>4.378244173401085E-3</v>
      </c>
      <c r="AJ130" s="32">
        <f t="shared" si="71"/>
        <v>37644.390361621015</v>
      </c>
      <c r="AK130" s="33">
        <f t="shared" si="72"/>
        <v>9.3605939534622091E-6</v>
      </c>
      <c r="AL130" s="40">
        <f t="shared" si="73"/>
        <v>148685.2621174776</v>
      </c>
      <c r="AM130" s="33">
        <f t="shared" si="74"/>
        <v>3.6971839686498049E-5</v>
      </c>
      <c r="AN130" s="40">
        <f t="shared" si="75"/>
        <v>151706.5041413609</v>
      </c>
      <c r="AO130" s="41">
        <f t="shared" si="76"/>
        <v>2.5682496045600289E-5</v>
      </c>
      <c r="AP130" s="40">
        <f t="shared" si="77"/>
        <v>258622.88332280208</v>
      </c>
      <c r="AQ130" s="41">
        <f t="shared" si="78"/>
        <v>4.3782441734010842E-5</v>
      </c>
      <c r="AR130" s="53"/>
      <c r="AS130" s="53"/>
      <c r="BH130" t="s">
        <v>425</v>
      </c>
      <c r="BI130">
        <v>193753</v>
      </c>
      <c r="BJ130">
        <v>116665</v>
      </c>
      <c r="BK130" s="51">
        <v>34471.19</v>
      </c>
      <c r="BL130" s="32">
        <f t="shared" si="68"/>
        <v>4021581381.3500004</v>
      </c>
      <c r="BM130">
        <v>5907</v>
      </c>
      <c r="BN130" s="37">
        <f t="shared" si="69"/>
        <v>3.0487269874530976E-2</v>
      </c>
      <c r="BO130" s="50">
        <f t="shared" si="79"/>
        <v>1494773</v>
      </c>
      <c r="BP130" s="3">
        <f t="shared" si="80"/>
        <v>14947.73</v>
      </c>
      <c r="BQ130" s="11">
        <f>+'Rev mile pop elasticities'!P160</f>
        <v>2.7054548068210553E-2</v>
      </c>
      <c r="BR130" s="11">
        <f>+'Rev mile pop elasticities'!Q160</f>
        <v>5.5495915408793672E-2</v>
      </c>
      <c r="BS130" s="11">
        <f>+'Rev mile pop elasticities'!R160</f>
        <v>7.4229084952491045E-2</v>
      </c>
      <c r="BT130" s="11">
        <f>+'Rev mile pop elasticities'!S160</f>
        <v>6.5718847194624092E-2</v>
      </c>
      <c r="BU130" s="32">
        <f t="shared" si="81"/>
        <v>1088020.6679195417</v>
      </c>
      <c r="BV130" s="33">
        <f t="shared" si="82"/>
        <v>2.7054548068210552E-4</v>
      </c>
      <c r="BW130" s="40">
        <f t="shared" si="83"/>
        <v>2231813.4014897924</v>
      </c>
      <c r="BX130" s="33">
        <f t="shared" si="84"/>
        <v>5.549591540879368E-4</v>
      </c>
      <c r="BY130" s="40">
        <f t="shared" si="85"/>
        <v>4384712.0481436467</v>
      </c>
      <c r="BZ130" s="41">
        <f t="shared" si="86"/>
        <v>7.4229084952491054E-4</v>
      </c>
      <c r="CA130" s="40">
        <f t="shared" si="87"/>
        <v>3882012.3037864454</v>
      </c>
      <c r="CB130" s="41">
        <f t="shared" si="88"/>
        <v>6.5718847194624094E-4</v>
      </c>
      <c r="CQ130" s="70">
        <f t="shared" si="89"/>
        <v>0.32267081268264702</v>
      </c>
      <c r="CR130" s="70">
        <f t="shared" si="90"/>
        <v>9.3260246682341901</v>
      </c>
      <c r="CS130" s="70">
        <f t="shared" si="91"/>
        <v>9.648695480916837</v>
      </c>
      <c r="CT130" s="70">
        <f t="shared" si="92"/>
        <v>1.2744633104828149</v>
      </c>
      <c r="CU130" s="70">
        <f t="shared" si="93"/>
        <v>19.130102442804546</v>
      </c>
      <c r="CV130" s="70">
        <f t="shared" si="94"/>
        <v>20.404565753287361</v>
      </c>
      <c r="CW130" s="69">
        <f t="shared" si="95"/>
        <v>1.3003600406408169</v>
      </c>
      <c r="CX130" s="69">
        <f t="shared" si="96"/>
        <v>37.583783038131799</v>
      </c>
      <c r="CY130" s="70">
        <f t="shared" si="97"/>
        <v>38.884143078772617</v>
      </c>
      <c r="CZ130" s="69">
        <f t="shared" si="98"/>
        <v>2.2167992398988736</v>
      </c>
      <c r="DA130" s="69">
        <f t="shared" si="99"/>
        <v>33.274866530548543</v>
      </c>
      <c r="DB130" s="70">
        <f t="shared" si="100"/>
        <v>35.491665770447419</v>
      </c>
    </row>
    <row r="131" spans="23:106">
      <c r="W131" t="s">
        <v>426</v>
      </c>
      <c r="X131">
        <v>259773</v>
      </c>
      <c r="Y131">
        <v>192849</v>
      </c>
      <c r="Z131" s="51">
        <v>38536.25</v>
      </c>
      <c r="AA131" s="32">
        <f t="shared" si="66"/>
        <v>7431677276.25</v>
      </c>
      <c r="AB131">
        <v>17423</v>
      </c>
      <c r="AC131" s="37">
        <f t="shared" si="67"/>
        <v>6.7070095814422595E-2</v>
      </c>
      <c r="AD131" s="50">
        <f>+'Revenue mile elasticities'!M160</f>
        <v>625395</v>
      </c>
      <c r="AE131" s="3">
        <f t="shared" si="70"/>
        <v>6253.95</v>
      </c>
      <c r="AF131" s="11">
        <f>+'Revenue mile elasticities'!P160</f>
        <v>4.1610936695300955E-4</v>
      </c>
      <c r="AG131" s="11">
        <f>+'Revenue mile elasticities'!Q160</f>
        <v>1.6435205803737106E-3</v>
      </c>
      <c r="AH131" s="11">
        <f>+'Revenue mile elasticities'!R160</f>
        <v>1.1416719093295569E-3</v>
      </c>
      <c r="AI131" s="11">
        <f>+'Revenue mile elasticities'!S160</f>
        <v>1.9462743714951836E-3</v>
      </c>
      <c r="AJ131" s="32">
        <f t="shared" si="71"/>
        <v>30923.90526819454</v>
      </c>
      <c r="AK131" s="33">
        <f t="shared" si="72"/>
        <v>4.1610936695300957E-6</v>
      </c>
      <c r="AL131" s="40">
        <f t="shared" si="73"/>
        <v>122141.14550212517</v>
      </c>
      <c r="AM131" s="33">
        <f t="shared" si="74"/>
        <v>1.6435205803737107E-5</v>
      </c>
      <c r="AN131" s="40">
        <f t="shared" si="75"/>
        <v>198913.49676248871</v>
      </c>
      <c r="AO131" s="41">
        <f t="shared" si="76"/>
        <v>1.1416719093295569E-5</v>
      </c>
      <c r="AP131" s="40">
        <f t="shared" si="77"/>
        <v>339099.38374560588</v>
      </c>
      <c r="AQ131" s="41">
        <f t="shared" si="78"/>
        <v>1.9462743714951837E-5</v>
      </c>
      <c r="AR131" s="53"/>
      <c r="AS131" s="53"/>
      <c r="BH131" t="s">
        <v>426</v>
      </c>
      <c r="BI131">
        <v>259773</v>
      </c>
      <c r="BJ131">
        <v>192849</v>
      </c>
      <c r="BK131" s="51">
        <v>38536.25</v>
      </c>
      <c r="BL131" s="32">
        <f t="shared" si="68"/>
        <v>7431677276.25</v>
      </c>
      <c r="BM131">
        <v>17423</v>
      </c>
      <c r="BN131" s="37">
        <f t="shared" si="69"/>
        <v>6.7070095814422595E-2</v>
      </c>
      <c r="BO131" s="50">
        <f t="shared" si="79"/>
        <v>625395</v>
      </c>
      <c r="BP131" s="3">
        <f t="shared" si="80"/>
        <v>6253.95</v>
      </c>
      <c r="BQ131" s="11">
        <f>+'Rev mile pop elasticities'!P161</f>
        <v>8.4425544375281488E-3</v>
      </c>
      <c r="BR131" s="11">
        <f>+'Rev mile pop elasticities'!Q161</f>
        <v>1.7317875194881687E-2</v>
      </c>
      <c r="BS131" s="11">
        <f>+'Rev mile pop elasticities'!R161</f>
        <v>2.3163687265420195E-2</v>
      </c>
      <c r="BT131" s="11">
        <f>+'Rev mile pop elasticities'!S161</f>
        <v>2.0508010099201997E-2</v>
      </c>
      <c r="BU131" s="32">
        <f t="shared" si="81"/>
        <v>627423.39966881543</v>
      </c>
      <c r="BV131" s="33">
        <f t="shared" si="82"/>
        <v>8.4425544375281485E-5</v>
      </c>
      <c r="BW131" s="40">
        <f t="shared" si="83"/>
        <v>1287008.5955873579</v>
      </c>
      <c r="BX131" s="33">
        <f t="shared" si="84"/>
        <v>1.7317875194881689E-4</v>
      </c>
      <c r="BY131" s="40">
        <f t="shared" si="85"/>
        <v>4035809.232254161</v>
      </c>
      <c r="BZ131" s="41">
        <f t="shared" si="86"/>
        <v>2.3163687265420195E-4</v>
      </c>
      <c r="CA131" s="40">
        <f t="shared" si="87"/>
        <v>3573110.5995839639</v>
      </c>
      <c r="CB131" s="41">
        <f t="shared" si="88"/>
        <v>2.0508010099201996E-4</v>
      </c>
      <c r="CQ131" s="70">
        <f t="shared" si="89"/>
        <v>0.16035294592242916</v>
      </c>
      <c r="CR131" s="70">
        <f t="shared" si="90"/>
        <v>3.2534438844319413</v>
      </c>
      <c r="CS131" s="70">
        <f t="shared" si="91"/>
        <v>3.4137968303543706</v>
      </c>
      <c r="CT131" s="70">
        <f t="shared" si="92"/>
        <v>0.63335119965426412</v>
      </c>
      <c r="CU131" s="70">
        <f t="shared" si="93"/>
        <v>6.6736596797875949</v>
      </c>
      <c r="CV131" s="70">
        <f t="shared" si="94"/>
        <v>7.3070108794418589</v>
      </c>
      <c r="CW131" s="69">
        <f t="shared" si="95"/>
        <v>1.0314468665250465</v>
      </c>
      <c r="CX131" s="69">
        <f t="shared" si="96"/>
        <v>20.927301838506608</v>
      </c>
      <c r="CY131" s="70">
        <f t="shared" si="97"/>
        <v>21.958748705031656</v>
      </c>
      <c r="CZ131" s="69">
        <f t="shared" si="98"/>
        <v>1.7583673430798494</v>
      </c>
      <c r="DA131" s="69">
        <f t="shared" si="99"/>
        <v>18.528022440271734</v>
      </c>
      <c r="DB131" s="70">
        <f t="shared" si="100"/>
        <v>20.286389783351584</v>
      </c>
    </row>
    <row r="132" spans="23:106">
      <c r="W132" t="s">
        <v>427</v>
      </c>
      <c r="X132">
        <v>580282</v>
      </c>
      <c r="Y132">
        <v>273280</v>
      </c>
      <c r="Z132" s="51">
        <v>33487.68</v>
      </c>
      <c r="AA132" s="32">
        <f t="shared" ref="AA132:AA195" si="101">Y132*Z132</f>
        <v>9151513190.3999996</v>
      </c>
      <c r="AB132">
        <v>14324</v>
      </c>
      <c r="AC132" s="37">
        <f t="shared" ref="AC132:AC195" si="102">+AB132/X132</f>
        <v>2.4684549925725767E-2</v>
      </c>
      <c r="AD132" s="50">
        <f>+'Revenue mile elasticities'!M161</f>
        <v>2092492</v>
      </c>
      <c r="AE132" s="3">
        <f t="shared" si="70"/>
        <v>20924.920000000002</v>
      </c>
      <c r="AF132" s="11">
        <f>+'Revenue mile elasticities'!P161</f>
        <v>1.7424452518177798E-3</v>
      </c>
      <c r="AG132" s="11">
        <f>+'Revenue mile elasticities'!Q161</f>
        <v>6.8821921806445918E-3</v>
      </c>
      <c r="AH132" s="11">
        <f>+'Revenue mile elasticities'!R161</f>
        <v>4.7807162143736915E-3</v>
      </c>
      <c r="AI132" s="11">
        <f>+'Revenue mile elasticities'!S161</f>
        <v>8.1499644244475439E-3</v>
      </c>
      <c r="AJ132" s="32">
        <f t="shared" si="71"/>
        <v>159460.1070556026</v>
      </c>
      <c r="AK132" s="33">
        <f t="shared" si="72"/>
        <v>1.7424452518177797E-5</v>
      </c>
      <c r="AL132" s="40">
        <f t="shared" si="73"/>
        <v>629824.72520036716</v>
      </c>
      <c r="AM132" s="33">
        <f t="shared" si="74"/>
        <v>6.882192180644591E-5</v>
      </c>
      <c r="AN132" s="40">
        <f t="shared" si="75"/>
        <v>684789.79054688755</v>
      </c>
      <c r="AO132" s="41">
        <f t="shared" si="76"/>
        <v>4.7807162143736919E-5</v>
      </c>
      <c r="AP132" s="40">
        <f t="shared" si="77"/>
        <v>1167400.904157866</v>
      </c>
      <c r="AQ132" s="41">
        <f t="shared" si="78"/>
        <v>8.1499644244475435E-5</v>
      </c>
      <c r="AR132" s="53"/>
      <c r="AS132" s="53"/>
      <c r="BH132" t="s">
        <v>427</v>
      </c>
      <c r="BI132">
        <v>580282</v>
      </c>
      <c r="BJ132">
        <v>273280</v>
      </c>
      <c r="BK132" s="51">
        <v>33487.68</v>
      </c>
      <c r="BL132" s="32">
        <f t="shared" ref="BL132:BL195" si="103">BJ132*BK132</f>
        <v>9151513190.3999996</v>
      </c>
      <c r="BM132">
        <v>14324</v>
      </c>
      <c r="BN132" s="37">
        <f t="shared" ref="BN132:BN195" si="104">+BM132/BI132</f>
        <v>2.4684549925725767E-2</v>
      </c>
      <c r="BO132" s="50">
        <f t="shared" si="79"/>
        <v>2092492</v>
      </c>
      <c r="BP132" s="3">
        <f t="shared" si="80"/>
        <v>20924.920000000002</v>
      </c>
      <c r="BQ132" s="11">
        <f>+'Rev mile pop elasticities'!P162</f>
        <v>1.2645563356161313E-2</v>
      </c>
      <c r="BR132" s="11">
        <f>+'Rev mile pop elasticities'!Q162</f>
        <v>2.5939339756876831E-2</v>
      </c>
      <c r="BS132" s="11">
        <f>+'Rev mile pop elasticities'!R162</f>
        <v>3.4695408486218764E-2</v>
      </c>
      <c r="BT132" s="11">
        <f>+'Rev mile pop elasticities'!S162</f>
        <v>3.0717639185775195E-2</v>
      </c>
      <c r="BU132" s="32">
        <f t="shared" si="81"/>
        <v>1157260.3985394915</v>
      </c>
      <c r="BV132" s="33">
        <f t="shared" si="82"/>
        <v>1.2645563356161312E-4</v>
      </c>
      <c r="BW132" s="40">
        <f t="shared" si="83"/>
        <v>2373842.0993532543</v>
      </c>
      <c r="BX132" s="33">
        <f t="shared" si="84"/>
        <v>2.5939339756876829E-4</v>
      </c>
      <c r="BY132" s="40">
        <f t="shared" si="85"/>
        <v>4969770.3115659757</v>
      </c>
      <c r="BZ132" s="41">
        <f t="shared" si="86"/>
        <v>3.4695408486218766E-4</v>
      </c>
      <c r="CA132" s="40">
        <f t="shared" si="87"/>
        <v>4399994.636970439</v>
      </c>
      <c r="CB132" s="41">
        <f t="shared" si="88"/>
        <v>3.0717639185775196E-4</v>
      </c>
      <c r="CQ132" s="70">
        <f t="shared" si="89"/>
        <v>0.58350449010393224</v>
      </c>
      <c r="CR132" s="70">
        <f t="shared" si="90"/>
        <v>4.2347057909085608</v>
      </c>
      <c r="CS132" s="70">
        <f t="shared" si="91"/>
        <v>4.8182102810124929</v>
      </c>
      <c r="CT132" s="70">
        <f t="shared" si="92"/>
        <v>2.3046864944392826</v>
      </c>
      <c r="CU132" s="70">
        <f t="shared" si="93"/>
        <v>8.6864830918956901</v>
      </c>
      <c r="CV132" s="70">
        <f t="shared" si="94"/>
        <v>10.991169586334973</v>
      </c>
      <c r="CW132" s="69">
        <f t="shared" si="95"/>
        <v>2.505817441989489</v>
      </c>
      <c r="CX132" s="69">
        <f t="shared" si="96"/>
        <v>18.185634922299386</v>
      </c>
      <c r="CY132" s="70">
        <f t="shared" si="97"/>
        <v>20.691452364288875</v>
      </c>
      <c r="CZ132" s="69">
        <f t="shared" si="98"/>
        <v>4.2718124420296624</v>
      </c>
      <c r="DA132" s="69">
        <f t="shared" si="99"/>
        <v>16.10068295144335</v>
      </c>
      <c r="DB132" s="70">
        <f t="shared" si="100"/>
        <v>20.372495393473013</v>
      </c>
    </row>
    <row r="133" spans="23:106">
      <c r="W133" t="s">
        <v>428</v>
      </c>
      <c r="X133">
        <v>503807</v>
      </c>
      <c r="Y133">
        <v>310444</v>
      </c>
      <c r="Z133" s="51">
        <v>35402.959999999999</v>
      </c>
      <c r="AA133" s="32">
        <f t="shared" si="101"/>
        <v>10990636514.24</v>
      </c>
      <c r="AB133">
        <v>18026</v>
      </c>
      <c r="AC133" s="37">
        <f t="shared" si="102"/>
        <v>3.5779574321119001E-2</v>
      </c>
      <c r="AD133" s="50">
        <f>+'Revenue mile elasticities'!M162</f>
        <v>1479889</v>
      </c>
      <c r="AE133" s="3">
        <f t="shared" ref="AE133:AE196" si="105">+AD133*$C$1</f>
        <v>14798.89</v>
      </c>
      <c r="AF133" s="11">
        <f>+'Revenue mile elasticities'!P162</f>
        <v>3.3696545277393878E-4</v>
      </c>
      <c r="AG133" s="11">
        <f>+'Revenue mile elasticities'!Q162</f>
        <v>1.330923311254021E-3</v>
      </c>
      <c r="AH133" s="11">
        <f>+'Revenue mile elasticities'!R162</f>
        <v>9.2452615201513893E-4</v>
      </c>
      <c r="AI133" s="11">
        <f>+'Revenue mile elasticities'!S162</f>
        <v>1.5760933949060777E-3</v>
      </c>
      <c r="AJ133" s="32">
        <f t="shared" ref="AJ133:AJ196" si="106">AA133*$C$1*AF133</f>
        <v>37034.648092946656</v>
      </c>
      <c r="AK133" s="33">
        <f t="shared" ref="AK133:AK196" si="107">AJ133/AA133</f>
        <v>3.3696545277393878E-6</v>
      </c>
      <c r="AL133" s="40">
        <f t="shared" ref="AL133:AL196" si="108">+AA133*$C$1*AG133</f>
        <v>146276.94342321652</v>
      </c>
      <c r="AM133" s="33">
        <f t="shared" ref="AM133:AM196" si="109">AL133/AA133</f>
        <v>1.3309233112540211E-5</v>
      </c>
      <c r="AN133" s="40">
        <f t="shared" ref="AN133:AN196" si="110">+AH133*$C$1*AC133*X133*1000000</f>
        <v>166655.08416224894</v>
      </c>
      <c r="AO133" s="41">
        <f t="shared" ref="AO133:AO196" si="111">+AN133/AB133/1000000</f>
        <v>9.2452615201513889E-6</v>
      </c>
      <c r="AP133" s="40">
        <f t="shared" ref="AP133:AP196" si="112">+AI133*AC133*X133*$C$1*1000000</f>
        <v>284106.59536576958</v>
      </c>
      <c r="AQ133" s="41">
        <f t="shared" ref="AQ133:AQ196" si="113">+AP133/AB133/1000000</f>
        <v>1.5760933949060777E-5</v>
      </c>
      <c r="AR133" s="53"/>
      <c r="AS133" s="53"/>
      <c r="BH133" t="s">
        <v>428</v>
      </c>
      <c r="BI133">
        <v>503807</v>
      </c>
      <c r="BJ133">
        <v>310444</v>
      </c>
      <c r="BK133" s="51">
        <v>35402.959999999999</v>
      </c>
      <c r="BL133" s="32">
        <f t="shared" si="103"/>
        <v>10990636514.24</v>
      </c>
      <c r="BM133">
        <v>18026</v>
      </c>
      <c r="BN133" s="37">
        <f t="shared" si="104"/>
        <v>3.5779574321119001E-2</v>
      </c>
      <c r="BO133" s="50">
        <f t="shared" ref="BO133:BO196" si="114">+AD133</f>
        <v>1479889</v>
      </c>
      <c r="BP133" s="3">
        <f t="shared" ref="BP133:BP196" si="115">+BO133*$C$1</f>
        <v>14798.89</v>
      </c>
      <c r="BQ133" s="11">
        <f>+'Rev mile pop elasticities'!P163</f>
        <v>1.0300977046726225E-2</v>
      </c>
      <c r="BR133" s="11">
        <f>+'Rev mile pop elasticities'!Q163</f>
        <v>2.1129983371807062E-2</v>
      </c>
      <c r="BS133" s="11">
        <f>+'Rev mile pop elasticities'!R163</f>
        <v>2.826260850365318E-2</v>
      </c>
      <c r="BT133" s="11">
        <f>+'Rev mile pop elasticities'!S163</f>
        <v>2.5022348729771524E-2</v>
      </c>
      <c r="BU133" s="32">
        <f t="shared" ref="BU133:BU196" si="116">BL133*$C$1*BQ133</f>
        <v>1132142.9446209737</v>
      </c>
      <c r="BV133" s="33">
        <f t="shared" ref="BV133:BV196" si="117">BU133/BL133</f>
        <v>1.0300977046726226E-4</v>
      </c>
      <c r="BW133" s="40">
        <f t="shared" ref="BW133:BW196" si="118">+BL133*$C$1*BR133</f>
        <v>2322319.6679146672</v>
      </c>
      <c r="BX133" s="33">
        <f t="shared" ref="BX133:BX196" si="119">BW133/BL133</f>
        <v>2.1129983371807063E-4</v>
      </c>
      <c r="BY133" s="40">
        <f t="shared" ref="BY133:BY196" si="120">+BS133*$C$1*BN133*BI133*1000000</f>
        <v>5094617.8088685218</v>
      </c>
      <c r="BZ133" s="41">
        <f t="shared" ref="BZ133:BZ196" si="121">+BY133/BM133/1000000</f>
        <v>2.8262608503653176E-4</v>
      </c>
      <c r="CA133" s="40">
        <f t="shared" ref="CA133:CA196" si="122">+BT133*BN133*BI133*$C$1*1000000</f>
        <v>4510528.5820286153</v>
      </c>
      <c r="CB133" s="41">
        <f t="shared" ref="CB133:CB196" si="123">+CA133/BM133/1000000</f>
        <v>2.5022348729771525E-4</v>
      </c>
      <c r="CQ133" s="70">
        <f t="shared" ref="CQ133:CQ196" si="124">+AJ133/Y133</f>
        <v>0.11929574445937643</v>
      </c>
      <c r="CR133" s="70">
        <f t="shared" ref="CR133:CR196" si="125">+BU133/Y133</f>
        <v>3.6468507834616668</v>
      </c>
      <c r="CS133" s="70">
        <f t="shared" ref="CS133:CS196" si="126">+(CQ133+CR133)</f>
        <v>3.7661465279210433</v>
      </c>
      <c r="CT133" s="70">
        <f t="shared" ref="CT133:CT196" si="127">+AL133/Y133</f>
        <v>0.47118624751393656</v>
      </c>
      <c r="CU133" s="70">
        <f t="shared" ref="CU133:CU196" si="128">+BW133/Y133</f>
        <v>7.4806395611275054</v>
      </c>
      <c r="CV133" s="70">
        <f t="shared" ref="CV133:CV196" si="129">+(CT133+CU133)</f>
        <v>7.9518258086414422</v>
      </c>
      <c r="CW133" s="69">
        <f t="shared" ref="CW133:CW196" si="130">+AN133/Y133</f>
        <v>0.53682816921006349</v>
      </c>
      <c r="CX133" s="69">
        <f t="shared" ref="CX133:CX196" si="131">+BY133/Y133</f>
        <v>16.410746572227268</v>
      </c>
      <c r="CY133" s="70">
        <f t="shared" ref="CY133:CY196" si="132">+(CW133+CX133)</f>
        <v>16.947574741437332</v>
      </c>
      <c r="CZ133" s="69">
        <f t="shared" ref="CZ133:CZ196" si="133">+AP133/Y133</f>
        <v>0.9151621399214338</v>
      </c>
      <c r="DA133" s="69">
        <f t="shared" ref="DA133:DA196" si="134">+CA133/Y133</f>
        <v>14.52928251803422</v>
      </c>
      <c r="DB133" s="70">
        <f t="shared" ref="DB133:DB196" si="135">+(CZ133+DA133)</f>
        <v>15.444444657955653</v>
      </c>
    </row>
    <row r="134" spans="23:106">
      <c r="W134" t="s">
        <v>429</v>
      </c>
      <c r="X134">
        <v>454605</v>
      </c>
      <c r="Y134">
        <v>283164</v>
      </c>
      <c r="Z134" s="51">
        <v>36458.86</v>
      </c>
      <c r="AA134" s="32">
        <f t="shared" si="101"/>
        <v>10323836633.040001</v>
      </c>
      <c r="AB134">
        <v>14157</v>
      </c>
      <c r="AC134" s="37">
        <f t="shared" si="102"/>
        <v>3.1141320487016202E-2</v>
      </c>
      <c r="AD134" s="50">
        <f>+'Revenue mile elasticities'!M163</f>
        <v>3149047</v>
      </c>
      <c r="AE134" s="3">
        <f t="shared" si="105"/>
        <v>31490.47</v>
      </c>
      <c r="AF134" s="11">
        <f>+'Revenue mile elasticities'!P163</f>
        <v>1.2579133736183975E-3</v>
      </c>
      <c r="AG134" s="11">
        <f>+'Revenue mile elasticities'!Q163</f>
        <v>4.9684210019300748E-3</v>
      </c>
      <c r="AH134" s="11">
        <f>+'Revenue mile elasticities'!R163</f>
        <v>3.4513146712995746E-3</v>
      </c>
      <c r="AI134" s="11">
        <f>+'Revenue mile elasticities'!S163</f>
        <v>5.8836564496540364E-3</v>
      </c>
      <c r="AJ134" s="32">
        <f t="shared" si="106"/>
        <v>129864.92167752546</v>
      </c>
      <c r="AK134" s="33">
        <f t="shared" si="107"/>
        <v>1.2579133736183975E-5</v>
      </c>
      <c r="AL134" s="40">
        <f t="shared" si="108"/>
        <v>512931.66748091008</v>
      </c>
      <c r="AM134" s="33">
        <f t="shared" si="109"/>
        <v>4.9684210019300745E-5</v>
      </c>
      <c r="AN134" s="40">
        <f t="shared" si="110"/>
        <v>488602.61801588081</v>
      </c>
      <c r="AO134" s="41">
        <f t="shared" si="111"/>
        <v>3.4513146712995749E-5</v>
      </c>
      <c r="AP134" s="40">
        <f t="shared" si="112"/>
        <v>832949.24357752199</v>
      </c>
      <c r="AQ134" s="41">
        <f t="shared" si="113"/>
        <v>5.883656449654037E-5</v>
      </c>
      <c r="AR134" s="53"/>
      <c r="AS134" s="53"/>
      <c r="BH134" t="s">
        <v>429</v>
      </c>
      <c r="BI134">
        <v>454605</v>
      </c>
      <c r="BJ134">
        <v>283164</v>
      </c>
      <c r="BK134" s="51">
        <v>36458.86</v>
      </c>
      <c r="BL134" s="32">
        <f t="shared" si="103"/>
        <v>10323836633.040001</v>
      </c>
      <c r="BM134">
        <v>14157</v>
      </c>
      <c r="BN134" s="37">
        <f t="shared" si="104"/>
        <v>3.1141320487016202E-2</v>
      </c>
      <c r="BO134" s="50">
        <f t="shared" si="114"/>
        <v>3149047</v>
      </c>
      <c r="BP134" s="3">
        <f t="shared" si="115"/>
        <v>31490.47</v>
      </c>
      <c r="BQ134" s="11">
        <f>+'Rev mile pop elasticities'!P164</f>
        <v>2.4291727984821983E-2</v>
      </c>
      <c r="BR134" s="11">
        <f>+'Rev mile pop elasticities'!Q164</f>
        <v>4.9828652764047916E-2</v>
      </c>
      <c r="BS134" s="11">
        <f>+'Rev mile pop elasticities'!R164</f>
        <v>6.6648784362688479E-2</v>
      </c>
      <c r="BT134" s="11">
        <f>+'Rev mile pop elasticities'!S164</f>
        <v>5.9007615115319899E-2</v>
      </c>
      <c r="BU134" s="32">
        <f t="shared" si="116"/>
        <v>2507838.3124954812</v>
      </c>
      <c r="BV134" s="33">
        <f t="shared" si="117"/>
        <v>2.4291727984821981E-4</v>
      </c>
      <c r="BW134" s="40">
        <f t="shared" si="118"/>
        <v>5144228.7078050775</v>
      </c>
      <c r="BX134" s="33">
        <f t="shared" si="119"/>
        <v>4.9828652764047918E-4</v>
      </c>
      <c r="BY134" s="40">
        <f t="shared" si="120"/>
        <v>9435468.4022258092</v>
      </c>
      <c r="BZ134" s="41">
        <f t="shared" si="121"/>
        <v>6.6648784362688493E-4</v>
      </c>
      <c r="CA134" s="40">
        <f t="shared" si="122"/>
        <v>8353708.0718758376</v>
      </c>
      <c r="CB134" s="41">
        <f t="shared" si="123"/>
        <v>5.9007615115319893E-4</v>
      </c>
      <c r="CQ134" s="70">
        <f t="shared" si="124"/>
        <v>0.45862087580880856</v>
      </c>
      <c r="CR134" s="70">
        <f t="shared" si="125"/>
        <v>8.8564870975670686</v>
      </c>
      <c r="CS134" s="70">
        <f t="shared" si="126"/>
        <v>9.315107973375877</v>
      </c>
      <c r="CT134" s="70">
        <f t="shared" si="127"/>
        <v>1.8114296573042834</v>
      </c>
      <c r="CU134" s="70">
        <f t="shared" si="128"/>
        <v>18.166958751130363</v>
      </c>
      <c r="CV134" s="70">
        <f t="shared" si="129"/>
        <v>19.978388408434647</v>
      </c>
      <c r="CW134" s="69">
        <f t="shared" si="130"/>
        <v>1.7255110749102316</v>
      </c>
      <c r="CX134" s="69">
        <f t="shared" si="131"/>
        <v>33.321567721270391</v>
      </c>
      <c r="CY134" s="70">
        <f t="shared" si="132"/>
        <v>35.047078796180621</v>
      </c>
      <c r="CZ134" s="69">
        <f t="shared" si="133"/>
        <v>2.9415788856546805</v>
      </c>
      <c r="DA134" s="69">
        <f t="shared" si="134"/>
        <v>29.501306917107534</v>
      </c>
      <c r="DB134" s="70">
        <f t="shared" si="135"/>
        <v>32.442885802762213</v>
      </c>
    </row>
    <row r="135" spans="23:106">
      <c r="W135" t="s">
        <v>430</v>
      </c>
      <c r="X135">
        <v>235937</v>
      </c>
      <c r="Y135">
        <v>115282</v>
      </c>
      <c r="Z135" s="51">
        <v>24407.41</v>
      </c>
      <c r="AA135" s="32">
        <f t="shared" si="101"/>
        <v>2813735039.6199999</v>
      </c>
      <c r="AB135">
        <v>4781</v>
      </c>
      <c r="AC135" s="37">
        <f t="shared" si="102"/>
        <v>2.0263884002932987E-2</v>
      </c>
      <c r="AD135" s="50">
        <f>+'Revenue mile elasticities'!M164</f>
        <v>1645217</v>
      </c>
      <c r="AE135" s="3">
        <f t="shared" si="105"/>
        <v>16452.170000000002</v>
      </c>
      <c r="AF135" s="11">
        <f>+'Revenue mile elasticities'!P164</f>
        <v>1.4144470177949555E-3</v>
      </c>
      <c r="AG135" s="11">
        <f>+'Revenue mile elasticities'!Q164</f>
        <v>5.5866869823594963E-3</v>
      </c>
      <c r="AH135" s="11">
        <f>+'Revenue mile elasticities'!R164</f>
        <v>3.8807932618200943E-3</v>
      </c>
      <c r="AI135" s="11">
        <f>+'Revenue mile elasticities'!S164</f>
        <v>6.6158135317415092E-3</v>
      </c>
      <c r="AJ135" s="32">
        <f t="shared" si="106"/>
        <v>39798.791356556801</v>
      </c>
      <c r="AK135" s="33">
        <f t="shared" si="107"/>
        <v>1.4144470177949557E-5</v>
      </c>
      <c r="AL135" s="40">
        <f t="shared" si="108"/>
        <v>157194.56917653835</v>
      </c>
      <c r="AM135" s="33">
        <f t="shared" si="109"/>
        <v>5.5866869823594963E-5</v>
      </c>
      <c r="AN135" s="40">
        <f t="shared" si="110"/>
        <v>185540.72584761871</v>
      </c>
      <c r="AO135" s="41">
        <f t="shared" si="111"/>
        <v>3.8807932618200944E-5</v>
      </c>
      <c r="AP135" s="40">
        <f t="shared" si="112"/>
        <v>316302.04495256155</v>
      </c>
      <c r="AQ135" s="41">
        <f t="shared" si="113"/>
        <v>6.6158135317415082E-5</v>
      </c>
      <c r="AR135" s="53"/>
      <c r="AS135" s="53"/>
      <c r="BH135" t="s">
        <v>430</v>
      </c>
      <c r="BI135">
        <v>235937</v>
      </c>
      <c r="BJ135">
        <v>115282</v>
      </c>
      <c r="BK135" s="51">
        <v>24407.41</v>
      </c>
      <c r="BL135" s="32">
        <f t="shared" si="103"/>
        <v>2813735039.6199999</v>
      </c>
      <c r="BM135">
        <v>4781</v>
      </c>
      <c r="BN135" s="37">
        <f t="shared" si="104"/>
        <v>2.0263884002932987E-2</v>
      </c>
      <c r="BO135" s="50">
        <f t="shared" si="114"/>
        <v>1645217</v>
      </c>
      <c r="BP135" s="3">
        <f t="shared" si="115"/>
        <v>16452.170000000002</v>
      </c>
      <c r="BQ135" s="11">
        <f>+'Rev mile pop elasticities'!P165</f>
        <v>2.4453476478636247E-2</v>
      </c>
      <c r="BR135" s="11">
        <f>+'Rev mile pop elasticities'!Q165</f>
        <v>5.0160440998232587E-2</v>
      </c>
      <c r="BS135" s="11">
        <f>+'Rev mile pop elasticities'!R165</f>
        <v>6.7092570843911722E-2</v>
      </c>
      <c r="BT135" s="11">
        <f>+'Rev mile pop elasticities'!S165</f>
        <v>5.940052223474912E-2</v>
      </c>
      <c r="BU135" s="32">
        <f t="shared" si="116"/>
        <v>688056.03608462296</v>
      </c>
      <c r="BV135" s="33">
        <f t="shared" si="117"/>
        <v>2.4453476478636247E-4</v>
      </c>
      <c r="BW135" s="40">
        <f t="shared" si="118"/>
        <v>1411381.9043951866</v>
      </c>
      <c r="BX135" s="33">
        <f t="shared" si="119"/>
        <v>5.0160440998232598E-4</v>
      </c>
      <c r="BY135" s="40">
        <f t="shared" si="120"/>
        <v>3207695.8120474196</v>
      </c>
      <c r="BZ135" s="41">
        <f t="shared" si="121"/>
        <v>6.7092570843911722E-4</v>
      </c>
      <c r="CA135" s="40">
        <f t="shared" si="122"/>
        <v>2839938.9680433557</v>
      </c>
      <c r="CB135" s="41">
        <f t="shared" si="123"/>
        <v>5.9400522234749121E-4</v>
      </c>
      <c r="CQ135" s="70">
        <f t="shared" si="124"/>
        <v>0.34522988286598777</v>
      </c>
      <c r="CR135" s="70">
        <f t="shared" si="125"/>
        <v>5.9684602633943111</v>
      </c>
      <c r="CS135" s="70">
        <f t="shared" si="126"/>
        <v>6.3136901462602992</v>
      </c>
      <c r="CT135" s="70">
        <f t="shared" si="127"/>
        <v>1.3635655972011098</v>
      </c>
      <c r="CU135" s="70">
        <f t="shared" si="128"/>
        <v>12.242864492246722</v>
      </c>
      <c r="CV135" s="70">
        <f t="shared" si="129"/>
        <v>13.606430089447832</v>
      </c>
      <c r="CW135" s="69">
        <f t="shared" si="130"/>
        <v>1.6094509624019249</v>
      </c>
      <c r="CX135" s="69">
        <f t="shared" si="131"/>
        <v>27.824775871752916</v>
      </c>
      <c r="CY135" s="70">
        <f t="shared" si="132"/>
        <v>29.434226834154842</v>
      </c>
      <c r="CZ135" s="69">
        <f t="shared" si="133"/>
        <v>2.7437244752221646</v>
      </c>
      <c r="DA135" s="69">
        <f t="shared" si="134"/>
        <v>24.634712861013476</v>
      </c>
      <c r="DB135" s="70">
        <f t="shared" si="135"/>
        <v>27.378437336235642</v>
      </c>
    </row>
    <row r="136" spans="23:106">
      <c r="W136" t="s">
        <v>431</v>
      </c>
      <c r="X136">
        <v>201428</v>
      </c>
      <c r="Y136">
        <v>91977</v>
      </c>
      <c r="Z136" s="51">
        <v>26746.09</v>
      </c>
      <c r="AA136" s="32">
        <f t="shared" si="101"/>
        <v>2460025119.9299998</v>
      </c>
      <c r="AB136">
        <v>3628</v>
      </c>
      <c r="AC136" s="37">
        <f t="shared" si="102"/>
        <v>1.8011398613896779E-2</v>
      </c>
      <c r="AD136" s="50">
        <f>+'Revenue mile elasticities'!M165</f>
        <v>442185</v>
      </c>
      <c r="AE136" s="3">
        <f t="shared" si="105"/>
        <v>4421.8500000000004</v>
      </c>
      <c r="AF136" s="11">
        <f>+'Revenue mile elasticities'!P165</f>
        <v>4.310440234899133E-4</v>
      </c>
      <c r="AG136" s="11">
        <f>+'Revenue mile elasticities'!Q165</f>
        <v>1.7025084747317482E-3</v>
      </c>
      <c r="AH136" s="11">
        <f>+'Revenue mile elasticities'!R165</f>
        <v>1.1826478622827946E-3</v>
      </c>
      <c r="AI136" s="11">
        <f>+'Revenue mile elasticities'!S165</f>
        <v>2.0161284569191755E-3</v>
      </c>
      <c r="AJ136" s="32">
        <f t="shared" si="106"/>
        <v>10603.791255808837</v>
      </c>
      <c r="AK136" s="33">
        <f t="shared" si="107"/>
        <v>4.3104402348991334E-6</v>
      </c>
      <c r="AL136" s="40">
        <f t="shared" si="108"/>
        <v>41882.136147338097</v>
      </c>
      <c r="AM136" s="33">
        <f t="shared" si="109"/>
        <v>1.7025084747317481E-5</v>
      </c>
      <c r="AN136" s="40">
        <f t="shared" si="110"/>
        <v>42906.464443619792</v>
      </c>
      <c r="AO136" s="41">
        <f t="shared" si="111"/>
        <v>1.1826478622827947E-5</v>
      </c>
      <c r="AP136" s="40">
        <f t="shared" si="112"/>
        <v>73145.140417027695</v>
      </c>
      <c r="AQ136" s="41">
        <f t="shared" si="113"/>
        <v>2.0161284569191757E-5</v>
      </c>
      <c r="AR136" s="53"/>
      <c r="AS136" s="53"/>
      <c r="BH136" t="s">
        <v>431</v>
      </c>
      <c r="BI136">
        <v>201428</v>
      </c>
      <c r="BJ136">
        <v>91977</v>
      </c>
      <c r="BK136" s="51">
        <v>26746.09</v>
      </c>
      <c r="BL136" s="32">
        <f t="shared" si="103"/>
        <v>2460025119.9299998</v>
      </c>
      <c r="BM136">
        <v>3628</v>
      </c>
      <c r="BN136" s="37">
        <f t="shared" si="104"/>
        <v>1.8011398613896779E-2</v>
      </c>
      <c r="BO136" s="50">
        <f t="shared" si="114"/>
        <v>442185</v>
      </c>
      <c r="BP136" s="3">
        <f t="shared" si="115"/>
        <v>4421.8500000000004</v>
      </c>
      <c r="BQ136" s="11">
        <f>+'Rev mile pop elasticities'!P166</f>
        <v>7.6983497909923135E-3</v>
      </c>
      <c r="BR136" s="11">
        <f>+'Rev mile pop elasticities'!Q166</f>
        <v>1.5791317885298965E-2</v>
      </c>
      <c r="BS136" s="11">
        <f>+'Rev mile pop elasticities'!R166</f>
        <v>2.1121826141350754E-2</v>
      </c>
      <c r="BT136" s="11">
        <f>+'Rev mile pop elasticities'!S166</f>
        <v>1.8700244864169831E-2</v>
      </c>
      <c r="BU136" s="32">
        <f t="shared" si="116"/>
        <v>189381.33867848956</v>
      </c>
      <c r="BV136" s="33">
        <f t="shared" si="117"/>
        <v>7.6983497909923135E-5</v>
      </c>
      <c r="BW136" s="40">
        <f t="shared" si="118"/>
        <v>388470.38674635341</v>
      </c>
      <c r="BX136" s="33">
        <f t="shared" si="119"/>
        <v>1.5791317885298966E-4</v>
      </c>
      <c r="BY136" s="40">
        <f t="shared" si="120"/>
        <v>766299.85240820539</v>
      </c>
      <c r="BZ136" s="41">
        <f t="shared" si="121"/>
        <v>2.1121826141350754E-4</v>
      </c>
      <c r="CA136" s="40">
        <f t="shared" si="122"/>
        <v>678444.88367208152</v>
      </c>
      <c r="CB136" s="41">
        <f t="shared" si="123"/>
        <v>1.8700244864169833E-4</v>
      </c>
      <c r="CQ136" s="70">
        <f t="shared" si="124"/>
        <v>0.11528742246223335</v>
      </c>
      <c r="CR136" s="70">
        <f t="shared" si="125"/>
        <v>2.059007563613616</v>
      </c>
      <c r="CS136" s="70">
        <f t="shared" si="126"/>
        <v>2.1742949860758496</v>
      </c>
      <c r="CT136" s="70">
        <f t="shared" si="127"/>
        <v>0.45535444890938059</v>
      </c>
      <c r="CU136" s="70">
        <f t="shared" si="128"/>
        <v>4.2235600937881577</v>
      </c>
      <c r="CV136" s="70">
        <f t="shared" si="129"/>
        <v>4.6789145426975383</v>
      </c>
      <c r="CW136" s="69">
        <f t="shared" si="130"/>
        <v>0.4664912363266881</v>
      </c>
      <c r="CX136" s="69">
        <f t="shared" si="131"/>
        <v>8.3314290790980934</v>
      </c>
      <c r="CY136" s="70">
        <f t="shared" si="132"/>
        <v>8.7979203154247809</v>
      </c>
      <c r="CZ136" s="69">
        <f t="shared" si="133"/>
        <v>0.79525468777006958</v>
      </c>
      <c r="DA136" s="69">
        <f t="shared" si="134"/>
        <v>7.3762449707218272</v>
      </c>
      <c r="DB136" s="70">
        <f t="shared" si="135"/>
        <v>8.1714996584918964</v>
      </c>
    </row>
    <row r="137" spans="23:106">
      <c r="W137" t="s">
        <v>432</v>
      </c>
      <c r="X137">
        <v>1879093</v>
      </c>
      <c r="Y137">
        <v>1165516</v>
      </c>
      <c r="Z137" s="51">
        <v>37940.36</v>
      </c>
      <c r="AA137" s="32">
        <f t="shared" si="101"/>
        <v>44220096625.760002</v>
      </c>
      <c r="AB137">
        <v>88139</v>
      </c>
      <c r="AC137" s="37">
        <f t="shared" si="102"/>
        <v>4.6905076012735934E-2</v>
      </c>
      <c r="AD137" s="50">
        <f>+'Revenue mile elasticities'!M166</f>
        <v>16600000</v>
      </c>
      <c r="AE137" s="3">
        <f t="shared" si="105"/>
        <v>166000</v>
      </c>
      <c r="AF137" s="11">
        <f>+'Revenue mile elasticities'!P166</f>
        <v>5.173586145188004E-3</v>
      </c>
      <c r="AG137" s="11">
        <f>+'Revenue mile elasticities'!Q166</f>
        <v>2.0434279973594038E-2</v>
      </c>
      <c r="AH137" s="11">
        <f>+'Revenue mile elasticities'!R166</f>
        <v>1.4194676788241455E-2</v>
      </c>
      <c r="AI137" s="11">
        <f>+'Revenue mile elasticities'!S166</f>
        <v>2.4198489442413994E-2</v>
      </c>
      <c r="AJ137" s="32">
        <f t="shared" si="106"/>
        <v>2287764.7924190676</v>
      </c>
      <c r="AK137" s="33">
        <f t="shared" si="107"/>
        <v>5.1735861451880043E-5</v>
      </c>
      <c r="AL137" s="40">
        <f t="shared" si="108"/>
        <v>9036058.3491016086</v>
      </c>
      <c r="AM137" s="33">
        <f t="shared" si="109"/>
        <v>2.0434279973594038E-4</v>
      </c>
      <c r="AN137" s="40">
        <f t="shared" si="110"/>
        <v>12511046.174388139</v>
      </c>
      <c r="AO137" s="41">
        <f t="shared" si="111"/>
        <v>1.4194676788241458E-4</v>
      </c>
      <c r="AP137" s="40">
        <f t="shared" si="112"/>
        <v>21328306.609649271</v>
      </c>
      <c r="AQ137" s="41">
        <f t="shared" si="113"/>
        <v>2.4198489442413994E-4</v>
      </c>
      <c r="AR137" s="53"/>
      <c r="AS137" s="53"/>
      <c r="BH137" t="s">
        <v>432</v>
      </c>
      <c r="BI137">
        <v>1879093</v>
      </c>
      <c r="BJ137">
        <v>1165516</v>
      </c>
      <c r="BK137" s="51">
        <v>37940.36</v>
      </c>
      <c r="BL137" s="32">
        <f t="shared" si="103"/>
        <v>44220096625.760002</v>
      </c>
      <c r="BM137">
        <v>88139</v>
      </c>
      <c r="BN137" s="37">
        <f t="shared" si="104"/>
        <v>4.6905076012735934E-2</v>
      </c>
      <c r="BO137" s="50">
        <f t="shared" si="114"/>
        <v>16600000</v>
      </c>
      <c r="BP137" s="3">
        <f t="shared" si="115"/>
        <v>166000</v>
      </c>
      <c r="BQ137" s="11">
        <f>+'Rev mile pop elasticities'!P167</f>
        <v>3.0979420390582046E-2</v>
      </c>
      <c r="BR137" s="11">
        <f>+'Rev mile pop elasticities'!Q167</f>
        <v>6.3546849464076557E-2</v>
      </c>
      <c r="BS137" s="11">
        <f>+'Rev mile pop elasticities'!R167</f>
        <v>8.4997687714232328E-2</v>
      </c>
      <c r="BT137" s="11">
        <f>+'Rev mile pop elasticities'!S167</f>
        <v>7.525284804956435E-2</v>
      </c>
      <c r="BU137" s="32">
        <f t="shared" si="116"/>
        <v>13699129.630815778</v>
      </c>
      <c r="BV137" s="33">
        <f t="shared" si="117"/>
        <v>3.0979420390582046E-4</v>
      </c>
      <c r="BW137" s="40">
        <f t="shared" si="118"/>
        <v>28100478.235640906</v>
      </c>
      <c r="BX137" s="33">
        <f t="shared" si="119"/>
        <v>6.3546849464076556E-4</v>
      </c>
      <c r="BY137" s="40">
        <f t="shared" si="120"/>
        <v>74916111.97444725</v>
      </c>
      <c r="BZ137" s="41">
        <f t="shared" si="121"/>
        <v>8.4997687714232352E-4</v>
      </c>
      <c r="CA137" s="40">
        <f t="shared" si="122"/>
        <v>66327107.742405534</v>
      </c>
      <c r="CB137" s="41">
        <f t="shared" si="123"/>
        <v>7.5252848049564363E-4</v>
      </c>
      <c r="CQ137" s="70">
        <f t="shared" si="124"/>
        <v>1.9628772083944515</v>
      </c>
      <c r="CR137" s="70">
        <f t="shared" si="125"/>
        <v>11.753703622100236</v>
      </c>
      <c r="CS137" s="70">
        <f t="shared" si="126"/>
        <v>13.716580830494687</v>
      </c>
      <c r="CT137" s="70">
        <f t="shared" si="127"/>
        <v>7.7528393853894828</v>
      </c>
      <c r="CU137" s="70">
        <f t="shared" si="128"/>
        <v>24.109903455328716</v>
      </c>
      <c r="CV137" s="70">
        <f t="shared" si="129"/>
        <v>31.862742840718198</v>
      </c>
      <c r="CW137" s="69">
        <f t="shared" si="130"/>
        <v>10.734340990932891</v>
      </c>
      <c r="CX137" s="69">
        <f t="shared" si="131"/>
        <v>64.277205953798358</v>
      </c>
      <c r="CY137" s="70">
        <f t="shared" si="132"/>
        <v>75.011546944731251</v>
      </c>
      <c r="CZ137" s="69">
        <f t="shared" si="133"/>
        <v>18.299454155626581</v>
      </c>
      <c r="DA137" s="69">
        <f t="shared" si="134"/>
        <v>56.907934118798487</v>
      </c>
      <c r="DB137" s="70">
        <f t="shared" si="135"/>
        <v>75.207388274425071</v>
      </c>
    </row>
    <row r="138" spans="23:106">
      <c r="W138" t="s">
        <v>433</v>
      </c>
      <c r="X138">
        <v>114752</v>
      </c>
      <c r="Y138">
        <v>65768</v>
      </c>
      <c r="Z138" s="51">
        <v>27093.68</v>
      </c>
      <c r="AA138" s="32">
        <f t="shared" si="101"/>
        <v>1781897146.24</v>
      </c>
      <c r="AB138">
        <v>2522</v>
      </c>
      <c r="AC138" s="37">
        <f t="shared" si="102"/>
        <v>2.1977830451756834E-2</v>
      </c>
      <c r="AD138" s="50">
        <f>+'Revenue mile elasticities'!M167</f>
        <v>643502</v>
      </c>
      <c r="AE138" s="3">
        <f t="shared" si="105"/>
        <v>6435.02</v>
      </c>
      <c r="AF138" s="11">
        <f>+'Revenue mile elasticities'!P167</f>
        <v>4.575382046885464E-4</v>
      </c>
      <c r="AG138" s="11">
        <f>+'Revenue mile elasticities'!Q167</f>
        <v>1.8071533962795514E-3</v>
      </c>
      <c r="AH138" s="11">
        <f>+'Revenue mile elasticities'!R167</f>
        <v>1.2553394785678529E-3</v>
      </c>
      <c r="AI138" s="11">
        <f>+'Revenue mile elasticities'!S167</f>
        <v>2.140050074541574E-3</v>
      </c>
      <c r="AJ138" s="32">
        <f t="shared" si="106"/>
        <v>8152.8602123029386</v>
      </c>
      <c r="AK138" s="33">
        <f t="shared" si="107"/>
        <v>4.5753820468854643E-6</v>
      </c>
      <c r="AL138" s="40">
        <f t="shared" si="108"/>
        <v>32201.614796484566</v>
      </c>
      <c r="AM138" s="33">
        <f t="shared" si="109"/>
        <v>1.8071533962795515E-5</v>
      </c>
      <c r="AN138" s="40">
        <f t="shared" si="110"/>
        <v>31659.661649481259</v>
      </c>
      <c r="AO138" s="41">
        <f t="shared" si="111"/>
        <v>1.2553394785678534E-5</v>
      </c>
      <c r="AP138" s="40">
        <f t="shared" si="112"/>
        <v>53972.062879938501</v>
      </c>
      <c r="AQ138" s="41">
        <f t="shared" si="113"/>
        <v>2.1400500745415742E-5</v>
      </c>
      <c r="AR138" s="53"/>
      <c r="AS138" s="53"/>
      <c r="BH138" t="s">
        <v>433</v>
      </c>
      <c r="BI138">
        <v>114752</v>
      </c>
      <c r="BJ138">
        <v>65768</v>
      </c>
      <c r="BK138" s="51">
        <v>27093.68</v>
      </c>
      <c r="BL138" s="32">
        <f t="shared" si="103"/>
        <v>1781897146.24</v>
      </c>
      <c r="BM138">
        <v>2522</v>
      </c>
      <c r="BN138" s="37">
        <f t="shared" si="104"/>
        <v>2.1977830451756834E-2</v>
      </c>
      <c r="BO138" s="50">
        <f t="shared" si="114"/>
        <v>643502</v>
      </c>
      <c r="BP138" s="3">
        <f t="shared" si="115"/>
        <v>6435.02</v>
      </c>
      <c r="BQ138" s="11">
        <f>+'Rev mile pop elasticities'!P168</f>
        <v>1.9665414839305631E-2</v>
      </c>
      <c r="BR138" s="11">
        <f>+'Rev mile pop elasticities'!Q168</f>
        <v>4.0338881124511991E-2</v>
      </c>
      <c r="BS138" s="11">
        <f>+'Rev mile pop elasticities'!R168</f>
        <v>5.3955650822643607E-2</v>
      </c>
      <c r="BT138" s="11">
        <f>+'Rev mile pop elasticities'!S168</f>
        <v>4.7769727647448412E-2</v>
      </c>
      <c r="BU138" s="32">
        <f t="shared" si="116"/>
        <v>350417.46581784455</v>
      </c>
      <c r="BV138" s="33">
        <f t="shared" si="117"/>
        <v>1.9665414839305632E-4</v>
      </c>
      <c r="BW138" s="40">
        <f t="shared" si="118"/>
        <v>718797.3715828252</v>
      </c>
      <c r="BX138" s="33">
        <f t="shared" si="119"/>
        <v>4.0338881124511993E-4</v>
      </c>
      <c r="BY138" s="40">
        <f t="shared" si="120"/>
        <v>1360761.5137470718</v>
      </c>
      <c r="BZ138" s="41">
        <f t="shared" si="121"/>
        <v>5.3955650822643615E-4</v>
      </c>
      <c r="CA138" s="40">
        <f t="shared" si="122"/>
        <v>1204752.531268649</v>
      </c>
      <c r="CB138" s="41">
        <f t="shared" si="123"/>
        <v>4.7769727647448417E-4</v>
      </c>
      <c r="CQ138" s="70">
        <f t="shared" si="124"/>
        <v>0.12396393705605976</v>
      </c>
      <c r="CR138" s="70">
        <f t="shared" si="125"/>
        <v>5.328084567233982</v>
      </c>
      <c r="CS138" s="70">
        <f t="shared" si="126"/>
        <v>5.4520485042900422</v>
      </c>
      <c r="CT138" s="70">
        <f t="shared" si="127"/>
        <v>0.48962435829711359</v>
      </c>
      <c r="CU138" s="70">
        <f t="shared" si="128"/>
        <v>10.929287367455681</v>
      </c>
      <c r="CV138" s="70">
        <f t="shared" si="129"/>
        <v>11.418911725752794</v>
      </c>
      <c r="CW138" s="69">
        <f t="shared" si="130"/>
        <v>0.48138398080344941</v>
      </c>
      <c r="CX138" s="69">
        <f t="shared" si="131"/>
        <v>20.690328332123098</v>
      </c>
      <c r="CY138" s="70">
        <f t="shared" si="132"/>
        <v>21.171712312926548</v>
      </c>
      <c r="CZ138" s="69">
        <f t="shared" si="133"/>
        <v>0.82064321372002347</v>
      </c>
      <c r="DA138" s="69">
        <f t="shared" si="134"/>
        <v>18.318217541489009</v>
      </c>
      <c r="DB138" s="70">
        <f t="shared" si="135"/>
        <v>19.138860755209031</v>
      </c>
    </row>
    <row r="139" spans="23:106">
      <c r="W139" t="s">
        <v>434</v>
      </c>
      <c r="X139">
        <v>112249</v>
      </c>
      <c r="Y139">
        <v>67037</v>
      </c>
      <c r="Z139" s="51">
        <v>28377.43</v>
      </c>
      <c r="AA139" s="32">
        <f t="shared" si="101"/>
        <v>1902337774.9100001</v>
      </c>
      <c r="AB139">
        <v>2054</v>
      </c>
      <c r="AC139" s="37">
        <f t="shared" si="102"/>
        <v>1.8298603996472131E-2</v>
      </c>
      <c r="AD139" s="50">
        <f>+'Revenue mile elasticities'!M168</f>
        <v>578246</v>
      </c>
      <c r="AE139" s="3">
        <f t="shared" si="105"/>
        <v>5782.46</v>
      </c>
      <c r="AF139" s="11">
        <f>+'Revenue mile elasticities'!P168</f>
        <v>1.6368273177927921E-3</v>
      </c>
      <c r="AG139" s="11">
        <f>+'Revenue mile elasticities'!Q168</f>
        <v>6.4650296219218454E-3</v>
      </c>
      <c r="AH139" s="11">
        <f>+'Revenue mile elasticities'!R168</f>
        <v>4.4909341571210178E-3</v>
      </c>
      <c r="AI139" s="11">
        <f>+'Revenue mile elasticities'!S168</f>
        <v>7.6559561312232382E-3</v>
      </c>
      <c r="AJ139" s="32">
        <f t="shared" si="106"/>
        <v>31137.984376418433</v>
      </c>
      <c r="AK139" s="33">
        <f t="shared" si="107"/>
        <v>1.636827317792792E-5</v>
      </c>
      <c r="AL139" s="40">
        <f t="shared" si="108"/>
        <v>122986.70065694042</v>
      </c>
      <c r="AM139" s="33">
        <f t="shared" si="109"/>
        <v>6.4650296219218451E-5</v>
      </c>
      <c r="AN139" s="40">
        <f t="shared" si="110"/>
        <v>92243.787587265717</v>
      </c>
      <c r="AO139" s="41">
        <f t="shared" si="111"/>
        <v>4.4909341571210186E-5</v>
      </c>
      <c r="AP139" s="40">
        <f t="shared" si="112"/>
        <v>157253.33893532533</v>
      </c>
      <c r="AQ139" s="41">
        <f t="shared" si="113"/>
        <v>7.6559561312232395E-5</v>
      </c>
      <c r="AR139" s="53"/>
      <c r="AS139" s="53"/>
      <c r="BH139" t="s">
        <v>434</v>
      </c>
      <c r="BI139">
        <v>112249</v>
      </c>
      <c r="BJ139">
        <v>67037</v>
      </c>
      <c r="BK139" s="51">
        <v>28377.43</v>
      </c>
      <c r="BL139" s="32">
        <f t="shared" si="103"/>
        <v>1902337774.9100001</v>
      </c>
      <c r="BM139">
        <v>2054</v>
      </c>
      <c r="BN139" s="37">
        <f t="shared" si="104"/>
        <v>1.8298603996472131E-2</v>
      </c>
      <c r="BO139" s="50">
        <f t="shared" si="114"/>
        <v>578246</v>
      </c>
      <c r="BP139" s="3">
        <f t="shared" si="115"/>
        <v>5782.46</v>
      </c>
      <c r="BQ139" s="11">
        <f>+'Rev mile pop elasticities'!P169</f>
        <v>1.806523566107493E-2</v>
      </c>
      <c r="BR139" s="11">
        <f>+'Rev mile pop elasticities'!Q169</f>
        <v>3.7056497397749653E-2</v>
      </c>
      <c r="BS139" s="11">
        <f>+'Rev mile pop elasticities'!R169</f>
        <v>4.9565267517750713E-2</v>
      </c>
      <c r="BT139" s="11">
        <f>+'Rev mile pop elasticities'!S169</f>
        <v>4.3882694286808799E-2</v>
      </c>
      <c r="BU139" s="32">
        <f t="shared" si="116"/>
        <v>343661.80210714065</v>
      </c>
      <c r="BV139" s="33">
        <f t="shared" si="117"/>
        <v>1.8065235661074929E-4</v>
      </c>
      <c r="BW139" s="40">
        <f t="shared" si="118"/>
        <v>704939.74805593281</v>
      </c>
      <c r="BX139" s="33">
        <f t="shared" si="119"/>
        <v>3.7056497397749651E-4</v>
      </c>
      <c r="BY139" s="40">
        <f t="shared" si="120"/>
        <v>1018070.5948145998</v>
      </c>
      <c r="BZ139" s="41">
        <f t="shared" si="121"/>
        <v>4.9565267517750718E-4</v>
      </c>
      <c r="CA139" s="40">
        <f t="shared" si="122"/>
        <v>901350.54065105284</v>
      </c>
      <c r="CB139" s="41">
        <f t="shared" si="123"/>
        <v>4.3882694286808804E-4</v>
      </c>
      <c r="CQ139" s="70">
        <f t="shared" si="124"/>
        <v>0.4644895263275271</v>
      </c>
      <c r="CR139" s="70">
        <f t="shared" si="125"/>
        <v>5.1264496040565755</v>
      </c>
      <c r="CS139" s="70">
        <f t="shared" si="126"/>
        <v>5.5909391303841023</v>
      </c>
      <c r="CT139" s="70">
        <f t="shared" si="127"/>
        <v>1.8346092554401363</v>
      </c>
      <c r="CU139" s="70">
        <f t="shared" si="128"/>
        <v>10.515681609498229</v>
      </c>
      <c r="CV139" s="70">
        <f t="shared" si="129"/>
        <v>12.350290864938366</v>
      </c>
      <c r="CW139" s="69">
        <f t="shared" si="130"/>
        <v>1.3760130612537214</v>
      </c>
      <c r="CX139" s="69">
        <f t="shared" si="131"/>
        <v>15.186696821376252</v>
      </c>
      <c r="CY139" s="70">
        <f t="shared" si="132"/>
        <v>16.562709882629974</v>
      </c>
      <c r="CZ139" s="69">
        <f t="shared" si="133"/>
        <v>2.3457693353718891</v>
      </c>
      <c r="DA139" s="69">
        <f t="shared" si="134"/>
        <v>13.445567979638898</v>
      </c>
      <c r="DB139" s="70">
        <f t="shared" si="135"/>
        <v>15.791337315010788</v>
      </c>
    </row>
    <row r="140" spans="23:106">
      <c r="W140" t="s">
        <v>435</v>
      </c>
      <c r="X140">
        <v>129302</v>
      </c>
      <c r="Y140">
        <v>64007</v>
      </c>
      <c r="Z140" s="51">
        <v>31198.04</v>
      </c>
      <c r="AA140" s="32">
        <f t="shared" si="101"/>
        <v>1996892946.28</v>
      </c>
      <c r="AB140">
        <v>3058</v>
      </c>
      <c r="AC140" s="37">
        <f t="shared" si="102"/>
        <v>2.365005955050966E-2</v>
      </c>
      <c r="AD140" s="50">
        <f>+'Revenue mile elasticities'!M169</f>
        <v>444118</v>
      </c>
      <c r="AE140" s="3">
        <f t="shared" si="105"/>
        <v>4441.18</v>
      </c>
      <c r="AF140" s="11">
        <f>+'Revenue mile elasticities'!P169</f>
        <v>2.6277902601938444E-4</v>
      </c>
      <c r="AG140" s="11">
        <f>+'Revenue mile elasticities'!Q169</f>
        <v>1.0379067900247215E-3</v>
      </c>
      <c r="AH140" s="11">
        <f>+'Revenue mile elasticities'!R169</f>
        <v>7.2098216525174068E-4</v>
      </c>
      <c r="AI140" s="11">
        <f>+'Revenue mile elasticities'!S169</f>
        <v>1.2291001460819071E-3</v>
      </c>
      <c r="AJ140" s="32">
        <f t="shared" si="106"/>
        <v>5247.4158348843739</v>
      </c>
      <c r="AK140" s="33">
        <f t="shared" si="107"/>
        <v>2.6277902601938446E-6</v>
      </c>
      <c r="AL140" s="40">
        <f t="shared" si="108"/>
        <v>20725.887478964836</v>
      </c>
      <c r="AM140" s="33">
        <f t="shared" si="109"/>
        <v>1.0379067900247216E-5</v>
      </c>
      <c r="AN140" s="40">
        <f t="shared" si="110"/>
        <v>22047.63461339823</v>
      </c>
      <c r="AO140" s="41">
        <f t="shared" si="111"/>
        <v>7.2098216525174069E-6</v>
      </c>
      <c r="AP140" s="40">
        <f t="shared" si="112"/>
        <v>37585.882467184725</v>
      </c>
      <c r="AQ140" s="41">
        <f t="shared" si="113"/>
        <v>1.2291001460819074E-5</v>
      </c>
      <c r="AR140" s="53"/>
      <c r="AS140" s="53"/>
      <c r="BH140" t="s">
        <v>435</v>
      </c>
      <c r="BI140">
        <v>129302</v>
      </c>
      <c r="BJ140">
        <v>64007</v>
      </c>
      <c r="BK140" s="51">
        <v>31198.04</v>
      </c>
      <c r="BL140" s="32">
        <f t="shared" si="103"/>
        <v>1996892946.28</v>
      </c>
      <c r="BM140">
        <v>3058</v>
      </c>
      <c r="BN140" s="37">
        <f t="shared" si="104"/>
        <v>2.365005955050966E-2</v>
      </c>
      <c r="BO140" s="50">
        <f t="shared" si="114"/>
        <v>444118</v>
      </c>
      <c r="BP140" s="3">
        <f t="shared" si="115"/>
        <v>4441.18</v>
      </c>
      <c r="BQ140" s="11">
        <f>+'Rev mile pop elasticities'!P170</f>
        <v>1.2044994545792021E-2</v>
      </c>
      <c r="BR140" s="11">
        <f>+'Rev mile pop elasticities'!Q170</f>
        <v>2.4707416909251215E-2</v>
      </c>
      <c r="BS140" s="11">
        <f>+'Rev mile pop elasticities'!R170</f>
        <v>3.304763846498894E-2</v>
      </c>
      <c r="BT140" s="11">
        <f>+'Rev mile pop elasticities'!S170</f>
        <v>2.9258783182008016E-2</v>
      </c>
      <c r="BU140" s="32">
        <f t="shared" si="116"/>
        <v>240525.64646473157</v>
      </c>
      <c r="BV140" s="33">
        <f t="shared" si="117"/>
        <v>1.204499454579202E-4</v>
      </c>
      <c r="BW140" s="40">
        <f t="shared" si="118"/>
        <v>493380.66546882951</v>
      </c>
      <c r="BX140" s="33">
        <f t="shared" si="119"/>
        <v>2.4707416909251214E-4</v>
      </c>
      <c r="BY140" s="40">
        <f t="shared" si="120"/>
        <v>1010596.7842593619</v>
      </c>
      <c r="BZ140" s="41">
        <f t="shared" si="121"/>
        <v>3.3047638464988943E-4</v>
      </c>
      <c r="CA140" s="40">
        <f t="shared" si="122"/>
        <v>894733.58970580506</v>
      </c>
      <c r="CB140" s="41">
        <f t="shared" si="123"/>
        <v>2.9258783182008012E-4</v>
      </c>
      <c r="CQ140" s="70">
        <f t="shared" si="124"/>
        <v>8.1981905649137973E-2</v>
      </c>
      <c r="CR140" s="70">
        <f t="shared" si="125"/>
        <v>3.7578022163940128</v>
      </c>
      <c r="CS140" s="70">
        <f t="shared" si="126"/>
        <v>3.8397841220431506</v>
      </c>
      <c r="CT140" s="70">
        <f t="shared" si="127"/>
        <v>0.32380657551462866</v>
      </c>
      <c r="CU140" s="70">
        <f t="shared" si="128"/>
        <v>7.7082298103149576</v>
      </c>
      <c r="CV140" s="70">
        <f t="shared" si="129"/>
        <v>8.0320363858295867</v>
      </c>
      <c r="CW140" s="69">
        <f t="shared" si="130"/>
        <v>0.34445661589198417</v>
      </c>
      <c r="CX140" s="69">
        <f t="shared" si="131"/>
        <v>15.788847848819065</v>
      </c>
      <c r="CY140" s="70">
        <f t="shared" si="132"/>
        <v>16.133304464711049</v>
      </c>
      <c r="CZ140" s="69">
        <f t="shared" si="133"/>
        <v>0.58721518688869534</v>
      </c>
      <c r="DA140" s="69">
        <f t="shared" si="134"/>
        <v>13.97868342065407</v>
      </c>
      <c r="DB140" s="70">
        <f t="shared" si="135"/>
        <v>14.565898607542765</v>
      </c>
    </row>
    <row r="141" spans="23:106">
      <c r="W141" t="s">
        <v>436</v>
      </c>
      <c r="X141">
        <v>107061</v>
      </c>
      <c r="Y141">
        <v>65807</v>
      </c>
      <c r="Z141" s="51">
        <v>33307.03</v>
      </c>
      <c r="AA141" s="32">
        <f t="shared" si="101"/>
        <v>2191835723.21</v>
      </c>
      <c r="AB141">
        <v>3316</v>
      </c>
      <c r="AC141" s="37">
        <f t="shared" si="102"/>
        <v>3.0972996702814285E-2</v>
      </c>
      <c r="AD141" s="50">
        <f>+'Revenue mile elasticities'!M170</f>
        <v>212736</v>
      </c>
      <c r="AE141" s="3">
        <f t="shared" si="105"/>
        <v>2127.36</v>
      </c>
      <c r="AF141" s="11">
        <f>+'Revenue mile elasticities'!P170</f>
        <v>1.6325921490025901E-4</v>
      </c>
      <c r="AG141" s="11">
        <f>+'Revenue mile elasticities'!Q170</f>
        <v>6.448301839226101E-4</v>
      </c>
      <c r="AH141" s="11">
        <f>+'Revenue mile elasticities'!R170</f>
        <v>4.479314199429489E-4</v>
      </c>
      <c r="AI141" s="11">
        <f>+'Revenue mile elasticities'!S170</f>
        <v>7.6361469148730147E-4</v>
      </c>
      <c r="AJ141" s="32">
        <f t="shared" si="106"/>
        <v>3578.3737936160605</v>
      </c>
      <c r="AK141" s="33">
        <f t="shared" si="107"/>
        <v>1.6325921490025903E-6</v>
      </c>
      <c r="AL141" s="40">
        <f t="shared" si="108"/>
        <v>14133.618325256515</v>
      </c>
      <c r="AM141" s="33">
        <f t="shared" si="109"/>
        <v>6.4483018392261012E-6</v>
      </c>
      <c r="AN141" s="40">
        <f t="shared" si="110"/>
        <v>14853.405885308186</v>
      </c>
      <c r="AO141" s="41">
        <f t="shared" si="111"/>
        <v>4.4793141994294897E-6</v>
      </c>
      <c r="AP141" s="40">
        <f t="shared" si="112"/>
        <v>25321.463169718918</v>
      </c>
      <c r="AQ141" s="41">
        <f t="shared" si="113"/>
        <v>7.6361469148730142E-6</v>
      </c>
      <c r="AR141" s="53"/>
      <c r="AS141" s="53"/>
      <c r="BH141" t="s">
        <v>436</v>
      </c>
      <c r="BI141">
        <v>107061</v>
      </c>
      <c r="BJ141">
        <v>65807</v>
      </c>
      <c r="BK141" s="51">
        <v>33307.03</v>
      </c>
      <c r="BL141" s="32">
        <f t="shared" si="103"/>
        <v>2191835723.21</v>
      </c>
      <c r="BM141">
        <v>3316</v>
      </c>
      <c r="BN141" s="37">
        <f t="shared" si="104"/>
        <v>3.0972996702814285E-2</v>
      </c>
      <c r="BO141" s="50">
        <f t="shared" si="114"/>
        <v>212736</v>
      </c>
      <c r="BP141" s="3">
        <f t="shared" si="115"/>
        <v>2127.36</v>
      </c>
      <c r="BQ141" s="11">
        <f>+'Rev mile pop elasticities'!P171</f>
        <v>6.9682410917140695E-3</v>
      </c>
      <c r="BR141" s="11">
        <f>+'Rev mile pop elasticities'!Q171</f>
        <v>1.4293675030123016E-2</v>
      </c>
      <c r="BS141" s="11">
        <f>+'Rev mile pop elasticities'!R171</f>
        <v>1.9118639818421271E-2</v>
      </c>
      <c r="BT141" s="11">
        <f>+'Rev mile pop elasticities'!S171</f>
        <v>1.6926720430408836E-2</v>
      </c>
      <c r="BU141" s="32">
        <f t="shared" si="116"/>
        <v>152732.39752758748</v>
      </c>
      <c r="BV141" s="33">
        <f t="shared" si="117"/>
        <v>6.9682410917140702E-5</v>
      </c>
      <c r="BW141" s="40">
        <f t="shared" si="118"/>
        <v>313293.87546978402</v>
      </c>
      <c r="BX141" s="33">
        <f t="shared" si="119"/>
        <v>1.4293675030123016E-4</v>
      </c>
      <c r="BY141" s="40">
        <f t="shared" si="120"/>
        <v>633974.09637884935</v>
      </c>
      <c r="BZ141" s="41">
        <f t="shared" si="121"/>
        <v>1.9118639818421272E-4</v>
      </c>
      <c r="CA141" s="40">
        <f t="shared" si="122"/>
        <v>561290.04947235703</v>
      </c>
      <c r="CB141" s="41">
        <f t="shared" si="123"/>
        <v>1.6926720430408837E-4</v>
      </c>
      <c r="CQ141" s="70">
        <f t="shared" si="124"/>
        <v>5.4376795684593741E-2</v>
      </c>
      <c r="CR141" s="70">
        <f t="shared" si="125"/>
        <v>2.3209141508895326</v>
      </c>
      <c r="CS141" s="70">
        <f t="shared" si="126"/>
        <v>2.3752909465741263</v>
      </c>
      <c r="CT141" s="70">
        <f t="shared" si="127"/>
        <v>0.21477378280815893</v>
      </c>
      <c r="CU141" s="70">
        <f t="shared" si="128"/>
        <v>4.7607986303855823</v>
      </c>
      <c r="CV141" s="70">
        <f t="shared" si="129"/>
        <v>4.9755724131937411</v>
      </c>
      <c r="CW141" s="69">
        <f t="shared" si="130"/>
        <v>0.22571163987582152</v>
      </c>
      <c r="CX141" s="69">
        <f t="shared" si="131"/>
        <v>9.633839810033118</v>
      </c>
      <c r="CY141" s="70">
        <f t="shared" si="132"/>
        <v>9.8595514499089401</v>
      </c>
      <c r="CZ141" s="69">
        <f t="shared" si="133"/>
        <v>0.38478373379304509</v>
      </c>
      <c r="DA141" s="69">
        <f t="shared" si="134"/>
        <v>8.5293365367264435</v>
      </c>
      <c r="DB141" s="70">
        <f t="shared" si="135"/>
        <v>8.9141202705194882</v>
      </c>
    </row>
    <row r="142" spans="23:106">
      <c r="W142" t="s">
        <v>437</v>
      </c>
      <c r="X142">
        <v>464042</v>
      </c>
      <c r="Y142">
        <v>324154</v>
      </c>
      <c r="Z142" s="51">
        <v>37015.699999999997</v>
      </c>
      <c r="AA142" s="32">
        <f t="shared" si="101"/>
        <v>11998787217.799999</v>
      </c>
      <c r="AB142">
        <v>19463</v>
      </c>
      <c r="AC142" s="37">
        <f t="shared" si="102"/>
        <v>4.1942324186172802E-2</v>
      </c>
      <c r="AD142" s="50">
        <f>+'Revenue mile elasticities'!M171</f>
        <v>2144664</v>
      </c>
      <c r="AE142" s="3">
        <f t="shared" si="105"/>
        <v>21446.639999999999</v>
      </c>
      <c r="AF142" s="11">
        <f>+'Revenue mile elasticities'!P171</f>
        <v>1.3013461708195474E-3</v>
      </c>
      <c r="AG142" s="11">
        <f>+'Revenue mile elasticities'!Q171</f>
        <v>5.1399689211369714E-3</v>
      </c>
      <c r="AH142" s="11">
        <f>+'Revenue mile elasticities'!R171</f>
        <v>3.5704804686745705E-3</v>
      </c>
      <c r="AI142" s="11">
        <f>+'Revenue mile elasticities'!S171</f>
        <v>6.0868053013464129E-3</v>
      </c>
      <c r="AJ142" s="32">
        <f t="shared" si="106"/>
        <v>156145.75800362558</v>
      </c>
      <c r="AK142" s="33">
        <f t="shared" si="107"/>
        <v>1.3013461708195472E-5</v>
      </c>
      <c r="AL142" s="40">
        <f t="shared" si="108"/>
        <v>616733.93390827544</v>
      </c>
      <c r="AM142" s="33">
        <f t="shared" si="109"/>
        <v>5.1399689211369711E-5</v>
      </c>
      <c r="AN142" s="40">
        <f t="shared" si="110"/>
        <v>694922.61361813173</v>
      </c>
      <c r="AO142" s="41">
        <f t="shared" si="111"/>
        <v>3.5704804686745713E-5</v>
      </c>
      <c r="AP142" s="40">
        <f t="shared" si="112"/>
        <v>1184674.915801052</v>
      </c>
      <c r="AQ142" s="41">
        <f t="shared" si="113"/>
        <v>6.0868053013464116E-5</v>
      </c>
      <c r="AR142" s="53"/>
      <c r="AS142" s="53"/>
      <c r="BH142" t="s">
        <v>437</v>
      </c>
      <c r="BI142">
        <v>464042</v>
      </c>
      <c r="BJ142">
        <v>324154</v>
      </c>
      <c r="BK142" s="51">
        <v>37015.699999999997</v>
      </c>
      <c r="BL142" s="32">
        <f t="shared" si="103"/>
        <v>11998787217.799999</v>
      </c>
      <c r="BM142">
        <v>19463</v>
      </c>
      <c r="BN142" s="37">
        <f t="shared" si="104"/>
        <v>4.1942324186172802E-2</v>
      </c>
      <c r="BO142" s="50">
        <f t="shared" si="114"/>
        <v>2144664</v>
      </c>
      <c r="BP142" s="3">
        <f t="shared" si="115"/>
        <v>21446.639999999999</v>
      </c>
      <c r="BQ142" s="11">
        <f>+'Rev mile pop elasticities'!P172</f>
        <v>1.6207478220678299E-2</v>
      </c>
      <c r="BR142" s="11">
        <f>+'Rev mile pop elasticities'!Q172</f>
        <v>3.3245753655057088E-2</v>
      </c>
      <c r="BS142" s="11">
        <f>+'Rev mile pop elasticities'!R172</f>
        <v>4.4468171291391724E-2</v>
      </c>
      <c r="BT142" s="11">
        <f>+'Rev mile pop elasticities'!S172</f>
        <v>3.9369971433620241E-2</v>
      </c>
      <c r="BU142" s="32">
        <f t="shared" si="116"/>
        <v>1944700.8250704664</v>
      </c>
      <c r="BV142" s="33">
        <f t="shared" si="117"/>
        <v>1.6207478220678297E-4</v>
      </c>
      <c r="BW142" s="40">
        <f t="shared" si="118"/>
        <v>3989087.2400242658</v>
      </c>
      <c r="BX142" s="33">
        <f t="shared" si="119"/>
        <v>3.3245753655057088E-4</v>
      </c>
      <c r="BY142" s="40">
        <f t="shared" si="120"/>
        <v>8654840.1784435716</v>
      </c>
      <c r="BZ142" s="41">
        <f t="shared" si="121"/>
        <v>4.4468171291391724E-4</v>
      </c>
      <c r="CA142" s="40">
        <f t="shared" si="122"/>
        <v>7662577.5401255079</v>
      </c>
      <c r="CB142" s="41">
        <f t="shared" si="123"/>
        <v>3.936997143362024E-4</v>
      </c>
      <c r="CQ142" s="70">
        <f t="shared" si="124"/>
        <v>0.48170239455205111</v>
      </c>
      <c r="CR142" s="70">
        <f t="shared" si="125"/>
        <v>5.9993115157316161</v>
      </c>
      <c r="CS142" s="70">
        <f t="shared" si="126"/>
        <v>6.481013910283667</v>
      </c>
      <c r="CT142" s="70">
        <f t="shared" si="127"/>
        <v>1.9025954759412977</v>
      </c>
      <c r="CU142" s="70">
        <f t="shared" si="128"/>
        <v>12.306148435694965</v>
      </c>
      <c r="CV142" s="70">
        <f t="shared" si="129"/>
        <v>14.208743911636262</v>
      </c>
      <c r="CW142" s="69">
        <f t="shared" si="130"/>
        <v>2.1438039130108892</v>
      </c>
      <c r="CX142" s="69">
        <f t="shared" si="131"/>
        <v>26.699779050832539</v>
      </c>
      <c r="CY142" s="70">
        <f t="shared" si="132"/>
        <v>28.843582963843428</v>
      </c>
      <c r="CZ142" s="69">
        <f t="shared" si="133"/>
        <v>3.6546669663217237</v>
      </c>
      <c r="DA142" s="69">
        <f t="shared" si="134"/>
        <v>23.638695003379592</v>
      </c>
      <c r="DB142" s="70">
        <f t="shared" si="135"/>
        <v>27.293361969701316</v>
      </c>
    </row>
    <row r="143" spans="23:106">
      <c r="W143" t="s">
        <v>438</v>
      </c>
      <c r="X143">
        <v>294665</v>
      </c>
      <c r="Y143">
        <v>216925</v>
      </c>
      <c r="Z143" s="51">
        <v>33709.550000000003</v>
      </c>
      <c r="AA143" s="32">
        <f t="shared" si="101"/>
        <v>7312444133.750001</v>
      </c>
      <c r="AB143">
        <v>11109</v>
      </c>
      <c r="AC143" s="37">
        <f t="shared" si="102"/>
        <v>3.7700439482123767E-2</v>
      </c>
      <c r="AD143" s="50">
        <f>+'Revenue mile elasticities'!M172</f>
        <v>1480332</v>
      </c>
      <c r="AE143" s="3">
        <f t="shared" si="105"/>
        <v>14803.32</v>
      </c>
      <c r="AF143" s="11">
        <f>+'Revenue mile elasticities'!P172</f>
        <v>1.0514408468306436E-3</v>
      </c>
      <c r="AG143" s="11">
        <f>+'Revenue mile elasticities'!Q172</f>
        <v>4.1529098070192498E-3</v>
      </c>
      <c r="AH143" s="11">
        <f>+'Revenue mile elasticities'!R172</f>
        <v>2.8848196519541125E-3</v>
      </c>
      <c r="AI143" s="11">
        <f>+'Revenue mile elasticities'!S172</f>
        <v>4.9179195083122696E-3</v>
      </c>
      <c r="AJ143" s="32">
        <f t="shared" si="106"/>
        <v>76886.024523918735</v>
      </c>
      <c r="AK143" s="33">
        <f t="shared" si="107"/>
        <v>1.0514408468306436E-5</v>
      </c>
      <c r="AL143" s="40">
        <f t="shared" si="108"/>
        <v>303679.20956330758</v>
      </c>
      <c r="AM143" s="33">
        <f t="shared" si="109"/>
        <v>4.1529098070192492E-5</v>
      </c>
      <c r="AN143" s="40">
        <f t="shared" si="110"/>
        <v>320474.61513558234</v>
      </c>
      <c r="AO143" s="41">
        <f t="shared" si="111"/>
        <v>2.8848196519541124E-5</v>
      </c>
      <c r="AP143" s="40">
        <f t="shared" si="112"/>
        <v>546331.67817841016</v>
      </c>
      <c r="AQ143" s="41">
        <f t="shared" si="113"/>
        <v>4.9179195083122709E-5</v>
      </c>
      <c r="AR143" s="53"/>
      <c r="AS143" s="53"/>
      <c r="BH143" t="s">
        <v>438</v>
      </c>
      <c r="BI143">
        <v>294665</v>
      </c>
      <c r="BJ143">
        <v>216925</v>
      </c>
      <c r="BK143" s="51">
        <v>33709.550000000003</v>
      </c>
      <c r="BL143" s="32">
        <f t="shared" si="103"/>
        <v>7312444133.750001</v>
      </c>
      <c r="BM143">
        <v>11109</v>
      </c>
      <c r="BN143" s="37">
        <f t="shared" si="104"/>
        <v>3.7700439482123767E-2</v>
      </c>
      <c r="BO143" s="50">
        <f t="shared" si="114"/>
        <v>1480332</v>
      </c>
      <c r="BP143" s="3">
        <f t="shared" si="115"/>
        <v>14803.32</v>
      </c>
      <c r="BQ143" s="11">
        <f>+'Rev mile pop elasticities'!P173</f>
        <v>1.7617490588430929E-2</v>
      </c>
      <c r="BR143" s="11">
        <f>+'Rev mile pop elasticities'!Q173</f>
        <v>3.6138055788098353E-2</v>
      </c>
      <c r="BS143" s="11">
        <f>+'Rev mile pop elasticities'!R173</f>
        <v>4.8336797282337564E-2</v>
      </c>
      <c r="BT143" s="11">
        <f>+'Rev mile pop elasticities'!S173</f>
        <v>4.279506606485331E-2</v>
      </c>
      <c r="BU143" s="32">
        <f t="shared" si="116"/>
        <v>1288269.1570476759</v>
      </c>
      <c r="BV143" s="33">
        <f t="shared" si="117"/>
        <v>1.7617490588430927E-4</v>
      </c>
      <c r="BW143" s="40">
        <f t="shared" si="118"/>
        <v>2642575.1405281005</v>
      </c>
      <c r="BX143" s="33">
        <f t="shared" si="119"/>
        <v>3.613805578809835E-4</v>
      </c>
      <c r="BY143" s="40">
        <f t="shared" si="120"/>
        <v>5369734.8100948799</v>
      </c>
      <c r="BZ143" s="41">
        <f t="shared" si="121"/>
        <v>4.8336797282337563E-4</v>
      </c>
      <c r="CA143" s="40">
        <f t="shared" si="122"/>
        <v>4754103.8891445538</v>
      </c>
      <c r="CB143" s="41">
        <f t="shared" si="123"/>
        <v>4.2795066064853308E-4</v>
      </c>
      <c r="CQ143" s="70">
        <f t="shared" si="124"/>
        <v>0.3544359779827993</v>
      </c>
      <c r="CR143" s="70">
        <f t="shared" si="125"/>
        <v>5.9387767986524187</v>
      </c>
      <c r="CS143" s="70">
        <f t="shared" si="126"/>
        <v>6.2932127766352179</v>
      </c>
      <c r="CT143" s="70">
        <f t="shared" si="127"/>
        <v>1.3999272078520575</v>
      </c>
      <c r="CU143" s="70">
        <f t="shared" si="128"/>
        <v>12.181975984916908</v>
      </c>
      <c r="CV143" s="70">
        <f t="shared" si="129"/>
        <v>13.581903192768966</v>
      </c>
      <c r="CW143" s="69">
        <f t="shared" si="130"/>
        <v>1.4773521499853974</v>
      </c>
      <c r="CX143" s="69">
        <f t="shared" si="131"/>
        <v>24.753877193015466</v>
      </c>
      <c r="CY143" s="70">
        <f t="shared" si="132"/>
        <v>26.231229343000862</v>
      </c>
      <c r="CZ143" s="69">
        <f t="shared" si="133"/>
        <v>2.5185279620993901</v>
      </c>
      <c r="DA143" s="69">
        <f t="shared" si="134"/>
        <v>21.915887468685277</v>
      </c>
      <c r="DB143" s="70">
        <f t="shared" si="135"/>
        <v>24.434415430784668</v>
      </c>
    </row>
    <row r="144" spans="23:106">
      <c r="W144" t="s">
        <v>297</v>
      </c>
      <c r="X144">
        <v>675921</v>
      </c>
      <c r="Y144">
        <v>436103</v>
      </c>
      <c r="Z144" s="51">
        <v>36943.61</v>
      </c>
      <c r="AA144" s="32">
        <f t="shared" si="101"/>
        <v>16111219151.83</v>
      </c>
      <c r="AB144">
        <v>25560</v>
      </c>
      <c r="AC144" s="37">
        <f t="shared" si="102"/>
        <v>3.7815070104346517E-2</v>
      </c>
      <c r="AD144" s="50">
        <f>+'Revenue mile elasticities'!M173</f>
        <v>2323240</v>
      </c>
      <c r="AE144" s="3">
        <f t="shared" si="105"/>
        <v>23232.400000000001</v>
      </c>
      <c r="AF144" s="11">
        <f>+'Revenue mile elasticities'!P173</f>
        <v>1.7391390051846385E-3</v>
      </c>
      <c r="AG144" s="11">
        <f>+'Revenue mile elasticities'!Q173</f>
        <v>6.869133391737366E-3</v>
      </c>
      <c r="AH144" s="11">
        <f>+'Revenue mile elasticities'!R173</f>
        <v>4.771644923972293E-3</v>
      </c>
      <c r="AI144" s="11">
        <f>+'Revenue mile elasticities'!S173</f>
        <v>8.1345000691626698E-3</v>
      </c>
      <c r="AJ144" s="32">
        <f t="shared" si="106"/>
        <v>280196.49648025323</v>
      </c>
      <c r="AK144" s="33">
        <f t="shared" si="107"/>
        <v>1.7391390051846385E-5</v>
      </c>
      <c r="AL144" s="40">
        <f t="shared" si="108"/>
        <v>1106701.1345743402</v>
      </c>
      <c r="AM144" s="33">
        <f t="shared" si="109"/>
        <v>6.8691333917373661E-5</v>
      </c>
      <c r="AN144" s="40">
        <f t="shared" si="110"/>
        <v>1219632.4425673182</v>
      </c>
      <c r="AO144" s="41">
        <f t="shared" si="111"/>
        <v>4.7716449239722931E-5</v>
      </c>
      <c r="AP144" s="40">
        <f t="shared" si="112"/>
        <v>2079178.217677979</v>
      </c>
      <c r="AQ144" s="41">
        <f t="shared" si="113"/>
        <v>8.134500069162673E-5</v>
      </c>
      <c r="AR144" s="53"/>
      <c r="AS144" s="53"/>
      <c r="BH144" t="s">
        <v>297</v>
      </c>
      <c r="BI144">
        <v>675921</v>
      </c>
      <c r="BJ144">
        <v>436103</v>
      </c>
      <c r="BK144" s="51">
        <v>36943.61</v>
      </c>
      <c r="BL144" s="32">
        <f t="shared" si="103"/>
        <v>16111219151.83</v>
      </c>
      <c r="BM144">
        <v>25560</v>
      </c>
      <c r="BN144" s="37">
        <f t="shared" si="104"/>
        <v>3.7815070104346517E-2</v>
      </c>
      <c r="BO144" s="50">
        <f t="shared" si="114"/>
        <v>2323240</v>
      </c>
      <c r="BP144" s="3">
        <f t="shared" si="115"/>
        <v>23232.400000000001</v>
      </c>
      <c r="BQ144" s="11">
        <f>+'Rev mile pop elasticities'!P174</f>
        <v>1.2053456686210369E-2</v>
      </c>
      <c r="BR144" s="11">
        <f>+'Rev mile pop elasticities'!Q174</f>
        <v>2.4724774960387382E-2</v>
      </c>
      <c r="BS144" s="11">
        <f>+'Rev mile pop elasticities'!R174</f>
        <v>3.3070855889963467E-2</v>
      </c>
      <c r="BT144" s="11">
        <f>+'Rev mile pop elasticities'!S174</f>
        <v>2.9279338768879795E-2</v>
      </c>
      <c r="BU144" s="32">
        <f t="shared" si="116"/>
        <v>1941958.8220862586</v>
      </c>
      <c r="BV144" s="33">
        <f t="shared" si="117"/>
        <v>1.2053456686210368E-4</v>
      </c>
      <c r="BW144" s="40">
        <f t="shared" si="118"/>
        <v>3983462.6786648002</v>
      </c>
      <c r="BX144" s="33">
        <f t="shared" si="119"/>
        <v>2.4724774960387385E-4</v>
      </c>
      <c r="BY144" s="40">
        <f t="shared" si="120"/>
        <v>8452910.7654746622</v>
      </c>
      <c r="BZ144" s="41">
        <f t="shared" si="121"/>
        <v>3.3070855889963467E-4</v>
      </c>
      <c r="CA144" s="40">
        <f t="shared" si="122"/>
        <v>7483798.989325678</v>
      </c>
      <c r="CB144" s="41">
        <f t="shared" si="123"/>
        <v>2.9279338768879802E-4</v>
      </c>
      <c r="CQ144" s="70">
        <f t="shared" si="124"/>
        <v>0.64250073143329267</v>
      </c>
      <c r="CR144" s="70">
        <f t="shared" si="125"/>
        <v>4.4529820296724827</v>
      </c>
      <c r="CS144" s="70">
        <f t="shared" si="126"/>
        <v>5.0954827611057754</v>
      </c>
      <c r="CT144" s="70">
        <f t="shared" si="127"/>
        <v>2.5377058506232246</v>
      </c>
      <c r="CU144" s="70">
        <f t="shared" si="128"/>
        <v>9.1342244347431691</v>
      </c>
      <c r="CV144" s="70">
        <f t="shared" si="129"/>
        <v>11.671930285366393</v>
      </c>
      <c r="CW144" s="69">
        <f t="shared" si="130"/>
        <v>2.7966614367874523</v>
      </c>
      <c r="CX144" s="69">
        <f t="shared" si="131"/>
        <v>19.3828310410033</v>
      </c>
      <c r="CY144" s="70">
        <f t="shared" si="132"/>
        <v>22.179492477790753</v>
      </c>
      <c r="CZ144" s="69">
        <f t="shared" si="133"/>
        <v>4.7676310818269512</v>
      </c>
      <c r="DA144" s="69">
        <f t="shared" si="134"/>
        <v>17.16062258073363</v>
      </c>
      <c r="DB144" s="70">
        <f t="shared" si="135"/>
        <v>21.928253662560582</v>
      </c>
    </row>
    <row r="145" spans="23:106">
      <c r="W145" t="s">
        <v>439</v>
      </c>
      <c r="X145">
        <v>124362</v>
      </c>
      <c r="Y145">
        <v>71973</v>
      </c>
      <c r="Z145" s="51">
        <v>28090.81</v>
      </c>
      <c r="AA145" s="32">
        <f t="shared" si="101"/>
        <v>2021779868.1300001</v>
      </c>
      <c r="AB145">
        <v>2474</v>
      </c>
      <c r="AC145" s="37">
        <f t="shared" si="102"/>
        <v>1.989353661086184E-2</v>
      </c>
      <c r="AD145" s="50">
        <f>+'Revenue mile elasticities'!M174</f>
        <v>867284</v>
      </c>
      <c r="AE145" s="3">
        <f t="shared" si="105"/>
        <v>8672.84</v>
      </c>
      <c r="AF145" s="11">
        <f>+'Revenue mile elasticities'!P174</f>
        <v>5.9614638118210452E-4</v>
      </c>
      <c r="AG145" s="11">
        <f>+'Revenue mile elasticities'!Q174</f>
        <v>2.3546185791552834E-3</v>
      </c>
      <c r="AH145" s="11">
        <f>+'Revenue mile elasticities'!R174</f>
        <v>1.635636280499637E-3</v>
      </c>
      <c r="AI145" s="11">
        <f>+'Revenue mile elasticities'!S174</f>
        <v>2.788364106894415E-3</v>
      </c>
      <c r="AJ145" s="32">
        <f t="shared" si="106"/>
        <v>12052.767519325322</v>
      </c>
      <c r="AK145" s="33">
        <f t="shared" si="107"/>
        <v>5.9614638118210457E-6</v>
      </c>
      <c r="AL145" s="40">
        <f t="shared" si="108"/>
        <v>47605.204404610173</v>
      </c>
      <c r="AM145" s="33">
        <f t="shared" si="109"/>
        <v>2.3546185791552835E-5</v>
      </c>
      <c r="AN145" s="40">
        <f t="shared" si="110"/>
        <v>40465.641579561023</v>
      </c>
      <c r="AO145" s="41">
        <f t="shared" si="111"/>
        <v>1.6356362804996373E-5</v>
      </c>
      <c r="AP145" s="40">
        <f t="shared" si="112"/>
        <v>68984.128004567843</v>
      </c>
      <c r="AQ145" s="41">
        <f t="shared" si="113"/>
        <v>2.7883641068944159E-5</v>
      </c>
      <c r="AR145" s="53"/>
      <c r="AS145" s="53"/>
      <c r="BH145" t="s">
        <v>439</v>
      </c>
      <c r="BI145">
        <v>124362</v>
      </c>
      <c r="BJ145">
        <v>71973</v>
      </c>
      <c r="BK145" s="51">
        <v>28090.81</v>
      </c>
      <c r="BL145" s="32">
        <f t="shared" si="103"/>
        <v>2021779868.1300001</v>
      </c>
      <c r="BM145">
        <v>2474</v>
      </c>
      <c r="BN145" s="37">
        <f t="shared" si="104"/>
        <v>1.989353661086184E-2</v>
      </c>
      <c r="BO145" s="50">
        <f t="shared" si="114"/>
        <v>867284</v>
      </c>
      <c r="BP145" s="3">
        <f t="shared" si="115"/>
        <v>8672.84</v>
      </c>
      <c r="BQ145" s="11">
        <f>+'Rev mile pop elasticities'!P175</f>
        <v>2.4456094923529695E-2</v>
      </c>
      <c r="BR145" s="11">
        <f>+'Rev mile pop elasticities'!Q175</f>
        <v>5.0165812109808472E-2</v>
      </c>
      <c r="BS145" s="11">
        <f>+'Rev mile pop elasticities'!R175</f>
        <v>6.7099755024846816E-2</v>
      </c>
      <c r="BT145" s="11">
        <f>+'Rev mile pop elasticities'!S175</f>
        <v>5.94068827616153E-2</v>
      </c>
      <c r="BU145" s="32">
        <f t="shared" si="116"/>
        <v>494448.40369468636</v>
      </c>
      <c r="BV145" s="33">
        <f t="shared" si="117"/>
        <v>2.4456094923529698E-4</v>
      </c>
      <c r="BW145" s="40">
        <f t="shared" si="118"/>
        <v>1014242.2899200295</v>
      </c>
      <c r="BX145" s="33">
        <f t="shared" si="119"/>
        <v>5.0165812109808478E-4</v>
      </c>
      <c r="BY145" s="40">
        <f t="shared" si="120"/>
        <v>1660047.9393147102</v>
      </c>
      <c r="BZ145" s="41">
        <f t="shared" si="121"/>
        <v>6.7099755024846821E-4</v>
      </c>
      <c r="CA145" s="40">
        <f t="shared" si="122"/>
        <v>1469726.2795223624</v>
      </c>
      <c r="CB145" s="41">
        <f t="shared" si="123"/>
        <v>5.9406882761615291E-4</v>
      </c>
      <c r="CQ145" s="70">
        <f t="shared" si="124"/>
        <v>0.16746234725974077</v>
      </c>
      <c r="CR145" s="70">
        <f t="shared" si="125"/>
        <v>6.8699151583883733</v>
      </c>
      <c r="CS145" s="70">
        <f t="shared" si="126"/>
        <v>7.0373775056481138</v>
      </c>
      <c r="CT145" s="70">
        <f t="shared" si="127"/>
        <v>0.66143143129521031</v>
      </c>
      <c r="CU145" s="70">
        <f t="shared" si="128"/>
        <v>14.091982964723291</v>
      </c>
      <c r="CV145" s="70">
        <f t="shared" si="129"/>
        <v>14.753414396018501</v>
      </c>
      <c r="CW145" s="69">
        <f t="shared" si="130"/>
        <v>0.5622336373301241</v>
      </c>
      <c r="CX145" s="69">
        <f t="shared" si="131"/>
        <v>23.064870705885681</v>
      </c>
      <c r="CY145" s="70">
        <f t="shared" si="132"/>
        <v>23.627104343215805</v>
      </c>
      <c r="CZ145" s="69">
        <f t="shared" si="133"/>
        <v>0.9584723160708577</v>
      </c>
      <c r="DA145" s="69">
        <f t="shared" si="134"/>
        <v>20.420522689374661</v>
      </c>
      <c r="DB145" s="70">
        <f t="shared" si="135"/>
        <v>21.378995005445518</v>
      </c>
    </row>
    <row r="146" spans="23:106">
      <c r="W146" t="s">
        <v>440</v>
      </c>
      <c r="X146">
        <v>101537</v>
      </c>
      <c r="Y146">
        <v>48337</v>
      </c>
      <c r="Z146" s="51">
        <v>37439.56</v>
      </c>
      <c r="AA146" s="32">
        <f t="shared" si="101"/>
        <v>1809716011.7199998</v>
      </c>
      <c r="AB146">
        <v>2519</v>
      </c>
      <c r="AC146" s="37">
        <f t="shared" si="102"/>
        <v>2.4808690428119798E-2</v>
      </c>
      <c r="AD146" s="50">
        <f>+'Revenue mile elasticities'!M175</f>
        <v>214747</v>
      </c>
      <c r="AE146" s="3">
        <f t="shared" si="105"/>
        <v>2147.4700000000003</v>
      </c>
      <c r="AF146" s="11">
        <f>+'Revenue mile elasticities'!P175</f>
        <v>1.7818148908593266E-4</v>
      </c>
      <c r="AG146" s="11">
        <f>+'Revenue mile elasticities'!Q175</f>
        <v>7.0376917130883629E-4</v>
      </c>
      <c r="AH146" s="11">
        <f>+'Revenue mile elasticities'!R175</f>
        <v>4.8887339965815457E-4</v>
      </c>
      <c r="AI146" s="11">
        <f>+'Revenue mile elasticities'!S175</f>
        <v>8.3341086076046402E-4</v>
      </c>
      <c r="AJ146" s="32">
        <f t="shared" si="106"/>
        <v>3224.5789379092475</v>
      </c>
      <c r="AK146" s="33">
        <f t="shared" si="107"/>
        <v>1.7818148908593268E-6</v>
      </c>
      <c r="AL146" s="40">
        <f t="shared" si="108"/>
        <v>12736.223378725166</v>
      </c>
      <c r="AM146" s="33">
        <f t="shared" si="109"/>
        <v>7.0376917130883636E-6</v>
      </c>
      <c r="AN146" s="40">
        <f t="shared" si="110"/>
        <v>12314.720937388915</v>
      </c>
      <c r="AO146" s="41">
        <f t="shared" si="111"/>
        <v>4.8887339965815461E-6</v>
      </c>
      <c r="AP146" s="40">
        <f t="shared" si="112"/>
        <v>20993.61958255609</v>
      </c>
      <c r="AQ146" s="41">
        <f t="shared" si="113"/>
        <v>8.3341086076046417E-6</v>
      </c>
      <c r="AR146" s="53"/>
      <c r="AS146" s="53"/>
      <c r="BH146" t="s">
        <v>440</v>
      </c>
      <c r="BI146">
        <v>101537</v>
      </c>
      <c r="BJ146">
        <v>48337</v>
      </c>
      <c r="BK146" s="51">
        <v>37439.56</v>
      </c>
      <c r="BL146" s="32">
        <f t="shared" si="103"/>
        <v>1809716011.7199998</v>
      </c>
      <c r="BM146">
        <v>2519</v>
      </c>
      <c r="BN146" s="37">
        <f t="shared" si="104"/>
        <v>2.4808690428119798E-2</v>
      </c>
      <c r="BO146" s="50">
        <f t="shared" si="114"/>
        <v>214747</v>
      </c>
      <c r="BP146" s="3">
        <f t="shared" si="115"/>
        <v>2147.4700000000003</v>
      </c>
      <c r="BQ146" s="11">
        <f>+'Rev mile pop elasticities'!P176</f>
        <v>7.4167946122103276E-3</v>
      </c>
      <c r="BR146" s="11">
        <f>+'Rev mile pop elasticities'!Q176</f>
        <v>1.5213774976609515E-2</v>
      </c>
      <c r="BS146" s="11">
        <f>+'Rev mile pop elasticities'!R176</f>
        <v>2.0349328177905593E-2</v>
      </c>
      <c r="BT146" s="11">
        <f>+'Rev mile pop elasticities'!S176</f>
        <v>1.8016312472300743E-2</v>
      </c>
      <c r="BU146" s="32">
        <f t="shared" si="116"/>
        <v>134222.91965355657</v>
      </c>
      <c r="BV146" s="33">
        <f t="shared" si="117"/>
        <v>7.416794612210328E-5</v>
      </c>
      <c r="BW146" s="40">
        <f t="shared" si="118"/>
        <v>275326.12173875305</v>
      </c>
      <c r="BX146" s="33">
        <f t="shared" si="119"/>
        <v>1.5213774976609515E-4</v>
      </c>
      <c r="BY146" s="40">
        <f t="shared" si="120"/>
        <v>512599.57680144196</v>
      </c>
      <c r="BZ146" s="41">
        <f t="shared" si="121"/>
        <v>2.0349328177905596E-4</v>
      </c>
      <c r="CA146" s="40">
        <f t="shared" si="122"/>
        <v>453830.91117725574</v>
      </c>
      <c r="CB146" s="41">
        <f t="shared" si="123"/>
        <v>1.8016312472300742E-4</v>
      </c>
      <c r="CQ146" s="70">
        <f t="shared" si="124"/>
        <v>6.6710365515221207E-2</v>
      </c>
      <c r="CR146" s="70">
        <f t="shared" si="125"/>
        <v>2.7768152689152528</v>
      </c>
      <c r="CS146" s="70">
        <f t="shared" si="126"/>
        <v>2.843525634430474</v>
      </c>
      <c r="CT146" s="70">
        <f t="shared" si="127"/>
        <v>0.26348808115367456</v>
      </c>
      <c r="CU146" s="70">
        <f t="shared" si="128"/>
        <v>5.6959704106327047</v>
      </c>
      <c r="CV146" s="70">
        <f t="shared" si="129"/>
        <v>5.9594584917863793</v>
      </c>
      <c r="CW146" s="69">
        <f t="shared" si="130"/>
        <v>0.25476800251130427</v>
      </c>
      <c r="CX146" s="69">
        <f t="shared" si="131"/>
        <v>10.604703990761569</v>
      </c>
      <c r="CY146" s="70">
        <f t="shared" si="132"/>
        <v>10.859471993272873</v>
      </c>
      <c r="CZ146" s="69">
        <f t="shared" si="133"/>
        <v>0.43431780173689077</v>
      </c>
      <c r="DA146" s="69">
        <f t="shared" si="134"/>
        <v>9.3888927980068217</v>
      </c>
      <c r="DB146" s="70">
        <f t="shared" si="135"/>
        <v>9.823210599743712</v>
      </c>
    </row>
    <row r="147" spans="23:106">
      <c r="W147" t="s">
        <v>299</v>
      </c>
      <c r="X147">
        <v>12768395</v>
      </c>
      <c r="Y147">
        <v>7823094</v>
      </c>
      <c r="Z147" s="51">
        <v>47279</v>
      </c>
      <c r="AA147" s="32">
        <f t="shared" si="101"/>
        <v>369868061226</v>
      </c>
      <c r="AB147">
        <v>655355</v>
      </c>
      <c r="AC147" s="37">
        <f t="shared" si="102"/>
        <v>5.1326341329509306E-2</v>
      </c>
      <c r="AD147" s="50">
        <f>+'Revenue mile elasticities'!M176</f>
        <v>221000000</v>
      </c>
      <c r="AE147" s="3">
        <f t="shared" si="105"/>
        <v>2210000</v>
      </c>
      <c r="AF147" s="11">
        <f>+'Revenue mile elasticities'!P176</f>
        <v>7.2321585244518399E-2</v>
      </c>
      <c r="AG147" s="11">
        <f>+'Revenue mile elasticities'!Q176</f>
        <v>0.28565089660199966</v>
      </c>
      <c r="AH147" s="11">
        <f>+'Revenue mile elasticities'!R176</f>
        <v>0.19842745410048371</v>
      </c>
      <c r="AI147" s="11">
        <f>+'Revenue mile elasticities'!S176</f>
        <v>0.33827079860763115</v>
      </c>
      <c r="AJ147" s="32">
        <f t="shared" si="106"/>
        <v>267494445.19180912</v>
      </c>
      <c r="AK147" s="33">
        <f t="shared" si="107"/>
        <v>7.2321585244518403E-4</v>
      </c>
      <c r="AL147" s="40">
        <f t="shared" si="108"/>
        <v>1056531433.1365021</v>
      </c>
      <c r="AM147" s="33">
        <f t="shared" si="109"/>
        <v>2.8565089660199969E-3</v>
      </c>
      <c r="AN147" s="40">
        <f t="shared" si="110"/>
        <v>1300404241.820225</v>
      </c>
      <c r="AO147" s="41">
        <f t="shared" si="111"/>
        <v>1.9842745410048371E-3</v>
      </c>
      <c r="AP147" s="40">
        <f t="shared" si="112"/>
        <v>2216874592.2150412</v>
      </c>
      <c r="AQ147" s="41">
        <f t="shared" si="113"/>
        <v>3.3827079860763113E-3</v>
      </c>
      <c r="AR147" s="53"/>
      <c r="AS147" s="53"/>
      <c r="BH147" t="s">
        <v>299</v>
      </c>
      <c r="BI147">
        <v>12768395</v>
      </c>
      <c r="BJ147">
        <v>7823094</v>
      </c>
      <c r="BK147" s="51">
        <v>47279</v>
      </c>
      <c r="BL147" s="32">
        <f t="shared" si="103"/>
        <v>369868061226</v>
      </c>
      <c r="BM147">
        <v>655355</v>
      </c>
      <c r="BN147" s="37">
        <f t="shared" si="104"/>
        <v>5.1326341329509306E-2</v>
      </c>
      <c r="BO147" s="50">
        <f t="shared" si="114"/>
        <v>221000000</v>
      </c>
      <c r="BP147" s="3">
        <f t="shared" si="115"/>
        <v>2210000</v>
      </c>
      <c r="BQ147" s="11">
        <f>+'Rev mile pop elasticities'!P177</f>
        <v>6.0697309254608728E-2</v>
      </c>
      <c r="BR147" s="11">
        <f>+'Rev mile pop elasticities'!Q177</f>
        <v>0.12450596962265031</v>
      </c>
      <c r="BS147" s="11">
        <f>+'Rev mile pop elasticities'!R177</f>
        <v>0.16653413369495537</v>
      </c>
      <c r="BT147" s="11">
        <f>+'Rev mile pop elasticities'!S177</f>
        <v>0.14744127981629643</v>
      </c>
      <c r="BU147" s="32">
        <f t="shared" si="116"/>
        <v>224499960.9563708</v>
      </c>
      <c r="BV147" s="33">
        <f t="shared" si="117"/>
        <v>6.0697309254608735E-4</v>
      </c>
      <c r="BW147" s="40">
        <f t="shared" si="118"/>
        <v>460507815.95392925</v>
      </c>
      <c r="BX147" s="33">
        <f t="shared" si="119"/>
        <v>1.2450596962265033E-3</v>
      </c>
      <c r="BY147" s="40">
        <f t="shared" si="120"/>
        <v>1091389771.8765748</v>
      </c>
      <c r="BZ147" s="41">
        <f t="shared" si="121"/>
        <v>1.6653413369495536E-3</v>
      </c>
      <c r="CA147" s="40">
        <f t="shared" si="122"/>
        <v>966263799.34008944</v>
      </c>
      <c r="CB147" s="41">
        <f t="shared" si="123"/>
        <v>1.4744127981629641E-3</v>
      </c>
      <c r="CQ147" s="70">
        <f t="shared" si="124"/>
        <v>34.192922287755856</v>
      </c>
      <c r="CR147" s="70">
        <f t="shared" si="125"/>
        <v>28.697080842486464</v>
      </c>
      <c r="CS147" s="70">
        <f t="shared" si="126"/>
        <v>62.89000313024232</v>
      </c>
      <c r="CT147" s="70">
        <f t="shared" si="127"/>
        <v>135.05288740445943</v>
      </c>
      <c r="CU147" s="70">
        <f t="shared" si="128"/>
        <v>58.865177377892842</v>
      </c>
      <c r="CV147" s="70">
        <f t="shared" si="129"/>
        <v>193.91806478235227</v>
      </c>
      <c r="CW147" s="69">
        <f t="shared" si="130"/>
        <v>166.22633472386053</v>
      </c>
      <c r="CX147" s="69">
        <f t="shared" si="131"/>
        <v>139.50871252174329</v>
      </c>
      <c r="CY147" s="70">
        <f t="shared" si="132"/>
        <v>305.73504724560382</v>
      </c>
      <c r="CZ147" s="69">
        <f t="shared" si="133"/>
        <v>283.37568131164488</v>
      </c>
      <c r="DA147" s="69">
        <f t="shared" si="134"/>
        <v>123.51427700345789</v>
      </c>
      <c r="DB147" s="70">
        <f t="shared" si="135"/>
        <v>406.88995831510277</v>
      </c>
    </row>
    <row r="148" spans="23:106">
      <c r="W148" t="s">
        <v>441</v>
      </c>
      <c r="X148">
        <v>1249739</v>
      </c>
      <c r="Y148">
        <v>780659</v>
      </c>
      <c r="Z148" s="51">
        <v>36665.47</v>
      </c>
      <c r="AA148" s="32">
        <f t="shared" si="101"/>
        <v>28623229144.73</v>
      </c>
      <c r="AB148">
        <v>50792</v>
      </c>
      <c r="AC148" s="37">
        <f t="shared" si="102"/>
        <v>4.0642086067570908E-2</v>
      </c>
      <c r="AD148" s="50">
        <f>+'Revenue mile elasticities'!M177</f>
        <v>7764463</v>
      </c>
      <c r="AE148" s="3">
        <f t="shared" si="105"/>
        <v>77644.63</v>
      </c>
      <c r="AF148" s="11">
        <f>+'Revenue mile elasticities'!P177</f>
        <v>6.9189362468230443E-3</v>
      </c>
      <c r="AG148" s="11">
        <f>+'Revenue mile elasticities'!Q177</f>
        <v>2.7327945533202728E-2</v>
      </c>
      <c r="AH148" s="11">
        <f>+'Revenue mile elasticities'!R177</f>
        <v>1.8983362987673332E-2</v>
      </c>
      <c r="AI148" s="11">
        <f>+'Revenue mile elasticities'!S177</f>
        <v>3.2362040763003232E-2</v>
      </c>
      <c r="AJ148" s="32">
        <f t="shared" si="106"/>
        <v>1980422.9763059418</v>
      </c>
      <c r="AK148" s="33">
        <f t="shared" si="107"/>
        <v>6.9189362468230457E-5</v>
      </c>
      <c r="AL148" s="40">
        <f t="shared" si="108"/>
        <v>7822140.4705156237</v>
      </c>
      <c r="AM148" s="33">
        <f t="shared" si="109"/>
        <v>2.7327945533202732E-4</v>
      </c>
      <c r="AN148" s="40">
        <f t="shared" si="110"/>
        <v>9642029.7286990378</v>
      </c>
      <c r="AO148" s="41">
        <f t="shared" si="111"/>
        <v>1.898336298767333E-4</v>
      </c>
      <c r="AP148" s="40">
        <f t="shared" si="112"/>
        <v>16437327.744344603</v>
      </c>
      <c r="AQ148" s="41">
        <f t="shared" si="113"/>
        <v>3.2362040763003232E-4</v>
      </c>
      <c r="AR148" s="53"/>
      <c r="AS148" s="53"/>
      <c r="BH148" t="s">
        <v>441</v>
      </c>
      <c r="BI148">
        <v>1249739</v>
      </c>
      <c r="BJ148">
        <v>780659</v>
      </c>
      <c r="BK148" s="51">
        <v>36665.47</v>
      </c>
      <c r="BL148" s="32">
        <f t="shared" si="103"/>
        <v>28623229144.73</v>
      </c>
      <c r="BM148">
        <v>50792</v>
      </c>
      <c r="BN148" s="37">
        <f t="shared" si="104"/>
        <v>4.0642086067570908E-2</v>
      </c>
      <c r="BO148" s="50">
        <f t="shared" si="114"/>
        <v>7764463</v>
      </c>
      <c r="BP148" s="3">
        <f t="shared" si="115"/>
        <v>77644.63</v>
      </c>
      <c r="BQ148" s="11">
        <f>+'Rev mile pop elasticities'!P178</f>
        <v>2.1787408521027188E-2</v>
      </c>
      <c r="BR148" s="11">
        <f>+'Rev mile pop elasticities'!Q178</f>
        <v>4.4691642130236797E-2</v>
      </c>
      <c r="BS148" s="11">
        <f>+'Rev mile pop elasticities'!R178</f>
        <v>5.97777273501107E-2</v>
      </c>
      <c r="BT148" s="11">
        <f>+'Rev mile pop elasticities'!S178</f>
        <v>5.2924313048964632E-2</v>
      </c>
      <c r="BU148" s="32">
        <f t="shared" si="116"/>
        <v>6236259.8656720417</v>
      </c>
      <c r="BV148" s="33">
        <f t="shared" si="117"/>
        <v>2.178740852102719E-4</v>
      </c>
      <c r="BW148" s="40">
        <f t="shared" si="118"/>
        <v>12792191.13548037</v>
      </c>
      <c r="BX148" s="33">
        <f t="shared" si="119"/>
        <v>4.4691642130236799E-4</v>
      </c>
      <c r="BY148" s="40">
        <f t="shared" si="120"/>
        <v>30362303.27566823</v>
      </c>
      <c r="BZ148" s="41">
        <f t="shared" si="121"/>
        <v>5.9777727350110704E-4</v>
      </c>
      <c r="CA148" s="40">
        <f t="shared" si="122"/>
        <v>26881317.083830118</v>
      </c>
      <c r="CB148" s="41">
        <f t="shared" si="123"/>
        <v>5.2924313048964631E-4</v>
      </c>
      <c r="CQ148" s="70">
        <f t="shared" si="124"/>
        <v>2.5368604938980295</v>
      </c>
      <c r="CR148" s="70">
        <f t="shared" si="125"/>
        <v>7.9884557350546679</v>
      </c>
      <c r="CS148" s="70">
        <f t="shared" si="126"/>
        <v>10.525316228952697</v>
      </c>
      <c r="CT148" s="70">
        <f t="shared" si="127"/>
        <v>10.019919671092786</v>
      </c>
      <c r="CU148" s="70">
        <f t="shared" si="128"/>
        <v>16.386400637769334</v>
      </c>
      <c r="CV148" s="70">
        <f t="shared" si="129"/>
        <v>26.406320308862121</v>
      </c>
      <c r="CW148" s="69">
        <f t="shared" si="130"/>
        <v>12.351141444214488</v>
      </c>
      <c r="CX148" s="69">
        <f t="shared" si="131"/>
        <v>38.893170098171197</v>
      </c>
      <c r="CY148" s="70">
        <f t="shared" si="132"/>
        <v>51.244311542385688</v>
      </c>
      <c r="CZ148" s="69">
        <f t="shared" si="133"/>
        <v>21.055707734548122</v>
      </c>
      <c r="DA148" s="69">
        <f t="shared" si="134"/>
        <v>34.434134601445855</v>
      </c>
      <c r="DB148" s="70">
        <f t="shared" si="135"/>
        <v>55.489842335993977</v>
      </c>
    </row>
    <row r="149" spans="23:106">
      <c r="W149" t="s">
        <v>442</v>
      </c>
      <c r="X149">
        <v>271582</v>
      </c>
      <c r="Y149">
        <v>170988</v>
      </c>
      <c r="Z149" s="51">
        <v>29547.81</v>
      </c>
      <c r="AA149" s="32">
        <f t="shared" si="101"/>
        <v>5052320936.2800007</v>
      </c>
      <c r="AB149">
        <v>7693</v>
      </c>
      <c r="AC149" s="37">
        <f t="shared" si="102"/>
        <v>2.8326619584508547E-2</v>
      </c>
      <c r="AD149" s="50">
        <f>+'Revenue mile elasticities'!M178</f>
        <v>1573797</v>
      </c>
      <c r="AE149" s="3">
        <f t="shared" si="105"/>
        <v>15737.970000000001</v>
      </c>
      <c r="AF149" s="11">
        <f>+'Revenue mile elasticities'!P178</f>
        <v>1.2544633493283002E-3</v>
      </c>
      <c r="AG149" s="11">
        <f>+'Revenue mile elasticities'!Q178</f>
        <v>4.9547943297763462E-3</v>
      </c>
      <c r="AH149" s="11">
        <f>+'Revenue mile elasticities'!R178</f>
        <v>3.4418489006841448E-3</v>
      </c>
      <c r="AI149" s="11">
        <f>+'Revenue mile elasticities'!S178</f>
        <v>5.8675196010509363E-3</v>
      </c>
      <c r="AJ149" s="32">
        <f t="shared" si="106"/>
        <v>63379.514436073034</v>
      </c>
      <c r="AK149" s="33">
        <f t="shared" si="107"/>
        <v>1.2544633493283002E-5</v>
      </c>
      <c r="AL149" s="40">
        <f t="shared" si="108"/>
        <v>250332.1112729047</v>
      </c>
      <c r="AM149" s="33">
        <f t="shared" si="109"/>
        <v>4.9547943297763467E-5</v>
      </c>
      <c r="AN149" s="40">
        <f t="shared" si="110"/>
        <v>264781.43592963129</v>
      </c>
      <c r="AO149" s="41">
        <f t="shared" si="111"/>
        <v>3.4418489006841457E-5</v>
      </c>
      <c r="AP149" s="40">
        <f t="shared" si="112"/>
        <v>451388.2829088486</v>
      </c>
      <c r="AQ149" s="41">
        <f t="shared" si="113"/>
        <v>5.8675196010509374E-5</v>
      </c>
      <c r="AR149" s="53"/>
      <c r="AS149" s="53"/>
      <c r="BH149" t="s">
        <v>442</v>
      </c>
      <c r="BI149">
        <v>271582</v>
      </c>
      <c r="BJ149">
        <v>170988</v>
      </c>
      <c r="BK149" s="51">
        <v>29547.81</v>
      </c>
      <c r="BL149" s="32">
        <f t="shared" si="103"/>
        <v>5052320936.2800007</v>
      </c>
      <c r="BM149">
        <v>7693</v>
      </c>
      <c r="BN149" s="37">
        <f t="shared" si="104"/>
        <v>2.8326619584508547E-2</v>
      </c>
      <c r="BO149" s="50">
        <f t="shared" si="114"/>
        <v>1573797</v>
      </c>
      <c r="BP149" s="3">
        <f t="shared" si="115"/>
        <v>15737.970000000001</v>
      </c>
      <c r="BQ149" s="11">
        <f>+'Rev mile pop elasticities'!P179</f>
        <v>2.0321754739047505E-2</v>
      </c>
      <c r="BR149" s="11">
        <f>+'Rev mile pop elasticities'!Q179</f>
        <v>4.1685204983393599E-2</v>
      </c>
      <c r="BS149" s="11">
        <f>+'Rev mile pop elasticities'!R179</f>
        <v>5.5756438995220592E-2</v>
      </c>
      <c r="BT149" s="11">
        <f>+'Rev mile pop elasticities'!S179</f>
        <v>4.9364058532966104E-2</v>
      </c>
      <c r="BU149" s="32">
        <f t="shared" si="116"/>
        <v>1026720.2693003704</v>
      </c>
      <c r="BV149" s="33">
        <f t="shared" si="117"/>
        <v>2.0321754739047507E-4</v>
      </c>
      <c r="BW149" s="40">
        <f t="shared" si="118"/>
        <v>2106070.3387072291</v>
      </c>
      <c r="BX149" s="33">
        <f t="shared" si="119"/>
        <v>4.1685204983393602E-4</v>
      </c>
      <c r="BY149" s="40">
        <f t="shared" si="120"/>
        <v>4289342.85190232</v>
      </c>
      <c r="BZ149" s="41">
        <f t="shared" si="121"/>
        <v>5.5756438995220592E-4</v>
      </c>
      <c r="CA149" s="40">
        <f t="shared" si="122"/>
        <v>3797577.0229410823</v>
      </c>
      <c r="CB149" s="41">
        <f t="shared" si="123"/>
        <v>4.9364058532966098E-4</v>
      </c>
      <c r="CQ149" s="70">
        <f t="shared" si="124"/>
        <v>0.37066644697916246</v>
      </c>
      <c r="CR149" s="70">
        <f t="shared" si="125"/>
        <v>6.0046334789597537</v>
      </c>
      <c r="CS149" s="70">
        <f t="shared" si="126"/>
        <v>6.3752999259389158</v>
      </c>
      <c r="CT149" s="70">
        <f t="shared" si="127"/>
        <v>1.4640332144530885</v>
      </c>
      <c r="CU149" s="70">
        <f t="shared" si="128"/>
        <v>12.317065166603674</v>
      </c>
      <c r="CV149" s="70">
        <f t="shared" si="129"/>
        <v>13.781098381056763</v>
      </c>
      <c r="CW149" s="69">
        <f t="shared" si="130"/>
        <v>1.5485381192225847</v>
      </c>
      <c r="CX149" s="69">
        <f t="shared" si="131"/>
        <v>25.085636722473623</v>
      </c>
      <c r="CY149" s="70">
        <f t="shared" si="132"/>
        <v>26.634174841696208</v>
      </c>
      <c r="CZ149" s="69">
        <f t="shared" si="133"/>
        <v>2.6398828158049019</v>
      </c>
      <c r="DA149" s="69">
        <f t="shared" si="134"/>
        <v>22.209611334953809</v>
      </c>
      <c r="DB149" s="70">
        <f t="shared" si="135"/>
        <v>24.849494150758712</v>
      </c>
    </row>
    <row r="150" spans="23:106">
      <c r="W150" t="s">
        <v>443</v>
      </c>
      <c r="X150">
        <v>245579</v>
      </c>
      <c r="Y150">
        <v>142156</v>
      </c>
      <c r="Z150" s="51">
        <v>34554.089999999997</v>
      </c>
      <c r="AA150" s="32">
        <f t="shared" si="101"/>
        <v>4912071218.04</v>
      </c>
      <c r="AB150">
        <v>7537</v>
      </c>
      <c r="AC150" s="37">
        <f t="shared" si="102"/>
        <v>3.0690734956979219E-2</v>
      </c>
      <c r="AD150" s="50">
        <f>+'Revenue mile elasticities'!M179</f>
        <v>1095454</v>
      </c>
      <c r="AE150" s="3">
        <f t="shared" si="105"/>
        <v>10954.54</v>
      </c>
      <c r="AF150" s="11">
        <f>+'Revenue mile elasticities'!P179</f>
        <v>1.2228235167683205E-3</v>
      </c>
      <c r="AG150" s="11">
        <f>+'Revenue mile elasticities'!Q179</f>
        <v>4.8298254631711935E-3</v>
      </c>
      <c r="AH150" s="11">
        <f>+'Revenue mile elasticities'!R179</f>
        <v>3.3550392517831176E-3</v>
      </c>
      <c r="AI150" s="11">
        <f>+'Revenue mile elasticities'!S179</f>
        <v>5.7195301537553613E-3</v>
      </c>
      <c r="AJ150" s="32">
        <f t="shared" si="106"/>
        <v>60065.962014601202</v>
      </c>
      <c r="AK150" s="33">
        <f t="shared" si="107"/>
        <v>1.2228235167683204E-5</v>
      </c>
      <c r="AL150" s="40">
        <f t="shared" si="108"/>
        <v>237244.46645799931</v>
      </c>
      <c r="AM150" s="33">
        <f t="shared" si="109"/>
        <v>4.8298254631711933E-5</v>
      </c>
      <c r="AN150" s="40">
        <f t="shared" si="110"/>
        <v>252869.30840689354</v>
      </c>
      <c r="AO150" s="41">
        <f t="shared" si="111"/>
        <v>3.3550392517831168E-5</v>
      </c>
      <c r="AP150" s="40">
        <f t="shared" si="112"/>
        <v>431080.98768854159</v>
      </c>
      <c r="AQ150" s="41">
        <f t="shared" si="113"/>
        <v>5.7195301537553611E-5</v>
      </c>
      <c r="AR150" s="53"/>
      <c r="AS150" s="53"/>
      <c r="BH150" t="s">
        <v>443</v>
      </c>
      <c r="BI150">
        <v>245579</v>
      </c>
      <c r="BJ150">
        <v>142156</v>
      </c>
      <c r="BK150" s="51">
        <v>34554.089999999997</v>
      </c>
      <c r="BL150" s="32">
        <f t="shared" si="103"/>
        <v>4912071218.04</v>
      </c>
      <c r="BM150">
        <v>7537</v>
      </c>
      <c r="BN150" s="37">
        <f t="shared" si="104"/>
        <v>3.0690734956979219E-2</v>
      </c>
      <c r="BO150" s="50">
        <f t="shared" si="114"/>
        <v>1095454</v>
      </c>
      <c r="BP150" s="3">
        <f t="shared" si="115"/>
        <v>10954.54</v>
      </c>
      <c r="BQ150" s="11">
        <f>+'Rev mile pop elasticities'!P180</f>
        <v>1.5642868471164063E-2</v>
      </c>
      <c r="BR150" s="11">
        <f>+'Rev mile pop elasticities'!Q180</f>
        <v>3.2087592194772356E-2</v>
      </c>
      <c r="BS150" s="11">
        <f>+'Rev mile pop elasticities'!R180</f>
        <v>4.2919061509331002E-2</v>
      </c>
      <c r="BT150" s="11">
        <f>+'Rev mile pop elasticities'!S180</f>
        <v>3.7998464441177791E-2</v>
      </c>
      <c r="BU150" s="32">
        <f t="shared" si="116"/>
        <v>768388.8398479037</v>
      </c>
      <c r="BV150" s="33">
        <f t="shared" si="117"/>
        <v>1.5642868471164062E-4</v>
      </c>
      <c r="BW150" s="40">
        <f t="shared" si="118"/>
        <v>1576165.3807614625</v>
      </c>
      <c r="BX150" s="33">
        <f t="shared" si="119"/>
        <v>3.2087592194772355E-4</v>
      </c>
      <c r="BY150" s="40">
        <f t="shared" si="120"/>
        <v>3234809.6659582774</v>
      </c>
      <c r="BZ150" s="41">
        <f t="shared" si="121"/>
        <v>4.2919061509330997E-4</v>
      </c>
      <c r="CA150" s="40">
        <f t="shared" si="122"/>
        <v>2863944.2649315703</v>
      </c>
      <c r="CB150" s="41">
        <f t="shared" si="123"/>
        <v>3.7998464441177794E-4</v>
      </c>
      <c r="CQ150" s="70">
        <f t="shared" si="124"/>
        <v>0.42253553852529052</v>
      </c>
      <c r="CR150" s="70">
        <f t="shared" si="125"/>
        <v>5.4052508501076542</v>
      </c>
      <c r="CS150" s="70">
        <f t="shared" si="126"/>
        <v>5.8277863886329451</v>
      </c>
      <c r="CT150" s="70">
        <f t="shared" si="127"/>
        <v>1.668902237387091</v>
      </c>
      <c r="CU150" s="70">
        <f t="shared" si="128"/>
        <v>11.087575485814616</v>
      </c>
      <c r="CV150" s="70">
        <f t="shared" si="129"/>
        <v>12.756477723201707</v>
      </c>
      <c r="CW150" s="69">
        <f t="shared" si="130"/>
        <v>1.7788155857430819</v>
      </c>
      <c r="CX150" s="69">
        <f t="shared" si="131"/>
        <v>22.755350924043146</v>
      </c>
      <c r="CY150" s="70">
        <f t="shared" si="132"/>
        <v>24.534166509786228</v>
      </c>
      <c r="CZ150" s="69">
        <f t="shared" si="133"/>
        <v>3.0324501792997944</v>
      </c>
      <c r="DA150" s="69">
        <f t="shared" si="134"/>
        <v>20.146488821657687</v>
      </c>
      <c r="DB150" s="70">
        <f t="shared" si="135"/>
        <v>23.178939000957481</v>
      </c>
    </row>
    <row r="151" spans="23:106">
      <c r="W151" t="s">
        <v>444</v>
      </c>
      <c r="X151">
        <v>230735</v>
      </c>
      <c r="Y151">
        <v>136624</v>
      </c>
      <c r="Z151" s="51">
        <v>34164.980000000003</v>
      </c>
      <c r="AA151" s="32">
        <f t="shared" si="101"/>
        <v>4667756227.5200005</v>
      </c>
      <c r="AB151">
        <v>6573</v>
      </c>
      <c r="AC151" s="37">
        <f t="shared" si="102"/>
        <v>2.8487225605131429E-2</v>
      </c>
      <c r="AD151" s="50">
        <f>+'Revenue mile elasticities'!M180</f>
        <v>1062284</v>
      </c>
      <c r="AE151" s="3">
        <f t="shared" si="105"/>
        <v>10622.84</v>
      </c>
      <c r="AF151" s="11">
        <f>+'Revenue mile elasticities'!P180</f>
        <v>1.1038666866031474E-3</v>
      </c>
      <c r="AG151" s="11">
        <f>+'Revenue mile elasticities'!Q180</f>
        <v>4.3599778363703282E-3</v>
      </c>
      <c r="AH151" s="11">
        <f>+'Revenue mile elasticities'!R180</f>
        <v>3.0286595011494296E-3</v>
      </c>
      <c r="AI151" s="11">
        <f>+'Revenue mile elasticities'!S180</f>
        <v>5.1631316483332834E-3</v>
      </c>
      <c r="AJ151" s="32">
        <f t="shared" si="106"/>
        <v>51525.806007437095</v>
      </c>
      <c r="AK151" s="33">
        <f t="shared" si="107"/>
        <v>1.1038666866031473E-5</v>
      </c>
      <c r="AL151" s="40">
        <f t="shared" si="108"/>
        <v>203513.13697566776</v>
      </c>
      <c r="AM151" s="33">
        <f t="shared" si="109"/>
        <v>4.3599778363703278E-5</v>
      </c>
      <c r="AN151" s="40">
        <f t="shared" si="110"/>
        <v>199073.78901055202</v>
      </c>
      <c r="AO151" s="41">
        <f t="shared" si="111"/>
        <v>3.02865950114943E-5</v>
      </c>
      <c r="AP151" s="40">
        <f t="shared" si="112"/>
        <v>339372.64324494672</v>
      </c>
      <c r="AQ151" s="41">
        <f t="shared" si="113"/>
        <v>5.1631316483332834E-5</v>
      </c>
      <c r="AR151" s="53"/>
      <c r="AS151" s="53"/>
      <c r="BH151" t="s">
        <v>444</v>
      </c>
      <c r="BI151">
        <v>230735</v>
      </c>
      <c r="BJ151">
        <v>136624</v>
      </c>
      <c r="BK151" s="51">
        <v>34164.980000000003</v>
      </c>
      <c r="BL151" s="32">
        <f t="shared" si="103"/>
        <v>4667756227.5200005</v>
      </c>
      <c r="BM151">
        <v>6573</v>
      </c>
      <c r="BN151" s="37">
        <f t="shared" si="104"/>
        <v>2.8487225605131429E-2</v>
      </c>
      <c r="BO151" s="50">
        <f t="shared" si="114"/>
        <v>1062284</v>
      </c>
      <c r="BP151" s="3">
        <f t="shared" si="115"/>
        <v>10622.84</v>
      </c>
      <c r="BQ151" s="11">
        <f>+'Rev mile pop elasticities'!P181</f>
        <v>1.6145096222419657E-2</v>
      </c>
      <c r="BR151" s="11">
        <f>+'Rev mile pop elasticities'!Q181</f>
        <v>3.3117791950072598E-2</v>
      </c>
      <c r="BS151" s="11">
        <f>+'Rev mile pop elasticities'!R181</f>
        <v>4.4297014906277757E-2</v>
      </c>
      <c r="BT151" s="11">
        <f>+'Rev mile pop elasticities'!S181</f>
        <v>3.921843783561229E-2</v>
      </c>
      <c r="BU151" s="32">
        <f t="shared" si="116"/>
        <v>753613.73436108988</v>
      </c>
      <c r="BV151" s="33">
        <f t="shared" si="117"/>
        <v>1.6145096222419658E-4</v>
      </c>
      <c r="BW151" s="40">
        <f t="shared" si="118"/>
        <v>1545857.7961666309</v>
      </c>
      <c r="BX151" s="33">
        <f t="shared" si="119"/>
        <v>3.3117791950072593E-4</v>
      </c>
      <c r="BY151" s="40">
        <f t="shared" si="120"/>
        <v>2911642.7897896371</v>
      </c>
      <c r="BZ151" s="41">
        <f t="shared" si="121"/>
        <v>4.4297014906277758E-4</v>
      </c>
      <c r="CA151" s="40">
        <f t="shared" si="122"/>
        <v>2577827.9189347965</v>
      </c>
      <c r="CB151" s="41">
        <f t="shared" si="123"/>
        <v>3.9218437835612297E-4</v>
      </c>
      <c r="CQ151" s="70">
        <f t="shared" si="124"/>
        <v>0.37713583270462797</v>
      </c>
      <c r="CR151" s="70">
        <f t="shared" si="125"/>
        <v>5.515968895370432</v>
      </c>
      <c r="CS151" s="70">
        <f t="shared" si="126"/>
        <v>5.8931047280750599</v>
      </c>
      <c r="CT151" s="70">
        <f t="shared" si="127"/>
        <v>1.4895855558003555</v>
      </c>
      <c r="CU151" s="70">
        <f t="shared" si="128"/>
        <v>11.314686996183912</v>
      </c>
      <c r="CV151" s="70">
        <f t="shared" si="129"/>
        <v>12.804272551984267</v>
      </c>
      <c r="CW151" s="69">
        <f t="shared" si="130"/>
        <v>1.4570923776975642</v>
      </c>
      <c r="CX151" s="69">
        <f t="shared" si="131"/>
        <v>21.311356641509814</v>
      </c>
      <c r="CY151" s="70">
        <f t="shared" si="132"/>
        <v>22.768449019207377</v>
      </c>
      <c r="CZ151" s="69">
        <f t="shared" si="133"/>
        <v>2.483989952313991</v>
      </c>
      <c r="DA151" s="69">
        <f t="shared" si="134"/>
        <v>18.868046016327998</v>
      </c>
      <c r="DB151" s="70">
        <f t="shared" si="135"/>
        <v>21.352035968641989</v>
      </c>
    </row>
    <row r="152" spans="23:106">
      <c r="W152" t="s">
        <v>445</v>
      </c>
      <c r="X152">
        <v>562065</v>
      </c>
      <c r="Y152">
        <v>444450</v>
      </c>
      <c r="Z152" s="51">
        <v>40185.86</v>
      </c>
      <c r="AA152" s="32">
        <f t="shared" si="101"/>
        <v>17860605477</v>
      </c>
      <c r="AB152">
        <v>27389</v>
      </c>
      <c r="AC152" s="37">
        <f t="shared" si="102"/>
        <v>4.8729239500769482E-2</v>
      </c>
      <c r="AD152" s="50">
        <f>+'Revenue mile elasticities'!M181</f>
        <v>4706193</v>
      </c>
      <c r="AE152" s="3">
        <f t="shared" si="105"/>
        <v>47061.93</v>
      </c>
      <c r="AF152" s="11">
        <f>+'Revenue mile elasticities'!P181</f>
        <v>1.8129016292020045E-3</v>
      </c>
      <c r="AG152" s="11">
        <f>+'Revenue mile elasticities'!Q181</f>
        <v>7.1604760056338691E-3</v>
      </c>
      <c r="AH152" s="11">
        <f>+'Revenue mile elasticities'!R181</f>
        <v>4.9740261306625393E-3</v>
      </c>
      <c r="AI152" s="11">
        <f>+'Revenue mile elasticities'!S181</f>
        <v>8.4795110593032658E-3</v>
      </c>
      <c r="AJ152" s="32">
        <f t="shared" si="106"/>
        <v>323795.20767787547</v>
      </c>
      <c r="AK152" s="33">
        <f t="shared" si="107"/>
        <v>1.8129016292020046E-5</v>
      </c>
      <c r="AL152" s="40">
        <f t="shared" si="108"/>
        <v>1278904.3696415138</v>
      </c>
      <c r="AM152" s="33">
        <f t="shared" si="109"/>
        <v>7.1604760056338695E-5</v>
      </c>
      <c r="AN152" s="40">
        <f t="shared" si="110"/>
        <v>1362336.0169271629</v>
      </c>
      <c r="AO152" s="41">
        <f t="shared" si="111"/>
        <v>4.9740261306625394E-5</v>
      </c>
      <c r="AP152" s="40">
        <f t="shared" si="112"/>
        <v>2322453.2840325716</v>
      </c>
      <c r="AQ152" s="41">
        <f t="shared" si="113"/>
        <v>8.479511059303266E-5</v>
      </c>
      <c r="AR152" s="53"/>
      <c r="AS152" s="53"/>
      <c r="BH152" t="s">
        <v>445</v>
      </c>
      <c r="BI152">
        <v>562065</v>
      </c>
      <c r="BJ152">
        <v>444450</v>
      </c>
      <c r="BK152" s="51">
        <v>40185.86</v>
      </c>
      <c r="BL152" s="32">
        <f t="shared" si="103"/>
        <v>17860605477</v>
      </c>
      <c r="BM152">
        <v>27389</v>
      </c>
      <c r="BN152" s="37">
        <f t="shared" si="104"/>
        <v>4.8729239500769482E-2</v>
      </c>
      <c r="BO152" s="50">
        <f t="shared" si="114"/>
        <v>4706193</v>
      </c>
      <c r="BP152" s="3">
        <f t="shared" si="115"/>
        <v>47061.93</v>
      </c>
      <c r="BQ152" s="11">
        <f>+'Rev mile pop elasticities'!P182</f>
        <v>2.9362745832350347E-2</v>
      </c>
      <c r="BR152" s="11">
        <f>+'Rev mile pop elasticities'!Q182</f>
        <v>6.0230629422219843E-2</v>
      </c>
      <c r="BS152" s="11">
        <f>+'Rev mile pop elasticities'!R182</f>
        <v>8.0562046327026224E-2</v>
      </c>
      <c r="BT152" s="11">
        <f>+'Rev mile pop elasticities'!S182</f>
        <v>7.1325745368418236E-2</v>
      </c>
      <c r="BU152" s="32">
        <f t="shared" si="116"/>
        <v>5244364.1903303554</v>
      </c>
      <c r="BV152" s="33">
        <f t="shared" si="117"/>
        <v>2.9362745832350347E-4</v>
      </c>
      <c r="BW152" s="40">
        <f t="shared" si="118"/>
        <v>10757555.097416572</v>
      </c>
      <c r="BX152" s="33">
        <f t="shared" si="119"/>
        <v>6.0230629422219851E-4</v>
      </c>
      <c r="BY152" s="40">
        <f t="shared" si="120"/>
        <v>22065138.868509211</v>
      </c>
      <c r="BZ152" s="41">
        <f t="shared" si="121"/>
        <v>8.0562046327026216E-4</v>
      </c>
      <c r="CA152" s="40">
        <f t="shared" si="122"/>
        <v>19535408.398956068</v>
      </c>
      <c r="CB152" s="41">
        <f t="shared" si="123"/>
        <v>7.1325745368418225E-4</v>
      </c>
      <c r="CQ152" s="70">
        <f t="shared" si="124"/>
        <v>0.72853011064883666</v>
      </c>
      <c r="CR152" s="70">
        <f t="shared" si="125"/>
        <v>11.799671932344145</v>
      </c>
      <c r="CS152" s="70">
        <f t="shared" si="126"/>
        <v>12.528202042992982</v>
      </c>
      <c r="CT152" s="70">
        <f t="shared" si="127"/>
        <v>2.8774988629576193</v>
      </c>
      <c r="CU152" s="70">
        <f t="shared" si="128"/>
        <v>24.204196416732078</v>
      </c>
      <c r="CV152" s="70">
        <f t="shared" si="129"/>
        <v>27.081695279689697</v>
      </c>
      <c r="CW152" s="69">
        <f t="shared" si="130"/>
        <v>3.0652177228645807</v>
      </c>
      <c r="CX152" s="69">
        <f t="shared" si="131"/>
        <v>49.645941879872225</v>
      </c>
      <c r="CY152" s="70">
        <f t="shared" si="132"/>
        <v>52.711159602736807</v>
      </c>
      <c r="CZ152" s="69">
        <f t="shared" si="133"/>
        <v>5.2254545708911495</v>
      </c>
      <c r="DA152" s="69">
        <f t="shared" si="134"/>
        <v>43.95411947115776</v>
      </c>
      <c r="DB152" s="70">
        <f t="shared" si="135"/>
        <v>49.179574042048912</v>
      </c>
    </row>
    <row r="153" spans="23:106">
      <c r="W153" t="s">
        <v>446</v>
      </c>
      <c r="X153">
        <v>125081</v>
      </c>
      <c r="Y153">
        <v>69186</v>
      </c>
      <c r="Z153" s="51">
        <v>30875.86</v>
      </c>
      <c r="AA153" s="32">
        <f t="shared" si="101"/>
        <v>2136177249.96</v>
      </c>
      <c r="AB153">
        <v>3274</v>
      </c>
      <c r="AC153" s="37">
        <f t="shared" si="102"/>
        <v>2.6175038575003397E-2</v>
      </c>
      <c r="AD153" s="50">
        <f>+'Revenue mile elasticities'!M182</f>
        <v>232296</v>
      </c>
      <c r="AE153" s="3">
        <f t="shared" si="105"/>
        <v>2322.96</v>
      </c>
      <c r="AF153" s="11">
        <f>+'Revenue mile elasticities'!P182</f>
        <v>2.5127942611254545E-4</v>
      </c>
      <c r="AG153" s="11">
        <f>+'Revenue mile elasticities'!Q182</f>
        <v>9.9248644957108359E-4</v>
      </c>
      <c r="AH153" s="11">
        <f>+'Revenue mile elasticities'!R182</f>
        <v>6.8943091640987202E-4</v>
      </c>
      <c r="AI153" s="11">
        <f>+'Revenue mile elasticities'!S182</f>
        <v>1.1753129008078623E-3</v>
      </c>
      <c r="AJ153" s="32">
        <f t="shared" si="106"/>
        <v>5367.7739344462434</v>
      </c>
      <c r="AK153" s="33">
        <f t="shared" si="107"/>
        <v>2.5127942611254542E-6</v>
      </c>
      <c r="AL153" s="40">
        <f t="shared" si="108"/>
        <v>21201.269744673216</v>
      </c>
      <c r="AM153" s="33">
        <f t="shared" si="109"/>
        <v>9.9248644957108352E-6</v>
      </c>
      <c r="AN153" s="40">
        <f t="shared" si="110"/>
        <v>22571.968203259206</v>
      </c>
      <c r="AO153" s="41">
        <f t="shared" si="111"/>
        <v>6.8943091640987191E-6</v>
      </c>
      <c r="AP153" s="40">
        <f t="shared" si="112"/>
        <v>38479.744372449415</v>
      </c>
      <c r="AQ153" s="41">
        <f t="shared" si="113"/>
        <v>1.1753129008078623E-5</v>
      </c>
      <c r="AR153" s="53"/>
      <c r="AS153" s="53"/>
      <c r="BH153" t="s">
        <v>446</v>
      </c>
      <c r="BI153">
        <v>125081</v>
      </c>
      <c r="BJ153">
        <v>69186</v>
      </c>
      <c r="BK153" s="51">
        <v>30875.86</v>
      </c>
      <c r="BL153" s="32">
        <f t="shared" si="103"/>
        <v>2136177249.96</v>
      </c>
      <c r="BM153">
        <v>3274</v>
      </c>
      <c r="BN153" s="37">
        <f t="shared" si="104"/>
        <v>2.6175038575003397E-2</v>
      </c>
      <c r="BO153" s="50">
        <f t="shared" si="114"/>
        <v>232296</v>
      </c>
      <c r="BP153" s="3">
        <f t="shared" si="115"/>
        <v>2322.96</v>
      </c>
      <c r="BQ153" s="11">
        <f>+'Rev mile pop elasticities'!P183</f>
        <v>6.5127418130651333E-3</v>
      </c>
      <c r="BR153" s="11">
        <f>+'Rev mile pop elasticities'!Q183</f>
        <v>1.335932752696253E-2</v>
      </c>
      <c r="BS153" s="11">
        <f>+'Rev mile pop elasticities'!R183</f>
        <v>1.7868894505160653E-2</v>
      </c>
      <c r="BT153" s="11">
        <f>+'Rev mile pop elasticities'!S183</f>
        <v>1.5820256281929311E-2</v>
      </c>
      <c r="BU153" s="32">
        <f t="shared" si="116"/>
        <v>139123.70895932982</v>
      </c>
      <c r="BV153" s="33">
        <f t="shared" si="117"/>
        <v>6.5127418130651334E-5</v>
      </c>
      <c r="BW153" s="40">
        <f t="shared" si="118"/>
        <v>285378.91537861747</v>
      </c>
      <c r="BX153" s="33">
        <f t="shared" si="119"/>
        <v>1.3359327526962531E-4</v>
      </c>
      <c r="BY153" s="40">
        <f t="shared" si="120"/>
        <v>585027.6060989598</v>
      </c>
      <c r="BZ153" s="41">
        <f t="shared" si="121"/>
        <v>1.7868894505160653E-4</v>
      </c>
      <c r="CA153" s="40">
        <f t="shared" si="122"/>
        <v>517955.19067036553</v>
      </c>
      <c r="CB153" s="41">
        <f t="shared" si="123"/>
        <v>1.5820256281929307E-4</v>
      </c>
      <c r="CQ153" s="70">
        <f t="shared" si="124"/>
        <v>7.7584683815312971E-2</v>
      </c>
      <c r="CR153" s="70">
        <f t="shared" si="125"/>
        <v>2.0108650443634524</v>
      </c>
      <c r="CS153" s="70">
        <f t="shared" si="126"/>
        <v>2.0884497281787655</v>
      </c>
      <c r="CT153" s="70">
        <f t="shared" si="127"/>
        <v>0.30643872668853839</v>
      </c>
      <c r="CU153" s="70">
        <f t="shared" si="128"/>
        <v>4.1248072641664137</v>
      </c>
      <c r="CV153" s="70">
        <f t="shared" si="129"/>
        <v>4.4312459908549524</v>
      </c>
      <c r="CW153" s="69">
        <f t="shared" si="130"/>
        <v>0.32625051604745475</v>
      </c>
      <c r="CX153" s="69">
        <f t="shared" si="131"/>
        <v>8.4558668820131206</v>
      </c>
      <c r="CY153" s="70">
        <f t="shared" si="132"/>
        <v>8.782117398060576</v>
      </c>
      <c r="CZ153" s="69">
        <f t="shared" si="133"/>
        <v>0.55617819172158267</v>
      </c>
      <c r="DA153" s="69">
        <f t="shared" si="134"/>
        <v>7.4864161921539836</v>
      </c>
      <c r="DB153" s="70">
        <f t="shared" si="135"/>
        <v>8.0425943838755671</v>
      </c>
    </row>
    <row r="154" spans="23:106">
      <c r="W154" t="s">
        <v>447</v>
      </c>
      <c r="X154">
        <v>721275</v>
      </c>
      <c r="Y154">
        <v>306067</v>
      </c>
      <c r="Z154" s="51">
        <v>24364.82</v>
      </c>
      <c r="AA154" s="32">
        <f t="shared" si="101"/>
        <v>7457267362.9399996</v>
      </c>
      <c r="AB154">
        <v>10714</v>
      </c>
      <c r="AC154" s="37">
        <f t="shared" si="102"/>
        <v>1.485425115247305E-2</v>
      </c>
      <c r="AD154" s="50">
        <f>+'Revenue mile elasticities'!M183</f>
        <v>1133334</v>
      </c>
      <c r="AE154" s="3">
        <f t="shared" si="105"/>
        <v>11333.34</v>
      </c>
      <c r="AF154" s="11">
        <f>+'Revenue mile elasticities'!P183</f>
        <v>1.0605879075955996E-3</v>
      </c>
      <c r="AG154" s="11">
        <f>+'Revenue mile elasticities'!Q183</f>
        <v>4.1890382477876393E-3</v>
      </c>
      <c r="AH154" s="11">
        <f>+'Revenue mile elasticities'!R183</f>
        <v>2.9099162807677101E-3</v>
      </c>
      <c r="AI154" s="11">
        <f>+'Revenue mile elasticities'!S183</f>
        <v>4.9607031881695731E-3</v>
      </c>
      <c r="AJ154" s="32">
        <f t="shared" si="106"/>
        <v>79090.875888414899</v>
      </c>
      <c r="AK154" s="33">
        <f t="shared" si="107"/>
        <v>1.0605879075955998E-5</v>
      </c>
      <c r="AL154" s="40">
        <f t="shared" si="108"/>
        <v>312387.78207334125</v>
      </c>
      <c r="AM154" s="33">
        <f t="shared" si="109"/>
        <v>4.1890382477876391E-5</v>
      </c>
      <c r="AN154" s="40">
        <f t="shared" si="110"/>
        <v>311768.43032145244</v>
      </c>
      <c r="AO154" s="41">
        <f t="shared" si="111"/>
        <v>2.90991628076771E-5</v>
      </c>
      <c r="AP154" s="40">
        <f t="shared" si="112"/>
        <v>531489.73958048807</v>
      </c>
      <c r="AQ154" s="41">
        <f t="shared" si="113"/>
        <v>4.960703188169573E-5</v>
      </c>
      <c r="AR154" s="53"/>
      <c r="AS154" s="53"/>
      <c r="BH154" t="s">
        <v>447</v>
      </c>
      <c r="BI154">
        <v>721275</v>
      </c>
      <c r="BJ154">
        <v>306067</v>
      </c>
      <c r="BK154" s="51">
        <v>24364.82</v>
      </c>
      <c r="BL154" s="32">
        <f t="shared" si="103"/>
        <v>7457267362.9399996</v>
      </c>
      <c r="BM154">
        <v>10714</v>
      </c>
      <c r="BN154" s="37">
        <f t="shared" si="104"/>
        <v>1.485425115247305E-2</v>
      </c>
      <c r="BO154" s="50">
        <f t="shared" si="114"/>
        <v>1133334</v>
      </c>
      <c r="BP154" s="3">
        <f t="shared" si="115"/>
        <v>11333.34</v>
      </c>
      <c r="BQ154" s="11">
        <f>+'Rev mile pop elasticities'!P184</f>
        <v>5.5102399748778192E-3</v>
      </c>
      <c r="BR154" s="11">
        <f>+'Rev mile pop elasticities'!Q184</f>
        <v>1.1302935490069669E-2</v>
      </c>
      <c r="BS154" s="11">
        <f>+'Rev mile pop elasticities'!R184</f>
        <v>1.5118347945513151E-2</v>
      </c>
      <c r="BT154" s="11">
        <f>+'Rev mile pop elasticities'!S184</f>
        <v>1.3385055185608818E-2</v>
      </c>
      <c r="BU154" s="32">
        <f t="shared" si="116"/>
        <v>410913.32726623688</v>
      </c>
      <c r="BV154" s="33">
        <f t="shared" si="117"/>
        <v>5.5102399748778196E-5</v>
      </c>
      <c r="BW154" s="40">
        <f t="shared" si="118"/>
        <v>842890.1193551278</v>
      </c>
      <c r="BX154" s="33">
        <f t="shared" si="119"/>
        <v>1.130293549006967E-4</v>
      </c>
      <c r="BY154" s="40">
        <f t="shared" si="120"/>
        <v>1619779.7988822791</v>
      </c>
      <c r="BZ154" s="41">
        <f t="shared" si="121"/>
        <v>1.5118347945513151E-4</v>
      </c>
      <c r="CA154" s="40">
        <f t="shared" si="122"/>
        <v>1434074.8125861287</v>
      </c>
      <c r="CB154" s="41">
        <f t="shared" si="123"/>
        <v>1.3385055185608817E-4</v>
      </c>
      <c r="CQ154" s="70">
        <f t="shared" si="124"/>
        <v>0.25841033462743418</v>
      </c>
      <c r="CR154" s="70">
        <f t="shared" si="125"/>
        <v>1.3425600514470259</v>
      </c>
      <c r="CS154" s="70">
        <f t="shared" si="126"/>
        <v>1.6009703860744602</v>
      </c>
      <c r="CT154" s="70">
        <f t="shared" si="127"/>
        <v>1.0206516288046121</v>
      </c>
      <c r="CU154" s="70">
        <f t="shared" si="128"/>
        <v>2.753939886871593</v>
      </c>
      <c r="CV154" s="70">
        <f t="shared" si="129"/>
        <v>3.7745915156762049</v>
      </c>
      <c r="CW154" s="69">
        <f t="shared" si="130"/>
        <v>1.0186280465435753</v>
      </c>
      <c r="CX154" s="69">
        <f t="shared" si="131"/>
        <v>5.2922392772898714</v>
      </c>
      <c r="CY154" s="70">
        <f t="shared" si="132"/>
        <v>6.3108673238334472</v>
      </c>
      <c r="CZ154" s="69">
        <f t="shared" si="133"/>
        <v>1.7365143565967192</v>
      </c>
      <c r="DA154" s="69">
        <f t="shared" si="134"/>
        <v>4.6854930867624693</v>
      </c>
      <c r="DB154" s="70">
        <f t="shared" si="135"/>
        <v>6.4220074433591883</v>
      </c>
    </row>
    <row r="155" spans="23:106">
      <c r="W155" t="s">
        <v>448</v>
      </c>
      <c r="X155">
        <v>200298</v>
      </c>
      <c r="Y155">
        <v>120099</v>
      </c>
      <c r="Z155" s="51">
        <v>31390.06</v>
      </c>
      <c r="AA155" s="32">
        <f t="shared" si="101"/>
        <v>3769914815.9400001</v>
      </c>
      <c r="AB155">
        <v>5439</v>
      </c>
      <c r="AC155" s="37">
        <f t="shared" si="102"/>
        <v>2.7154539735793667E-2</v>
      </c>
      <c r="AD155" s="50">
        <f>+'Revenue mile elasticities'!M184</f>
        <v>587163</v>
      </c>
      <c r="AE155" s="3">
        <f t="shared" si="105"/>
        <v>5871.63</v>
      </c>
      <c r="AF155" s="11">
        <f>+'Revenue mile elasticities'!P184</f>
        <v>3.7165458998550984E-4</v>
      </c>
      <c r="AG155" s="11">
        <f>+'Revenue mile elasticities'!Q184</f>
        <v>1.4679361147390789E-3</v>
      </c>
      <c r="AH155" s="11">
        <f>+'Revenue mile elasticities'!R184</f>
        <v>1.0197021241479692E-3</v>
      </c>
      <c r="AI155" s="11">
        <f>+'Revenue mile elasticities'!S184</f>
        <v>1.7383453990331198E-3</v>
      </c>
      <c r="AJ155" s="32">
        <f t="shared" si="106"/>
        <v>14011.061451984795</v>
      </c>
      <c r="AK155" s="33">
        <f t="shared" si="107"/>
        <v>3.7165458998550985E-6</v>
      </c>
      <c r="AL155" s="40">
        <f t="shared" si="108"/>
        <v>55339.941078082535</v>
      </c>
      <c r="AM155" s="33">
        <f t="shared" si="109"/>
        <v>1.4679361147390789E-5</v>
      </c>
      <c r="AN155" s="40">
        <f t="shared" si="110"/>
        <v>55461.598532408039</v>
      </c>
      <c r="AO155" s="41">
        <f t="shared" si="111"/>
        <v>1.0197021241479691E-5</v>
      </c>
      <c r="AP155" s="40">
        <f t="shared" si="112"/>
        <v>94548.606253411403</v>
      </c>
      <c r="AQ155" s="41">
        <f t="shared" si="113"/>
        <v>1.7383453990331202E-5</v>
      </c>
      <c r="AR155" s="53"/>
      <c r="AS155" s="53"/>
      <c r="BH155" t="s">
        <v>448</v>
      </c>
      <c r="BI155">
        <v>200298</v>
      </c>
      <c r="BJ155">
        <v>120099</v>
      </c>
      <c r="BK155" s="51">
        <v>31390.06</v>
      </c>
      <c r="BL155" s="32">
        <f t="shared" si="103"/>
        <v>3769914815.9400001</v>
      </c>
      <c r="BM155">
        <v>5439</v>
      </c>
      <c r="BN155" s="37">
        <f t="shared" si="104"/>
        <v>2.7154539735793667E-2</v>
      </c>
      <c r="BO155" s="50">
        <f t="shared" si="114"/>
        <v>587163</v>
      </c>
      <c r="BP155" s="3">
        <f t="shared" si="115"/>
        <v>5871.63</v>
      </c>
      <c r="BQ155" s="11">
        <f>+'Rev mile pop elasticities'!P185</f>
        <v>1.0280057472665728E-2</v>
      </c>
      <c r="BR155" s="11">
        <f>+'Rev mile pop elasticities'!Q185</f>
        <v>2.1087071883893003E-2</v>
      </c>
      <c r="BS155" s="11">
        <f>+'Rev mile pop elasticities'!R185</f>
        <v>2.820521183836084E-2</v>
      </c>
      <c r="BT155" s="11">
        <f>+'Rev mile pop elasticities'!S185</f>
        <v>2.497153249408382E-2</v>
      </c>
      <c r="BU155" s="32">
        <f t="shared" si="116"/>
        <v>387549.4097491724</v>
      </c>
      <c r="BV155" s="33">
        <f t="shared" si="117"/>
        <v>1.0280057472665728E-4</v>
      </c>
      <c r="BW155" s="40">
        <f t="shared" si="118"/>
        <v>794964.64719880046</v>
      </c>
      <c r="BX155" s="33">
        <f t="shared" si="119"/>
        <v>2.1087071883893005E-4</v>
      </c>
      <c r="BY155" s="40">
        <f t="shared" si="120"/>
        <v>1534081.471888446</v>
      </c>
      <c r="BZ155" s="41">
        <f t="shared" si="121"/>
        <v>2.8205211838360839E-4</v>
      </c>
      <c r="CA155" s="40">
        <f t="shared" si="122"/>
        <v>1358201.652353219</v>
      </c>
      <c r="CB155" s="41">
        <f t="shared" si="123"/>
        <v>2.497153249408382E-4</v>
      </c>
      <c r="CQ155" s="70">
        <f t="shared" si="124"/>
        <v>0.11666259878920553</v>
      </c>
      <c r="CR155" s="70">
        <f t="shared" si="125"/>
        <v>3.2269162087042558</v>
      </c>
      <c r="CS155" s="70">
        <f t="shared" si="126"/>
        <v>3.3435788074934614</v>
      </c>
      <c r="CT155" s="70">
        <f t="shared" si="127"/>
        <v>0.46078602717826572</v>
      </c>
      <c r="CU155" s="70">
        <f t="shared" si="128"/>
        <v>6.6192445165971447</v>
      </c>
      <c r="CV155" s="70">
        <f t="shared" si="129"/>
        <v>7.0800305437754103</v>
      </c>
      <c r="CW155" s="69">
        <f t="shared" si="130"/>
        <v>0.46179900359210352</v>
      </c>
      <c r="CX155" s="69">
        <f t="shared" si="131"/>
        <v>12.773474149563659</v>
      </c>
      <c r="CY155" s="70">
        <f t="shared" si="132"/>
        <v>13.235273153155763</v>
      </c>
      <c r="CZ155" s="69">
        <f t="shared" si="133"/>
        <v>0.78725556626958926</v>
      </c>
      <c r="DA155" s="69">
        <f t="shared" si="134"/>
        <v>11.30901716378337</v>
      </c>
      <c r="DB155" s="70">
        <f t="shared" si="135"/>
        <v>12.096272730052959</v>
      </c>
    </row>
    <row r="156" spans="23:106">
      <c r="W156" t="s">
        <v>301</v>
      </c>
      <c r="X156">
        <v>1298529</v>
      </c>
      <c r="Y156">
        <v>819373</v>
      </c>
      <c r="Z156" s="51">
        <v>39486.449999999997</v>
      </c>
      <c r="AA156" s="32">
        <f t="shared" si="101"/>
        <v>32354130995.849998</v>
      </c>
      <c r="AB156">
        <v>56599</v>
      </c>
      <c r="AC156" s="37">
        <f t="shared" si="102"/>
        <v>4.3587012688973449E-2</v>
      </c>
      <c r="AD156" s="50">
        <f>+'Revenue mile elasticities'!M185</f>
        <v>6656329</v>
      </c>
      <c r="AE156" s="3">
        <f t="shared" si="105"/>
        <v>66563.290000000008</v>
      </c>
      <c r="AF156" s="11">
        <f>+'Revenue mile elasticities'!P185</f>
        <v>5.0512268475604851E-3</v>
      </c>
      <c r="AG156" s="11">
        <f>+'Revenue mile elasticities'!Q185</f>
        <v>1.9950993511375061E-2</v>
      </c>
      <c r="AH156" s="11">
        <f>+'Revenue mile elasticities'!R185</f>
        <v>1.3858961747819382E-2</v>
      </c>
      <c r="AI156" s="11">
        <f>+'Revenue mile elasticities'!S185</f>
        <v>2.3626176526628361E-2</v>
      </c>
      <c r="AJ156" s="32">
        <f t="shared" si="106"/>
        <v>1634280.5511572636</v>
      </c>
      <c r="AK156" s="33">
        <f t="shared" si="107"/>
        <v>5.0512268475604846E-5</v>
      </c>
      <c r="AL156" s="40">
        <f t="shared" si="108"/>
        <v>6454970.5756438198</v>
      </c>
      <c r="AM156" s="33">
        <f t="shared" si="109"/>
        <v>1.995099351137506E-4</v>
      </c>
      <c r="AN156" s="40">
        <f t="shared" si="110"/>
        <v>7844033.7596482923</v>
      </c>
      <c r="AO156" s="41">
        <f t="shared" si="111"/>
        <v>1.3858961747819382E-4</v>
      </c>
      <c r="AP156" s="40">
        <f t="shared" si="112"/>
        <v>13372179.652306387</v>
      </c>
      <c r="AQ156" s="41">
        <f t="shared" si="113"/>
        <v>2.3626176526628362E-4</v>
      </c>
      <c r="AR156" s="53"/>
      <c r="AS156" s="53"/>
      <c r="BH156" t="s">
        <v>301</v>
      </c>
      <c r="BI156">
        <v>1298529</v>
      </c>
      <c r="BJ156">
        <v>819373</v>
      </c>
      <c r="BK156" s="51">
        <v>39486.449999999997</v>
      </c>
      <c r="BL156" s="32">
        <f t="shared" si="103"/>
        <v>32354130995.849998</v>
      </c>
      <c r="BM156">
        <v>56599</v>
      </c>
      <c r="BN156" s="37">
        <f t="shared" si="104"/>
        <v>4.3587012688973449E-2</v>
      </c>
      <c r="BO156" s="50">
        <f t="shared" si="114"/>
        <v>6656329</v>
      </c>
      <c r="BP156" s="3">
        <f t="shared" si="115"/>
        <v>66563.290000000008</v>
      </c>
      <c r="BQ156" s="11">
        <f>+'Rev mile pop elasticities'!P186</f>
        <v>1.7976146596479555E-2</v>
      </c>
      <c r="BR156" s="11">
        <f>+'Rev mile pop elasticities'!Q186</f>
        <v>3.6873752552773184E-2</v>
      </c>
      <c r="BS156" s="11">
        <f>+'Rev mile pop elasticities'!R186</f>
        <v>4.9320835427164124E-2</v>
      </c>
      <c r="BT156" s="11">
        <f>+'Rev mile pop elasticities'!S186</f>
        <v>4.3666285917757716E-2</v>
      </c>
      <c r="BU156" s="32">
        <f t="shared" si="116"/>
        <v>5816026.0178310256</v>
      </c>
      <c r="BV156" s="33">
        <f t="shared" si="117"/>
        <v>1.7976146596479552E-4</v>
      </c>
      <c r="BW156" s="40">
        <f t="shared" si="118"/>
        <v>11930182.204009818</v>
      </c>
      <c r="BX156" s="33">
        <f t="shared" si="119"/>
        <v>3.687375255277318E-4</v>
      </c>
      <c r="BY156" s="40">
        <f t="shared" si="120"/>
        <v>27915099.643420629</v>
      </c>
      <c r="BZ156" s="41">
        <f t="shared" si="121"/>
        <v>4.932083542716414E-4</v>
      </c>
      <c r="CA156" s="40">
        <f t="shared" si="122"/>
        <v>24714681.166591693</v>
      </c>
      <c r="CB156" s="41">
        <f t="shared" si="123"/>
        <v>4.3666285917757722E-4</v>
      </c>
      <c r="CQ156" s="70">
        <f t="shared" si="124"/>
        <v>1.994550163548547</v>
      </c>
      <c r="CR156" s="70">
        <f t="shared" si="125"/>
        <v>7.0981421377456</v>
      </c>
      <c r="CS156" s="70">
        <f t="shared" si="126"/>
        <v>9.0926923012941465</v>
      </c>
      <c r="CT156" s="70">
        <f t="shared" si="127"/>
        <v>7.8779390773723561</v>
      </c>
      <c r="CU156" s="70">
        <f t="shared" si="128"/>
        <v>14.560135864874505</v>
      </c>
      <c r="CV156" s="70">
        <f t="shared" si="129"/>
        <v>22.43807494224686</v>
      </c>
      <c r="CW156" s="69">
        <f t="shared" si="130"/>
        <v>9.5732148357930917</v>
      </c>
      <c r="CX156" s="69">
        <f t="shared" si="131"/>
        <v>34.068854652790158</v>
      </c>
      <c r="CY156" s="70">
        <f t="shared" si="132"/>
        <v>43.642069488583246</v>
      </c>
      <c r="CZ156" s="69">
        <f t="shared" si="133"/>
        <v>16.320015002088656</v>
      </c>
      <c r="DA156" s="69">
        <f t="shared" si="134"/>
        <v>30.1629186787845</v>
      </c>
      <c r="DB156" s="70">
        <f t="shared" si="135"/>
        <v>46.48293368087316</v>
      </c>
    </row>
    <row r="157" spans="23:106">
      <c r="W157" t="s">
        <v>449</v>
      </c>
      <c r="X157">
        <v>244356</v>
      </c>
      <c r="Y157">
        <v>93314</v>
      </c>
      <c r="Z157" s="51">
        <v>31168.04</v>
      </c>
      <c r="AA157" s="32">
        <f t="shared" si="101"/>
        <v>2908414484.5599999</v>
      </c>
      <c r="AB157">
        <v>5179</v>
      </c>
      <c r="AC157" s="37">
        <f t="shared" si="102"/>
        <v>2.1194486732472293E-2</v>
      </c>
      <c r="AD157" s="50">
        <f>+'Revenue mile elasticities'!M186</f>
        <v>2784936</v>
      </c>
      <c r="AE157" s="3">
        <f t="shared" si="105"/>
        <v>27849.360000000001</v>
      </c>
      <c r="AF157" s="11">
        <f>+'Revenue mile elasticities'!P186</f>
        <v>2.0641189182759524E-3</v>
      </c>
      <c r="AG157" s="11">
        <f>+'Revenue mile elasticities'!Q186</f>
        <v>8.152717030540553E-3</v>
      </c>
      <c r="AH157" s="11">
        <f>+'Revenue mile elasticities'!R186</f>
        <v>5.6632865627787871E-3</v>
      </c>
      <c r="AI157" s="11">
        <f>+'Revenue mile elasticities'!S186</f>
        <v>9.6545333256401276E-3</v>
      </c>
      <c r="AJ157" s="32">
        <f t="shared" si="106"/>
        <v>60033.133597680993</v>
      </c>
      <c r="AK157" s="33">
        <f t="shared" si="107"/>
        <v>2.0641189182759527E-5</v>
      </c>
      <c r="AL157" s="40">
        <f t="shared" si="108"/>
        <v>237114.80300143137</v>
      </c>
      <c r="AM157" s="33">
        <f t="shared" si="109"/>
        <v>8.1527170305405528E-5</v>
      </c>
      <c r="AN157" s="40">
        <f t="shared" si="110"/>
        <v>293301.61108631338</v>
      </c>
      <c r="AO157" s="41">
        <f t="shared" si="111"/>
        <v>5.663286562778787E-5</v>
      </c>
      <c r="AP157" s="40">
        <f t="shared" si="112"/>
        <v>500008.28093490226</v>
      </c>
      <c r="AQ157" s="41">
        <f t="shared" si="113"/>
        <v>9.6545333256401294E-5</v>
      </c>
      <c r="AR157" s="53"/>
      <c r="AS157" s="53"/>
      <c r="BH157" t="s">
        <v>449</v>
      </c>
      <c r="BI157">
        <v>244356</v>
      </c>
      <c r="BJ157">
        <v>93314</v>
      </c>
      <c r="BK157" s="51">
        <v>31168.04</v>
      </c>
      <c r="BL157" s="32">
        <f t="shared" si="103"/>
        <v>2908414484.5599999</v>
      </c>
      <c r="BM157">
        <v>5179</v>
      </c>
      <c r="BN157" s="37">
        <f t="shared" si="104"/>
        <v>2.1194486732472293E-2</v>
      </c>
      <c r="BO157" s="50">
        <f t="shared" si="114"/>
        <v>2784936</v>
      </c>
      <c r="BP157" s="3">
        <f t="shared" si="115"/>
        <v>27849.360000000001</v>
      </c>
      <c r="BQ157" s="11">
        <f>+'Rev mile pop elasticities'!P187</f>
        <v>3.9967380639394978E-2</v>
      </c>
      <c r="BR157" s="11">
        <f>+'Rev mile pop elasticities'!Q187</f>
        <v>8.1983493846682728E-2</v>
      </c>
      <c r="BS157" s="11">
        <f>+'Rev mile pop elasticities'!R187</f>
        <v>0.10965779525610175</v>
      </c>
      <c r="BT157" s="11">
        <f>+'Rev mile pop elasticities'!S187</f>
        <v>9.7085716397387431E-2</v>
      </c>
      <c r="BU157" s="32">
        <f t="shared" si="116"/>
        <v>1162417.0876153926</v>
      </c>
      <c r="BV157" s="33">
        <f t="shared" si="117"/>
        <v>3.9967380639394979E-4</v>
      </c>
      <c r="BW157" s="40">
        <f t="shared" si="118"/>
        <v>2384419.8099852768</v>
      </c>
      <c r="BX157" s="33">
        <f t="shared" si="119"/>
        <v>8.1983493846682733E-4</v>
      </c>
      <c r="BY157" s="40">
        <f t="shared" si="120"/>
        <v>5679177.2163135093</v>
      </c>
      <c r="BZ157" s="41">
        <f t="shared" si="121"/>
        <v>1.0965779525610173E-3</v>
      </c>
      <c r="CA157" s="40">
        <f t="shared" si="122"/>
        <v>5028069.2522206949</v>
      </c>
      <c r="CB157" s="41">
        <f t="shared" si="123"/>
        <v>9.7085716397387429E-4</v>
      </c>
      <c r="CQ157" s="70">
        <f t="shared" si="124"/>
        <v>0.64334541009581625</v>
      </c>
      <c r="CR157" s="70">
        <f t="shared" si="125"/>
        <v>12.457049184638882</v>
      </c>
      <c r="CS157" s="70">
        <f t="shared" si="126"/>
        <v>13.100394594734698</v>
      </c>
      <c r="CT157" s="70">
        <f t="shared" si="127"/>
        <v>2.5410421051656917</v>
      </c>
      <c r="CU157" s="70">
        <f t="shared" si="128"/>
        <v>25.55264815553161</v>
      </c>
      <c r="CV157" s="70">
        <f t="shared" si="129"/>
        <v>28.093690260697301</v>
      </c>
      <c r="CW157" s="69">
        <f t="shared" si="130"/>
        <v>3.1431683465108491</v>
      </c>
      <c r="CX157" s="69">
        <f t="shared" si="131"/>
        <v>60.860934225448588</v>
      </c>
      <c r="CY157" s="70">
        <f t="shared" si="132"/>
        <v>64.004102571959436</v>
      </c>
      <c r="CZ157" s="69">
        <f t="shared" si="133"/>
        <v>5.3583415236181304</v>
      </c>
      <c r="DA157" s="69">
        <f t="shared" si="134"/>
        <v>53.883332106872437</v>
      </c>
      <c r="DB157" s="70">
        <f t="shared" si="135"/>
        <v>59.241673630490567</v>
      </c>
    </row>
    <row r="158" spans="23:106">
      <c r="W158" t="s">
        <v>303</v>
      </c>
      <c r="X158">
        <v>5501752</v>
      </c>
      <c r="Y158">
        <v>3273236</v>
      </c>
      <c r="Z158" s="51">
        <v>40292.35</v>
      </c>
      <c r="AA158" s="32">
        <f t="shared" si="101"/>
        <v>131886370544.59999</v>
      </c>
      <c r="AB158">
        <v>233919</v>
      </c>
      <c r="AC158" s="37">
        <f t="shared" si="102"/>
        <v>4.2517183617145959E-2</v>
      </c>
      <c r="AD158" s="50">
        <f>+'Revenue mile elasticities'!M187</f>
        <v>60400000</v>
      </c>
      <c r="AE158" s="3">
        <f t="shared" si="105"/>
        <v>604000</v>
      </c>
      <c r="AF158" s="11">
        <f>+'Revenue mile elasticities'!P187</f>
        <v>2.2242839059754261E-2</v>
      </c>
      <c r="AG158" s="11">
        <f>+'Revenue mile elasticities'!Q187</f>
        <v>8.7853258455425798E-2</v>
      </c>
      <c r="AH158" s="11">
        <f>+'Revenue mile elasticities'!R187</f>
        <v>6.1027284062863674E-2</v>
      </c>
      <c r="AI158" s="11">
        <f>+'Revenue mile elasticities'!S187</f>
        <v>0.10403675343405687</v>
      </c>
      <c r="AJ158" s="32">
        <f t="shared" si="106"/>
        <v>29335273.141986523</v>
      </c>
      <c r="AK158" s="33">
        <f t="shared" si="107"/>
        <v>2.2242839059754258E-4</v>
      </c>
      <c r="AL158" s="40">
        <f t="shared" si="108"/>
        <v>115866473.98202799</v>
      </c>
      <c r="AM158" s="33">
        <f t="shared" si="109"/>
        <v>8.7853258455425798E-4</v>
      </c>
      <c r="AN158" s="40">
        <f t="shared" si="110"/>
        <v>142754412.60701007</v>
      </c>
      <c r="AO158" s="41">
        <f t="shared" si="111"/>
        <v>6.1027284062863672E-4</v>
      </c>
      <c r="AP158" s="40">
        <f t="shared" si="112"/>
        <v>243361733.2654115</v>
      </c>
      <c r="AQ158" s="41">
        <f t="shared" si="113"/>
        <v>1.0403675343405687E-3</v>
      </c>
      <c r="AR158" s="53"/>
      <c r="AS158" s="53"/>
      <c r="BH158" t="s">
        <v>303</v>
      </c>
      <c r="BI158">
        <v>5501752</v>
      </c>
      <c r="BJ158">
        <v>3273236</v>
      </c>
      <c r="BK158" s="51">
        <v>40292.35</v>
      </c>
      <c r="BL158" s="32">
        <f t="shared" si="103"/>
        <v>131886370544.59999</v>
      </c>
      <c r="BM158">
        <v>233919</v>
      </c>
      <c r="BN158" s="37">
        <f t="shared" si="104"/>
        <v>4.2517183617145959E-2</v>
      </c>
      <c r="BO158" s="50">
        <f t="shared" si="114"/>
        <v>60400000</v>
      </c>
      <c r="BP158" s="3">
        <f t="shared" si="115"/>
        <v>604000</v>
      </c>
      <c r="BQ158" s="11">
        <f>+'Rev mile pop elasticities'!P188</f>
        <v>3.849899595619722E-2</v>
      </c>
      <c r="BR158" s="11">
        <f>+'Rev mile pop elasticities'!Q188</f>
        <v>7.8971454911090158E-2</v>
      </c>
      <c r="BS158" s="11">
        <f>+'Rev mile pop elasticities'!R188</f>
        <v>0.10562901417584797</v>
      </c>
      <c r="BT158" s="11">
        <f>+'Rev mile pop elasticities'!S188</f>
        <v>9.3518828184185707E-2</v>
      </c>
      <c r="BU158" s="32">
        <f t="shared" si="116"/>
        <v>50774928.462740831</v>
      </c>
      <c r="BV158" s="33">
        <f t="shared" si="117"/>
        <v>3.8498995956197217E-4</v>
      </c>
      <c r="BW158" s="40">
        <f t="shared" si="118"/>
        <v>104152585.64850207</v>
      </c>
      <c r="BX158" s="33">
        <f t="shared" si="119"/>
        <v>7.8971454911090156E-4</v>
      </c>
      <c r="BY158" s="40">
        <f t="shared" si="120"/>
        <v>247086333.6700018</v>
      </c>
      <c r="BZ158" s="41">
        <f t="shared" si="121"/>
        <v>1.0562901417584796E-3</v>
      </c>
      <c r="CA158" s="40">
        <f t="shared" si="122"/>
        <v>218758307.70016536</v>
      </c>
      <c r="CB158" s="41">
        <f t="shared" si="123"/>
        <v>9.3518828184185703E-4</v>
      </c>
      <c r="CQ158" s="70">
        <f t="shared" si="124"/>
        <v>8.9621625638928943</v>
      </c>
      <c r="CR158" s="70">
        <f t="shared" si="125"/>
        <v>15.51215019715683</v>
      </c>
      <c r="CS158" s="70">
        <f t="shared" si="126"/>
        <v>24.474312761049724</v>
      </c>
      <c r="CT158" s="70">
        <f t="shared" si="127"/>
        <v>35.398142383264755</v>
      </c>
      <c r="CU158" s="70">
        <f t="shared" si="128"/>
        <v>31.81945501286863</v>
      </c>
      <c r="CV158" s="70">
        <f t="shared" si="129"/>
        <v>67.217597396133385</v>
      </c>
      <c r="CW158" s="69">
        <f t="shared" si="130"/>
        <v>43.612624511953939</v>
      </c>
      <c r="CX158" s="69">
        <f t="shared" si="131"/>
        <v>75.486867940472919</v>
      </c>
      <c r="CY158" s="70">
        <f t="shared" si="132"/>
        <v>119.09949245242686</v>
      </c>
      <c r="CZ158" s="69">
        <f t="shared" si="133"/>
        <v>74.348972474154479</v>
      </c>
      <c r="DA158" s="69">
        <f t="shared" si="134"/>
        <v>66.832427512151696</v>
      </c>
      <c r="DB158" s="70">
        <f t="shared" si="135"/>
        <v>141.18139998630619</v>
      </c>
    </row>
    <row r="159" spans="23:106">
      <c r="W159" t="s">
        <v>450</v>
      </c>
      <c r="X159">
        <v>1550451</v>
      </c>
      <c r="Y159">
        <v>1027088</v>
      </c>
      <c r="Z159" s="51">
        <v>43313.95</v>
      </c>
      <c r="AA159" s="32">
        <f t="shared" si="101"/>
        <v>44487238277.599998</v>
      </c>
      <c r="AB159">
        <v>75696</v>
      </c>
      <c r="AC159" s="37">
        <f t="shared" si="102"/>
        <v>4.8821923427441433E-2</v>
      </c>
      <c r="AD159" s="50">
        <f>+'Revenue mile elasticities'!M188</f>
        <v>17900000</v>
      </c>
      <c r="AE159" s="3">
        <f t="shared" si="105"/>
        <v>179000</v>
      </c>
      <c r="AF159" s="11">
        <f>+'Revenue mile elasticities'!P188</f>
        <v>7.5733869111304485E-3</v>
      </c>
      <c r="AG159" s="11">
        <f>+'Revenue mile elasticities'!Q188</f>
        <v>2.9912850418917374E-2</v>
      </c>
      <c r="AH159" s="11">
        <f>+'Revenue mile elasticities'!R188</f>
        <v>2.0778967698408451E-2</v>
      </c>
      <c r="AI159" s="11">
        <f>+'Revenue mile elasticities'!S188</f>
        <v>3.5423112338191627E-2</v>
      </c>
      <c r="AJ159" s="32">
        <f t="shared" si="106"/>
        <v>3369190.6808391735</v>
      </c>
      <c r="AK159" s="33">
        <f t="shared" si="107"/>
        <v>7.5733869111304492E-5</v>
      </c>
      <c r="AL159" s="40">
        <f t="shared" si="108"/>
        <v>13307401.041485842</v>
      </c>
      <c r="AM159" s="33">
        <f t="shared" si="109"/>
        <v>2.9912850418917377E-4</v>
      </c>
      <c r="AN159" s="40">
        <f t="shared" si="110"/>
        <v>15728847.38898726</v>
      </c>
      <c r="AO159" s="41">
        <f t="shared" si="111"/>
        <v>2.0778967698408451E-4</v>
      </c>
      <c r="AP159" s="40">
        <f t="shared" si="112"/>
        <v>26813879.115517534</v>
      </c>
      <c r="AQ159" s="41">
        <f t="shared" si="113"/>
        <v>3.5423112338191627E-4</v>
      </c>
      <c r="AR159" s="53"/>
      <c r="AS159" s="53"/>
      <c r="BH159" t="s">
        <v>450</v>
      </c>
      <c r="BI159">
        <v>1550451</v>
      </c>
      <c r="BJ159">
        <v>1027088</v>
      </c>
      <c r="BK159" s="51">
        <v>43313.95</v>
      </c>
      <c r="BL159" s="32">
        <f t="shared" si="103"/>
        <v>44487238277.599998</v>
      </c>
      <c r="BM159">
        <v>75696</v>
      </c>
      <c r="BN159" s="37">
        <f t="shared" si="104"/>
        <v>4.8821923427441433E-2</v>
      </c>
      <c r="BO159" s="50">
        <f t="shared" si="114"/>
        <v>17900000</v>
      </c>
      <c r="BP159" s="3">
        <f t="shared" si="115"/>
        <v>179000</v>
      </c>
      <c r="BQ159" s="11">
        <f>+'Rev mile pop elasticities'!P189</f>
        <v>4.0486334621345654E-2</v>
      </c>
      <c r="BR159" s="11">
        <f>+'Rev mile pop elasticities'!Q189</f>
        <v>8.3048003451898833E-2</v>
      </c>
      <c r="BS159" s="11">
        <f>+'Rev mile pop elasticities'!R189</f>
        <v>0.11108164011632742</v>
      </c>
      <c r="BT159" s="11">
        <f>+'Rev mile pop elasticities'!S189</f>
        <v>9.8346319877248622E-2</v>
      </c>
      <c r="BU159" s="32">
        <f t="shared" si="116"/>
        <v>18011252.152864505</v>
      </c>
      <c r="BV159" s="33">
        <f t="shared" si="117"/>
        <v>4.0486334621345655E-4</v>
      </c>
      <c r="BW159" s="40">
        <f t="shared" si="118"/>
        <v>36945763.18043571</v>
      </c>
      <c r="BX159" s="33">
        <f t="shared" si="119"/>
        <v>8.3048003451898845E-4</v>
      </c>
      <c r="BY159" s="40">
        <f t="shared" si="120"/>
        <v>84084358.302455202</v>
      </c>
      <c r="BZ159" s="41">
        <f t="shared" si="121"/>
        <v>1.1108164011632742E-3</v>
      </c>
      <c r="CA159" s="40">
        <f t="shared" si="122"/>
        <v>74444230.294282123</v>
      </c>
      <c r="CB159" s="41">
        <f t="shared" si="123"/>
        <v>9.8346319877248628E-4</v>
      </c>
      <c r="CQ159" s="70">
        <f t="shared" si="124"/>
        <v>3.2803330199935874</v>
      </c>
      <c r="CR159" s="70">
        <f t="shared" si="125"/>
        <v>17.536230734722345</v>
      </c>
      <c r="CS159" s="70">
        <f t="shared" si="126"/>
        <v>20.816563754715933</v>
      </c>
      <c r="CT159" s="70">
        <f t="shared" si="127"/>
        <v>12.956437074024663</v>
      </c>
      <c r="CU159" s="70">
        <f t="shared" si="128"/>
        <v>35.971370691153737</v>
      </c>
      <c r="CV159" s="70">
        <f t="shared" si="129"/>
        <v>48.9278077651784</v>
      </c>
      <c r="CW159" s="69">
        <f t="shared" si="130"/>
        <v>15.314021183177351</v>
      </c>
      <c r="CX159" s="69">
        <f t="shared" si="131"/>
        <v>81.866751731550949</v>
      </c>
      <c r="CY159" s="70">
        <f t="shared" si="132"/>
        <v>97.180772914728294</v>
      </c>
      <c r="CZ159" s="69">
        <f t="shared" si="133"/>
        <v>26.106700804135123</v>
      </c>
      <c r="DA159" s="69">
        <f t="shared" si="134"/>
        <v>72.480868527606319</v>
      </c>
      <c r="DB159" s="70">
        <f t="shared" si="135"/>
        <v>98.587569331741435</v>
      </c>
    </row>
    <row r="160" spans="23:106">
      <c r="W160" t="s">
        <v>305</v>
      </c>
      <c r="X160">
        <v>3237612</v>
      </c>
      <c r="Y160">
        <v>2285862</v>
      </c>
      <c r="Z160" s="51">
        <v>48866.68</v>
      </c>
      <c r="AA160" s="32">
        <f t="shared" si="101"/>
        <v>111702486878.16</v>
      </c>
      <c r="AB160">
        <v>175976</v>
      </c>
      <c r="AC160" s="37">
        <f t="shared" si="102"/>
        <v>5.4353640893349792E-2</v>
      </c>
      <c r="AD160" s="50">
        <f>+'Revenue mile elasticities'!M189</f>
        <v>31700000</v>
      </c>
      <c r="AE160" s="3">
        <f t="shared" si="105"/>
        <v>317000</v>
      </c>
      <c r="AF160" s="11">
        <f>+'Revenue mile elasticities'!P189</f>
        <v>1.3355616362914208E-2</v>
      </c>
      <c r="AG160" s="11">
        <f>+'Revenue mile elasticities'!Q189</f>
        <v>5.275110848082442E-2</v>
      </c>
      <c r="AH160" s="11">
        <f>+'Revenue mile elasticities'!R189</f>
        <v>3.664356836034223E-2</v>
      </c>
      <c r="AI160" s="11">
        <f>+'Revenue mile elasticities'!S189</f>
        <v>6.2468417937818398E-2</v>
      </c>
      <c r="AJ160" s="32">
        <f t="shared" si="106"/>
        <v>14918555.615281632</v>
      </c>
      <c r="AK160" s="33">
        <f t="shared" si="107"/>
        <v>1.3355616362914206E-4</v>
      </c>
      <c r="AL160" s="40">
        <f t="shared" si="108"/>
        <v>58924300.028876841</v>
      </c>
      <c r="AM160" s="33">
        <f t="shared" si="109"/>
        <v>5.2751108480824413E-4</v>
      </c>
      <c r="AN160" s="40">
        <f t="shared" si="110"/>
        <v>64483885.857795842</v>
      </c>
      <c r="AO160" s="41">
        <f t="shared" si="111"/>
        <v>3.6643568360342232E-4</v>
      </c>
      <c r="AP160" s="40">
        <f t="shared" si="112"/>
        <v>109929423.15025532</v>
      </c>
      <c r="AQ160" s="41">
        <f t="shared" si="113"/>
        <v>6.246841793781841E-4</v>
      </c>
      <c r="AR160" s="53"/>
      <c r="AS160" s="53"/>
      <c r="BH160" t="s">
        <v>305</v>
      </c>
      <c r="BI160">
        <v>3237612</v>
      </c>
      <c r="BJ160">
        <v>2285862</v>
      </c>
      <c r="BK160" s="51">
        <v>48866.68</v>
      </c>
      <c r="BL160" s="32">
        <f t="shared" si="103"/>
        <v>111702486878.16</v>
      </c>
      <c r="BM160">
        <v>175976</v>
      </c>
      <c r="BN160" s="37">
        <f t="shared" si="104"/>
        <v>5.4353640893349792E-2</v>
      </c>
      <c r="BO160" s="50">
        <f t="shared" si="114"/>
        <v>31700000</v>
      </c>
      <c r="BP160" s="3">
        <f t="shared" si="115"/>
        <v>317000</v>
      </c>
      <c r="BQ160" s="11">
        <f>+'Rev mile pop elasticities'!P190</f>
        <v>3.4335860504594126E-2</v>
      </c>
      <c r="BR160" s="11">
        <f>+'Rev mile pop elasticities'!Q190</f>
        <v>7.043178120170053E-2</v>
      </c>
      <c r="BS160" s="11">
        <f>+'Rev mile pop elasticities'!R190</f>
        <v>9.4206693081196877E-2</v>
      </c>
      <c r="BT160" s="11">
        <f>+'Rev mile pop elasticities'!S190</f>
        <v>8.3406056686224306E-2</v>
      </c>
      <c r="BU160" s="32">
        <f t="shared" si="116"/>
        <v>38354010.074647576</v>
      </c>
      <c r="BV160" s="33">
        <f t="shared" si="117"/>
        <v>3.4335860504594123E-4</v>
      </c>
      <c r="BW160" s="40">
        <f t="shared" si="118"/>
        <v>78674051.154883891</v>
      </c>
      <c r="BX160" s="33">
        <f t="shared" si="119"/>
        <v>7.0431781201700527E-4</v>
      </c>
      <c r="BY160" s="40">
        <f t="shared" si="120"/>
        <v>165781170.21656704</v>
      </c>
      <c r="BZ160" s="41">
        <f t="shared" si="121"/>
        <v>9.4206693081196882E-4</v>
      </c>
      <c r="CA160" s="40">
        <f t="shared" si="122"/>
        <v>146774642.31415009</v>
      </c>
      <c r="CB160" s="41">
        <f t="shared" si="123"/>
        <v>8.340605668622432E-4</v>
      </c>
      <c r="CQ160" s="70">
        <f t="shared" si="124"/>
        <v>6.5264463100929246</v>
      </c>
      <c r="CR160" s="70">
        <f t="shared" si="125"/>
        <v>16.778795078026398</v>
      </c>
      <c r="CS160" s="70">
        <f t="shared" si="126"/>
        <v>23.305241388119324</v>
      </c>
      <c r="CT160" s="70">
        <f t="shared" si="127"/>
        <v>25.77771537777733</v>
      </c>
      <c r="CU160" s="70">
        <f t="shared" si="128"/>
        <v>34.41767313813515</v>
      </c>
      <c r="CV160" s="70">
        <f t="shared" si="129"/>
        <v>60.195388515912484</v>
      </c>
      <c r="CW160" s="69">
        <f t="shared" si="130"/>
        <v>28.209876999484589</v>
      </c>
      <c r="CX160" s="69">
        <f t="shared" si="131"/>
        <v>72.524575069084236</v>
      </c>
      <c r="CY160" s="70">
        <f t="shared" si="132"/>
        <v>100.73445206856883</v>
      </c>
      <c r="CZ160" s="69">
        <f t="shared" si="133"/>
        <v>48.091014746408717</v>
      </c>
      <c r="DA160" s="69">
        <f t="shared" si="134"/>
        <v>64.20975645692964</v>
      </c>
      <c r="DB160" s="70">
        <f t="shared" si="135"/>
        <v>112.30077120333836</v>
      </c>
    </row>
    <row r="161" spans="23:106">
      <c r="W161" t="s">
        <v>451</v>
      </c>
      <c r="X161">
        <v>107552</v>
      </c>
      <c r="Y161">
        <v>78700</v>
      </c>
      <c r="Z161" s="51">
        <v>29380.82</v>
      </c>
      <c r="AA161" s="32">
        <f t="shared" si="101"/>
        <v>2312270534</v>
      </c>
      <c r="AB161">
        <v>3934</v>
      </c>
      <c r="AC161" s="37">
        <f t="shared" si="102"/>
        <v>3.6577655459684617E-2</v>
      </c>
      <c r="AD161" s="50">
        <f>+'Revenue mile elasticities'!M190</f>
        <v>622808</v>
      </c>
      <c r="AE161" s="3">
        <f t="shared" si="105"/>
        <v>6228.08</v>
      </c>
      <c r="AF161" s="11">
        <f>+'Revenue mile elasticities'!P190</f>
        <v>5.0955821397625036E-4</v>
      </c>
      <c r="AG161" s="11">
        <f>+'Revenue mile elasticities'!Q190</f>
        <v>2.0126185038824469E-3</v>
      </c>
      <c r="AH161" s="11">
        <f>+'Revenue mile elasticities'!R190</f>
        <v>1.3980658578409758E-3</v>
      </c>
      <c r="AI161" s="11">
        <f>+'Revenue mile elasticities'!S190</f>
        <v>2.3833640177555295E-3</v>
      </c>
      <c r="AJ161" s="32">
        <f t="shared" si="106"/>
        <v>11782.364435349507</v>
      </c>
      <c r="AK161" s="33">
        <f t="shared" si="107"/>
        <v>5.0955821397625038E-6</v>
      </c>
      <c r="AL161" s="40">
        <f t="shared" si="108"/>
        <v>46537.184627105467</v>
      </c>
      <c r="AM161" s="33">
        <f t="shared" si="109"/>
        <v>2.012618503882447E-5</v>
      </c>
      <c r="AN161" s="40">
        <f t="shared" si="110"/>
        <v>54999.910847463987</v>
      </c>
      <c r="AO161" s="41">
        <f t="shared" si="111"/>
        <v>1.3980658578409758E-5</v>
      </c>
      <c r="AP161" s="40">
        <f t="shared" si="112"/>
        <v>93761.540458502539</v>
      </c>
      <c r="AQ161" s="41">
        <f t="shared" si="113"/>
        <v>2.3833640177555295E-5</v>
      </c>
      <c r="AR161" s="53"/>
      <c r="AS161" s="53"/>
      <c r="BH161" t="s">
        <v>451</v>
      </c>
      <c r="BI161">
        <v>107552</v>
      </c>
      <c r="BJ161">
        <v>78700</v>
      </c>
      <c r="BK161" s="51">
        <v>29380.82</v>
      </c>
      <c r="BL161" s="32">
        <f t="shared" si="103"/>
        <v>2312270534</v>
      </c>
      <c r="BM161">
        <v>3934</v>
      </c>
      <c r="BN161" s="37">
        <f t="shared" si="104"/>
        <v>3.6577655459684617E-2</v>
      </c>
      <c r="BO161" s="50">
        <f t="shared" si="114"/>
        <v>622808</v>
      </c>
      <c r="BP161" s="3">
        <f t="shared" si="115"/>
        <v>6228.08</v>
      </c>
      <c r="BQ161" s="11">
        <f>+'Rev mile pop elasticities'!P191</f>
        <v>2.0307158867896458E-2</v>
      </c>
      <c r="BR161" s="11">
        <f>+'Rev mile pop elasticities'!Q191</f>
        <v>4.1655265055043147E-2</v>
      </c>
      <c r="BS161" s="11">
        <f>+'Rev mile pop elasticities'!R191</f>
        <v>5.5716392561737577E-2</v>
      </c>
      <c r="BT161" s="11">
        <f>+'Rev mile pop elasticities'!S191</f>
        <v>4.9328603354656365E-2</v>
      </c>
      <c r="BU161" s="32">
        <f t="shared" si="116"/>
        <v>469556.45079493779</v>
      </c>
      <c r="BV161" s="33">
        <f t="shared" si="117"/>
        <v>2.0307158867896458E-4</v>
      </c>
      <c r="BW161" s="40">
        <f t="shared" si="118"/>
        <v>963182.41972736153</v>
      </c>
      <c r="BX161" s="33">
        <f t="shared" si="119"/>
        <v>4.1655265055043144E-4</v>
      </c>
      <c r="BY161" s="40">
        <f t="shared" si="120"/>
        <v>2191882.8833787567</v>
      </c>
      <c r="BZ161" s="41">
        <f t="shared" si="121"/>
        <v>5.5716392561737588E-4</v>
      </c>
      <c r="CA161" s="40">
        <f t="shared" si="122"/>
        <v>1940587.2559721814</v>
      </c>
      <c r="CB161" s="41">
        <f t="shared" si="123"/>
        <v>4.9328603354656365E-4</v>
      </c>
      <c r="CQ161" s="70">
        <f t="shared" si="124"/>
        <v>0.14971238164357697</v>
      </c>
      <c r="CR161" s="70">
        <f t="shared" si="125"/>
        <v>5.9664097940906959</v>
      </c>
      <c r="CS161" s="70">
        <f t="shared" si="126"/>
        <v>6.1161221757342732</v>
      </c>
      <c r="CT161" s="70">
        <f t="shared" si="127"/>
        <v>0.5913238199123948</v>
      </c>
      <c r="CU161" s="70">
        <f t="shared" si="128"/>
        <v>12.238658446345127</v>
      </c>
      <c r="CV161" s="70">
        <f t="shared" si="129"/>
        <v>12.829982266257522</v>
      </c>
      <c r="CW161" s="69">
        <f t="shared" si="130"/>
        <v>0.69885528395761098</v>
      </c>
      <c r="CX161" s="69">
        <f t="shared" si="131"/>
        <v>27.851116688421303</v>
      </c>
      <c r="CY161" s="70">
        <f t="shared" si="132"/>
        <v>28.549971972378913</v>
      </c>
      <c r="CZ161" s="69">
        <f t="shared" si="133"/>
        <v>1.1913791671982534</v>
      </c>
      <c r="DA161" s="69">
        <f t="shared" si="134"/>
        <v>24.658033748058212</v>
      </c>
      <c r="DB161" s="70">
        <f t="shared" si="135"/>
        <v>25.849412915256465</v>
      </c>
    </row>
    <row r="162" spans="23:106">
      <c r="W162" t="s">
        <v>452</v>
      </c>
      <c r="X162">
        <v>409132</v>
      </c>
      <c r="Y162">
        <v>239691</v>
      </c>
      <c r="Z162" s="51">
        <v>35575.19</v>
      </c>
      <c r="AA162" s="32">
        <f t="shared" si="101"/>
        <v>8527052866.2900009</v>
      </c>
      <c r="AB162">
        <v>13038</v>
      </c>
      <c r="AC162" s="37">
        <f t="shared" si="102"/>
        <v>3.1867465756772878E-2</v>
      </c>
      <c r="AD162" s="50">
        <f>+'Revenue mile elasticities'!M191</f>
        <v>1255186</v>
      </c>
      <c r="AE162" s="3">
        <f t="shared" si="105"/>
        <v>12551.86</v>
      </c>
      <c r="AF162" s="11">
        <f>+'Revenue mile elasticities'!P191</f>
        <v>1.4553137373895673E-3</v>
      </c>
      <c r="AG162" s="11">
        <f>+'Revenue mile elasticities'!Q191</f>
        <v>5.7480995821236613E-3</v>
      </c>
      <c r="AH162" s="11">
        <f>+'Revenue mile elasticities'!R191</f>
        <v>3.9929185574587404E-3</v>
      </c>
      <c r="AI162" s="11">
        <f>+'Revenue mile elasticities'!S191</f>
        <v>6.8069600314622303E-3</v>
      </c>
      <c r="AJ162" s="32">
        <f t="shared" si="106"/>
        <v>124095.37175758925</v>
      </c>
      <c r="AK162" s="33">
        <f t="shared" si="107"/>
        <v>1.4553137373895675E-5</v>
      </c>
      <c r="AL162" s="40">
        <f t="shared" si="108"/>
        <v>490143.49017467926</v>
      </c>
      <c r="AM162" s="33">
        <f t="shared" si="109"/>
        <v>5.748099582123662E-5</v>
      </c>
      <c r="AN162" s="40">
        <f t="shared" si="110"/>
        <v>520596.72152147064</v>
      </c>
      <c r="AO162" s="41">
        <f t="shared" si="111"/>
        <v>3.9929185574587405E-5</v>
      </c>
      <c r="AP162" s="40">
        <f t="shared" si="112"/>
        <v>887491.44890204584</v>
      </c>
      <c r="AQ162" s="41">
        <f t="shared" si="113"/>
        <v>6.8069600314622314E-5</v>
      </c>
      <c r="AR162" s="53"/>
      <c r="AS162" s="53"/>
      <c r="BH162" t="s">
        <v>452</v>
      </c>
      <c r="BI162">
        <v>409132</v>
      </c>
      <c r="BJ162">
        <v>239691</v>
      </c>
      <c r="BK162" s="51">
        <v>35575.19</v>
      </c>
      <c r="BL162" s="32">
        <f t="shared" si="103"/>
        <v>8527052866.2900009</v>
      </c>
      <c r="BM162">
        <v>13038</v>
      </c>
      <c r="BN162" s="37">
        <f t="shared" si="104"/>
        <v>3.1867465756772878E-2</v>
      </c>
      <c r="BO162" s="50">
        <f t="shared" si="114"/>
        <v>1255186</v>
      </c>
      <c r="BP162" s="3">
        <f t="shared" si="115"/>
        <v>12551.86</v>
      </c>
      <c r="BQ162" s="11">
        <f>+'Rev mile pop elasticities'!P192</f>
        <v>1.0758658253375436E-2</v>
      </c>
      <c r="BR162" s="11">
        <f>+'Rev mile pop elasticities'!Q192</f>
        <v>2.2068806576850505E-2</v>
      </c>
      <c r="BS162" s="11">
        <f>+'Rev mile pop elasticities'!R192</f>
        <v>2.9518340334170876E-2</v>
      </c>
      <c r="BT162" s="11">
        <f>+'Rev mile pop elasticities'!S192</f>
        <v>2.6134113051533493E-2</v>
      </c>
      <c r="BU162" s="32">
        <f t="shared" si="116"/>
        <v>917396.47696879599</v>
      </c>
      <c r="BV162" s="33">
        <f t="shared" si="117"/>
        <v>1.0758658253375437E-4</v>
      </c>
      <c r="BW162" s="40">
        <f t="shared" si="118"/>
        <v>1881818.8037673275</v>
      </c>
      <c r="BX162" s="33">
        <f t="shared" si="119"/>
        <v>2.2068806576850509E-4</v>
      </c>
      <c r="BY162" s="40">
        <f t="shared" si="120"/>
        <v>3848601.2127691992</v>
      </c>
      <c r="BZ162" s="41">
        <f t="shared" si="121"/>
        <v>2.951834033417088E-4</v>
      </c>
      <c r="CA162" s="40">
        <f t="shared" si="122"/>
        <v>3407365.6596589372</v>
      </c>
      <c r="CB162" s="41">
        <f t="shared" si="123"/>
        <v>2.6134113051533498E-4</v>
      </c>
      <c r="CQ162" s="70">
        <f t="shared" si="124"/>
        <v>0.51773062717243978</v>
      </c>
      <c r="CR162" s="70">
        <f t="shared" si="125"/>
        <v>3.8274131150889938</v>
      </c>
      <c r="CS162" s="70">
        <f t="shared" si="126"/>
        <v>4.3451437422614339</v>
      </c>
      <c r="CT162" s="70">
        <f t="shared" si="127"/>
        <v>2.044897347729699</v>
      </c>
      <c r="CU162" s="70">
        <f t="shared" si="128"/>
        <v>7.8510198704470646</v>
      </c>
      <c r="CV162" s="70">
        <f t="shared" si="129"/>
        <v>9.8959172181767627</v>
      </c>
      <c r="CW162" s="69">
        <f t="shared" si="130"/>
        <v>2.1719493911806058</v>
      </c>
      <c r="CX162" s="69">
        <f t="shared" si="131"/>
        <v>16.056511144637049</v>
      </c>
      <c r="CY162" s="70">
        <f t="shared" si="132"/>
        <v>18.228460535817653</v>
      </c>
      <c r="CZ162" s="69">
        <f t="shared" si="133"/>
        <v>3.702648196645038</v>
      </c>
      <c r="DA162" s="69">
        <f t="shared" si="134"/>
        <v>14.215659576950896</v>
      </c>
      <c r="DB162" s="70">
        <f t="shared" si="135"/>
        <v>17.918307773595934</v>
      </c>
    </row>
    <row r="163" spans="23:106">
      <c r="W163" t="s">
        <v>453</v>
      </c>
      <c r="X163">
        <v>507450</v>
      </c>
      <c r="Y163">
        <v>223870</v>
      </c>
      <c r="Z163" s="51">
        <v>36124.019999999997</v>
      </c>
      <c r="AA163" s="32">
        <f t="shared" si="101"/>
        <v>8087084357.3999996</v>
      </c>
      <c r="AB163">
        <v>13443</v>
      </c>
      <c r="AC163" s="37">
        <f t="shared" si="102"/>
        <v>2.649127992905705E-2</v>
      </c>
      <c r="AD163" s="50">
        <f>+'Revenue mile elasticities'!M192</f>
        <v>1943843</v>
      </c>
      <c r="AE163" s="3">
        <f t="shared" si="105"/>
        <v>19438.43</v>
      </c>
      <c r="AF163" s="11">
        <f>+'Revenue mile elasticities'!P192</f>
        <v>1.2769674252107452E-3</v>
      </c>
      <c r="AG163" s="11">
        <f>+'Revenue mile elasticities'!Q192</f>
        <v>5.0436794037315956E-3</v>
      </c>
      <c r="AH163" s="11">
        <f>+'Revenue mile elasticities'!R192</f>
        <v>3.5035929355962687E-3</v>
      </c>
      <c r="AI163" s="11">
        <f>+'Revenue mile elasticities'!S192</f>
        <v>5.9727782412611003E-3</v>
      </c>
      <c r="AJ163" s="32">
        <f t="shared" si="106"/>
        <v>103269.43289331172</v>
      </c>
      <c r="AK163" s="33">
        <f t="shared" si="107"/>
        <v>1.2769674252107452E-5</v>
      </c>
      <c r="AL163" s="40">
        <f t="shared" si="108"/>
        <v>407886.60809658346</v>
      </c>
      <c r="AM163" s="33">
        <f t="shared" si="109"/>
        <v>5.0436794037315957E-5</v>
      </c>
      <c r="AN163" s="40">
        <f t="shared" si="110"/>
        <v>470987.99833220639</v>
      </c>
      <c r="AO163" s="41">
        <f t="shared" si="111"/>
        <v>3.5035929355962689E-5</v>
      </c>
      <c r="AP163" s="40">
        <f t="shared" si="112"/>
        <v>802920.57897272974</v>
      </c>
      <c r="AQ163" s="41">
        <f t="shared" si="113"/>
        <v>5.9727782412611004E-5</v>
      </c>
      <c r="AR163" s="53"/>
      <c r="AS163" s="53"/>
      <c r="BH163" t="s">
        <v>453</v>
      </c>
      <c r="BI163">
        <v>507450</v>
      </c>
      <c r="BJ163">
        <v>223870</v>
      </c>
      <c r="BK163" s="51">
        <v>36124.019999999997</v>
      </c>
      <c r="BL163" s="32">
        <f t="shared" si="103"/>
        <v>8087084357.3999996</v>
      </c>
      <c r="BM163">
        <v>13443</v>
      </c>
      <c r="BN163" s="37">
        <f t="shared" si="104"/>
        <v>2.649127992905705E-2</v>
      </c>
      <c r="BO163" s="50">
        <f t="shared" si="114"/>
        <v>1943843</v>
      </c>
      <c r="BP163" s="3">
        <f t="shared" si="115"/>
        <v>19438.43</v>
      </c>
      <c r="BQ163" s="11">
        <f>+'Rev mile pop elasticities'!P193</f>
        <v>1.3433259452675138E-2</v>
      </c>
      <c r="BR163" s="11">
        <f>+'Rev mile pop elasticities'!Q193</f>
        <v>2.7555109343186522E-2</v>
      </c>
      <c r="BS163" s="11">
        <f>+'Rev mile pop elasticities'!R193</f>
        <v>3.6856596332249476E-2</v>
      </c>
      <c r="BT163" s="11">
        <f>+'Rev mile pop elasticities'!S193</f>
        <v>3.2631050537984041E-2</v>
      </c>
      <c r="BU163" s="32">
        <f t="shared" si="116"/>
        <v>1086359.023886248</v>
      </c>
      <c r="BV163" s="33">
        <f t="shared" si="117"/>
        <v>1.343325945267514E-4</v>
      </c>
      <c r="BW163" s="40">
        <f t="shared" si="118"/>
        <v>2228404.9373573032</v>
      </c>
      <c r="BX163" s="33">
        <f t="shared" si="119"/>
        <v>2.7555109343186524E-4</v>
      </c>
      <c r="BY163" s="40">
        <f t="shared" si="120"/>
        <v>4954632.2449442958</v>
      </c>
      <c r="BZ163" s="41">
        <f t="shared" si="121"/>
        <v>3.6856596332249464E-4</v>
      </c>
      <c r="CA163" s="40">
        <f t="shared" si="122"/>
        <v>4386592.1238211943</v>
      </c>
      <c r="CB163" s="41">
        <f t="shared" si="123"/>
        <v>3.2631050537984036E-4</v>
      </c>
      <c r="CQ163" s="70">
        <f t="shared" si="124"/>
        <v>0.46129196807661466</v>
      </c>
      <c r="CR163" s="70">
        <f t="shared" si="125"/>
        <v>4.852633331336258</v>
      </c>
      <c r="CS163" s="70">
        <f t="shared" si="126"/>
        <v>5.3139252994128725</v>
      </c>
      <c r="CT163" s="70">
        <f t="shared" si="127"/>
        <v>1.8219797565398823</v>
      </c>
      <c r="CU163" s="70">
        <f t="shared" si="128"/>
        <v>9.9540132101545691</v>
      </c>
      <c r="CV163" s="70">
        <f t="shared" si="129"/>
        <v>11.775992966694451</v>
      </c>
      <c r="CW163" s="69">
        <f t="shared" si="130"/>
        <v>2.1038459745933191</v>
      </c>
      <c r="CX163" s="69">
        <f t="shared" si="131"/>
        <v>22.131738263028971</v>
      </c>
      <c r="CY163" s="70">
        <f t="shared" si="132"/>
        <v>24.235584237622291</v>
      </c>
      <c r="CZ163" s="69">
        <f t="shared" si="133"/>
        <v>3.5865483493667294</v>
      </c>
      <c r="DA163" s="69">
        <f t="shared" si="134"/>
        <v>19.59437228668957</v>
      </c>
      <c r="DB163" s="70">
        <f t="shared" si="135"/>
        <v>23.1809206360563</v>
      </c>
    </row>
    <row r="164" spans="23:106">
      <c r="W164" t="s">
        <v>454</v>
      </c>
      <c r="X164">
        <v>172981</v>
      </c>
      <c r="Y164">
        <v>100683</v>
      </c>
      <c r="Z164" s="51">
        <v>30402.61</v>
      </c>
      <c r="AA164" s="32">
        <f t="shared" si="101"/>
        <v>3061025982.6300001</v>
      </c>
      <c r="AB164">
        <v>5541</v>
      </c>
      <c r="AC164" s="37">
        <f t="shared" si="102"/>
        <v>3.2032419745521186E-2</v>
      </c>
      <c r="AD164" s="50">
        <f>+'Revenue mile elasticities'!M193</f>
        <v>623726</v>
      </c>
      <c r="AE164" s="3">
        <f t="shared" si="105"/>
        <v>6237.26</v>
      </c>
      <c r="AF164" s="11">
        <f>+'Revenue mile elasticities'!P193</f>
        <v>4.7297053605184464E-4</v>
      </c>
      <c r="AG164" s="11">
        <f>+'Revenue mile elasticities'!Q193</f>
        <v>1.8681069729424664E-3</v>
      </c>
      <c r="AH164" s="11">
        <f>+'Revenue mile elasticities'!R193</f>
        <v>1.2976808931386352E-3</v>
      </c>
      <c r="AI164" s="11">
        <f>+'Revenue mile elasticities'!S193</f>
        <v>2.2122319416423945E-3</v>
      </c>
      <c r="AJ164" s="32">
        <f t="shared" si="106"/>
        <v>14477.750998731357</v>
      </c>
      <c r="AK164" s="33">
        <f t="shared" si="107"/>
        <v>4.7297053605184466E-6</v>
      </c>
      <c r="AL164" s="40">
        <f t="shared" si="108"/>
        <v>57183.239825091689</v>
      </c>
      <c r="AM164" s="33">
        <f t="shared" si="109"/>
        <v>1.8681069729424667E-5</v>
      </c>
      <c r="AN164" s="40">
        <f t="shared" si="110"/>
        <v>71904.498288811781</v>
      </c>
      <c r="AO164" s="41">
        <f t="shared" si="111"/>
        <v>1.2976808931386352E-5</v>
      </c>
      <c r="AP164" s="40">
        <f t="shared" si="112"/>
        <v>122579.77188640511</v>
      </c>
      <c r="AQ164" s="41">
        <f t="shared" si="113"/>
        <v>2.2122319416423954E-5</v>
      </c>
      <c r="AR164" s="53"/>
      <c r="AS164" s="53"/>
      <c r="BH164" t="s">
        <v>454</v>
      </c>
      <c r="BI164">
        <v>172981</v>
      </c>
      <c r="BJ164">
        <v>100683</v>
      </c>
      <c r="BK164" s="51">
        <v>30402.61</v>
      </c>
      <c r="BL164" s="32">
        <f t="shared" si="103"/>
        <v>3061025982.6300001</v>
      </c>
      <c r="BM164">
        <v>5541</v>
      </c>
      <c r="BN164" s="37">
        <f t="shared" si="104"/>
        <v>3.2032419745521186E-2</v>
      </c>
      <c r="BO164" s="50">
        <f t="shared" si="114"/>
        <v>623726</v>
      </c>
      <c r="BP164" s="3">
        <f t="shared" si="115"/>
        <v>6237.26</v>
      </c>
      <c r="BQ164" s="11">
        <f>+'Rev mile pop elasticities'!P194</f>
        <v>1.2644711334308391E-2</v>
      </c>
      <c r="BR164" s="11">
        <f>+'Rev mile pop elasticities'!Q194</f>
        <v>2.5937592038431972E-2</v>
      </c>
      <c r="BS164" s="11">
        <f>+'Rev mile pop elasticities'!R194</f>
        <v>3.4693070808932767E-2</v>
      </c>
      <c r="BT164" s="11">
        <f>+'Rev mile pop elasticities'!S194</f>
        <v>3.0715569519195754E-2</v>
      </c>
      <c r="BU164" s="32">
        <f t="shared" si="116"/>
        <v>387057.89937174047</v>
      </c>
      <c r="BV164" s="33">
        <f t="shared" si="117"/>
        <v>1.2644711334308393E-4</v>
      </c>
      <c r="BW164" s="40">
        <f t="shared" si="118"/>
        <v>793956.43156497297</v>
      </c>
      <c r="BX164" s="33">
        <f t="shared" si="119"/>
        <v>2.593759203843197E-4</v>
      </c>
      <c r="BY164" s="40">
        <f t="shared" si="120"/>
        <v>1922343.0535229647</v>
      </c>
      <c r="BZ164" s="41">
        <f t="shared" si="121"/>
        <v>3.4693070808932769E-4</v>
      </c>
      <c r="CA164" s="40">
        <f t="shared" si="122"/>
        <v>1701949.7070586372</v>
      </c>
      <c r="CB164" s="41">
        <f t="shared" si="123"/>
        <v>3.0715569519195764E-4</v>
      </c>
      <c r="CQ164" s="70">
        <f t="shared" si="124"/>
        <v>0.14379538749075174</v>
      </c>
      <c r="CR164" s="70">
        <f t="shared" si="125"/>
        <v>3.8443222725955768</v>
      </c>
      <c r="CS164" s="70">
        <f t="shared" si="126"/>
        <v>3.9881176600863286</v>
      </c>
      <c r="CT164" s="70">
        <f t="shared" si="127"/>
        <v>0.56795327736650369</v>
      </c>
      <c r="CU164" s="70">
        <f t="shared" si="128"/>
        <v>7.8857049508355228</v>
      </c>
      <c r="CV164" s="70">
        <f t="shared" si="129"/>
        <v>8.4536582282020269</v>
      </c>
      <c r="CW164" s="69">
        <f t="shared" si="130"/>
        <v>0.71416722077025696</v>
      </c>
      <c r="CX164" s="69">
        <f t="shared" si="131"/>
        <v>19.093025173296034</v>
      </c>
      <c r="CY164" s="70">
        <f t="shared" si="132"/>
        <v>19.807192394066291</v>
      </c>
      <c r="CZ164" s="69">
        <f t="shared" si="133"/>
        <v>1.2174823146549578</v>
      </c>
      <c r="DA164" s="69">
        <f t="shared" si="134"/>
        <v>16.904042460580605</v>
      </c>
      <c r="DB164" s="70">
        <f t="shared" si="135"/>
        <v>18.121524775235564</v>
      </c>
    </row>
    <row r="165" spans="23:106">
      <c r="W165" t="s">
        <v>455</v>
      </c>
      <c r="X165">
        <v>118931</v>
      </c>
      <c r="Y165">
        <v>75249</v>
      </c>
      <c r="Z165" s="51">
        <v>32752.75</v>
      </c>
      <c r="AA165" s="32">
        <f t="shared" si="101"/>
        <v>2464611684.75</v>
      </c>
      <c r="AB165">
        <v>4036</v>
      </c>
      <c r="AC165" s="37">
        <f t="shared" si="102"/>
        <v>3.3935643356231768E-2</v>
      </c>
      <c r="AD165" s="50">
        <f>+'Revenue mile elasticities'!M194</f>
        <v>945902</v>
      </c>
      <c r="AE165" s="3">
        <f t="shared" si="105"/>
        <v>9459.02</v>
      </c>
      <c r="AF165" s="11">
        <f>+'Revenue mile elasticities'!P194</f>
        <v>9.229232681604348E-4</v>
      </c>
      <c r="AG165" s="11">
        <f>+'Revenue mile elasticities'!Q194</f>
        <v>3.6452997836473452E-3</v>
      </c>
      <c r="AH165" s="11">
        <f>+'Revenue mile elasticities'!R194</f>
        <v>2.532208244772312E-3</v>
      </c>
      <c r="AI165" s="11">
        <f>+'Revenue mile elasticities'!S194</f>
        <v>4.3168023753718558E-3</v>
      </c>
      <c r="AJ165" s="32">
        <f t="shared" si="106"/>
        <v>22746.474708358652</v>
      </c>
      <c r="AK165" s="33">
        <f t="shared" si="107"/>
        <v>9.2292326816043469E-6</v>
      </c>
      <c r="AL165" s="40">
        <f t="shared" si="108"/>
        <v>89842.484411938945</v>
      </c>
      <c r="AM165" s="33">
        <f t="shared" si="109"/>
        <v>3.6452997836473452E-5</v>
      </c>
      <c r="AN165" s="40">
        <f t="shared" si="110"/>
        <v>102199.92475901052</v>
      </c>
      <c r="AO165" s="41">
        <f t="shared" si="111"/>
        <v>2.5322082447723124E-5</v>
      </c>
      <c r="AP165" s="40">
        <f t="shared" si="112"/>
        <v>174226.14387000812</v>
      </c>
      <c r="AQ165" s="41">
        <f t="shared" si="113"/>
        <v>4.3168023753718567E-5</v>
      </c>
      <c r="AR165" s="53"/>
      <c r="AS165" s="53"/>
      <c r="BH165" t="s">
        <v>455</v>
      </c>
      <c r="BI165">
        <v>118931</v>
      </c>
      <c r="BJ165">
        <v>75249</v>
      </c>
      <c r="BK165" s="51">
        <v>32752.75</v>
      </c>
      <c r="BL165" s="32">
        <f t="shared" si="103"/>
        <v>2464611684.75</v>
      </c>
      <c r="BM165">
        <v>4036</v>
      </c>
      <c r="BN165" s="37">
        <f t="shared" si="104"/>
        <v>3.3935643356231768E-2</v>
      </c>
      <c r="BO165" s="50">
        <f t="shared" si="114"/>
        <v>945902</v>
      </c>
      <c r="BP165" s="3">
        <f t="shared" si="115"/>
        <v>9459.02</v>
      </c>
      <c r="BQ165" s="11">
        <f>+'Rev mile pop elasticities'!P195</f>
        <v>2.7891029686456847E-2</v>
      </c>
      <c r="BR165" s="11">
        <f>+'Rev mile pop elasticities'!Q195</f>
        <v>5.7211756790071566E-2</v>
      </c>
      <c r="BS165" s="11">
        <f>+'Rev mile pop elasticities'!R195</f>
        <v>7.652412477150615E-2</v>
      </c>
      <c r="BT165" s="11">
        <f>+'Rev mile pop elasticities'!S195</f>
        <v>6.7750764619821588E-2</v>
      </c>
      <c r="BU165" s="32">
        <f t="shared" si="116"/>
        <v>687405.57664950681</v>
      </c>
      <c r="BV165" s="33">
        <f t="shared" si="117"/>
        <v>2.7891029686456852E-4</v>
      </c>
      <c r="BW165" s="40">
        <f t="shared" si="118"/>
        <v>1410047.6428988553</v>
      </c>
      <c r="BX165" s="33">
        <f t="shared" si="119"/>
        <v>5.7211756790071563E-4</v>
      </c>
      <c r="BY165" s="40">
        <f t="shared" si="120"/>
        <v>3088513.6757779885</v>
      </c>
      <c r="BZ165" s="41">
        <f t="shared" si="121"/>
        <v>7.6524124771506163E-4</v>
      </c>
      <c r="CA165" s="40">
        <f t="shared" si="122"/>
        <v>2734420.8600559994</v>
      </c>
      <c r="CB165" s="41">
        <f t="shared" si="123"/>
        <v>6.7750764619821586E-4</v>
      </c>
      <c r="CQ165" s="70">
        <f t="shared" si="124"/>
        <v>0.30228275071241678</v>
      </c>
      <c r="CR165" s="70">
        <f t="shared" si="125"/>
        <v>9.1350792256309958</v>
      </c>
      <c r="CS165" s="70">
        <f t="shared" si="126"/>
        <v>9.4373619763434125</v>
      </c>
      <c r="CT165" s="70">
        <f t="shared" si="127"/>
        <v>1.1939359248885559</v>
      </c>
      <c r="CU165" s="70">
        <f t="shared" si="128"/>
        <v>18.738423672060165</v>
      </c>
      <c r="CV165" s="70">
        <f t="shared" si="129"/>
        <v>19.932359596948722</v>
      </c>
      <c r="CW165" s="69">
        <f t="shared" si="130"/>
        <v>1.3581565835959351</v>
      </c>
      <c r="CX165" s="69">
        <f t="shared" si="131"/>
        <v>41.043916540791088</v>
      </c>
      <c r="CY165" s="70">
        <f t="shared" si="132"/>
        <v>42.402073124387023</v>
      </c>
      <c r="CZ165" s="69">
        <f t="shared" si="133"/>
        <v>2.3153283614401272</v>
      </c>
      <c r="DA165" s="69">
        <f t="shared" si="134"/>
        <v>36.33830163930417</v>
      </c>
      <c r="DB165" s="70">
        <f t="shared" si="135"/>
        <v>38.6536300007443</v>
      </c>
    </row>
    <row r="166" spans="23:106">
      <c r="W166" t="s">
        <v>456</v>
      </c>
      <c r="X166">
        <v>114897</v>
      </c>
      <c r="Y166">
        <v>62966</v>
      </c>
      <c r="Z166" s="51">
        <v>29640.58</v>
      </c>
      <c r="AA166" s="32">
        <f t="shared" si="101"/>
        <v>1866348760.2800002</v>
      </c>
      <c r="AB166">
        <v>2675</v>
      </c>
      <c r="AC166" s="37">
        <f t="shared" si="102"/>
        <v>2.3281721890040644E-2</v>
      </c>
      <c r="AD166" s="50">
        <f>+'Revenue mile elasticities'!M195</f>
        <v>862554</v>
      </c>
      <c r="AE166" s="3">
        <f t="shared" si="105"/>
        <v>8625.5400000000009</v>
      </c>
      <c r="AF166" s="11">
        <f>+'Revenue mile elasticities'!P195</f>
        <v>8.3307764418739157E-4</v>
      </c>
      <c r="AG166" s="11">
        <f>+'Revenue mile elasticities'!Q195</f>
        <v>3.2904336263736267E-3</v>
      </c>
      <c r="AH166" s="11">
        <f>+'Revenue mile elasticities'!R195</f>
        <v>2.2857003956043959E-3</v>
      </c>
      <c r="AI166" s="11">
        <f>+'Revenue mile elasticities'!S195</f>
        <v>3.8965661364950845E-3</v>
      </c>
      <c r="AJ166" s="32">
        <f t="shared" si="106"/>
        <v>15548.134284461215</v>
      </c>
      <c r="AK166" s="33">
        <f t="shared" si="107"/>
        <v>8.3307764418739164E-6</v>
      </c>
      <c r="AL166" s="40">
        <f t="shared" si="108"/>
        <v>61410.967193660443</v>
      </c>
      <c r="AM166" s="33">
        <f t="shared" si="109"/>
        <v>3.2904336263736273E-5</v>
      </c>
      <c r="AN166" s="40">
        <f t="shared" si="110"/>
        <v>61142.485582417583</v>
      </c>
      <c r="AO166" s="41">
        <f t="shared" si="111"/>
        <v>2.2857003956043956E-5</v>
      </c>
      <c r="AP166" s="40">
        <f t="shared" si="112"/>
        <v>104233.1441512435</v>
      </c>
      <c r="AQ166" s="41">
        <f t="shared" si="113"/>
        <v>3.8965661364950839E-5</v>
      </c>
      <c r="AR166" s="53"/>
      <c r="AS166" s="53"/>
      <c r="BH166" t="s">
        <v>456</v>
      </c>
      <c r="BI166">
        <v>114897</v>
      </c>
      <c r="BJ166">
        <v>62966</v>
      </c>
      <c r="BK166" s="51">
        <v>29640.58</v>
      </c>
      <c r="BL166" s="32">
        <f t="shared" si="103"/>
        <v>1866348760.2800002</v>
      </c>
      <c r="BM166">
        <v>2675</v>
      </c>
      <c r="BN166" s="37">
        <f t="shared" si="104"/>
        <v>2.3281721890040644E-2</v>
      </c>
      <c r="BO166" s="50">
        <f t="shared" si="114"/>
        <v>862554</v>
      </c>
      <c r="BP166" s="3">
        <f t="shared" si="115"/>
        <v>8625.5400000000009</v>
      </c>
      <c r="BQ166" s="11">
        <f>+'Rev mile pop elasticities'!P196</f>
        <v>2.6326375956552388E-2</v>
      </c>
      <c r="BR166" s="11">
        <f>+'Rev mile pop elasticities'!Q196</f>
        <v>5.4002244998563938E-2</v>
      </c>
      <c r="BS166" s="11">
        <f>+'Rev mile pop elasticities'!R196</f>
        <v>7.2231212010757453E-2</v>
      </c>
      <c r="BT166" s="11">
        <f>+'Rev mile pop elasticities'!S196</f>
        <v>6.3950026971983612E-2</v>
      </c>
      <c r="BU166" s="32">
        <f t="shared" si="116"/>
        <v>491341.99129176763</v>
      </c>
      <c r="BV166" s="33">
        <f t="shared" si="117"/>
        <v>2.6326375956552394E-4</v>
      </c>
      <c r="BW166" s="40">
        <f t="shared" si="118"/>
        <v>1007870.2300540666</v>
      </c>
      <c r="BX166" s="33">
        <f t="shared" si="119"/>
        <v>5.4002244998563949E-4</v>
      </c>
      <c r="BY166" s="40">
        <f t="shared" si="120"/>
        <v>1932184.9212877615</v>
      </c>
      <c r="BZ166" s="41">
        <f t="shared" si="121"/>
        <v>7.223121201075744E-4</v>
      </c>
      <c r="CA166" s="40">
        <f t="shared" si="122"/>
        <v>1710663.2215005616</v>
      </c>
      <c r="CB166" s="41">
        <f t="shared" si="123"/>
        <v>6.3950026971983608E-4</v>
      </c>
      <c r="CQ166" s="70">
        <f t="shared" si="124"/>
        <v>0.24692904558747919</v>
      </c>
      <c r="CR166" s="70">
        <f t="shared" si="125"/>
        <v>7.8032905265026784</v>
      </c>
      <c r="CS166" s="70">
        <f t="shared" si="126"/>
        <v>8.0502195720901568</v>
      </c>
      <c r="CT166" s="70">
        <f t="shared" si="127"/>
        <v>0.97530361137217614</v>
      </c>
      <c r="CU166" s="70">
        <f t="shared" si="128"/>
        <v>16.006578630595346</v>
      </c>
      <c r="CV166" s="70">
        <f t="shared" si="129"/>
        <v>16.981882241967522</v>
      </c>
      <c r="CW166" s="69">
        <f t="shared" si="130"/>
        <v>0.97103969733534901</v>
      </c>
      <c r="CX166" s="69">
        <f t="shared" si="131"/>
        <v>30.68616271142778</v>
      </c>
      <c r="CY166" s="70">
        <f t="shared" si="132"/>
        <v>31.65720240876313</v>
      </c>
      <c r="CZ166" s="69">
        <f t="shared" si="133"/>
        <v>1.6553877354642743</v>
      </c>
      <c r="DA166" s="69">
        <f t="shared" si="134"/>
        <v>27.168046588644057</v>
      </c>
      <c r="DB166" s="70">
        <f t="shared" si="135"/>
        <v>28.82343432410833</v>
      </c>
    </row>
    <row r="167" spans="23:106">
      <c r="W167" t="s">
        <v>457</v>
      </c>
      <c r="X167">
        <v>174569</v>
      </c>
      <c r="Y167">
        <v>84059</v>
      </c>
      <c r="Z167" s="51">
        <v>33652.78</v>
      </c>
      <c r="AA167" s="32">
        <f t="shared" si="101"/>
        <v>2828819034.02</v>
      </c>
      <c r="AB167">
        <v>4160</v>
      </c>
      <c r="AC167" s="37">
        <f t="shared" si="102"/>
        <v>2.3830118749606173E-2</v>
      </c>
      <c r="AD167" s="50">
        <f>+'Revenue mile elasticities'!M196</f>
        <v>415818</v>
      </c>
      <c r="AE167" s="3">
        <f t="shared" si="105"/>
        <v>4158.18</v>
      </c>
      <c r="AF167" s="11">
        <f>+'Revenue mile elasticities'!P196</f>
        <v>4.9264717237806064E-4</v>
      </c>
      <c r="AG167" s="11">
        <f>+'Revenue mile elasticities'!Q196</f>
        <v>1.9458244177370145E-3</v>
      </c>
      <c r="AH167" s="11">
        <f>+'Revenue mile elasticities'!R196</f>
        <v>1.3516673321564119E-3</v>
      </c>
      <c r="AI167" s="11">
        <f>+'Revenue mile elasticities'!S196</f>
        <v>2.3042657578464646E-3</v>
      </c>
      <c r="AJ167" s="32">
        <f t="shared" si="106"/>
        <v>13936.0969827919</v>
      </c>
      <c r="AK167" s="33">
        <f t="shared" si="107"/>
        <v>4.9264717237806063E-6</v>
      </c>
      <c r="AL167" s="40">
        <f t="shared" si="108"/>
        <v>55043.8514975535</v>
      </c>
      <c r="AM167" s="33">
        <f t="shared" si="109"/>
        <v>1.9458244177370142E-5</v>
      </c>
      <c r="AN167" s="40">
        <f t="shared" si="110"/>
        <v>56229.361017706746</v>
      </c>
      <c r="AO167" s="41">
        <f t="shared" si="111"/>
        <v>1.3516673321564122E-5</v>
      </c>
      <c r="AP167" s="40">
        <f t="shared" si="112"/>
        <v>95857.455526412916</v>
      </c>
      <c r="AQ167" s="41">
        <f t="shared" si="113"/>
        <v>2.3042657578464642E-5</v>
      </c>
      <c r="AR167" s="53"/>
      <c r="AS167" s="53"/>
      <c r="BH167" t="s">
        <v>457</v>
      </c>
      <c r="BI167">
        <v>174569</v>
      </c>
      <c r="BJ167">
        <v>84059</v>
      </c>
      <c r="BK167" s="51">
        <v>33652.78</v>
      </c>
      <c r="BL167" s="32">
        <f t="shared" si="103"/>
        <v>2828819034.02</v>
      </c>
      <c r="BM167">
        <v>4160</v>
      </c>
      <c r="BN167" s="37">
        <f t="shared" si="104"/>
        <v>2.3830118749606173E-2</v>
      </c>
      <c r="BO167" s="50">
        <f t="shared" si="114"/>
        <v>415818</v>
      </c>
      <c r="BP167" s="3">
        <f t="shared" si="115"/>
        <v>4158.18</v>
      </c>
      <c r="BQ167" s="11">
        <f>+'Rev mile pop elasticities'!P197</f>
        <v>8.3531376061041756E-3</v>
      </c>
      <c r="BR167" s="11">
        <f>+'Rev mile pop elasticities'!Q197</f>
        <v>1.7134458014882368E-2</v>
      </c>
      <c r="BS167" s="11">
        <f>+'Rev mile pop elasticities'!R197</f>
        <v>2.2918355886784019E-2</v>
      </c>
      <c r="BT167" s="11">
        <f>+'Rev mile pop elasticities'!S197</f>
        <v>2.0290805543939645E-2</v>
      </c>
      <c r="BU167" s="32">
        <f t="shared" si="116"/>
        <v>236295.14653935749</v>
      </c>
      <c r="BV167" s="33">
        <f t="shared" si="117"/>
        <v>8.353137606104176E-5</v>
      </c>
      <c r="BW167" s="40">
        <f t="shared" si="118"/>
        <v>484702.80970115785</v>
      </c>
      <c r="BX167" s="33">
        <f t="shared" si="119"/>
        <v>1.7134458014882368E-4</v>
      </c>
      <c r="BY167" s="40">
        <f t="shared" si="120"/>
        <v>953403.60489021521</v>
      </c>
      <c r="BZ167" s="41">
        <f t="shared" si="121"/>
        <v>2.2918355886784018E-4</v>
      </c>
      <c r="CA167" s="40">
        <f t="shared" si="122"/>
        <v>844097.51062788931</v>
      </c>
      <c r="CB167" s="41">
        <f t="shared" si="123"/>
        <v>2.0290805543939647E-4</v>
      </c>
      <c r="CQ167" s="70">
        <f t="shared" si="124"/>
        <v>0.16578946909660952</v>
      </c>
      <c r="CR167" s="70">
        <f t="shared" si="125"/>
        <v>2.8110630216795047</v>
      </c>
      <c r="CS167" s="70">
        <f t="shared" si="126"/>
        <v>2.976852490776114</v>
      </c>
      <c r="CT167" s="70">
        <f t="shared" si="127"/>
        <v>0.65482401048731842</v>
      </c>
      <c r="CU167" s="70">
        <f t="shared" si="128"/>
        <v>5.7662214599407307</v>
      </c>
      <c r="CV167" s="70">
        <f t="shared" si="129"/>
        <v>6.4210454704280489</v>
      </c>
      <c r="CW167" s="69">
        <f t="shared" si="130"/>
        <v>0.66892731316940179</v>
      </c>
      <c r="CX167" s="69">
        <f t="shared" si="131"/>
        <v>11.342076456895933</v>
      </c>
      <c r="CY167" s="70">
        <f t="shared" si="132"/>
        <v>12.011003770065335</v>
      </c>
      <c r="CZ167" s="69">
        <f t="shared" si="133"/>
        <v>1.1403592182444819</v>
      </c>
      <c r="DA167" s="69">
        <f t="shared" si="134"/>
        <v>10.041726770814419</v>
      </c>
      <c r="DB167" s="70">
        <f t="shared" si="135"/>
        <v>11.182085989058901</v>
      </c>
    </row>
    <row r="168" spans="23:106">
      <c r="W168" t="s">
        <v>458</v>
      </c>
      <c r="X168">
        <v>258790</v>
      </c>
      <c r="Y168">
        <v>154966</v>
      </c>
      <c r="Z168" s="51">
        <v>25575.77</v>
      </c>
      <c r="AA168" s="32">
        <f t="shared" si="101"/>
        <v>3963374773.8200002</v>
      </c>
      <c r="AB168">
        <v>8383</v>
      </c>
      <c r="AC168" s="37">
        <f t="shared" si="102"/>
        <v>3.2393060010046756E-2</v>
      </c>
      <c r="AD168" s="50">
        <f>+'Revenue mile elasticities'!M197</f>
        <v>797732</v>
      </c>
      <c r="AE168" s="3">
        <f t="shared" si="105"/>
        <v>7977.3200000000006</v>
      </c>
      <c r="AF168" s="11">
        <f>+'Revenue mile elasticities'!P197</f>
        <v>6.7338596504606452E-4</v>
      </c>
      <c r="AG168" s="11">
        <f>+'Revenue mile elasticities'!Q197</f>
        <v>2.6596942534413059E-3</v>
      </c>
      <c r="AH168" s="11">
        <f>+'Revenue mile elasticities'!R197</f>
        <v>1.8475571604151951E-3</v>
      </c>
      <c r="AI168" s="11">
        <f>+'Revenue mile elasticities'!S197</f>
        <v>3.1496379317068096E-3</v>
      </c>
      <c r="AJ168" s="32">
        <f t="shared" si="106"/>
        <v>26688.809469080086</v>
      </c>
      <c r="AK168" s="33">
        <f t="shared" si="107"/>
        <v>6.7338596504606453E-6</v>
      </c>
      <c r="AL168" s="40">
        <f t="shared" si="108"/>
        <v>105413.6511016329</v>
      </c>
      <c r="AM168" s="33">
        <f t="shared" si="109"/>
        <v>2.659694253441306E-5</v>
      </c>
      <c r="AN168" s="40">
        <f t="shared" si="110"/>
        <v>154880.71675760581</v>
      </c>
      <c r="AO168" s="41">
        <f t="shared" si="111"/>
        <v>1.8475571604151952E-5</v>
      </c>
      <c r="AP168" s="40">
        <f t="shared" si="112"/>
        <v>264034.14781498193</v>
      </c>
      <c r="AQ168" s="41">
        <f t="shared" si="113"/>
        <v>3.1496379317068103E-5</v>
      </c>
      <c r="AR168" s="53"/>
      <c r="AS168" s="53"/>
      <c r="BH168" t="s">
        <v>458</v>
      </c>
      <c r="BI168">
        <v>258790</v>
      </c>
      <c r="BJ168">
        <v>154966</v>
      </c>
      <c r="BK168" s="51">
        <v>25575.77</v>
      </c>
      <c r="BL168" s="32">
        <f t="shared" si="103"/>
        <v>3963374773.8200002</v>
      </c>
      <c r="BM168">
        <v>8383</v>
      </c>
      <c r="BN168" s="37">
        <f t="shared" si="104"/>
        <v>3.2393060010046756E-2</v>
      </c>
      <c r="BO168" s="50">
        <f t="shared" si="114"/>
        <v>797732</v>
      </c>
      <c r="BP168" s="3">
        <f t="shared" si="115"/>
        <v>7977.3200000000006</v>
      </c>
      <c r="BQ168" s="11">
        <f>+'Rev mile pop elasticities'!P198</f>
        <v>1.0809932888596932E-2</v>
      </c>
      <c r="BR168" s="11">
        <f>+'Rev mile pop elasticities'!Q198</f>
        <v>2.2173984191042932E-2</v>
      </c>
      <c r="BS168" s="11">
        <f>+'Rev mile pop elasticities'!R198</f>
        <v>2.9659021643803855E-2</v>
      </c>
      <c r="BT168" s="11">
        <f>+'Rev mile pop elasticities'!S198</f>
        <v>2.6258665489392947E-2</v>
      </c>
      <c r="BU168" s="32">
        <f t="shared" si="116"/>
        <v>428438.15317352244</v>
      </c>
      <c r="BV168" s="33">
        <f t="shared" si="117"/>
        <v>1.0809932888596932E-4</v>
      </c>
      <c r="BW168" s="40">
        <f t="shared" si="118"/>
        <v>878838.09577863035</v>
      </c>
      <c r="BX168" s="33">
        <f t="shared" si="119"/>
        <v>2.217398419104293E-4</v>
      </c>
      <c r="BY168" s="40">
        <f t="shared" si="120"/>
        <v>2486315.7844000771</v>
      </c>
      <c r="BZ168" s="41">
        <f t="shared" si="121"/>
        <v>2.9659021643803856E-4</v>
      </c>
      <c r="CA168" s="40">
        <f t="shared" si="122"/>
        <v>2201263.9279758106</v>
      </c>
      <c r="CB168" s="41">
        <f t="shared" si="123"/>
        <v>2.6258665489392943E-4</v>
      </c>
      <c r="CQ168" s="70">
        <f t="shared" si="124"/>
        <v>0.17222364563246187</v>
      </c>
      <c r="CR168" s="70">
        <f t="shared" si="125"/>
        <v>2.7647235727419077</v>
      </c>
      <c r="CS168" s="70">
        <f t="shared" si="126"/>
        <v>2.9369472183743697</v>
      </c>
      <c r="CT168" s="70">
        <f t="shared" si="127"/>
        <v>0.68023728496336555</v>
      </c>
      <c r="CU168" s="70">
        <f t="shared" si="128"/>
        <v>5.6711671965375006</v>
      </c>
      <c r="CV168" s="70">
        <f t="shared" si="129"/>
        <v>6.3514044815008663</v>
      </c>
      <c r="CW168" s="69">
        <f t="shared" si="130"/>
        <v>0.99944966481425479</v>
      </c>
      <c r="CX168" s="69">
        <f t="shared" si="131"/>
        <v>16.044266383594319</v>
      </c>
      <c r="CY168" s="70">
        <f t="shared" si="132"/>
        <v>17.043716048408573</v>
      </c>
      <c r="CZ168" s="69">
        <f t="shared" si="133"/>
        <v>1.7038198560650848</v>
      </c>
      <c r="DA168" s="69">
        <f t="shared" si="134"/>
        <v>14.204818656839633</v>
      </c>
      <c r="DB168" s="70">
        <f t="shared" si="135"/>
        <v>15.908638512904718</v>
      </c>
    </row>
    <row r="169" spans="23:106">
      <c r="W169" t="s">
        <v>459</v>
      </c>
      <c r="X169">
        <v>315533</v>
      </c>
      <c r="Y169">
        <v>186669</v>
      </c>
      <c r="Z169" s="51">
        <v>36657.72</v>
      </c>
      <c r="AA169" s="32">
        <f t="shared" si="101"/>
        <v>6842859934.6800003</v>
      </c>
      <c r="AB169">
        <v>13120</v>
      </c>
      <c r="AC169" s="37">
        <f t="shared" si="102"/>
        <v>4.1580436911511635E-2</v>
      </c>
      <c r="AD169" s="50">
        <f>+'Revenue mile elasticities'!M198</f>
        <v>1214814</v>
      </c>
      <c r="AE169" s="3">
        <f t="shared" si="105"/>
        <v>12148.14</v>
      </c>
      <c r="AF169" s="11">
        <f>+'Revenue mile elasticities'!P198</f>
        <v>1.0032390015683947E-3</v>
      </c>
      <c r="AG169" s="11">
        <f>+'Revenue mile elasticities'!Q198</f>
        <v>3.9625254249501937E-3</v>
      </c>
      <c r="AH169" s="11">
        <f>+'Revenue mile elasticities'!R198</f>
        <v>2.7525691017761009E-3</v>
      </c>
      <c r="AI169" s="11">
        <f>+'Revenue mile elasticities'!S198</f>
        <v>4.6924643190199662E-3</v>
      </c>
      <c r="AJ169" s="32">
        <f t="shared" si="106"/>
        <v>68650.239687407331</v>
      </c>
      <c r="AK169" s="33">
        <f t="shared" si="107"/>
        <v>1.0032390015683945E-5</v>
      </c>
      <c r="AL169" s="40">
        <f t="shared" si="108"/>
        <v>271150.06470542523</v>
      </c>
      <c r="AM169" s="33">
        <f t="shared" si="109"/>
        <v>3.9625254249501939E-5</v>
      </c>
      <c r="AN169" s="40">
        <f t="shared" si="110"/>
        <v>361137.0661530245</v>
      </c>
      <c r="AO169" s="41">
        <f t="shared" si="111"/>
        <v>2.7525691017761012E-5</v>
      </c>
      <c r="AP169" s="40">
        <f t="shared" si="112"/>
        <v>615651.31865541951</v>
      </c>
      <c r="AQ169" s="41">
        <f t="shared" si="113"/>
        <v>4.6924643190199662E-5</v>
      </c>
      <c r="AR169" s="53"/>
      <c r="AS169" s="53"/>
      <c r="BH169" t="s">
        <v>459</v>
      </c>
      <c r="BI169">
        <v>315533</v>
      </c>
      <c r="BJ169">
        <v>186669</v>
      </c>
      <c r="BK169" s="51">
        <v>36657.72</v>
      </c>
      <c r="BL169" s="32">
        <f t="shared" si="103"/>
        <v>6842859934.6800003</v>
      </c>
      <c r="BM169">
        <v>13120</v>
      </c>
      <c r="BN169" s="37">
        <f t="shared" si="104"/>
        <v>4.1580436911511635E-2</v>
      </c>
      <c r="BO169" s="50">
        <f t="shared" si="114"/>
        <v>1214814</v>
      </c>
      <c r="BP169" s="3">
        <f t="shared" si="115"/>
        <v>12148.14</v>
      </c>
      <c r="BQ169" s="11">
        <f>+'Rev mile pop elasticities'!P199</f>
        <v>1.3501389811778799E-2</v>
      </c>
      <c r="BR169" s="11">
        <f>+'Rev mile pop elasticities'!Q199</f>
        <v>2.7694862431504791E-2</v>
      </c>
      <c r="BS169" s="11">
        <f>+'Rev mile pop elasticities'!R199</f>
        <v>3.7043524393328114E-2</v>
      </c>
      <c r="BT169" s="11">
        <f>+'Rev mile pop elasticities'!S199</f>
        <v>3.2796547616255674E-2</v>
      </c>
      <c r="BU169" s="32">
        <f t="shared" si="116"/>
        <v>923881.1940551789</v>
      </c>
      <c r="BV169" s="33">
        <f t="shared" si="117"/>
        <v>1.3501389811778797E-4</v>
      </c>
      <c r="BW169" s="40">
        <f t="shared" si="118"/>
        <v>1895120.6452901845</v>
      </c>
      <c r="BX169" s="33">
        <f t="shared" si="119"/>
        <v>2.7694862431504791E-4</v>
      </c>
      <c r="BY169" s="40">
        <f t="shared" si="120"/>
        <v>4860110.4004046489</v>
      </c>
      <c r="BZ169" s="41">
        <f t="shared" si="121"/>
        <v>3.7043524393328119E-4</v>
      </c>
      <c r="CA169" s="40">
        <f t="shared" si="122"/>
        <v>4302907.0472527444</v>
      </c>
      <c r="CB169" s="41">
        <f t="shared" si="123"/>
        <v>3.2796547616255675E-4</v>
      </c>
      <c r="CQ169" s="70">
        <f t="shared" si="124"/>
        <v>0.36776454412573772</v>
      </c>
      <c r="CR169" s="70">
        <f t="shared" si="125"/>
        <v>4.9493016733103987</v>
      </c>
      <c r="CS169" s="70">
        <f t="shared" si="126"/>
        <v>5.3170662174361363</v>
      </c>
      <c r="CT169" s="70">
        <f t="shared" si="127"/>
        <v>1.4525714752070522</v>
      </c>
      <c r="CU169" s="70">
        <f t="shared" si="128"/>
        <v>10.152305124526217</v>
      </c>
      <c r="CV169" s="70">
        <f t="shared" si="129"/>
        <v>11.60487659973327</v>
      </c>
      <c r="CW169" s="69">
        <f t="shared" si="130"/>
        <v>1.9346386714078101</v>
      </c>
      <c r="CX169" s="69">
        <f t="shared" si="131"/>
        <v>26.035980266700143</v>
      </c>
      <c r="CY169" s="70">
        <f t="shared" si="132"/>
        <v>27.970618938107954</v>
      </c>
      <c r="CZ169" s="69">
        <f t="shared" si="133"/>
        <v>3.2980908380899856</v>
      </c>
      <c r="DA169" s="69">
        <f t="shared" si="134"/>
        <v>23.050999615644507</v>
      </c>
      <c r="DB169" s="70">
        <f t="shared" si="135"/>
        <v>26.349090453734494</v>
      </c>
    </row>
    <row r="170" spans="23:106">
      <c r="W170" t="s">
        <v>306</v>
      </c>
      <c r="X170">
        <v>1556368</v>
      </c>
      <c r="Y170">
        <v>1038536</v>
      </c>
      <c r="Z170" s="51">
        <v>40648.57</v>
      </c>
      <c r="AA170" s="32">
        <f t="shared" si="101"/>
        <v>42215003293.519997</v>
      </c>
      <c r="AB170">
        <v>71966</v>
      </c>
      <c r="AC170" s="37">
        <f t="shared" si="102"/>
        <v>4.6239706804560361E-2</v>
      </c>
      <c r="AD170" s="50">
        <f>+'Revenue mile elasticities'!M199</f>
        <v>4477224</v>
      </c>
      <c r="AE170" s="3">
        <f t="shared" si="105"/>
        <v>44772.24</v>
      </c>
      <c r="AF170" s="11">
        <f>+'Revenue mile elasticities'!P199</f>
        <v>3.6188099778249961E-3</v>
      </c>
      <c r="AG170" s="11">
        <f>+'Revenue mile elasticities'!Q199</f>
        <v>1.4293330425529121E-2</v>
      </c>
      <c r="AH170" s="11">
        <f>+'Revenue mile elasticities'!R199</f>
        <v>9.9288649211082929E-3</v>
      </c>
      <c r="AI170" s="11">
        <f>+'Revenue mile elasticities'!S199</f>
        <v>1.6926312346021325E-2</v>
      </c>
      <c r="AJ170" s="32">
        <f t="shared" si="106"/>
        <v>1527680.7513250525</v>
      </c>
      <c r="AK170" s="33">
        <f t="shared" si="107"/>
        <v>3.6188099778249966E-5</v>
      </c>
      <c r="AL170" s="40">
        <f t="shared" si="108"/>
        <v>6033929.9098908138</v>
      </c>
      <c r="AM170" s="33">
        <f t="shared" si="109"/>
        <v>1.4293330425529119E-4</v>
      </c>
      <c r="AN170" s="40">
        <f t="shared" si="110"/>
        <v>7145406.929124793</v>
      </c>
      <c r="AO170" s="41">
        <f t="shared" si="111"/>
        <v>9.9288649211082912E-5</v>
      </c>
      <c r="AP170" s="40">
        <f t="shared" si="112"/>
        <v>12181189.942937706</v>
      </c>
      <c r="AQ170" s="41">
        <f t="shared" si="113"/>
        <v>1.6926312346021323E-4</v>
      </c>
      <c r="AR170" s="53"/>
      <c r="AS170" s="53"/>
      <c r="BH170" t="s">
        <v>306</v>
      </c>
      <c r="BI170">
        <v>1556368</v>
      </c>
      <c r="BJ170">
        <v>1038536</v>
      </c>
      <c r="BK170" s="51">
        <v>40648.57</v>
      </c>
      <c r="BL170" s="32">
        <f t="shared" si="103"/>
        <v>42215003293.519997</v>
      </c>
      <c r="BM170">
        <v>71966</v>
      </c>
      <c r="BN170" s="37">
        <f t="shared" si="104"/>
        <v>4.6239706804560361E-2</v>
      </c>
      <c r="BO170" s="50">
        <f t="shared" si="114"/>
        <v>4477224</v>
      </c>
      <c r="BP170" s="3">
        <f t="shared" si="115"/>
        <v>44772.24</v>
      </c>
      <c r="BQ170" s="11">
        <f>+'Rev mile pop elasticities'!P200</f>
        <v>1.0088114551108734E-2</v>
      </c>
      <c r="BR170" s="11">
        <f>+'Rev mile pop elasticities'!Q200</f>
        <v>2.0693347024354141E-2</v>
      </c>
      <c r="BS170" s="11">
        <f>+'Rev mile pop elasticities'!R200</f>
        <v>2.7678581439865117E-2</v>
      </c>
      <c r="BT170" s="11">
        <f>+'Rev mile pop elasticities'!S200</f>
        <v>2.4505279370945692E-2</v>
      </c>
      <c r="BU170" s="32">
        <f t="shared" si="116"/>
        <v>4258697.8900046218</v>
      </c>
      <c r="BV170" s="33">
        <f t="shared" si="117"/>
        <v>1.0088114551108734E-4</v>
      </c>
      <c r="BW170" s="40">
        <f t="shared" si="118"/>
        <v>8735697.127870623</v>
      </c>
      <c r="BX170" s="33">
        <f t="shared" si="119"/>
        <v>2.0693347024354142E-4</v>
      </c>
      <c r="BY170" s="40">
        <f t="shared" si="120"/>
        <v>19919167.919013333</v>
      </c>
      <c r="BZ170" s="41">
        <f t="shared" si="121"/>
        <v>2.7678581439865121E-4</v>
      </c>
      <c r="CA170" s="40">
        <f t="shared" si="122"/>
        <v>17635469.352094781</v>
      </c>
      <c r="CB170" s="41">
        <f t="shared" si="123"/>
        <v>2.4505279370945699E-4</v>
      </c>
      <c r="CQ170" s="70">
        <f t="shared" si="124"/>
        <v>1.470994507003178</v>
      </c>
      <c r="CR170" s="70">
        <f t="shared" si="125"/>
        <v>4.1006743049876189</v>
      </c>
      <c r="CS170" s="70">
        <f t="shared" si="126"/>
        <v>5.5716688119907971</v>
      </c>
      <c r="CT170" s="70">
        <f t="shared" si="127"/>
        <v>5.8100344233525014</v>
      </c>
      <c r="CU170" s="70">
        <f t="shared" si="128"/>
        <v>8.4115496505375091</v>
      </c>
      <c r="CV170" s="70">
        <f t="shared" si="129"/>
        <v>14.221584073890011</v>
      </c>
      <c r="CW170" s="69">
        <f t="shared" si="130"/>
        <v>6.8802688872844016</v>
      </c>
      <c r="CX170" s="69">
        <f t="shared" si="131"/>
        <v>19.180045678737503</v>
      </c>
      <c r="CY170" s="70">
        <f t="shared" si="132"/>
        <v>26.060314566021905</v>
      </c>
      <c r="CZ170" s="69">
        <f t="shared" si="133"/>
        <v>11.729193733233808</v>
      </c>
      <c r="DA170" s="69">
        <f t="shared" si="134"/>
        <v>16.981086213761277</v>
      </c>
      <c r="DB170" s="70">
        <f t="shared" si="135"/>
        <v>28.710279946995087</v>
      </c>
    </row>
    <row r="171" spans="23:106">
      <c r="W171" t="s">
        <v>308</v>
      </c>
      <c r="X171">
        <v>1168547</v>
      </c>
      <c r="Y171">
        <v>710250</v>
      </c>
      <c r="Z171" s="51">
        <v>41724.58</v>
      </c>
      <c r="AA171" s="32">
        <f t="shared" si="101"/>
        <v>29634882945</v>
      </c>
      <c r="AB171">
        <v>65881</v>
      </c>
      <c r="AC171" s="37">
        <f t="shared" si="102"/>
        <v>5.6378562436940921E-2</v>
      </c>
      <c r="AD171" s="50">
        <f>+'Revenue mile elasticities'!M200</f>
        <v>5131601</v>
      </c>
      <c r="AE171" s="3">
        <f t="shared" si="105"/>
        <v>51316.01</v>
      </c>
      <c r="AF171" s="11">
        <f>+'Revenue mile elasticities'!P200</f>
        <v>2.8598669135684747E-3</v>
      </c>
      <c r="AG171" s="11">
        <f>+'Revenue mile elasticities'!Q200</f>
        <v>1.1295708539313951E-2</v>
      </c>
      <c r="AH171" s="11">
        <f>+'Revenue mile elasticities'!R200</f>
        <v>7.846566261054299E-3</v>
      </c>
      <c r="AI171" s="11">
        <f>+'Revenue mile elasticities'!S200</f>
        <v>1.3376496954450732E-2</v>
      </c>
      <c r="AJ171" s="32">
        <f t="shared" si="106"/>
        <v>847518.21221880172</v>
      </c>
      <c r="AK171" s="33">
        <f t="shared" si="107"/>
        <v>2.8598669135684744E-5</v>
      </c>
      <c r="AL171" s="40">
        <f t="shared" si="108"/>
        <v>3347470.0034340587</v>
      </c>
      <c r="AM171" s="33">
        <f t="shared" si="109"/>
        <v>1.1295708539313951E-4</v>
      </c>
      <c r="AN171" s="40">
        <f t="shared" si="110"/>
        <v>5169396.3184451824</v>
      </c>
      <c r="AO171" s="41">
        <f t="shared" si="111"/>
        <v>7.8465662610542988E-5</v>
      </c>
      <c r="AP171" s="40">
        <f t="shared" si="112"/>
        <v>8812569.9585616868</v>
      </c>
      <c r="AQ171" s="41">
        <f t="shared" si="113"/>
        <v>1.3376496954450732E-4</v>
      </c>
      <c r="AR171" s="53"/>
      <c r="AS171" s="53"/>
      <c r="BH171" t="s">
        <v>308</v>
      </c>
      <c r="BI171">
        <v>1168547</v>
      </c>
      <c r="BJ171">
        <v>710250</v>
      </c>
      <c r="BK171" s="51">
        <v>41724.58</v>
      </c>
      <c r="BL171" s="32">
        <f t="shared" si="103"/>
        <v>29634882945</v>
      </c>
      <c r="BM171">
        <v>65881</v>
      </c>
      <c r="BN171" s="37">
        <f t="shared" si="104"/>
        <v>5.6378562436940921E-2</v>
      </c>
      <c r="BO171" s="50">
        <f t="shared" si="114"/>
        <v>5131601</v>
      </c>
      <c r="BP171" s="3">
        <f t="shared" si="115"/>
        <v>51316.01</v>
      </c>
      <c r="BQ171" s="11">
        <f>+'Rev mile pop elasticities'!P201</f>
        <v>1.5399980504695146E-2</v>
      </c>
      <c r="BR171" s="11">
        <f>+'Rev mile pop elasticities'!Q201</f>
        <v>3.1589365796497702E-2</v>
      </c>
      <c r="BS171" s="11">
        <f>+'Rev mile pop elasticities'!R201</f>
        <v>4.2252654092304366E-2</v>
      </c>
      <c r="BT171" s="11">
        <f>+'Rev mile pop elasticities'!S201</f>
        <v>3.7408459495852545E-2</v>
      </c>
      <c r="BU171" s="32">
        <f t="shared" si="116"/>
        <v>4563766.1961192265</v>
      </c>
      <c r="BV171" s="33">
        <f t="shared" si="117"/>
        <v>1.5399980504695145E-4</v>
      </c>
      <c r="BW171" s="40">
        <f t="shared" si="118"/>
        <v>9361471.5768599603</v>
      </c>
      <c r="BX171" s="33">
        <f t="shared" si="119"/>
        <v>3.1589365796497702E-4</v>
      </c>
      <c r="BY171" s="40">
        <f t="shared" si="120"/>
        <v>27836471.042551044</v>
      </c>
      <c r="BZ171" s="41">
        <f t="shared" si="121"/>
        <v>4.2252654092304372E-4</v>
      </c>
      <c r="CA171" s="40">
        <f t="shared" si="122"/>
        <v>24645067.200462621</v>
      </c>
      <c r="CB171" s="41">
        <f t="shared" si="123"/>
        <v>3.7408459495852554E-4</v>
      </c>
      <c r="CQ171" s="70">
        <f t="shared" si="124"/>
        <v>1.193267458245409</v>
      </c>
      <c r="CR171" s="70">
        <f t="shared" si="125"/>
        <v>6.4255771856659294</v>
      </c>
      <c r="CS171" s="70">
        <f t="shared" si="126"/>
        <v>7.6188446439113386</v>
      </c>
      <c r="CT171" s="70">
        <f t="shared" si="127"/>
        <v>4.713086946052881</v>
      </c>
      <c r="CU171" s="70">
        <f t="shared" si="128"/>
        <v>13.180530203252321</v>
      </c>
      <c r="CV171" s="70">
        <f t="shared" si="129"/>
        <v>17.8936171493052</v>
      </c>
      <c r="CW171" s="69">
        <f t="shared" si="130"/>
        <v>7.2782771115032485</v>
      </c>
      <c r="CX171" s="69">
        <f t="shared" si="131"/>
        <v>39.192497068005693</v>
      </c>
      <c r="CY171" s="70">
        <f t="shared" si="132"/>
        <v>46.470774179508943</v>
      </c>
      <c r="CZ171" s="69">
        <f t="shared" si="133"/>
        <v>12.407701455208288</v>
      </c>
      <c r="DA171" s="69">
        <f t="shared" si="134"/>
        <v>34.699144245635509</v>
      </c>
      <c r="DB171" s="70">
        <f t="shared" si="135"/>
        <v>47.106845700843799</v>
      </c>
    </row>
    <row r="172" spans="23:106">
      <c r="W172" t="s">
        <v>310</v>
      </c>
      <c r="X172">
        <v>18968501</v>
      </c>
      <c r="Y172">
        <v>11166752</v>
      </c>
      <c r="Z172" s="51">
        <v>63346.31</v>
      </c>
      <c r="AA172" s="32">
        <f t="shared" si="101"/>
        <v>707372533885.12</v>
      </c>
      <c r="AB172">
        <v>1157843</v>
      </c>
      <c r="AC172" s="37">
        <f t="shared" si="102"/>
        <v>6.1040300443350792E-2</v>
      </c>
      <c r="AD172" s="50">
        <f>+'Revenue mile elasticities'!M201</f>
        <v>412000000</v>
      </c>
      <c r="AE172" s="3">
        <f t="shared" si="105"/>
        <v>4120000</v>
      </c>
      <c r="AF172" s="11">
        <f>+'Revenue mile elasticities'!P201</f>
        <v>5.4642297910819967E-2</v>
      </c>
      <c r="AG172" s="11">
        <f>+'Revenue mile elasticities'!Q201</f>
        <v>0.21582244550982585</v>
      </c>
      <c r="AH172" s="11">
        <f>+'Revenue mile elasticities'!R201</f>
        <v>0.1499211061813111</v>
      </c>
      <c r="AI172" s="11">
        <f>+'Revenue mile elasticities'!S201</f>
        <v>0.25557921178795168</v>
      </c>
      <c r="AJ172" s="32">
        <f t="shared" si="106"/>
        <v>386524607.30482322</v>
      </c>
      <c r="AK172" s="33">
        <f t="shared" si="107"/>
        <v>5.4642297910819976E-4</v>
      </c>
      <c r="AL172" s="40">
        <f t="shared" si="108"/>
        <v>1526668701.4956875</v>
      </c>
      <c r="AM172" s="33">
        <f t="shared" si="109"/>
        <v>2.1582244550982584E-3</v>
      </c>
      <c r="AN172" s="40">
        <f t="shared" si="110"/>
        <v>1735851033.442878</v>
      </c>
      <c r="AO172" s="41">
        <f t="shared" si="111"/>
        <v>1.4992110618131111E-3</v>
      </c>
      <c r="AP172" s="40">
        <f t="shared" si="112"/>
        <v>2959206013.141973</v>
      </c>
      <c r="AQ172" s="41">
        <f t="shared" si="113"/>
        <v>2.5557921178795164E-3</v>
      </c>
      <c r="AR172" s="53"/>
      <c r="AS172" s="53"/>
      <c r="BH172" t="s">
        <v>310</v>
      </c>
      <c r="BI172">
        <v>18968501</v>
      </c>
      <c r="BJ172">
        <v>11166752</v>
      </c>
      <c r="BK172" s="51">
        <v>63346.31</v>
      </c>
      <c r="BL172" s="32">
        <f t="shared" si="103"/>
        <v>707372533885.12</v>
      </c>
      <c r="BM172">
        <v>1157843</v>
      </c>
      <c r="BN172" s="37">
        <f t="shared" si="104"/>
        <v>6.1040300443350792E-2</v>
      </c>
      <c r="BO172" s="50">
        <f t="shared" si="114"/>
        <v>412000000</v>
      </c>
      <c r="BP172" s="3">
        <f t="shared" si="115"/>
        <v>4120000</v>
      </c>
      <c r="BQ172" s="11">
        <f>+'Rev mile pop elasticities'!P202</f>
        <v>7.6168899166043733E-2</v>
      </c>
      <c r="BR172" s="11">
        <f>+'Rev mile pop elasticities'!Q202</f>
        <v>0.1562422249391241</v>
      </c>
      <c r="BS172" s="11">
        <f>+'Rev mile pop elasticities'!R202</f>
        <v>0.2089832612497951</v>
      </c>
      <c r="BT172" s="11">
        <f>+'Rev mile pop elasticities'!S202</f>
        <v>0.18502368742791012</v>
      </c>
      <c r="BU172" s="32">
        <f t="shared" si="116"/>
        <v>538797872.06324565</v>
      </c>
      <c r="BV172" s="33">
        <f t="shared" si="117"/>
        <v>7.6168899166043742E-4</v>
      </c>
      <c r="BW172" s="40">
        <f t="shared" si="118"/>
        <v>1105214585.5503709</v>
      </c>
      <c r="BX172" s="33">
        <f t="shared" si="119"/>
        <v>1.5624222493912409E-3</v>
      </c>
      <c r="BY172" s="40">
        <f t="shared" si="120"/>
        <v>2419698061.552465</v>
      </c>
      <c r="BZ172" s="41">
        <f t="shared" si="121"/>
        <v>2.0898326124979506E-3</v>
      </c>
      <c r="CA172" s="40">
        <f t="shared" si="122"/>
        <v>2142283813.2259371</v>
      </c>
      <c r="CB172" s="41">
        <f t="shared" si="123"/>
        <v>1.8502368742791008E-3</v>
      </c>
      <c r="CQ172" s="70">
        <f t="shared" si="124"/>
        <v>34.613879425711545</v>
      </c>
      <c r="CR172" s="70">
        <f t="shared" si="125"/>
        <v>48.250186989309483</v>
      </c>
      <c r="CS172" s="70">
        <f t="shared" si="126"/>
        <v>82.864066415021028</v>
      </c>
      <c r="CT172" s="70">
        <f t="shared" si="127"/>
        <v>136.71555538223535</v>
      </c>
      <c r="CU172" s="70">
        <f t="shared" si="128"/>
        <v>98.97368416083485</v>
      </c>
      <c r="CV172" s="70">
        <f t="shared" si="129"/>
        <v>235.68923954307019</v>
      </c>
      <c r="CW172" s="69">
        <f t="shared" si="130"/>
        <v>155.44815837612208</v>
      </c>
      <c r="CX172" s="69">
        <f t="shared" si="131"/>
        <v>216.68772276419006</v>
      </c>
      <c r="CY172" s="70">
        <f t="shared" si="132"/>
        <v>372.13588114031211</v>
      </c>
      <c r="CZ172" s="69">
        <f t="shared" si="133"/>
        <v>265.00149847887491</v>
      </c>
      <c r="DA172" s="69">
        <f t="shared" si="134"/>
        <v>191.84484559395042</v>
      </c>
      <c r="DB172" s="70">
        <f t="shared" si="135"/>
        <v>456.84634407282533</v>
      </c>
    </row>
    <row r="173" spans="23:106">
      <c r="W173" t="s">
        <v>460</v>
      </c>
      <c r="X173">
        <v>160319</v>
      </c>
      <c r="Y173">
        <v>87983</v>
      </c>
      <c r="Z173" s="51">
        <v>35029.129999999997</v>
      </c>
      <c r="AA173" s="32">
        <f t="shared" si="101"/>
        <v>3081967944.79</v>
      </c>
      <c r="AB173">
        <v>4936</v>
      </c>
      <c r="AC173" s="37">
        <f t="shared" si="102"/>
        <v>3.0788615198448093E-2</v>
      </c>
      <c r="AD173" s="50">
        <f>+'Revenue mile elasticities'!M202</f>
        <v>53620</v>
      </c>
      <c r="AE173" s="3">
        <f t="shared" si="105"/>
        <v>536.20000000000005</v>
      </c>
      <c r="AF173" s="11">
        <f>+'Revenue mile elasticities'!P202</f>
        <v>6.7284264932607917E-5</v>
      </c>
      <c r="AG173" s="11">
        <f>+'Revenue mile elasticities'!Q202</f>
        <v>2.657548301827731E-4</v>
      </c>
      <c r="AH173" s="11">
        <f>+'Revenue mile elasticities'!R202</f>
        <v>1.8460664746852714E-4</v>
      </c>
      <c r="AI173" s="11">
        <f>+'Revenue mile elasticities'!S202</f>
        <v>3.1470966732170499E-4</v>
      </c>
      <c r="AJ173" s="32">
        <f t="shared" si="106"/>
        <v>2073.6794771105551</v>
      </c>
      <c r="AK173" s="33">
        <f t="shared" si="107"/>
        <v>6.7284264932607927E-7</v>
      </c>
      <c r="AL173" s="40">
        <f t="shared" si="108"/>
        <v>8190.4786779641672</v>
      </c>
      <c r="AM173" s="33">
        <f t="shared" si="109"/>
        <v>2.6575483018277313E-6</v>
      </c>
      <c r="AN173" s="40">
        <f t="shared" si="110"/>
        <v>9112.1841190464984</v>
      </c>
      <c r="AO173" s="41">
        <f t="shared" si="111"/>
        <v>1.846066474685271E-6</v>
      </c>
      <c r="AP173" s="40">
        <f t="shared" si="112"/>
        <v>15534.06917899936</v>
      </c>
      <c r="AQ173" s="41">
        <f t="shared" si="113"/>
        <v>3.1470966732170501E-6</v>
      </c>
      <c r="AR173" s="53"/>
      <c r="AS173" s="53"/>
      <c r="BH173" t="s">
        <v>460</v>
      </c>
      <c r="BI173">
        <v>160319</v>
      </c>
      <c r="BJ173">
        <v>87983</v>
      </c>
      <c r="BK173" s="51">
        <v>35029.129999999997</v>
      </c>
      <c r="BL173" s="32">
        <f t="shared" si="103"/>
        <v>3081967944.79</v>
      </c>
      <c r="BM173">
        <v>4936</v>
      </c>
      <c r="BN173" s="37">
        <f t="shared" si="104"/>
        <v>3.0788615198448093E-2</v>
      </c>
      <c r="BO173" s="50">
        <f t="shared" si="114"/>
        <v>53620</v>
      </c>
      <c r="BP173" s="3">
        <f t="shared" si="115"/>
        <v>536.20000000000005</v>
      </c>
      <c r="BQ173" s="11">
        <f>+'Rev mile pop elasticities'!P203</f>
        <v>1.1728846138012337E-3</v>
      </c>
      <c r="BR173" s="11">
        <f>+'Rev mile pop elasticities'!Q203</f>
        <v>2.4058914289635043E-3</v>
      </c>
      <c r="BS173" s="11">
        <f>+'Rev mile pop elasticities'!R203</f>
        <v>3.2180227671080781E-3</v>
      </c>
      <c r="BT173" s="11">
        <f>+'Rev mile pop elasticities'!S203</f>
        <v>2.8490819553515182E-3</v>
      </c>
      <c r="BU173" s="32">
        <f t="shared" si="116"/>
        <v>36147.92782672801</v>
      </c>
      <c r="BV173" s="33">
        <f t="shared" si="117"/>
        <v>1.1728846138012336E-5</v>
      </c>
      <c r="BW173" s="40">
        <f t="shared" si="118"/>
        <v>74148.80262710528</v>
      </c>
      <c r="BX173" s="33">
        <f t="shared" si="119"/>
        <v>2.4058914289635045E-5</v>
      </c>
      <c r="BY173" s="40">
        <f t="shared" si="120"/>
        <v>158841.60378445472</v>
      </c>
      <c r="BZ173" s="41">
        <f t="shared" si="121"/>
        <v>3.218022767108078E-5</v>
      </c>
      <c r="CA173" s="40">
        <f t="shared" si="122"/>
        <v>140630.68531615095</v>
      </c>
      <c r="CB173" s="41">
        <f t="shared" si="123"/>
        <v>2.8490819553515184E-5</v>
      </c>
      <c r="CQ173" s="70">
        <f t="shared" si="124"/>
        <v>2.3569092632787642E-2</v>
      </c>
      <c r="CR173" s="70">
        <f t="shared" si="125"/>
        <v>0.41085127611843208</v>
      </c>
      <c r="CS173" s="70">
        <f t="shared" si="126"/>
        <v>0.4344203687512197</v>
      </c>
      <c r="CT173" s="70">
        <f t="shared" si="127"/>
        <v>9.3091604946002826E-2</v>
      </c>
      <c r="CU173" s="70">
        <f t="shared" si="128"/>
        <v>0.84276283631048365</v>
      </c>
      <c r="CV173" s="70">
        <f t="shared" si="129"/>
        <v>0.93585444125648642</v>
      </c>
      <c r="CW173" s="69">
        <f t="shared" si="130"/>
        <v>0.10356755417576689</v>
      </c>
      <c r="CX173" s="69">
        <f t="shared" si="131"/>
        <v>1.8053669889007504</v>
      </c>
      <c r="CY173" s="70">
        <f t="shared" si="132"/>
        <v>1.9089345430765172</v>
      </c>
      <c r="CZ173" s="69">
        <f t="shared" si="133"/>
        <v>0.1765576211199818</v>
      </c>
      <c r="DA173" s="69">
        <f t="shared" si="134"/>
        <v>1.5983847483735603</v>
      </c>
      <c r="DB173" s="70">
        <f t="shared" si="135"/>
        <v>1.774942369493542</v>
      </c>
    </row>
    <row r="174" spans="23:106">
      <c r="W174" t="s">
        <v>461</v>
      </c>
      <c r="X174">
        <v>131180</v>
      </c>
      <c r="Y174">
        <v>80386</v>
      </c>
      <c r="Z174" s="51">
        <v>42021.41</v>
      </c>
      <c r="AA174" s="32">
        <f t="shared" si="101"/>
        <v>3377933064.2600002</v>
      </c>
      <c r="AB174">
        <v>5683</v>
      </c>
      <c r="AC174" s="37">
        <f t="shared" si="102"/>
        <v>4.332215276719012E-2</v>
      </c>
      <c r="AD174" s="50">
        <f>+'Revenue mile elasticities'!M203</f>
        <v>737349</v>
      </c>
      <c r="AE174" s="3">
        <f t="shared" si="105"/>
        <v>7373.49</v>
      </c>
      <c r="AF174" s="11">
        <f>+'Revenue mile elasticities'!P203</f>
        <v>6.6134577688396247E-4</v>
      </c>
      <c r="AG174" s="11">
        <f>+'Revenue mile elasticities'!Q203</f>
        <v>2.6121387341294291E-3</v>
      </c>
      <c r="AH174" s="11">
        <f>+'Revenue mile elasticities'!R203</f>
        <v>1.8145227091401137E-3</v>
      </c>
      <c r="AI174" s="11">
        <f>+'Revenue mile elasticities'!S203</f>
        <v>3.0933221851532715E-3</v>
      </c>
      <c r="AJ174" s="32">
        <f t="shared" si="106"/>
        <v>22339.817666450537</v>
      </c>
      <c r="AK174" s="33">
        <f t="shared" si="107"/>
        <v>6.6134577688396244E-6</v>
      </c>
      <c r="AL174" s="40">
        <f t="shared" si="108"/>
        <v>88236.297984500605</v>
      </c>
      <c r="AM174" s="33">
        <f t="shared" si="109"/>
        <v>2.6121387341294292E-5</v>
      </c>
      <c r="AN174" s="40">
        <f t="shared" si="110"/>
        <v>103119.32556043266</v>
      </c>
      <c r="AO174" s="41">
        <f t="shared" si="111"/>
        <v>1.8145227091401134E-5</v>
      </c>
      <c r="AP174" s="40">
        <f t="shared" si="112"/>
        <v>175793.49978226042</v>
      </c>
      <c r="AQ174" s="41">
        <f t="shared" si="113"/>
        <v>3.0933221851532713E-5</v>
      </c>
      <c r="AR174" s="53"/>
      <c r="AS174" s="53"/>
      <c r="BH174" t="s">
        <v>461</v>
      </c>
      <c r="BI174">
        <v>131180</v>
      </c>
      <c r="BJ174">
        <v>80386</v>
      </c>
      <c r="BK174" s="51">
        <v>42021.41</v>
      </c>
      <c r="BL174" s="32">
        <f t="shared" si="103"/>
        <v>3377933064.2600002</v>
      </c>
      <c r="BM174">
        <v>5683</v>
      </c>
      <c r="BN174" s="37">
        <f t="shared" si="104"/>
        <v>4.332215276719012E-2</v>
      </c>
      <c r="BO174" s="50">
        <f t="shared" si="114"/>
        <v>737349</v>
      </c>
      <c r="BP174" s="3">
        <f t="shared" si="115"/>
        <v>7373.49</v>
      </c>
      <c r="BQ174" s="11">
        <f>+'Rev mile pop elasticities'!P204</f>
        <v>1.9711466840829393E-2</v>
      </c>
      <c r="BR174" s="11">
        <f>+'Rev mile pop elasticities'!Q204</f>
        <v>4.0433345758499779E-2</v>
      </c>
      <c r="BS174" s="11">
        <f>+'Rev mile pop elasticities'!R204</f>
        <v>5.4082002884586061E-2</v>
      </c>
      <c r="BT174" s="11">
        <f>+'Rev mile pop elasticities'!S204</f>
        <v>4.7881593661381318E-2</v>
      </c>
      <c r="BU174" s="32">
        <f t="shared" si="116"/>
        <v>665840.15586702211</v>
      </c>
      <c r="BV174" s="33">
        <f t="shared" si="117"/>
        <v>1.9711466840829391E-4</v>
      </c>
      <c r="BW174" s="40">
        <f t="shared" si="118"/>
        <v>1365811.3553629324</v>
      </c>
      <c r="BX174" s="33">
        <f t="shared" si="119"/>
        <v>4.0433345758499777E-4</v>
      </c>
      <c r="BY174" s="40">
        <f t="shared" si="120"/>
        <v>3073480.2239310257</v>
      </c>
      <c r="BZ174" s="41">
        <f t="shared" si="121"/>
        <v>5.4082002884586061E-4</v>
      </c>
      <c r="CA174" s="40">
        <f t="shared" si="122"/>
        <v>2721110.9677763009</v>
      </c>
      <c r="CB174" s="41">
        <f t="shared" si="123"/>
        <v>4.7881593661381326E-4</v>
      </c>
      <c r="CQ174" s="70">
        <f t="shared" si="124"/>
        <v>0.27790682042209508</v>
      </c>
      <c r="CR174" s="70">
        <f t="shared" si="125"/>
        <v>8.2830362981989669</v>
      </c>
      <c r="CS174" s="70">
        <f t="shared" si="126"/>
        <v>8.5609431186210614</v>
      </c>
      <c r="CT174" s="70">
        <f t="shared" si="127"/>
        <v>1.0976575272373374</v>
      </c>
      <c r="CU174" s="70">
        <f t="shared" si="128"/>
        <v>16.990661997896805</v>
      </c>
      <c r="CV174" s="70">
        <f t="shared" si="129"/>
        <v>18.088319525134143</v>
      </c>
      <c r="CW174" s="69">
        <f t="shared" si="130"/>
        <v>1.2828020496160109</v>
      </c>
      <c r="CX174" s="69">
        <f t="shared" si="131"/>
        <v>38.234023635098474</v>
      </c>
      <c r="CY174" s="70">
        <f t="shared" si="132"/>
        <v>39.516825684714483</v>
      </c>
      <c r="CZ174" s="69">
        <f t="shared" si="133"/>
        <v>2.1868671134558308</v>
      </c>
      <c r="DA174" s="69">
        <f t="shared" si="134"/>
        <v>33.850558154110182</v>
      </c>
      <c r="DB174" s="70">
        <f t="shared" si="135"/>
        <v>36.037425267566014</v>
      </c>
    </row>
    <row r="175" spans="23:106">
      <c r="W175" t="s">
        <v>462</v>
      </c>
      <c r="X175">
        <v>1207519</v>
      </c>
      <c r="Y175">
        <v>778170</v>
      </c>
      <c r="Z175" s="51">
        <v>36706.5</v>
      </c>
      <c r="AA175" s="32">
        <f t="shared" si="101"/>
        <v>28563897105</v>
      </c>
      <c r="AB175">
        <v>47797</v>
      </c>
      <c r="AC175" s="37">
        <f t="shared" si="102"/>
        <v>3.9582814017833257E-2</v>
      </c>
      <c r="AD175" s="50">
        <f>+'Revenue mile elasticities'!M204</f>
        <v>3118661</v>
      </c>
      <c r="AE175" s="3">
        <f t="shared" si="105"/>
        <v>31186.61</v>
      </c>
      <c r="AF175" s="11">
        <f>+'Revenue mile elasticities'!P204</f>
        <v>2.4958392195623571E-3</v>
      </c>
      <c r="AG175" s="11">
        <f>+'Revenue mile elasticities'!Q204</f>
        <v>9.8578966214856213E-3</v>
      </c>
      <c r="AH175" s="11">
        <f>+'Revenue mile elasticities'!R204</f>
        <v>6.8477899164887781E-3</v>
      </c>
      <c r="AI175" s="11">
        <f>+'Revenue mile elasticities'!S204</f>
        <v>1.1673824946496131E-2</v>
      </c>
      <c r="AJ175" s="32">
        <f t="shared" si="106"/>
        <v>712908.94658202678</v>
      </c>
      <c r="AK175" s="33">
        <f t="shared" si="107"/>
        <v>2.4958392195623573E-5</v>
      </c>
      <c r="AL175" s="40">
        <f t="shared" si="108"/>
        <v>2815799.4476784244</v>
      </c>
      <c r="AM175" s="33">
        <f t="shared" si="109"/>
        <v>9.8578966214856215E-5</v>
      </c>
      <c r="AN175" s="40">
        <f t="shared" si="110"/>
        <v>3273038.1463841409</v>
      </c>
      <c r="AO175" s="41">
        <f t="shared" si="111"/>
        <v>6.8477899164887771E-5</v>
      </c>
      <c r="AP175" s="40">
        <f t="shared" si="112"/>
        <v>5579738.109676755</v>
      </c>
      <c r="AQ175" s="41">
        <f t="shared" si="113"/>
        <v>1.1673824946496129E-4</v>
      </c>
      <c r="AR175" s="53"/>
      <c r="AS175" s="53"/>
      <c r="BH175" t="s">
        <v>462</v>
      </c>
      <c r="BI175">
        <v>1207519</v>
      </c>
      <c r="BJ175">
        <v>778170</v>
      </c>
      <c r="BK175" s="51">
        <v>36706.5</v>
      </c>
      <c r="BL175" s="32">
        <f t="shared" si="103"/>
        <v>28563897105</v>
      </c>
      <c r="BM175">
        <v>47797</v>
      </c>
      <c r="BN175" s="37">
        <f t="shared" si="104"/>
        <v>3.9582814017833257E-2</v>
      </c>
      <c r="BO175" s="50">
        <f t="shared" si="114"/>
        <v>3118661</v>
      </c>
      <c r="BP175" s="3">
        <f t="shared" si="115"/>
        <v>31186.61</v>
      </c>
      <c r="BQ175" s="11">
        <f>+'Rev mile pop elasticities'!P205</f>
        <v>9.0570688892017415E-3</v>
      </c>
      <c r="BR175" s="11">
        <f>+'Rev mile pop elasticities'!Q205</f>
        <v>1.8578404180306894E-2</v>
      </c>
      <c r="BS175" s="11">
        <f>+'Rev mile pop elasticities'!R205</f>
        <v>2.4849719696004777E-2</v>
      </c>
      <c r="BT175" s="11">
        <f>+'Rev mile pop elasticities'!S205</f>
        <v>2.2000741792468689E-2</v>
      </c>
      <c r="BU175" s="32">
        <f t="shared" si="116"/>
        <v>2587051.8382405522</v>
      </c>
      <c r="BV175" s="33">
        <f t="shared" si="117"/>
        <v>9.0570688892017428E-5</v>
      </c>
      <c r="BW175" s="40">
        <f t="shared" si="118"/>
        <v>5306716.2538138805</v>
      </c>
      <c r="BX175" s="33">
        <f t="shared" si="119"/>
        <v>1.8578404180306896E-4</v>
      </c>
      <c r="BY175" s="40">
        <f t="shared" si="120"/>
        <v>11877420.523099404</v>
      </c>
      <c r="BZ175" s="41">
        <f t="shared" si="121"/>
        <v>2.4849719696004775E-4</v>
      </c>
      <c r="CA175" s="40">
        <f t="shared" si="122"/>
        <v>10515694.554546257</v>
      </c>
      <c r="CB175" s="41">
        <f t="shared" si="123"/>
        <v>2.2000741792468684E-4</v>
      </c>
      <c r="CQ175" s="70">
        <f t="shared" si="124"/>
        <v>0.91613522312865669</v>
      </c>
      <c r="CR175" s="70">
        <f t="shared" si="125"/>
        <v>3.3245329918148379</v>
      </c>
      <c r="CS175" s="70">
        <f t="shared" si="126"/>
        <v>4.2406682149434944</v>
      </c>
      <c r="CT175" s="70">
        <f t="shared" si="127"/>
        <v>3.6184888233656198</v>
      </c>
      <c r="CU175" s="70">
        <f t="shared" si="128"/>
        <v>6.8194819304443506</v>
      </c>
      <c r="CV175" s="70">
        <f t="shared" si="129"/>
        <v>10.437970753809971</v>
      </c>
      <c r="CW175" s="69">
        <f t="shared" si="130"/>
        <v>4.2060708410554772</v>
      </c>
      <c r="CX175" s="69">
        <f t="shared" si="131"/>
        <v>15.263272193864328</v>
      </c>
      <c r="CY175" s="70">
        <f t="shared" si="132"/>
        <v>19.469343034919806</v>
      </c>
      <c r="CZ175" s="69">
        <f t="shared" si="133"/>
        <v>7.1703331016060181</v>
      </c>
      <c r="DA175" s="69">
        <f t="shared" si="134"/>
        <v>13.513364116512147</v>
      </c>
      <c r="DB175" s="70">
        <f t="shared" si="135"/>
        <v>20.683697218118166</v>
      </c>
    </row>
    <row r="176" spans="23:106">
      <c r="W176" t="s">
        <v>463</v>
      </c>
      <c r="X176">
        <v>245571</v>
      </c>
      <c r="Y176">
        <v>136087</v>
      </c>
      <c r="Z176" s="51">
        <v>33295.160000000003</v>
      </c>
      <c r="AA176" s="32">
        <f t="shared" si="101"/>
        <v>4531038438.9200001</v>
      </c>
      <c r="AB176">
        <v>5738</v>
      </c>
      <c r="AC176" s="37">
        <f t="shared" si="102"/>
        <v>2.3365951191305162E-2</v>
      </c>
      <c r="AD176" s="50">
        <f>+'Revenue mile elasticities'!M205</f>
        <v>2579552</v>
      </c>
      <c r="AE176" s="3">
        <f t="shared" si="105"/>
        <v>25795.52</v>
      </c>
      <c r="AF176" s="11">
        <f>+'Revenue mile elasticities'!P205</f>
        <v>1.2110982331937482E-3</v>
      </c>
      <c r="AG176" s="11">
        <f>+'Revenue mile elasticities'!Q205</f>
        <v>4.7835137326599619E-3</v>
      </c>
      <c r="AH176" s="11">
        <f>+'Revenue mile elasticities'!R205</f>
        <v>3.3228687986543277E-3</v>
      </c>
      <c r="AI176" s="11">
        <f>+'Revenue mile elasticities'!S205</f>
        <v>5.6646873149920601E-3</v>
      </c>
      <c r="AJ176" s="32">
        <f t="shared" si="106"/>
        <v>54875.326479089716</v>
      </c>
      <c r="AK176" s="33">
        <f t="shared" si="107"/>
        <v>1.2110982331937483E-5</v>
      </c>
      <c r="AL176" s="40">
        <f t="shared" si="108"/>
        <v>216742.84595783977</v>
      </c>
      <c r="AM176" s="33">
        <f t="shared" si="109"/>
        <v>4.7835137326599621E-5</v>
      </c>
      <c r="AN176" s="40">
        <f t="shared" si="110"/>
        <v>190666.21166678533</v>
      </c>
      <c r="AO176" s="41">
        <f t="shared" si="111"/>
        <v>3.3228687986543279E-5</v>
      </c>
      <c r="AP176" s="40">
        <f t="shared" si="112"/>
        <v>325039.75813424442</v>
      </c>
      <c r="AQ176" s="41">
        <f t="shared" si="113"/>
        <v>5.6646873149920604E-5</v>
      </c>
      <c r="AR176" s="53"/>
      <c r="AS176" s="53"/>
      <c r="BH176" t="s">
        <v>463</v>
      </c>
      <c r="BI176">
        <v>245571</v>
      </c>
      <c r="BJ176">
        <v>136087</v>
      </c>
      <c r="BK176" s="51">
        <v>33295.160000000003</v>
      </c>
      <c r="BL176" s="32">
        <f t="shared" si="103"/>
        <v>4531038438.9200001</v>
      </c>
      <c r="BM176">
        <v>5738</v>
      </c>
      <c r="BN176" s="37">
        <f t="shared" si="104"/>
        <v>2.3365951191305162E-2</v>
      </c>
      <c r="BO176" s="50">
        <f t="shared" si="114"/>
        <v>2579552</v>
      </c>
      <c r="BP176" s="3">
        <f t="shared" si="115"/>
        <v>25795.52</v>
      </c>
      <c r="BQ176" s="11">
        <f>+'Rev mile pop elasticities'!P206</f>
        <v>3.6836697104462655E-2</v>
      </c>
      <c r="BR176" s="11">
        <f>+'Rev mile pop elasticities'!Q206</f>
        <v>7.5561647575650218E-2</v>
      </c>
      <c r="BS176" s="11">
        <f>+'Rev mile pop elasticities'!R206</f>
        <v>0.10106819422163039</v>
      </c>
      <c r="BT176" s="11">
        <f>+'Rev mile pop elasticities'!S206</f>
        <v>8.9480898444848939E-2</v>
      </c>
      <c r="BU176" s="32">
        <f t="shared" si="116"/>
        <v>1669084.9054317337</v>
      </c>
      <c r="BV176" s="33">
        <f t="shared" si="117"/>
        <v>3.6836697104462656E-4</v>
      </c>
      <c r="BW176" s="40">
        <f t="shared" si="118"/>
        <v>3423727.296733974</v>
      </c>
      <c r="BX176" s="33">
        <f t="shared" si="119"/>
        <v>7.556164757565022E-4</v>
      </c>
      <c r="BY176" s="40">
        <f t="shared" si="120"/>
        <v>5799292.9844371518</v>
      </c>
      <c r="BZ176" s="41">
        <f t="shared" si="121"/>
        <v>1.0106819422163039E-3</v>
      </c>
      <c r="CA176" s="40">
        <f t="shared" si="122"/>
        <v>5134413.9527654322</v>
      </c>
      <c r="CB176" s="41">
        <f t="shared" si="123"/>
        <v>8.9480898444848939E-4</v>
      </c>
      <c r="CQ176" s="70">
        <f t="shared" si="124"/>
        <v>0.40323709449903161</v>
      </c>
      <c r="CR176" s="70">
        <f t="shared" si="125"/>
        <v>12.264837239646209</v>
      </c>
      <c r="CS176" s="70">
        <f t="shared" si="126"/>
        <v>12.66807433414524</v>
      </c>
      <c r="CT176" s="70">
        <f t="shared" si="127"/>
        <v>1.5926785509111068</v>
      </c>
      <c r="CU176" s="70">
        <f t="shared" si="128"/>
        <v>25.158371458948864</v>
      </c>
      <c r="CV176" s="70">
        <f t="shared" si="129"/>
        <v>26.75105000985997</v>
      </c>
      <c r="CW176" s="69">
        <f t="shared" si="130"/>
        <v>1.4010611716533197</v>
      </c>
      <c r="CX176" s="69">
        <f t="shared" si="131"/>
        <v>42.614599369793972</v>
      </c>
      <c r="CY176" s="70">
        <f t="shared" si="132"/>
        <v>44.015660541447289</v>
      </c>
      <c r="CZ176" s="69">
        <f t="shared" si="133"/>
        <v>2.3884703030726255</v>
      </c>
      <c r="DA176" s="69">
        <f t="shared" si="134"/>
        <v>37.728908365717757</v>
      </c>
      <c r="DB176" s="70">
        <f t="shared" si="135"/>
        <v>40.11737866879038</v>
      </c>
    </row>
    <row r="177" spans="23:106">
      <c r="W177" t="s">
        <v>464</v>
      </c>
      <c r="X177">
        <v>839265</v>
      </c>
      <c r="Y177">
        <v>586818</v>
      </c>
      <c r="Z177" s="51">
        <v>39681.230000000003</v>
      </c>
      <c r="AA177" s="32">
        <f t="shared" si="101"/>
        <v>23285660026.140003</v>
      </c>
      <c r="AB177">
        <v>39510</v>
      </c>
      <c r="AC177" s="37">
        <f t="shared" si="102"/>
        <v>4.7076906578970887E-2</v>
      </c>
      <c r="AD177" s="50">
        <f>+'Revenue mile elasticities'!M206</f>
        <v>3996024</v>
      </c>
      <c r="AE177" s="3">
        <f t="shared" si="105"/>
        <v>39960.239999999998</v>
      </c>
      <c r="AF177" s="11">
        <f>+'Revenue mile elasticities'!P206</f>
        <v>2.515850822713531E-3</v>
      </c>
      <c r="AG177" s="11">
        <f>+'Revenue mile elasticities'!Q206</f>
        <v>9.936937095546711E-3</v>
      </c>
      <c r="AH177" s="11">
        <f>+'Revenue mile elasticities'!R206</f>
        <v>6.9026953980587859E-3</v>
      </c>
      <c r="AI177" s="11">
        <f>+'Revenue mile elasticities'!S206</f>
        <v>1.1767425507884264E-2</v>
      </c>
      <c r="AJ177" s="32">
        <f t="shared" si="106"/>
        <v>585832.46934191918</v>
      </c>
      <c r="AK177" s="33">
        <f t="shared" si="107"/>
        <v>2.5158508227135315E-5</v>
      </c>
      <c r="AL177" s="40">
        <f t="shared" si="108"/>
        <v>2313881.3890803983</v>
      </c>
      <c r="AM177" s="33">
        <f t="shared" si="109"/>
        <v>9.9369370955467126E-5</v>
      </c>
      <c r="AN177" s="40">
        <f t="shared" si="110"/>
        <v>2727254.9517730265</v>
      </c>
      <c r="AO177" s="41">
        <f t="shared" si="111"/>
        <v>6.9026953980587857E-5</v>
      </c>
      <c r="AP177" s="40">
        <f t="shared" si="112"/>
        <v>4649309.8181650732</v>
      </c>
      <c r="AQ177" s="41">
        <f t="shared" si="113"/>
        <v>1.1767425507884265E-4</v>
      </c>
      <c r="AR177" s="53"/>
      <c r="AS177" s="53"/>
      <c r="BH177" t="s">
        <v>464</v>
      </c>
      <c r="BI177">
        <v>839265</v>
      </c>
      <c r="BJ177">
        <v>586818</v>
      </c>
      <c r="BK177" s="51">
        <v>39681.230000000003</v>
      </c>
      <c r="BL177" s="32">
        <f t="shared" si="103"/>
        <v>23285660026.140003</v>
      </c>
      <c r="BM177">
        <v>39510</v>
      </c>
      <c r="BN177" s="37">
        <f t="shared" si="104"/>
        <v>4.7076906578970887E-2</v>
      </c>
      <c r="BO177" s="50">
        <f t="shared" si="114"/>
        <v>3996024</v>
      </c>
      <c r="BP177" s="3">
        <f t="shared" si="115"/>
        <v>39960.239999999998</v>
      </c>
      <c r="BQ177" s="11">
        <f>+'Rev mile pop elasticities'!P207</f>
        <v>1.6697153918821823E-2</v>
      </c>
      <c r="BR177" s="11">
        <f>+'Rev mile pop elasticities'!Q207</f>
        <v>3.4250205884434594E-2</v>
      </c>
      <c r="BS177" s="11">
        <f>+'Rev mile pop elasticities'!R207</f>
        <v>4.5811685842254826E-2</v>
      </c>
      <c r="BT177" s="11">
        <f>+'Rev mile pop elasticities'!S207</f>
        <v>4.055945433683044E-2</v>
      </c>
      <c r="BU177" s="32">
        <f t="shared" si="116"/>
        <v>3888042.4955781624</v>
      </c>
      <c r="BV177" s="33">
        <f t="shared" si="117"/>
        <v>1.6697153918821824E-4</v>
      </c>
      <c r="BW177" s="40">
        <f t="shared" si="118"/>
        <v>7975386.5005024374</v>
      </c>
      <c r="BX177" s="33">
        <f t="shared" si="119"/>
        <v>3.4250205884434596E-4</v>
      </c>
      <c r="BY177" s="40">
        <f t="shared" si="120"/>
        <v>18100197.076274883</v>
      </c>
      <c r="BZ177" s="41">
        <f t="shared" si="121"/>
        <v>4.5811685842254832E-4</v>
      </c>
      <c r="CA177" s="40">
        <f t="shared" si="122"/>
        <v>16025040.408481708</v>
      </c>
      <c r="CB177" s="41">
        <f t="shared" si="123"/>
        <v>4.055945433683044E-4</v>
      </c>
      <c r="CQ177" s="70">
        <f t="shared" si="124"/>
        <v>0.99832055141784881</v>
      </c>
      <c r="CR177" s="70">
        <f t="shared" si="125"/>
        <v>6.6256360499817015</v>
      </c>
      <c r="CS177" s="70">
        <f t="shared" si="126"/>
        <v>7.6239566013995503</v>
      </c>
      <c r="CT177" s="70">
        <f t="shared" si="127"/>
        <v>3.9430988638392113</v>
      </c>
      <c r="CU177" s="70">
        <f t="shared" si="128"/>
        <v>13.590902972476027</v>
      </c>
      <c r="CV177" s="70">
        <f t="shared" si="129"/>
        <v>17.534001836315237</v>
      </c>
      <c r="CW177" s="69">
        <f t="shared" si="130"/>
        <v>4.6475311796383654</v>
      </c>
      <c r="CX177" s="69">
        <f t="shared" si="131"/>
        <v>30.844652134520214</v>
      </c>
      <c r="CY177" s="70">
        <f t="shared" si="132"/>
        <v>35.492183314158581</v>
      </c>
      <c r="CZ177" s="69">
        <f t="shared" si="133"/>
        <v>7.9229161650887896</v>
      </c>
      <c r="DA177" s="69">
        <f t="shared" si="134"/>
        <v>27.308365470182761</v>
      </c>
      <c r="DB177" s="70">
        <f t="shared" si="135"/>
        <v>35.23128163527155</v>
      </c>
    </row>
    <row r="178" spans="23:106">
      <c r="W178" t="s">
        <v>465</v>
      </c>
      <c r="X178">
        <v>2060968</v>
      </c>
      <c r="Y178">
        <v>1311657</v>
      </c>
      <c r="Z178" s="51">
        <v>36216.47</v>
      </c>
      <c r="AA178" s="32">
        <f t="shared" si="101"/>
        <v>47503586390.790001</v>
      </c>
      <c r="AB178">
        <v>95674</v>
      </c>
      <c r="AC178" s="37">
        <f t="shared" si="102"/>
        <v>4.6421875545860004E-2</v>
      </c>
      <c r="AD178" s="50">
        <f>+'Revenue mile elasticities'!M207</f>
        <v>15500000</v>
      </c>
      <c r="AE178" s="3">
        <f t="shared" si="105"/>
        <v>155000</v>
      </c>
      <c r="AF178" s="11">
        <f>+'Revenue mile elasticities'!P207</f>
        <v>7.0889502634895324E-3</v>
      </c>
      <c r="AG178" s="11">
        <f>+'Revenue mile elasticities'!Q207</f>
        <v>2.7999455375409498E-2</v>
      </c>
      <c r="AH178" s="11">
        <f>+'Revenue mile elasticities'!R207</f>
        <v>1.9449827437733012E-2</v>
      </c>
      <c r="AI178" s="11">
        <f>+'Revenue mile elasticities'!S207</f>
        <v>3.3157249786669139E-2</v>
      </c>
      <c r="AJ178" s="32">
        <f t="shared" si="106"/>
        <v>3367505.6126168855</v>
      </c>
      <c r="AK178" s="33">
        <f t="shared" si="107"/>
        <v>7.0889502634895326E-5</v>
      </c>
      <c r="AL178" s="40">
        <f t="shared" si="108"/>
        <v>13300745.473208347</v>
      </c>
      <c r="AM178" s="33">
        <f t="shared" si="109"/>
        <v>2.7999455375409503E-4</v>
      </c>
      <c r="AN178" s="40">
        <f t="shared" si="110"/>
        <v>18608427.902776685</v>
      </c>
      <c r="AO178" s="41">
        <f t="shared" si="111"/>
        <v>1.9449827437733014E-4</v>
      </c>
      <c r="AP178" s="40">
        <f t="shared" si="112"/>
        <v>31722867.160897832</v>
      </c>
      <c r="AQ178" s="41">
        <f t="shared" si="113"/>
        <v>3.3157249786669137E-4</v>
      </c>
      <c r="AR178" s="53"/>
      <c r="AS178" s="53"/>
      <c r="BH178" t="s">
        <v>465</v>
      </c>
      <c r="BI178">
        <v>2060968</v>
      </c>
      <c r="BJ178">
        <v>1311657</v>
      </c>
      <c r="BK178" s="51">
        <v>36216.47</v>
      </c>
      <c r="BL178" s="32">
        <f t="shared" si="103"/>
        <v>47503586390.790001</v>
      </c>
      <c r="BM178">
        <v>95674</v>
      </c>
      <c r="BN178" s="37">
        <f t="shared" si="104"/>
        <v>4.6421875545860004E-2</v>
      </c>
      <c r="BO178" s="50">
        <f t="shared" si="114"/>
        <v>15500000</v>
      </c>
      <c r="BP178" s="3">
        <f t="shared" si="115"/>
        <v>155000</v>
      </c>
      <c r="BQ178" s="11">
        <f>+'Rev mile pop elasticities'!P208</f>
        <v>2.6373873830161359E-2</v>
      </c>
      <c r="BR178" s="11">
        <f>+'Rev mile pop elasticities'!Q208</f>
        <v>5.4099675492292949E-2</v>
      </c>
      <c r="BS178" s="11">
        <f>+'Rev mile pop elasticities'!R208</f>
        <v>7.2361531086363298E-2</v>
      </c>
      <c r="BT178" s="11">
        <f>+'Rev mile pop elasticities'!S208</f>
        <v>6.406540518824165E-2</v>
      </c>
      <c r="BU178" s="32">
        <f t="shared" si="116"/>
        <v>12528535.939508658</v>
      </c>
      <c r="BV178" s="33">
        <f t="shared" si="117"/>
        <v>2.637387383016136E-4</v>
      </c>
      <c r="BW178" s="40">
        <f t="shared" si="118"/>
        <v>25699286.084618427</v>
      </c>
      <c r="BX178" s="33">
        <f t="shared" si="119"/>
        <v>5.4099675492292948E-4</v>
      </c>
      <c r="BY178" s="40">
        <f t="shared" si="120"/>
        <v>69231171.251567215</v>
      </c>
      <c r="BZ178" s="41">
        <f t="shared" si="121"/>
        <v>7.2361531086363284E-4</v>
      </c>
      <c r="CA178" s="40">
        <f t="shared" si="122"/>
        <v>61293935.759798318</v>
      </c>
      <c r="CB178" s="41">
        <f t="shared" si="123"/>
        <v>6.4065405188241649E-4</v>
      </c>
      <c r="CQ178" s="70">
        <f t="shared" si="124"/>
        <v>2.5673675454916074</v>
      </c>
      <c r="CR178" s="70">
        <f t="shared" si="125"/>
        <v>9.5516861035382412</v>
      </c>
      <c r="CS178" s="70">
        <f t="shared" si="126"/>
        <v>12.119053649029848</v>
      </c>
      <c r="CT178" s="70">
        <f t="shared" si="127"/>
        <v>10.140414356198569</v>
      </c>
      <c r="CU178" s="70">
        <f t="shared" si="128"/>
        <v>19.592992744763627</v>
      </c>
      <c r="CV178" s="70">
        <f t="shared" si="129"/>
        <v>29.733407100962197</v>
      </c>
      <c r="CW178" s="69">
        <f t="shared" si="130"/>
        <v>14.186961913653253</v>
      </c>
      <c r="CX178" s="69">
        <f t="shared" si="131"/>
        <v>52.781459826438784</v>
      </c>
      <c r="CY178" s="70">
        <f t="shared" si="132"/>
        <v>66.96842174009204</v>
      </c>
      <c r="CZ178" s="69">
        <f t="shared" si="133"/>
        <v>24.185337447898217</v>
      </c>
      <c r="DA178" s="69">
        <f t="shared" si="134"/>
        <v>46.730155642670546</v>
      </c>
      <c r="DB178" s="70">
        <f t="shared" si="135"/>
        <v>70.915493090568759</v>
      </c>
    </row>
    <row r="179" spans="23:106">
      <c r="W179" t="s">
        <v>466</v>
      </c>
      <c r="X179">
        <v>162099</v>
      </c>
      <c r="Y179">
        <v>110144</v>
      </c>
      <c r="Z179" s="51">
        <v>42682.17</v>
      </c>
      <c r="AA179" s="32">
        <f t="shared" si="101"/>
        <v>4701184932.4799995</v>
      </c>
      <c r="AB179">
        <v>6777</v>
      </c>
      <c r="AC179" s="37">
        <f t="shared" si="102"/>
        <v>4.1807784131919386E-2</v>
      </c>
      <c r="AD179" s="50">
        <f>+'Revenue mile elasticities'!M208</f>
        <v>546381</v>
      </c>
      <c r="AE179" s="3">
        <f t="shared" si="105"/>
        <v>5463.81</v>
      </c>
      <c r="AF179" s="11">
        <f>+'Revenue mile elasticities'!P208</f>
        <v>3.3455677036729726E-4</v>
      </c>
      <c r="AG179" s="11">
        <f>+'Revenue mile elasticities'!Q208</f>
        <v>1.32140966070612E-3</v>
      </c>
      <c r="AH179" s="11">
        <f>+'Revenue mile elasticities'!R208</f>
        <v>9.1791749270449794E-4</v>
      </c>
      <c r="AI179" s="11">
        <f>+'Revenue mile elasticities'!S208</f>
        <v>1.564827229783563E-3</v>
      </c>
      <c r="AJ179" s="32">
        <f t="shared" si="106"/>
        <v>15728.132479099091</v>
      </c>
      <c r="AK179" s="33">
        <f t="shared" si="107"/>
        <v>3.3455677036729728E-6</v>
      </c>
      <c r="AL179" s="40">
        <f t="shared" si="108"/>
        <v>62121.911865451206</v>
      </c>
      <c r="AM179" s="33">
        <f t="shared" si="109"/>
        <v>1.3214096607061202E-5</v>
      </c>
      <c r="AN179" s="40">
        <f t="shared" si="110"/>
        <v>62207.268480583836</v>
      </c>
      <c r="AO179" s="41">
        <f t="shared" si="111"/>
        <v>9.1791749270449812E-6</v>
      </c>
      <c r="AP179" s="40">
        <f t="shared" si="112"/>
        <v>106048.34136243208</v>
      </c>
      <c r="AQ179" s="41">
        <f t="shared" si="113"/>
        <v>1.5648272297835633E-5</v>
      </c>
      <c r="AR179" s="53"/>
      <c r="AS179" s="53"/>
      <c r="BH179" t="s">
        <v>466</v>
      </c>
      <c r="BI179">
        <v>162099</v>
      </c>
      <c r="BJ179">
        <v>110144</v>
      </c>
      <c r="BK179" s="51">
        <v>42682.17</v>
      </c>
      <c r="BL179" s="32">
        <f t="shared" si="103"/>
        <v>4701184932.4799995</v>
      </c>
      <c r="BM179">
        <v>6777</v>
      </c>
      <c r="BN179" s="37">
        <f t="shared" si="104"/>
        <v>4.1807784131919386E-2</v>
      </c>
      <c r="BO179" s="50">
        <f t="shared" si="114"/>
        <v>546381</v>
      </c>
      <c r="BP179" s="3">
        <f t="shared" si="115"/>
        <v>5463.81</v>
      </c>
      <c r="BQ179" s="11">
        <f>+'Rev mile pop elasticities'!P209</f>
        <v>1.1820306222863803E-2</v>
      </c>
      <c r="BR179" s="11">
        <f>+'Rev mile pop elasticities'!Q209</f>
        <v>2.4246522713897066E-2</v>
      </c>
      <c r="BS179" s="11">
        <f>+'Rev mile pop elasticities'!R209</f>
        <v>3.243116508800177E-2</v>
      </c>
      <c r="BT179" s="11">
        <f>+'Rev mile pop elasticities'!S209</f>
        <v>2.8712987424351789E-2</v>
      </c>
      <c r="BU179" s="32">
        <f t="shared" si="116"/>
        <v>555694.45512226888</v>
      </c>
      <c r="BV179" s="33">
        <f t="shared" si="117"/>
        <v>1.1820306222863803E-4</v>
      </c>
      <c r="BW179" s="40">
        <f t="shared" si="118"/>
        <v>1139873.8724760697</v>
      </c>
      <c r="BX179" s="33">
        <f t="shared" si="119"/>
        <v>2.4246522713897069E-4</v>
      </c>
      <c r="BY179" s="40">
        <f t="shared" si="120"/>
        <v>2197860.0580138802</v>
      </c>
      <c r="BZ179" s="41">
        <f t="shared" si="121"/>
        <v>3.2431165088001772E-4</v>
      </c>
      <c r="CA179" s="40">
        <f t="shared" si="122"/>
        <v>1945879.1577483211</v>
      </c>
      <c r="CB179" s="41">
        <f t="shared" si="123"/>
        <v>2.8712987424351792E-4</v>
      </c>
      <c r="CQ179" s="70">
        <f t="shared" si="124"/>
        <v>0.14279608947467942</v>
      </c>
      <c r="CR179" s="70">
        <f t="shared" si="125"/>
        <v>5.0451631965633066</v>
      </c>
      <c r="CS179" s="70">
        <f t="shared" si="126"/>
        <v>5.1879592860379864</v>
      </c>
      <c r="CT179" s="70">
        <f t="shared" si="127"/>
        <v>0.56400631777900934</v>
      </c>
      <c r="CU179" s="70">
        <f t="shared" si="128"/>
        <v>10.34894204383416</v>
      </c>
      <c r="CV179" s="70">
        <f t="shared" si="129"/>
        <v>10.91294836161317</v>
      </c>
      <c r="CW179" s="69">
        <f t="shared" si="130"/>
        <v>0.56478127252127974</v>
      </c>
      <c r="CX179" s="69">
        <f t="shared" si="131"/>
        <v>19.954423827116141</v>
      </c>
      <c r="CY179" s="70">
        <f t="shared" si="132"/>
        <v>20.519205099637421</v>
      </c>
      <c r="CZ179" s="69">
        <f t="shared" si="133"/>
        <v>0.96281541765717682</v>
      </c>
      <c r="DA179" s="69">
        <f t="shared" si="134"/>
        <v>17.666683230573803</v>
      </c>
      <c r="DB179" s="70">
        <f t="shared" si="135"/>
        <v>18.629498648230978</v>
      </c>
    </row>
    <row r="180" spans="23:106">
      <c r="W180" t="s">
        <v>467</v>
      </c>
      <c r="X180">
        <v>794778</v>
      </c>
      <c r="Y180">
        <v>440871</v>
      </c>
      <c r="Z180" s="51">
        <v>44984.92</v>
      </c>
      <c r="AA180" s="32">
        <f t="shared" si="101"/>
        <v>19832546665.32</v>
      </c>
      <c r="AB180">
        <v>30922</v>
      </c>
      <c r="AC180" s="37">
        <f t="shared" si="102"/>
        <v>3.8906461930249707E-2</v>
      </c>
      <c r="AD180" s="50">
        <f>+'Revenue mile elasticities'!M209</f>
        <v>3115667</v>
      </c>
      <c r="AE180" s="3">
        <f t="shared" si="105"/>
        <v>31156.670000000002</v>
      </c>
      <c r="AF180" s="11">
        <f>+'Revenue mile elasticities'!P209</f>
        <v>2.6056621443391313E-3</v>
      </c>
      <c r="AG180" s="11">
        <f>+'Revenue mile elasticities'!Q209</f>
        <v>1.0291667767732963E-2</v>
      </c>
      <c r="AH180" s="11">
        <f>+'Revenue mile elasticities'!R209</f>
        <v>7.1491091324828154E-3</v>
      </c>
      <c r="AI180" s="11">
        <f>+'Revenue mile elasticities'!S209</f>
        <v>1.2187501303894299E-2</v>
      </c>
      <c r="AJ180" s="32">
        <f t="shared" si="106"/>
        <v>516769.16071663599</v>
      </c>
      <c r="AK180" s="33">
        <f t="shared" si="107"/>
        <v>2.6056621443391314E-5</v>
      </c>
      <c r="AL180" s="40">
        <f t="shared" si="108"/>
        <v>2041099.8126753371</v>
      </c>
      <c r="AM180" s="33">
        <f t="shared" si="109"/>
        <v>1.0291667767732963E-4</v>
      </c>
      <c r="AN180" s="40">
        <f t="shared" si="110"/>
        <v>2210647.5259463359</v>
      </c>
      <c r="AO180" s="41">
        <f t="shared" si="111"/>
        <v>7.1491091324828149E-5</v>
      </c>
      <c r="AP180" s="40">
        <f t="shared" si="112"/>
        <v>3768619.1531901956</v>
      </c>
      <c r="AQ180" s="41">
        <f t="shared" si="113"/>
        <v>1.2187501303894301E-4</v>
      </c>
      <c r="AR180" s="53"/>
      <c r="AS180" s="53"/>
      <c r="BH180" t="s">
        <v>467</v>
      </c>
      <c r="BI180">
        <v>794778</v>
      </c>
      <c r="BJ180">
        <v>440871</v>
      </c>
      <c r="BK180" s="51">
        <v>44984.92</v>
      </c>
      <c r="BL180" s="32">
        <f t="shared" si="103"/>
        <v>19832546665.32</v>
      </c>
      <c r="BM180">
        <v>30922</v>
      </c>
      <c r="BN180" s="37">
        <f t="shared" si="104"/>
        <v>3.8906461930249707E-2</v>
      </c>
      <c r="BO180" s="50">
        <f t="shared" si="114"/>
        <v>3115667</v>
      </c>
      <c r="BP180" s="3">
        <f t="shared" si="115"/>
        <v>31156.670000000002</v>
      </c>
      <c r="BQ180" s="11">
        <f>+'Rev mile pop elasticities'!P210</f>
        <v>1.3747339947683504E-2</v>
      </c>
      <c r="BR180" s="11">
        <f>+'Rev mile pop elasticities'!Q210</f>
        <v>2.8199370135811513E-2</v>
      </c>
      <c r="BS180" s="11">
        <f>+'Rev mile pop elasticities'!R210</f>
        <v>3.771833343046737E-2</v>
      </c>
      <c r="BT180" s="11">
        <f>+'Rev mile pop elasticities'!S210</f>
        <v>3.3393990950303105E-2</v>
      </c>
      <c r="BU180" s="32">
        <f t="shared" si="116"/>
        <v>2726447.6103645088</v>
      </c>
      <c r="BV180" s="33">
        <f t="shared" si="117"/>
        <v>1.3747339947683504E-4</v>
      </c>
      <c r="BW180" s="40">
        <f t="shared" si="118"/>
        <v>5592653.2415111298</v>
      </c>
      <c r="BX180" s="33">
        <f t="shared" si="119"/>
        <v>2.8199370135811511E-4</v>
      </c>
      <c r="BY180" s="40">
        <f t="shared" si="120"/>
        <v>11663263.06336912</v>
      </c>
      <c r="BZ180" s="41">
        <f t="shared" si="121"/>
        <v>3.7718333430467369E-4</v>
      </c>
      <c r="CA180" s="40">
        <f t="shared" si="122"/>
        <v>10326089.881652728</v>
      </c>
      <c r="CB180" s="41">
        <f t="shared" si="123"/>
        <v>3.339399095030311E-4</v>
      </c>
      <c r="CQ180" s="70">
        <f t="shared" si="124"/>
        <v>1.1721550311012428</v>
      </c>
      <c r="CR180" s="70">
        <f t="shared" si="125"/>
        <v>6.1842298775934657</v>
      </c>
      <c r="CS180" s="70">
        <f t="shared" si="126"/>
        <v>7.3563849086947082</v>
      </c>
      <c r="CT180" s="70">
        <f t="shared" si="127"/>
        <v>4.6296985119804592</v>
      </c>
      <c r="CU180" s="70">
        <f t="shared" si="128"/>
        <v>12.6854640960987</v>
      </c>
      <c r="CV180" s="70">
        <f t="shared" si="129"/>
        <v>17.315162608079159</v>
      </c>
      <c r="CW180" s="69">
        <f t="shared" si="130"/>
        <v>5.0142729413963174</v>
      </c>
      <c r="CX180" s="69">
        <f t="shared" si="131"/>
        <v>26.455047084904926</v>
      </c>
      <c r="CY180" s="70">
        <f t="shared" si="132"/>
        <v>31.469320026301244</v>
      </c>
      <c r="CZ180" s="69">
        <f t="shared" si="133"/>
        <v>8.5481221336631243</v>
      </c>
      <c r="DA180" s="69">
        <f t="shared" si="134"/>
        <v>23.422021139182952</v>
      </c>
      <c r="DB180" s="70">
        <f t="shared" si="135"/>
        <v>31.970143272846077</v>
      </c>
    </row>
    <row r="181" spans="23:106">
      <c r="W181" t="s">
        <v>468</v>
      </c>
      <c r="X181">
        <v>536314</v>
      </c>
      <c r="Y181">
        <v>281209</v>
      </c>
      <c r="Z181" s="51">
        <v>37999.870000000003</v>
      </c>
      <c r="AA181" s="32">
        <f t="shared" si="101"/>
        <v>10685905442.83</v>
      </c>
      <c r="AB181">
        <v>14950</v>
      </c>
      <c r="AC181" s="37">
        <f t="shared" si="102"/>
        <v>2.7875461017239901E-2</v>
      </c>
      <c r="AD181" s="50">
        <f>+'Revenue mile elasticities'!M210</f>
        <v>1321461</v>
      </c>
      <c r="AE181" s="3">
        <f t="shared" si="105"/>
        <v>13214.61</v>
      </c>
      <c r="AF181" s="11">
        <f>+'Revenue mile elasticities'!P210</f>
        <v>2.0323246908902316E-3</v>
      </c>
      <c r="AG181" s="11">
        <f>+'Revenue mile elasticities'!Q210</f>
        <v>8.0271383457150916E-3</v>
      </c>
      <c r="AH181" s="11">
        <f>+'Revenue mile elasticities'!R210</f>
        <v>5.5760533035255451E-3</v>
      </c>
      <c r="AI181" s="11">
        <f>+'Revenue mile elasticities'!S210</f>
        <v>9.5058217251889239E-3</v>
      </c>
      <c r="AJ181" s="32">
        <f t="shared" si="106"/>
        <v>217172.29475981725</v>
      </c>
      <c r="AK181" s="33">
        <f t="shared" si="107"/>
        <v>2.0323246908902319E-5</v>
      </c>
      <c r="AL181" s="40">
        <f t="shared" si="108"/>
        <v>857772.41338826308</v>
      </c>
      <c r="AM181" s="33">
        <f t="shared" si="109"/>
        <v>8.0271383457150924E-5</v>
      </c>
      <c r="AN181" s="40">
        <f t="shared" si="110"/>
        <v>833619.96887706907</v>
      </c>
      <c r="AO181" s="41">
        <f t="shared" si="111"/>
        <v>5.5760533035255455E-5</v>
      </c>
      <c r="AP181" s="40">
        <f t="shared" si="112"/>
        <v>1421120.3479157442</v>
      </c>
      <c r="AQ181" s="41">
        <f t="shared" si="113"/>
        <v>9.5058217251889246E-5</v>
      </c>
      <c r="AR181" s="53"/>
      <c r="AS181" s="53"/>
      <c r="BH181" t="s">
        <v>468</v>
      </c>
      <c r="BI181">
        <v>536314</v>
      </c>
      <c r="BJ181">
        <v>281209</v>
      </c>
      <c r="BK181" s="51">
        <v>37999.870000000003</v>
      </c>
      <c r="BL181" s="32">
        <f t="shared" si="103"/>
        <v>10685905442.83</v>
      </c>
      <c r="BM181">
        <v>14950</v>
      </c>
      <c r="BN181" s="37">
        <f t="shared" si="104"/>
        <v>2.7875461017239901E-2</v>
      </c>
      <c r="BO181" s="50">
        <f t="shared" si="114"/>
        <v>1321461</v>
      </c>
      <c r="BP181" s="3">
        <f t="shared" si="115"/>
        <v>13214.61</v>
      </c>
      <c r="BQ181" s="11">
        <f>+'Rev mile pop elasticities'!P211</f>
        <v>8.6406953091286067E-3</v>
      </c>
      <c r="BR181" s="11">
        <f>+'Rev mile pop elasticities'!Q211</f>
        <v>1.7724313662145684E-2</v>
      </c>
      <c r="BS181" s="11">
        <f>+'Rev mile pop elasticities'!R211</f>
        <v>2.370732286981134E-2</v>
      </c>
      <c r="BT181" s="11">
        <f>+'Rev mile pop elasticities'!S211</f>
        <v>2.098931881043568E-2</v>
      </c>
      <c r="BU181" s="32">
        <f t="shared" si="116"/>
        <v>923336.5303365303</v>
      </c>
      <c r="BV181" s="33">
        <f t="shared" si="117"/>
        <v>8.6406953091286068E-5</v>
      </c>
      <c r="BW181" s="40">
        <f t="shared" si="118"/>
        <v>1894003.3983274871</v>
      </c>
      <c r="BX181" s="33">
        <f t="shared" si="119"/>
        <v>1.7724313662145685E-4</v>
      </c>
      <c r="BY181" s="40">
        <f t="shared" si="120"/>
        <v>3544244.769036795</v>
      </c>
      <c r="BZ181" s="41">
        <f t="shared" si="121"/>
        <v>2.3707322869811337E-4</v>
      </c>
      <c r="CA181" s="40">
        <f t="shared" si="122"/>
        <v>3137903.1621601344</v>
      </c>
      <c r="CB181" s="41">
        <f t="shared" si="123"/>
        <v>2.0989318810435683E-4</v>
      </c>
      <c r="CQ181" s="70">
        <f t="shared" si="124"/>
        <v>0.77228074051618989</v>
      </c>
      <c r="CR181" s="70">
        <f t="shared" si="125"/>
        <v>3.2834529845649687</v>
      </c>
      <c r="CS181" s="70">
        <f t="shared" si="126"/>
        <v>4.0557337250811587</v>
      </c>
      <c r="CT181" s="70">
        <f t="shared" si="127"/>
        <v>3.0503021360918856</v>
      </c>
      <c r="CU181" s="70">
        <f t="shared" si="128"/>
        <v>6.7352161500075995</v>
      </c>
      <c r="CV181" s="70">
        <f t="shared" si="129"/>
        <v>9.7855182860994852</v>
      </c>
      <c r="CW181" s="69">
        <f t="shared" si="130"/>
        <v>2.9644142572857519</v>
      </c>
      <c r="CX181" s="69">
        <f t="shared" si="131"/>
        <v>12.60359650308772</v>
      </c>
      <c r="CY181" s="70">
        <f t="shared" si="132"/>
        <v>15.568010760373472</v>
      </c>
      <c r="CZ181" s="69">
        <f t="shared" si="133"/>
        <v>5.0536090520422325</v>
      </c>
      <c r="DA181" s="69">
        <f t="shared" si="134"/>
        <v>11.158615699213518</v>
      </c>
      <c r="DB181" s="70">
        <f t="shared" si="135"/>
        <v>16.21222475125575</v>
      </c>
    </row>
    <row r="182" spans="23:106">
      <c r="W182" t="s">
        <v>469</v>
      </c>
      <c r="X182">
        <v>163802</v>
      </c>
      <c r="Y182">
        <v>101769</v>
      </c>
      <c r="Z182" s="51">
        <v>32162.14</v>
      </c>
      <c r="AA182" s="32">
        <f t="shared" si="101"/>
        <v>3273108825.6599998</v>
      </c>
      <c r="AB182">
        <v>5009</v>
      </c>
      <c r="AC182" s="37">
        <f t="shared" si="102"/>
        <v>3.0579602202659307E-2</v>
      </c>
      <c r="AD182" s="50">
        <f>+'Revenue mile elasticities'!M211</f>
        <v>970608</v>
      </c>
      <c r="AE182" s="3">
        <f t="shared" si="105"/>
        <v>9706.08</v>
      </c>
      <c r="AF182" s="11">
        <f>+'Revenue mile elasticities'!P211</f>
        <v>9.0762462473311213E-4</v>
      </c>
      <c r="AG182" s="11">
        <f>+'Revenue mile elasticities'!Q211</f>
        <v>3.5848742385347233E-3</v>
      </c>
      <c r="AH182" s="11">
        <f>+'Revenue mile elasticities'!R211</f>
        <v>2.4902336274265895E-3</v>
      </c>
      <c r="AI182" s="11">
        <f>+'Revenue mile elasticities'!S211</f>
        <v>4.2452458087911199E-3</v>
      </c>
      <c r="AJ182" s="32">
        <f t="shared" si="106"/>
        <v>29707.541696002947</v>
      </c>
      <c r="AK182" s="33">
        <f t="shared" si="107"/>
        <v>9.0762462473311206E-6</v>
      </c>
      <c r="AL182" s="40">
        <f t="shared" si="108"/>
        <v>117336.83509029174</v>
      </c>
      <c r="AM182" s="33">
        <f t="shared" si="109"/>
        <v>3.5848742385347234E-5</v>
      </c>
      <c r="AN182" s="40">
        <f t="shared" si="110"/>
        <v>124735.80239779787</v>
      </c>
      <c r="AO182" s="41">
        <f t="shared" si="111"/>
        <v>2.4902336274265896E-5</v>
      </c>
      <c r="AP182" s="40">
        <f t="shared" si="112"/>
        <v>212644.36256234717</v>
      </c>
      <c r="AQ182" s="41">
        <f t="shared" si="113"/>
        <v>4.2452458087911197E-5</v>
      </c>
      <c r="AR182" s="53"/>
      <c r="AS182" s="53"/>
      <c r="BH182" t="s">
        <v>469</v>
      </c>
      <c r="BI182">
        <v>163802</v>
      </c>
      <c r="BJ182">
        <v>101769</v>
      </c>
      <c r="BK182" s="51">
        <v>32162.14</v>
      </c>
      <c r="BL182" s="32">
        <f t="shared" si="103"/>
        <v>3273108825.6599998</v>
      </c>
      <c r="BM182">
        <v>5009</v>
      </c>
      <c r="BN182" s="37">
        <f t="shared" si="104"/>
        <v>3.0579602202659307E-2</v>
      </c>
      <c r="BO182" s="50">
        <f t="shared" si="114"/>
        <v>970608</v>
      </c>
      <c r="BP182" s="3">
        <f t="shared" si="115"/>
        <v>9706.08</v>
      </c>
      <c r="BQ182" s="11">
        <f>+'Rev mile pop elasticities'!P212</f>
        <v>2.0779645831919023E-2</v>
      </c>
      <c r="BR182" s="11">
        <f>+'Rev mile pop elasticities'!Q212</f>
        <v>4.2624458719673755E-2</v>
      </c>
      <c r="BS182" s="11">
        <f>+'Rev mile pop elasticities'!R212</f>
        <v>5.7012746686853633E-2</v>
      </c>
      <c r="BT182" s="11">
        <f>+'Rev mile pop elasticities'!S212</f>
        <v>5.0476332694350499E-2</v>
      </c>
      <c r="BU182" s="32">
        <f t="shared" si="116"/>
        <v>680140.42166543182</v>
      </c>
      <c r="BV182" s="33">
        <f t="shared" si="117"/>
        <v>2.0779645831919022E-4</v>
      </c>
      <c r="BW182" s="40">
        <f t="shared" si="118"/>
        <v>1395144.9202434451</v>
      </c>
      <c r="BX182" s="33">
        <f t="shared" si="119"/>
        <v>4.2624458719673757E-4</v>
      </c>
      <c r="BY182" s="40">
        <f t="shared" si="120"/>
        <v>2855768.4815444988</v>
      </c>
      <c r="BZ182" s="41">
        <f t="shared" si="121"/>
        <v>5.7012746686853648E-4</v>
      </c>
      <c r="CA182" s="40">
        <f t="shared" si="122"/>
        <v>2528359.5046600164</v>
      </c>
      <c r="CB182" s="41">
        <f t="shared" si="123"/>
        <v>5.0476332694350502E-4</v>
      </c>
      <c r="CQ182" s="70">
        <f t="shared" si="124"/>
        <v>0.29191150248113812</v>
      </c>
      <c r="CR182" s="70">
        <f t="shared" si="125"/>
        <v>6.6831787839659604</v>
      </c>
      <c r="CS182" s="70">
        <f t="shared" si="126"/>
        <v>6.9750902864470987</v>
      </c>
      <c r="CT182" s="70">
        <f t="shared" si="127"/>
        <v>1.1529722714214716</v>
      </c>
      <c r="CU182" s="70">
        <f t="shared" si="128"/>
        <v>13.708938087663681</v>
      </c>
      <c r="CV182" s="70">
        <f t="shared" si="129"/>
        <v>14.861910359085153</v>
      </c>
      <c r="CW182" s="69">
        <f t="shared" si="130"/>
        <v>1.2256758187443906</v>
      </c>
      <c r="CX182" s="69">
        <f t="shared" si="131"/>
        <v>28.061280758821436</v>
      </c>
      <c r="CY182" s="70">
        <f t="shared" si="132"/>
        <v>29.286956577565828</v>
      </c>
      <c r="CZ182" s="69">
        <f t="shared" si="133"/>
        <v>2.089480711831178</v>
      </c>
      <c r="DA182" s="69">
        <f t="shared" si="134"/>
        <v>24.84410286688497</v>
      </c>
      <c r="DB182" s="70">
        <f t="shared" si="135"/>
        <v>26.933583578716149</v>
      </c>
    </row>
    <row r="183" spans="23:106">
      <c r="W183" t="s">
        <v>470</v>
      </c>
      <c r="X183">
        <v>453132</v>
      </c>
      <c r="Y183">
        <v>230530</v>
      </c>
      <c r="Z183" s="51">
        <v>31701.14</v>
      </c>
      <c r="AA183" s="32">
        <f t="shared" si="101"/>
        <v>7308063804.1999998</v>
      </c>
      <c r="AB183">
        <v>9925</v>
      </c>
      <c r="AC183" s="37">
        <f t="shared" si="102"/>
        <v>2.1903109910577933E-2</v>
      </c>
      <c r="AD183" s="50">
        <f>+'Revenue mile elasticities'!M212</f>
        <v>2097217</v>
      </c>
      <c r="AE183" s="3">
        <f t="shared" si="105"/>
        <v>20972.170000000002</v>
      </c>
      <c r="AF183" s="11">
        <f>+'Revenue mile elasticities'!P212</f>
        <v>1.1196393252808894E-3</v>
      </c>
      <c r="AG183" s="11">
        <f>+'Revenue mile elasticities'!Q212</f>
        <v>4.4222755358032636E-3</v>
      </c>
      <c r="AH183" s="11">
        <f>+'Revenue mile elasticities'!R212</f>
        <v>3.0719346108789743E-3</v>
      </c>
      <c r="AI183" s="11">
        <f>+'Revenue mile elasticities'!S212</f>
        <v>5.2369052397670222E-3</v>
      </c>
      <c r="AJ183" s="32">
        <f t="shared" si="106"/>
        <v>81823.956268441776</v>
      </c>
      <c r="AK183" s="33">
        <f t="shared" si="107"/>
        <v>1.1196393252808893E-5</v>
      </c>
      <c r="AL183" s="40">
        <f t="shared" si="108"/>
        <v>323182.7177540299</v>
      </c>
      <c r="AM183" s="33">
        <f t="shared" si="109"/>
        <v>4.4222755358032637E-5</v>
      </c>
      <c r="AN183" s="40">
        <f t="shared" si="110"/>
        <v>304889.51012973819</v>
      </c>
      <c r="AO183" s="41">
        <f t="shared" si="111"/>
        <v>3.0719346108789742E-5</v>
      </c>
      <c r="AP183" s="40">
        <f t="shared" si="112"/>
        <v>519762.84504687699</v>
      </c>
      <c r="AQ183" s="41">
        <f t="shared" si="113"/>
        <v>5.2369052397670221E-5</v>
      </c>
      <c r="AR183" s="53"/>
      <c r="AS183" s="53"/>
      <c r="BH183" t="s">
        <v>470</v>
      </c>
      <c r="BI183">
        <v>453132</v>
      </c>
      <c r="BJ183">
        <v>230530</v>
      </c>
      <c r="BK183" s="51">
        <v>31701.14</v>
      </c>
      <c r="BL183" s="32">
        <f t="shared" si="103"/>
        <v>7308063804.1999998</v>
      </c>
      <c r="BM183">
        <v>9925</v>
      </c>
      <c r="BN183" s="37">
        <f t="shared" si="104"/>
        <v>2.1903109910577933E-2</v>
      </c>
      <c r="BO183" s="50">
        <f t="shared" si="114"/>
        <v>2097217</v>
      </c>
      <c r="BP183" s="3">
        <f t="shared" si="115"/>
        <v>20972.170000000002</v>
      </c>
      <c r="BQ183" s="11">
        <f>+'Rev mile pop elasticities'!P213</f>
        <v>1.6230507931331264E-2</v>
      </c>
      <c r="BR183" s="11">
        <f>+'Rev mile pop elasticities'!Q213</f>
        <v>3.3292993582002599E-2</v>
      </c>
      <c r="BS183" s="11">
        <f>+'Rev mile pop elasticities'!R213</f>
        <v>4.4531357501125489E-2</v>
      </c>
      <c r="BT183" s="11">
        <f>+'Rev mile pop elasticities'!S213</f>
        <v>3.9425913452371501E-2</v>
      </c>
      <c r="BU183" s="32">
        <f t="shared" si="116"/>
        <v>1186135.8753674303</v>
      </c>
      <c r="BV183" s="33">
        <f t="shared" si="117"/>
        <v>1.6230507931331263E-4</v>
      </c>
      <c r="BW183" s="40">
        <f t="shared" si="118"/>
        <v>2433073.2133009606</v>
      </c>
      <c r="BX183" s="33">
        <f t="shared" si="119"/>
        <v>3.3292993582002595E-4</v>
      </c>
      <c r="BY183" s="40">
        <f t="shared" si="120"/>
        <v>4419737.2319867052</v>
      </c>
      <c r="BZ183" s="41">
        <f t="shared" si="121"/>
        <v>4.4531357501125494E-4</v>
      </c>
      <c r="CA183" s="40">
        <f t="shared" si="122"/>
        <v>3913021.9101478714</v>
      </c>
      <c r="CB183" s="41">
        <f t="shared" si="123"/>
        <v>3.9425913452371497E-4</v>
      </c>
      <c r="CQ183" s="70">
        <f t="shared" si="124"/>
        <v>0.35493843000235015</v>
      </c>
      <c r="CR183" s="70">
        <f t="shared" si="125"/>
        <v>5.145256042022428</v>
      </c>
      <c r="CS183" s="70">
        <f t="shared" si="126"/>
        <v>5.500194472024778</v>
      </c>
      <c r="CT183" s="70">
        <f t="shared" si="127"/>
        <v>1.4019117587907426</v>
      </c>
      <c r="CU183" s="70">
        <f t="shared" si="128"/>
        <v>10.554258505621657</v>
      </c>
      <c r="CV183" s="70">
        <f t="shared" si="129"/>
        <v>11.9561702644124</v>
      </c>
      <c r="CW183" s="69">
        <f t="shared" si="130"/>
        <v>1.3225589299862845</v>
      </c>
      <c r="CX183" s="69">
        <f t="shared" si="131"/>
        <v>19.172069717549583</v>
      </c>
      <c r="CY183" s="70">
        <f t="shared" si="132"/>
        <v>20.494628647535869</v>
      </c>
      <c r="CZ183" s="69">
        <f t="shared" si="133"/>
        <v>2.2546429750873074</v>
      </c>
      <c r="DA183" s="69">
        <f t="shared" si="134"/>
        <v>16.974024682895376</v>
      </c>
      <c r="DB183" s="70">
        <f t="shared" si="135"/>
        <v>19.228667657982683</v>
      </c>
    </row>
    <row r="184" spans="23:106">
      <c r="W184" t="s">
        <v>471</v>
      </c>
      <c r="X184">
        <v>372638</v>
      </c>
      <c r="Y184">
        <v>234083</v>
      </c>
      <c r="Z184" s="51">
        <v>42859.7</v>
      </c>
      <c r="AA184" s="32">
        <f t="shared" si="101"/>
        <v>10032727155.099998</v>
      </c>
      <c r="AB184">
        <v>16036</v>
      </c>
      <c r="AC184" s="37">
        <f t="shared" si="102"/>
        <v>4.3033721735303433E-2</v>
      </c>
      <c r="AD184" s="50">
        <f>+'Revenue mile elasticities'!M213</f>
        <v>1835964</v>
      </c>
      <c r="AE184" s="3">
        <f t="shared" si="105"/>
        <v>18359.64</v>
      </c>
      <c r="AF184" s="11">
        <f>+'Revenue mile elasticities'!P213</f>
        <v>1.3693177809991706E-3</v>
      </c>
      <c r="AG184" s="11">
        <f>+'Revenue mile elasticities'!Q213</f>
        <v>5.4084385809991713E-3</v>
      </c>
      <c r="AH184" s="11">
        <f>+'Revenue mile elasticities'!R213</f>
        <v>3.7569729731385185E-3</v>
      </c>
      <c r="AI184" s="11">
        <f>+'Revenue mile elasticities'!S213</f>
        <v>6.4047298985516503E-3</v>
      </c>
      <c r="AJ184" s="32">
        <f t="shared" si="106"/>
        <v>137379.91685391651</v>
      </c>
      <c r="AK184" s="33">
        <f t="shared" si="107"/>
        <v>1.3693177809991705E-5</v>
      </c>
      <c r="AL184" s="40">
        <f t="shared" si="108"/>
        <v>542613.8861828089</v>
      </c>
      <c r="AM184" s="33">
        <f t="shared" si="109"/>
        <v>5.4084385809991714E-5</v>
      </c>
      <c r="AN184" s="40">
        <f t="shared" si="110"/>
        <v>602468.18597249291</v>
      </c>
      <c r="AO184" s="41">
        <f t="shared" si="111"/>
        <v>3.7569729731385187E-5</v>
      </c>
      <c r="AP184" s="40">
        <f t="shared" si="112"/>
        <v>1027062.4865317428</v>
      </c>
      <c r="AQ184" s="41">
        <f t="shared" si="113"/>
        <v>6.4047298985516526E-5</v>
      </c>
      <c r="AR184" s="53"/>
      <c r="AS184" s="53"/>
      <c r="BH184" t="s">
        <v>471</v>
      </c>
      <c r="BI184">
        <v>372638</v>
      </c>
      <c r="BJ184">
        <v>234083</v>
      </c>
      <c r="BK184" s="51">
        <v>42859.7</v>
      </c>
      <c r="BL184" s="32">
        <f t="shared" si="103"/>
        <v>10032727155.099998</v>
      </c>
      <c r="BM184">
        <v>16036</v>
      </c>
      <c r="BN184" s="37">
        <f t="shared" si="104"/>
        <v>4.3033721735303433E-2</v>
      </c>
      <c r="BO184" s="50">
        <f t="shared" si="114"/>
        <v>1835964</v>
      </c>
      <c r="BP184" s="3">
        <f t="shared" si="115"/>
        <v>18359.64</v>
      </c>
      <c r="BQ184" s="11">
        <f>+'Rev mile pop elasticities'!P214</f>
        <v>1.7277881682705463E-2</v>
      </c>
      <c r="BR184" s="11">
        <f>+'Rev mile pop elasticities'!Q214</f>
        <v>3.5441429584744451E-2</v>
      </c>
      <c r="BS184" s="11">
        <f>+'Rev mile pop elasticities'!R214</f>
        <v>4.7405018335220768E-2</v>
      </c>
      <c r="BT184" s="11">
        <f>+'Rev mile pop elasticities'!S214</f>
        <v>4.1970113981934218E-2</v>
      </c>
      <c r="BU184" s="32">
        <f t="shared" si="116"/>
        <v>1733442.7274068396</v>
      </c>
      <c r="BV184" s="33">
        <f t="shared" si="117"/>
        <v>1.7277881682705465E-4</v>
      </c>
      <c r="BW184" s="40">
        <f t="shared" si="118"/>
        <v>3555741.9301043013</v>
      </c>
      <c r="BX184" s="33">
        <f t="shared" si="119"/>
        <v>3.5441429584744452E-4</v>
      </c>
      <c r="BY184" s="40">
        <f t="shared" si="120"/>
        <v>7601868.7402360039</v>
      </c>
      <c r="BZ184" s="41">
        <f t="shared" si="121"/>
        <v>4.7405018335220782E-4</v>
      </c>
      <c r="CA184" s="40">
        <f t="shared" si="122"/>
        <v>6730327.4781429721</v>
      </c>
      <c r="CB184" s="41">
        <f t="shared" si="123"/>
        <v>4.1970113981934222E-4</v>
      </c>
      <c r="CQ184" s="70">
        <f t="shared" si="124"/>
        <v>0.58688549298290138</v>
      </c>
      <c r="CR184" s="70">
        <f t="shared" si="125"/>
        <v>7.4052482555625128</v>
      </c>
      <c r="CS184" s="70">
        <f t="shared" si="126"/>
        <v>7.992133748545414</v>
      </c>
      <c r="CT184" s="70">
        <f t="shared" si="127"/>
        <v>2.3180405505005015</v>
      </c>
      <c r="CU184" s="70">
        <f t="shared" si="128"/>
        <v>15.190090395732716</v>
      </c>
      <c r="CV184" s="70">
        <f t="shared" si="129"/>
        <v>17.508130946233216</v>
      </c>
      <c r="CW184" s="69">
        <f t="shared" si="130"/>
        <v>2.5737374605267913</v>
      </c>
      <c r="CX184" s="69">
        <f t="shared" si="131"/>
        <v>32.475099602431634</v>
      </c>
      <c r="CY184" s="70">
        <f t="shared" si="132"/>
        <v>35.048837062958427</v>
      </c>
      <c r="CZ184" s="69">
        <f t="shared" si="133"/>
        <v>4.3875996400069326</v>
      </c>
      <c r="DA184" s="69">
        <f t="shared" si="134"/>
        <v>28.751884921771218</v>
      </c>
      <c r="DB184" s="70">
        <f t="shared" si="135"/>
        <v>33.139484561778147</v>
      </c>
    </row>
    <row r="185" spans="23:106">
      <c r="W185" t="s">
        <v>312</v>
      </c>
      <c r="X185">
        <v>5940496</v>
      </c>
      <c r="Y185">
        <v>3532815</v>
      </c>
      <c r="Z185" s="51">
        <v>48715.18</v>
      </c>
      <c r="AA185" s="32">
        <f t="shared" si="101"/>
        <v>172101718631.70001</v>
      </c>
      <c r="AB185">
        <v>303279</v>
      </c>
      <c r="AC185" s="37">
        <f t="shared" si="102"/>
        <v>5.1052807711679297E-2</v>
      </c>
      <c r="AD185" s="50">
        <f>+'Revenue mile elasticities'!M214</f>
        <v>60600000</v>
      </c>
      <c r="AE185" s="3">
        <f t="shared" si="105"/>
        <v>606000</v>
      </c>
      <c r="AF185" s="11">
        <f>+'Revenue mile elasticities'!P214</f>
        <v>1.6687927090962677E-2</v>
      </c>
      <c r="AG185" s="11">
        <f>+'Revenue mile elasticities'!Q214</f>
        <v>6.5912843583909086E-2</v>
      </c>
      <c r="AH185" s="11">
        <f>+'Revenue mile elasticities'!R214</f>
        <v>4.5786370357875937E-2</v>
      </c>
      <c r="AI185" s="11">
        <f>+'Revenue mile elasticities'!S214</f>
        <v>7.8054683191471283E-2</v>
      </c>
      <c r="AJ185" s="32">
        <f t="shared" si="106"/>
        <v>28720209.327551827</v>
      </c>
      <c r="AK185" s="33">
        <f t="shared" si="107"/>
        <v>1.6687927090962678E-4</v>
      </c>
      <c r="AL185" s="40">
        <f t="shared" si="108"/>
        <v>113437136.60693175</v>
      </c>
      <c r="AM185" s="33">
        <f t="shared" si="109"/>
        <v>6.5912843583909087E-4</v>
      </c>
      <c r="AN185" s="40">
        <f t="shared" si="110"/>
        <v>138860446.15766254</v>
      </c>
      <c r="AO185" s="41">
        <f t="shared" si="111"/>
        <v>4.5786370357875925E-4</v>
      </c>
      <c r="AP185" s="40">
        <f t="shared" si="112"/>
        <v>236723462.63626218</v>
      </c>
      <c r="AQ185" s="41">
        <f t="shared" si="113"/>
        <v>7.8054683191471281E-4</v>
      </c>
      <c r="AR185" s="53"/>
      <c r="AS185" s="53"/>
      <c r="BH185" t="s">
        <v>312</v>
      </c>
      <c r="BI185">
        <v>5940496</v>
      </c>
      <c r="BJ185">
        <v>3532815</v>
      </c>
      <c r="BK185" s="51">
        <v>48715.18</v>
      </c>
      <c r="BL185" s="32">
        <f t="shared" si="103"/>
        <v>172101718631.70001</v>
      </c>
      <c r="BM185">
        <v>303279</v>
      </c>
      <c r="BN185" s="37">
        <f t="shared" si="104"/>
        <v>5.1052807711679297E-2</v>
      </c>
      <c r="BO185" s="50">
        <f t="shared" si="114"/>
        <v>60600000</v>
      </c>
      <c r="BP185" s="3">
        <f t="shared" si="115"/>
        <v>606000</v>
      </c>
      <c r="BQ185" s="11">
        <f>+'Rev mile pop elasticities'!P215</f>
        <v>3.5773661323902917E-2</v>
      </c>
      <c r="BR185" s="11">
        <f>+'Rev mile pop elasticities'!Q215</f>
        <v>7.33810846771044E-2</v>
      </c>
      <c r="BS185" s="11">
        <f>+'Rev mile pop elasticities'!R215</f>
        <v>9.8151561755112693E-2</v>
      </c>
      <c r="BT185" s="11">
        <f>+'Rev mile pop elasticities'!S215</f>
        <v>8.6898652907097321E-2</v>
      </c>
      <c r="BU185" s="32">
        <f t="shared" si="116"/>
        <v>61567085.955920689</v>
      </c>
      <c r="BV185" s="33">
        <f t="shared" si="117"/>
        <v>3.5773661323902916E-4</v>
      </c>
      <c r="BW185" s="40">
        <f t="shared" si="118"/>
        <v>126290107.87987974</v>
      </c>
      <c r="BX185" s="33">
        <f t="shared" si="119"/>
        <v>7.3381084677104401E-4</v>
      </c>
      <c r="BY185" s="40">
        <f t="shared" si="120"/>
        <v>297673074.97528821</v>
      </c>
      <c r="BZ185" s="41">
        <f t="shared" si="121"/>
        <v>9.8151561755112685E-4</v>
      </c>
      <c r="CA185" s="40">
        <f t="shared" si="122"/>
        <v>263545365.55011567</v>
      </c>
      <c r="CB185" s="41">
        <f t="shared" si="123"/>
        <v>8.6898652907097321E-4</v>
      </c>
      <c r="CQ185" s="70">
        <f t="shared" si="124"/>
        <v>8.1295537206312325</v>
      </c>
      <c r="CR185" s="70">
        <f t="shared" si="125"/>
        <v>17.42720350652969</v>
      </c>
      <c r="CS185" s="70">
        <f t="shared" si="126"/>
        <v>25.556757227160922</v>
      </c>
      <c r="CT185" s="70">
        <f t="shared" si="127"/>
        <v>32.109560395019763</v>
      </c>
      <c r="CU185" s="70">
        <f t="shared" si="128"/>
        <v>35.747727486403832</v>
      </c>
      <c r="CV185" s="70">
        <f t="shared" si="129"/>
        <v>67.857287881423588</v>
      </c>
      <c r="CW185" s="69">
        <f t="shared" si="130"/>
        <v>39.305892371285374</v>
      </c>
      <c r="CX185" s="69">
        <f t="shared" si="131"/>
        <v>84.25945739453897</v>
      </c>
      <c r="CY185" s="70">
        <f t="shared" si="132"/>
        <v>123.56534976582435</v>
      </c>
      <c r="CZ185" s="69">
        <f t="shared" si="133"/>
        <v>67.007036212273263</v>
      </c>
      <c r="DA185" s="69">
        <f t="shared" si="134"/>
        <v>74.599254574642515</v>
      </c>
      <c r="DB185" s="70">
        <f t="shared" si="135"/>
        <v>141.60629078691579</v>
      </c>
    </row>
    <row r="186" spans="23:106">
      <c r="W186" t="s">
        <v>472</v>
      </c>
      <c r="X186">
        <v>4287323</v>
      </c>
      <c r="Y186">
        <v>2382340</v>
      </c>
      <c r="Z186" s="51">
        <v>40903.370000000003</v>
      </c>
      <c r="AA186" s="32">
        <f t="shared" si="101"/>
        <v>97445734485.800003</v>
      </c>
      <c r="AB186">
        <v>169027</v>
      </c>
      <c r="AC186" s="37">
        <f t="shared" si="102"/>
        <v>3.9424834564598936E-2</v>
      </c>
      <c r="AD186" s="50">
        <f>+'Revenue mile elasticities'!M215</f>
        <v>38400000</v>
      </c>
      <c r="AE186" s="3">
        <f t="shared" si="105"/>
        <v>384000</v>
      </c>
      <c r="AF186" s="11">
        <f>+'Revenue mile elasticities'!P215</f>
        <v>2.020783313419908E-2</v>
      </c>
      <c r="AG186" s="11">
        <f>+'Revenue mile elasticities'!Q215</f>
        <v>7.9815529950722136E-2</v>
      </c>
      <c r="AH186" s="11">
        <f>+'Revenue mile elasticities'!R215</f>
        <v>5.5443874303217691E-2</v>
      </c>
      <c r="AI186" s="11">
        <f>+'Revenue mile elasticities'!S215</f>
        <v>9.4518390731118326E-2</v>
      </c>
      <c r="AJ186" s="32">
        <f t="shared" si="106"/>
        <v>19691671.421285152</v>
      </c>
      <c r="AK186" s="33">
        <f t="shared" si="107"/>
        <v>2.020783313419908E-4</v>
      </c>
      <c r="AL186" s="40">
        <f t="shared" si="108"/>
        <v>77776829.394214869</v>
      </c>
      <c r="AM186" s="33">
        <f t="shared" si="109"/>
        <v>7.9815529950722137E-4</v>
      </c>
      <c r="AN186" s="40">
        <f t="shared" si="110"/>
        <v>93715117.418499768</v>
      </c>
      <c r="AO186" s="41">
        <f t="shared" si="111"/>
        <v>5.54438743032177E-4</v>
      </c>
      <c r="AP186" s="40">
        <f t="shared" si="112"/>
        <v>159761600.30108735</v>
      </c>
      <c r="AQ186" s="41">
        <f t="shared" si="113"/>
        <v>9.4518390731118316E-4</v>
      </c>
      <c r="AR186" s="53"/>
      <c r="AS186" s="53"/>
      <c r="BH186" t="s">
        <v>472</v>
      </c>
      <c r="BI186">
        <v>4287323</v>
      </c>
      <c r="BJ186">
        <v>2382340</v>
      </c>
      <c r="BK186" s="51">
        <v>40903.370000000003</v>
      </c>
      <c r="BL186" s="32">
        <f t="shared" si="103"/>
        <v>97445734485.800003</v>
      </c>
      <c r="BM186">
        <v>169027</v>
      </c>
      <c r="BN186" s="37">
        <f t="shared" si="104"/>
        <v>3.9424834564598936E-2</v>
      </c>
      <c r="BO186" s="50">
        <f t="shared" si="114"/>
        <v>38400000</v>
      </c>
      <c r="BP186" s="3">
        <f t="shared" si="115"/>
        <v>384000</v>
      </c>
      <c r="BQ186" s="11">
        <f>+'Rev mile pop elasticities'!P216</f>
        <v>3.140931718930437E-2</v>
      </c>
      <c r="BR186" s="11">
        <f>+'Rev mile pop elasticities'!Q216</f>
        <v>6.4428679621292811E-2</v>
      </c>
      <c r="BS186" s="11">
        <f>+'Rev mile pop elasticities'!R216</f>
        <v>8.6177187956214152E-2</v>
      </c>
      <c r="BT186" s="11">
        <f>+'Rev mile pop elasticities'!S216</f>
        <v>7.6297120604162549E-2</v>
      </c>
      <c r="BU186" s="32">
        <f t="shared" si="116"/>
        <v>30607039.832092278</v>
      </c>
      <c r="BV186" s="33">
        <f t="shared" si="117"/>
        <v>3.1409317189304373E-4</v>
      </c>
      <c r="BW186" s="40">
        <f t="shared" si="118"/>
        <v>62783000.076471731</v>
      </c>
      <c r="BX186" s="33">
        <f t="shared" si="119"/>
        <v>6.4428679621292815E-4</v>
      </c>
      <c r="BY186" s="40">
        <f t="shared" si="120"/>
        <v>145662715.4867501</v>
      </c>
      <c r="BZ186" s="41">
        <f t="shared" si="121"/>
        <v>8.6177187956214154E-4</v>
      </c>
      <c r="CA186" s="40">
        <f t="shared" si="122"/>
        <v>128962734.04359783</v>
      </c>
      <c r="CB186" s="41">
        <f t="shared" si="123"/>
        <v>7.6297120604162548E-4</v>
      </c>
      <c r="CQ186" s="70">
        <f t="shared" si="124"/>
        <v>8.2656847558640472</v>
      </c>
      <c r="CR186" s="70">
        <f t="shared" si="125"/>
        <v>12.847469224414768</v>
      </c>
      <c r="CS186" s="70">
        <f t="shared" si="126"/>
        <v>21.113153980278817</v>
      </c>
      <c r="CT186" s="70">
        <f t="shared" si="127"/>
        <v>32.647241533204692</v>
      </c>
      <c r="CU186" s="70">
        <f t="shared" si="128"/>
        <v>26.353501211611999</v>
      </c>
      <c r="CV186" s="70">
        <f t="shared" si="129"/>
        <v>59.000742744816691</v>
      </c>
      <c r="CW186" s="69">
        <f t="shared" si="130"/>
        <v>39.337423465374279</v>
      </c>
      <c r="CX186" s="69">
        <f t="shared" si="131"/>
        <v>61.142706535066402</v>
      </c>
      <c r="CY186" s="70">
        <f t="shared" si="132"/>
        <v>100.48013000044068</v>
      </c>
      <c r="CZ186" s="69">
        <f t="shared" si="133"/>
        <v>67.060789098570041</v>
      </c>
      <c r="DA186" s="69">
        <f t="shared" si="134"/>
        <v>54.132799702644391</v>
      </c>
      <c r="DB186" s="70">
        <f t="shared" si="135"/>
        <v>121.19358880121443</v>
      </c>
    </row>
    <row r="187" spans="23:106">
      <c r="W187" t="s">
        <v>313</v>
      </c>
      <c r="X187">
        <v>2355391</v>
      </c>
      <c r="Y187">
        <v>1452482</v>
      </c>
      <c r="Z187" s="51">
        <v>40947</v>
      </c>
      <c r="AA187" s="32">
        <f t="shared" si="101"/>
        <v>59474780454</v>
      </c>
      <c r="AB187">
        <v>105749</v>
      </c>
      <c r="AC187" s="37">
        <f t="shared" si="102"/>
        <v>4.4896579803523066E-2</v>
      </c>
      <c r="AD187" s="50">
        <f>+'Revenue mile elasticities'!M216</f>
        <v>27800000</v>
      </c>
      <c r="AE187" s="3">
        <f t="shared" si="105"/>
        <v>278000</v>
      </c>
      <c r="AF187" s="11">
        <f>+'Revenue mile elasticities'!P216</f>
        <v>8.0987272924834802E-3</v>
      </c>
      <c r="AG187" s="11">
        <f>+'Revenue mile elasticities'!Q216</f>
        <v>3.1987804258042526E-2</v>
      </c>
      <c r="AH187" s="11">
        <f>+'Revenue mile elasticities'!R216</f>
        <v>2.2220334809701967E-2</v>
      </c>
      <c r="AI187" s="11">
        <f>+'Revenue mile elasticities'!S216</f>
        <v>3.7880294516102996E-2</v>
      </c>
      <c r="AJ187" s="32">
        <f t="shared" si="106"/>
        <v>4816700.2767727282</v>
      </c>
      <c r="AK187" s="33">
        <f t="shared" si="107"/>
        <v>8.0987272924834807E-5</v>
      </c>
      <c r="AL187" s="40">
        <f t="shared" si="108"/>
        <v>19024676.354526054</v>
      </c>
      <c r="AM187" s="33">
        <f t="shared" si="109"/>
        <v>3.1987804258042525E-4</v>
      </c>
      <c r="AN187" s="40">
        <f t="shared" si="110"/>
        <v>23497781.857911732</v>
      </c>
      <c r="AO187" s="41">
        <f t="shared" si="111"/>
        <v>2.2220334809701966E-4</v>
      </c>
      <c r="AP187" s="40">
        <f t="shared" si="112"/>
        <v>40058032.647833757</v>
      </c>
      <c r="AQ187" s="41">
        <f t="shared" si="113"/>
        <v>3.7880294516102998E-4</v>
      </c>
      <c r="AR187" s="53"/>
      <c r="AS187" s="53"/>
      <c r="BH187" t="s">
        <v>313</v>
      </c>
      <c r="BI187">
        <v>2355391</v>
      </c>
      <c r="BJ187">
        <v>1452482</v>
      </c>
      <c r="BK187" s="51">
        <v>40947</v>
      </c>
      <c r="BL187" s="32">
        <f t="shared" si="103"/>
        <v>59474780454</v>
      </c>
      <c r="BM187">
        <v>105749</v>
      </c>
      <c r="BN187" s="37">
        <f t="shared" si="104"/>
        <v>4.4896579803523066E-2</v>
      </c>
      <c r="BO187" s="50">
        <f t="shared" si="114"/>
        <v>27800000</v>
      </c>
      <c r="BP187" s="3">
        <f t="shared" si="115"/>
        <v>278000</v>
      </c>
      <c r="BQ187" s="11">
        <f>+'Rev mile pop elasticities'!P217</f>
        <v>4.1389984083322041E-2</v>
      </c>
      <c r="BR187" s="11">
        <f>+'Rev mile pop elasticities'!Q217</f>
        <v>8.4901623552098168E-2</v>
      </c>
      <c r="BS187" s="11">
        <f>+'Rev mile pop elasticities'!R217</f>
        <v>0.11356096716001716</v>
      </c>
      <c r="BT187" s="11">
        <f>+'Rev mile pop elasticities'!S217</f>
        <v>0.10054139631169519</v>
      </c>
      <c r="BU187" s="32">
        <f t="shared" si="116"/>
        <v>24616602.163501326</v>
      </c>
      <c r="BV187" s="33">
        <f t="shared" si="117"/>
        <v>4.1389984083322039E-4</v>
      </c>
      <c r="BW187" s="40">
        <f t="shared" si="118"/>
        <v>50495054.209491938</v>
      </c>
      <c r="BX187" s="33">
        <f t="shared" si="119"/>
        <v>8.4901623552098159E-4</v>
      </c>
      <c r="BY187" s="40">
        <f t="shared" si="120"/>
        <v>120089587.16204654</v>
      </c>
      <c r="BZ187" s="41">
        <f t="shared" si="121"/>
        <v>1.1356096716001714E-3</v>
      </c>
      <c r="CA187" s="40">
        <f t="shared" si="122"/>
        <v>106321521.18565455</v>
      </c>
      <c r="CB187" s="41">
        <f t="shared" si="123"/>
        <v>1.0054139631169518E-3</v>
      </c>
      <c r="CQ187" s="70">
        <f t="shared" si="124"/>
        <v>3.3161858644532107</v>
      </c>
      <c r="CR187" s="70">
        <f t="shared" si="125"/>
        <v>16.947956782597874</v>
      </c>
      <c r="CS187" s="70">
        <f t="shared" si="126"/>
        <v>20.264142647051084</v>
      </c>
      <c r="CT187" s="70">
        <f t="shared" si="127"/>
        <v>13.098046209540671</v>
      </c>
      <c r="CU187" s="70">
        <f t="shared" si="128"/>
        <v>34.764667795877635</v>
      </c>
      <c r="CV187" s="70">
        <f t="shared" si="129"/>
        <v>47.862714005418304</v>
      </c>
      <c r="CW187" s="69">
        <f t="shared" si="130"/>
        <v>16.17767508162699</v>
      </c>
      <c r="CX187" s="69">
        <f t="shared" si="131"/>
        <v>82.678881502178015</v>
      </c>
      <c r="CY187" s="70">
        <f t="shared" si="132"/>
        <v>98.856556583805002</v>
      </c>
      <c r="CZ187" s="69">
        <f t="shared" si="133"/>
        <v>27.579021735094656</v>
      </c>
      <c r="DA187" s="69">
        <f t="shared" si="134"/>
        <v>73.199889007681023</v>
      </c>
      <c r="DB187" s="70">
        <f t="shared" si="135"/>
        <v>100.77891074277568</v>
      </c>
    </row>
    <row r="188" spans="23:106">
      <c r="W188" t="s">
        <v>473</v>
      </c>
      <c r="X188">
        <v>88984</v>
      </c>
      <c r="Y188">
        <v>52972</v>
      </c>
      <c r="Z188" s="51">
        <v>28777.56</v>
      </c>
      <c r="AA188" s="32">
        <f t="shared" si="101"/>
        <v>1524404908.3200002</v>
      </c>
      <c r="AB188">
        <v>2014</v>
      </c>
      <c r="AC188" s="37">
        <f t="shared" si="102"/>
        <v>2.2633282387845007E-2</v>
      </c>
      <c r="AD188" s="50">
        <f>+'Revenue mile elasticities'!M217</f>
        <v>296787</v>
      </c>
      <c r="AE188" s="3">
        <f t="shared" si="105"/>
        <v>2967.87</v>
      </c>
      <c r="AF188" s="11">
        <f>+'Revenue mile elasticities'!P217</f>
        <v>3.2361340938156174E-4</v>
      </c>
      <c r="AG188" s="11">
        <f>+'Revenue mile elasticities'!Q217</f>
        <v>1.2781863150501055E-3</v>
      </c>
      <c r="AH188" s="11">
        <f>+'Revenue mile elasticities'!R217</f>
        <v>8.8789238675085534E-4</v>
      </c>
      <c r="AI188" s="11">
        <f>+'Revenue mile elasticities'!S217</f>
        <v>1.5136416888751252E-3</v>
      </c>
      <c r="AJ188" s="32">
        <f t="shared" si="106"/>
        <v>4933.1786965942229</v>
      </c>
      <c r="AK188" s="33">
        <f t="shared" si="107"/>
        <v>3.2361340938156171E-6</v>
      </c>
      <c r="AL188" s="40">
        <f t="shared" si="108"/>
        <v>19484.734924098349</v>
      </c>
      <c r="AM188" s="33">
        <f t="shared" si="109"/>
        <v>1.2781863150501055E-5</v>
      </c>
      <c r="AN188" s="40">
        <f t="shared" si="110"/>
        <v>17882.152669162228</v>
      </c>
      <c r="AO188" s="41">
        <f t="shared" si="111"/>
        <v>8.8789238675085544E-6</v>
      </c>
      <c r="AP188" s="40">
        <f t="shared" si="112"/>
        <v>30484.743613945022</v>
      </c>
      <c r="AQ188" s="41">
        <f t="shared" si="113"/>
        <v>1.5136416888751253E-5</v>
      </c>
      <c r="AR188" s="53"/>
      <c r="AS188" s="53"/>
      <c r="BH188" t="s">
        <v>473</v>
      </c>
      <c r="BI188">
        <v>88984</v>
      </c>
      <c r="BJ188">
        <v>52972</v>
      </c>
      <c r="BK188" s="51">
        <v>28777.56</v>
      </c>
      <c r="BL188" s="32">
        <f t="shared" si="103"/>
        <v>1524404908.3200002</v>
      </c>
      <c r="BM188">
        <v>2014</v>
      </c>
      <c r="BN188" s="37">
        <f t="shared" si="104"/>
        <v>2.2633282387845007E-2</v>
      </c>
      <c r="BO188" s="50">
        <f t="shared" si="114"/>
        <v>296787</v>
      </c>
      <c r="BP188" s="3">
        <f t="shared" si="115"/>
        <v>2967.87</v>
      </c>
      <c r="BQ188" s="11">
        <f>+'Rev mile pop elasticities'!P218</f>
        <v>1.1696244126359794E-2</v>
      </c>
      <c r="BR188" s="11">
        <f>+'Rev mile pop elasticities'!Q218</f>
        <v>2.3992039083430731E-2</v>
      </c>
      <c r="BS188" s="11">
        <f>+'Rev mile pop elasticities'!R218</f>
        <v>3.2090778108423978E-2</v>
      </c>
      <c r="BT188" s="11">
        <f>+'Rev mile pop elasticities'!S218</f>
        <v>2.8411625230378497E-2</v>
      </c>
      <c r="BU188" s="32">
        <f t="shared" si="116"/>
        <v>178298.11955131844</v>
      </c>
      <c r="BV188" s="33">
        <f t="shared" si="117"/>
        <v>1.1696244126359795E-4</v>
      </c>
      <c r="BW188" s="40">
        <f t="shared" si="118"/>
        <v>365735.82139387086</v>
      </c>
      <c r="BX188" s="33">
        <f t="shared" si="119"/>
        <v>2.3992039083430732E-4</v>
      </c>
      <c r="BY188" s="40">
        <f t="shared" si="120"/>
        <v>646308.27110365895</v>
      </c>
      <c r="BZ188" s="41">
        <f t="shared" si="121"/>
        <v>3.2090778108423976E-4</v>
      </c>
      <c r="CA188" s="40">
        <f t="shared" si="122"/>
        <v>572210.13213982293</v>
      </c>
      <c r="CB188" s="41">
        <f t="shared" si="123"/>
        <v>2.8411625230378496E-4</v>
      </c>
      <c r="CQ188" s="70">
        <f t="shared" si="124"/>
        <v>9.3128043052824572E-2</v>
      </c>
      <c r="CR188" s="70">
        <f t="shared" si="125"/>
        <v>3.3658936712096663</v>
      </c>
      <c r="CS188" s="70">
        <f t="shared" si="126"/>
        <v>3.4590217142624908</v>
      </c>
      <c r="CT188" s="70">
        <f t="shared" si="127"/>
        <v>0.36783083372533321</v>
      </c>
      <c r="CU188" s="70">
        <f t="shared" si="128"/>
        <v>6.9043234424577298</v>
      </c>
      <c r="CV188" s="70">
        <f t="shared" si="129"/>
        <v>7.2721542761830626</v>
      </c>
      <c r="CW188" s="69">
        <f t="shared" si="130"/>
        <v>0.33757744976897658</v>
      </c>
      <c r="CX188" s="69">
        <f t="shared" si="131"/>
        <v>12.200941461595917</v>
      </c>
      <c r="CY188" s="70">
        <f t="shared" si="132"/>
        <v>12.538518911364894</v>
      </c>
      <c r="CZ188" s="69">
        <f t="shared" si="133"/>
        <v>0.57548787310173344</v>
      </c>
      <c r="DA188" s="69">
        <f t="shared" si="134"/>
        <v>10.802124370229988</v>
      </c>
      <c r="DB188" s="70">
        <f t="shared" si="135"/>
        <v>11.377612243331722</v>
      </c>
    </row>
    <row r="189" spans="23:106">
      <c r="W189" t="s">
        <v>474</v>
      </c>
      <c r="X189">
        <v>404726</v>
      </c>
      <c r="Y189">
        <v>188921</v>
      </c>
      <c r="Z189" s="51">
        <v>31359.47</v>
      </c>
      <c r="AA189" s="32">
        <f t="shared" si="101"/>
        <v>5924462431.8699999</v>
      </c>
      <c r="AB189">
        <v>9961</v>
      </c>
      <c r="AC189" s="37">
        <f t="shared" si="102"/>
        <v>2.4611712615448478E-2</v>
      </c>
      <c r="AD189" s="50">
        <f>+'Revenue mile elasticities'!M218</f>
        <v>247015</v>
      </c>
      <c r="AE189" s="3">
        <f t="shared" si="105"/>
        <v>2470.15</v>
      </c>
      <c r="AF189" s="11">
        <f>+'Revenue mile elasticities'!P218</f>
        <v>1.0225014354185589E-3</v>
      </c>
      <c r="AG189" s="11">
        <f>+'Revenue mile elasticities'!Q218</f>
        <v>4.0386068808728314E-3</v>
      </c>
      <c r="AH189" s="11">
        <f>+'Revenue mile elasticities'!R218</f>
        <v>2.8054191007873823E-3</v>
      </c>
      <c r="AI189" s="11">
        <f>+'Revenue mile elasticities'!S218</f>
        <v>4.7825607799809843E-3</v>
      </c>
      <c r="AJ189" s="32">
        <f t="shared" si="106"/>
        <v>60577.713406704017</v>
      </c>
      <c r="AK189" s="33">
        <f t="shared" si="107"/>
        <v>1.022501435418559E-5</v>
      </c>
      <c r="AL189" s="40">
        <f t="shared" si="108"/>
        <v>239265.74742822771</v>
      </c>
      <c r="AM189" s="33">
        <f t="shared" si="109"/>
        <v>4.0386068808728317E-5</v>
      </c>
      <c r="AN189" s="40">
        <f t="shared" si="110"/>
        <v>279447.79662943119</v>
      </c>
      <c r="AO189" s="41">
        <f t="shared" si="111"/>
        <v>2.8054191007873827E-5</v>
      </c>
      <c r="AP189" s="40">
        <f t="shared" si="112"/>
        <v>476390.87929390586</v>
      </c>
      <c r="AQ189" s="41">
        <f t="shared" si="113"/>
        <v>4.7825607799809841E-5</v>
      </c>
      <c r="AR189" s="53"/>
      <c r="AS189" s="53"/>
      <c r="BH189" t="s">
        <v>474</v>
      </c>
      <c r="BI189">
        <v>404726</v>
      </c>
      <c r="BJ189">
        <v>188921</v>
      </c>
      <c r="BK189" s="51">
        <v>31359.47</v>
      </c>
      <c r="BL189" s="32">
        <f t="shared" si="103"/>
        <v>5924462431.8699999</v>
      </c>
      <c r="BM189">
        <v>9961</v>
      </c>
      <c r="BN189" s="37">
        <f t="shared" si="104"/>
        <v>2.4611712615448478E-2</v>
      </c>
      <c r="BO189" s="50">
        <f t="shared" si="114"/>
        <v>247015</v>
      </c>
      <c r="BP189" s="3">
        <f t="shared" si="115"/>
        <v>2470.15</v>
      </c>
      <c r="BQ189" s="11">
        <f>+'Rev mile pop elasticities'!P219</f>
        <v>2.1403051503980468E-3</v>
      </c>
      <c r="BR189" s="11">
        <f>+'Rev mile pop elasticities'!Q219</f>
        <v>4.3903225910863156E-3</v>
      </c>
      <c r="BS189" s="11">
        <f>+'Rev mile pop elasticities'!R219</f>
        <v>5.8723173801534861E-3</v>
      </c>
      <c r="BT189" s="11">
        <f>+'Rev mile pop elasticities'!S219</f>
        <v>5.1990662262864267E-3</v>
      </c>
      <c r="BU189" s="32">
        <f t="shared" si="116"/>
        <v>126801.57456271099</v>
      </c>
      <c r="BV189" s="33">
        <f t="shared" si="117"/>
        <v>2.1403051503980468E-5</v>
      </c>
      <c r="BW189" s="40">
        <f t="shared" si="118"/>
        <v>260103.01254681032</v>
      </c>
      <c r="BX189" s="33">
        <f t="shared" si="119"/>
        <v>4.3903225910863153E-5</v>
      </c>
      <c r="BY189" s="40">
        <f t="shared" si="120"/>
        <v>584941.53423708887</v>
      </c>
      <c r="BZ189" s="41">
        <f t="shared" si="121"/>
        <v>5.8723173801534871E-5</v>
      </c>
      <c r="CA189" s="40">
        <f t="shared" si="122"/>
        <v>517878.98680039099</v>
      </c>
      <c r="CB189" s="41">
        <f t="shared" si="123"/>
        <v>5.1990662262864267E-5</v>
      </c>
      <c r="CQ189" s="70">
        <f t="shared" si="124"/>
        <v>0.32065103088965236</v>
      </c>
      <c r="CR189" s="70">
        <f t="shared" si="125"/>
        <v>0.67118835154753043</v>
      </c>
      <c r="CS189" s="70">
        <f t="shared" si="126"/>
        <v>0.99183938243718273</v>
      </c>
      <c r="CT189" s="70">
        <f t="shared" si="127"/>
        <v>1.2664857132252514</v>
      </c>
      <c r="CU189" s="70">
        <f t="shared" si="128"/>
        <v>1.3767818958549358</v>
      </c>
      <c r="CV189" s="70">
        <f t="shared" si="129"/>
        <v>2.643267609080187</v>
      </c>
      <c r="CW189" s="69">
        <f t="shared" si="130"/>
        <v>1.4791780512988562</v>
      </c>
      <c r="CX189" s="69">
        <f t="shared" si="131"/>
        <v>3.0962229410022646</v>
      </c>
      <c r="CY189" s="70">
        <f t="shared" si="132"/>
        <v>4.5754009923011205</v>
      </c>
      <c r="CZ189" s="69">
        <f t="shared" si="133"/>
        <v>2.521640682051788</v>
      </c>
      <c r="DA189" s="69">
        <f t="shared" si="134"/>
        <v>2.7412462711947905</v>
      </c>
      <c r="DB189" s="70">
        <f t="shared" si="135"/>
        <v>5.2628869532465785</v>
      </c>
    </row>
    <row r="190" spans="23:106">
      <c r="W190" t="s">
        <v>315</v>
      </c>
      <c r="X190">
        <v>2203745</v>
      </c>
      <c r="Y190">
        <v>1388060</v>
      </c>
      <c r="Z190" s="51">
        <v>43022.45</v>
      </c>
      <c r="AA190" s="32">
        <f t="shared" si="101"/>
        <v>59717741946.999992</v>
      </c>
      <c r="AB190">
        <v>101230</v>
      </c>
      <c r="AC190" s="37">
        <f t="shared" si="102"/>
        <v>4.5935441713991408E-2</v>
      </c>
      <c r="AD190" s="50">
        <f>+'Revenue mile elasticities'!M219</f>
        <v>31600000</v>
      </c>
      <c r="AE190" s="3">
        <f t="shared" si="105"/>
        <v>316000</v>
      </c>
      <c r="AF190" s="11">
        <f>+'Revenue mile elasticities'!P219</f>
        <v>1.4228229426587607E-2</v>
      </c>
      <c r="AG190" s="11">
        <f>+'Revenue mile elasticities'!Q219</f>
        <v>5.6197696428007413E-2</v>
      </c>
      <c r="AH190" s="11">
        <f>+'Revenue mile elasticities'!R219</f>
        <v>3.9037741387027369E-2</v>
      </c>
      <c r="AI190" s="11">
        <f>+'Revenue mile elasticities'!S219</f>
        <v>6.6549903664745613E-2</v>
      </c>
      <c r="AJ190" s="32">
        <f t="shared" si="106"/>
        <v>8496777.3325967044</v>
      </c>
      <c r="AK190" s="33">
        <f t="shared" si="107"/>
        <v>1.4228229426587607E-4</v>
      </c>
      <c r="AL190" s="40">
        <f t="shared" si="108"/>
        <v>33559995.333035901</v>
      </c>
      <c r="AM190" s="33">
        <f t="shared" si="109"/>
        <v>5.6197696428007414E-4</v>
      </c>
      <c r="AN190" s="40">
        <f t="shared" si="110"/>
        <v>39517905.606087804</v>
      </c>
      <c r="AO190" s="41">
        <f t="shared" si="111"/>
        <v>3.9037741387027368E-4</v>
      </c>
      <c r="AP190" s="40">
        <f t="shared" si="112"/>
        <v>67368467.47982198</v>
      </c>
      <c r="AQ190" s="41">
        <f t="shared" si="113"/>
        <v>6.6549903664745618E-4</v>
      </c>
      <c r="AR190" s="53"/>
      <c r="AS190" s="53"/>
      <c r="BH190" t="s">
        <v>315</v>
      </c>
      <c r="BI190">
        <v>2203745</v>
      </c>
      <c r="BJ190">
        <v>1388060</v>
      </c>
      <c r="BK190" s="51">
        <v>43022.45</v>
      </c>
      <c r="BL190" s="32">
        <f t="shared" si="103"/>
        <v>59717741946.999992</v>
      </c>
      <c r="BM190">
        <v>101230</v>
      </c>
      <c r="BN190" s="37">
        <f t="shared" si="104"/>
        <v>4.5935441713991408E-2</v>
      </c>
      <c r="BO190" s="50">
        <f t="shared" si="114"/>
        <v>31600000</v>
      </c>
      <c r="BP190" s="3">
        <f t="shared" si="115"/>
        <v>316000</v>
      </c>
      <c r="BQ190" s="11">
        <f>+'Rev mile pop elasticities'!P220</f>
        <v>5.028508833826055E-2</v>
      </c>
      <c r="BR190" s="11">
        <f>+'Rev mile pop elasticities'!Q220</f>
        <v>0.10314779613793794</v>
      </c>
      <c r="BS190" s="11">
        <f>+'Rev mile pop elasticities'!R220</f>
        <v>0.13796630735407225</v>
      </c>
      <c r="BT190" s="11">
        <f>+'Rev mile pop elasticities'!S220</f>
        <v>0.12214870595282123</v>
      </c>
      <c r="BU190" s="32">
        <f t="shared" si="116"/>
        <v>30029119.291663419</v>
      </c>
      <c r="BV190" s="33">
        <f t="shared" si="117"/>
        <v>5.0285088338260545E-4</v>
      </c>
      <c r="BW190" s="40">
        <f t="shared" si="118"/>
        <v>61597534.721671402</v>
      </c>
      <c r="BX190" s="33">
        <f t="shared" si="119"/>
        <v>1.0314779613793794E-3</v>
      </c>
      <c r="BY190" s="40">
        <f t="shared" si="120"/>
        <v>139663292.93452734</v>
      </c>
      <c r="BZ190" s="41">
        <f t="shared" si="121"/>
        <v>1.3796630735407225E-3</v>
      </c>
      <c r="CA190" s="40">
        <f t="shared" si="122"/>
        <v>123651135.03604095</v>
      </c>
      <c r="CB190" s="41">
        <f t="shared" si="123"/>
        <v>1.2214870595282125E-3</v>
      </c>
      <c r="CQ190" s="70">
        <f t="shared" si="124"/>
        <v>6.1213328909389393</v>
      </c>
      <c r="CR190" s="70">
        <f t="shared" si="125"/>
        <v>21.633876987783971</v>
      </c>
      <c r="CS190" s="70">
        <f t="shared" si="126"/>
        <v>27.755209878722908</v>
      </c>
      <c r="CT190" s="70">
        <f t="shared" si="127"/>
        <v>24.177625846891274</v>
      </c>
      <c r="CU190" s="70">
        <f t="shared" si="128"/>
        <v>44.376709019546276</v>
      </c>
      <c r="CV190" s="70">
        <f t="shared" si="129"/>
        <v>68.554334866437557</v>
      </c>
      <c r="CW190" s="69">
        <f t="shared" si="130"/>
        <v>28.469882862475544</v>
      </c>
      <c r="CX190" s="69">
        <f t="shared" si="131"/>
        <v>100.61761950818217</v>
      </c>
      <c r="CY190" s="70">
        <f t="shared" si="132"/>
        <v>129.08750237065772</v>
      </c>
      <c r="CZ190" s="69">
        <f t="shared" si="133"/>
        <v>48.534261832933723</v>
      </c>
      <c r="DA190" s="69">
        <f t="shared" si="134"/>
        <v>89.081981352420613</v>
      </c>
      <c r="DB190" s="70">
        <f t="shared" si="135"/>
        <v>137.61624318535434</v>
      </c>
    </row>
    <row r="191" spans="23:106">
      <c r="W191" t="s">
        <v>475</v>
      </c>
      <c r="X191">
        <v>672020</v>
      </c>
      <c r="Y191">
        <v>340746</v>
      </c>
      <c r="Z191" s="51">
        <v>37933.53</v>
      </c>
      <c r="AA191" s="32">
        <f t="shared" si="101"/>
        <v>12925698613.379999</v>
      </c>
      <c r="AB191">
        <v>16549</v>
      </c>
      <c r="AC191" s="37">
        <f t="shared" si="102"/>
        <v>2.4625755185857565E-2</v>
      </c>
      <c r="AD191" s="50">
        <f>+'Revenue mile elasticities'!M220</f>
        <v>2750456</v>
      </c>
      <c r="AE191" s="3">
        <f t="shared" si="105"/>
        <v>27504.560000000001</v>
      </c>
      <c r="AF191" s="11">
        <f>+'Revenue mile elasticities'!P220</f>
        <v>1.6380972462328967E-3</v>
      </c>
      <c r="AG191" s="11">
        <f>+'Revenue mile elasticities'!Q220</f>
        <v>6.4700454992191944E-3</v>
      </c>
      <c r="AH191" s="11">
        <f>+'Revenue mile elasticities'!R220</f>
        <v>4.4944184373176951E-3</v>
      </c>
      <c r="AI191" s="11">
        <f>+'Revenue mile elasticities'!S220</f>
        <v>7.6618959859174676E-3</v>
      </c>
      <c r="AJ191" s="32">
        <f t="shared" si="106"/>
        <v>211735.51304214151</v>
      </c>
      <c r="AK191" s="33">
        <f t="shared" si="107"/>
        <v>1.6380972462328968E-5</v>
      </c>
      <c r="AL191" s="40">
        <f t="shared" si="108"/>
        <v>836298.58137763047</v>
      </c>
      <c r="AM191" s="33">
        <f t="shared" si="109"/>
        <v>6.470045499219194E-5</v>
      </c>
      <c r="AN191" s="40">
        <f t="shared" si="110"/>
        <v>743781.30719170545</v>
      </c>
      <c r="AO191" s="41">
        <f t="shared" si="111"/>
        <v>4.4944184373176959E-5</v>
      </c>
      <c r="AP191" s="40">
        <f t="shared" si="112"/>
        <v>1267967.1667094817</v>
      </c>
      <c r="AQ191" s="41">
        <f t="shared" si="113"/>
        <v>7.6618959859174677E-5</v>
      </c>
      <c r="AR191" s="53"/>
      <c r="AS191" s="53"/>
      <c r="BH191" t="s">
        <v>475</v>
      </c>
      <c r="BI191">
        <v>672020</v>
      </c>
      <c r="BJ191">
        <v>340746</v>
      </c>
      <c r="BK191" s="51">
        <v>37933.53</v>
      </c>
      <c r="BL191" s="32">
        <f t="shared" si="103"/>
        <v>12925698613.379999</v>
      </c>
      <c r="BM191">
        <v>16549</v>
      </c>
      <c r="BN191" s="37">
        <f t="shared" si="104"/>
        <v>2.4625755185857565E-2</v>
      </c>
      <c r="BO191" s="50">
        <f t="shared" si="114"/>
        <v>2750456</v>
      </c>
      <c r="BP191" s="3">
        <f t="shared" si="115"/>
        <v>27504.560000000001</v>
      </c>
      <c r="BQ191" s="11">
        <f>+'Rev mile pop elasticities'!P221</f>
        <v>1.4352778354691825E-2</v>
      </c>
      <c r="BR191" s="11">
        <f>+'Rev mile pop elasticities'!Q221</f>
        <v>2.9441281792803788E-2</v>
      </c>
      <c r="BS191" s="11">
        <f>+'Rev mile pop elasticities'!R221</f>
        <v>3.9379464077854823E-2</v>
      </c>
      <c r="BT191" s="11">
        <f>+'Rev mile pop elasticities'!S221</f>
        <v>3.4864675807267646E-2</v>
      </c>
      <c r="BU191" s="32">
        <f t="shared" si="116"/>
        <v>1855196.872773906</v>
      </c>
      <c r="BV191" s="33">
        <f t="shared" si="117"/>
        <v>1.4352778354691825E-4</v>
      </c>
      <c r="BW191" s="40">
        <f t="shared" si="118"/>
        <v>3805491.3524537375</v>
      </c>
      <c r="BX191" s="33">
        <f t="shared" si="119"/>
        <v>2.9441281792803788E-4</v>
      </c>
      <c r="BY191" s="40">
        <f t="shared" si="120"/>
        <v>6516907.5102441944</v>
      </c>
      <c r="BZ191" s="41">
        <f t="shared" si="121"/>
        <v>3.9379464077854821E-4</v>
      </c>
      <c r="CA191" s="40">
        <f t="shared" si="122"/>
        <v>5769755.1993447216</v>
      </c>
      <c r="CB191" s="41">
        <f t="shared" si="123"/>
        <v>3.4864675807267639E-4</v>
      </c>
      <c r="CQ191" s="70">
        <f t="shared" si="124"/>
        <v>0.62138811032892982</v>
      </c>
      <c r="CR191" s="70">
        <f t="shared" si="125"/>
        <v>5.4445154830105302</v>
      </c>
      <c r="CS191" s="70">
        <f t="shared" si="126"/>
        <v>6.0659035933394598</v>
      </c>
      <c r="CT191" s="70">
        <f t="shared" si="127"/>
        <v>2.4543166504599627</v>
      </c>
      <c r="CU191" s="70">
        <f t="shared" si="128"/>
        <v>11.168117461257763</v>
      </c>
      <c r="CV191" s="70">
        <f t="shared" si="129"/>
        <v>13.622434111717727</v>
      </c>
      <c r="CW191" s="69">
        <f t="shared" si="130"/>
        <v>2.1828027539331512</v>
      </c>
      <c r="CX191" s="69">
        <f t="shared" si="131"/>
        <v>19.125411626971982</v>
      </c>
      <c r="CY191" s="70">
        <f t="shared" si="132"/>
        <v>21.308214380905135</v>
      </c>
      <c r="CZ191" s="69">
        <f t="shared" si="133"/>
        <v>3.7211505541062309</v>
      </c>
      <c r="DA191" s="69">
        <f t="shared" si="134"/>
        <v>16.932715862679888</v>
      </c>
      <c r="DB191" s="70">
        <f t="shared" si="135"/>
        <v>20.653866416786119</v>
      </c>
    </row>
    <row r="192" spans="23:106">
      <c r="W192" t="s">
        <v>317</v>
      </c>
      <c r="X192">
        <v>1599312</v>
      </c>
      <c r="Y192">
        <v>890702</v>
      </c>
      <c r="Z192" s="51">
        <v>39287.08</v>
      </c>
      <c r="AA192" s="32">
        <f t="shared" si="101"/>
        <v>34993080730.160004</v>
      </c>
      <c r="AB192">
        <v>57032</v>
      </c>
      <c r="AC192" s="37">
        <f t="shared" si="102"/>
        <v>3.5660333943595746E-2</v>
      </c>
      <c r="AD192" s="50">
        <f>+'Revenue mile elasticities'!M221</f>
        <v>9264064</v>
      </c>
      <c r="AE192" s="3">
        <f t="shared" si="105"/>
        <v>92640.639999999999</v>
      </c>
      <c r="AF192" s="11">
        <f>+'Revenue mile elasticities'!P221</f>
        <v>4.3858614824423955E-3</v>
      </c>
      <c r="AG192" s="11">
        <f>+'Revenue mile elasticities'!Q221</f>
        <v>1.7322978480021674E-2</v>
      </c>
      <c r="AH192" s="11">
        <f>+'Revenue mile elasticities'!R221</f>
        <v>1.2033410565545922E-2</v>
      </c>
      <c r="AI192" s="11">
        <f>+'Revenue mile elasticities'!S221</f>
        <v>2.0514053463183562E-2</v>
      </c>
      <c r="AJ192" s="32">
        <f t="shared" si="106"/>
        <v>1534748.0492640599</v>
      </c>
      <c r="AK192" s="33">
        <f t="shared" si="107"/>
        <v>4.3858614824423956E-5</v>
      </c>
      <c r="AL192" s="40">
        <f t="shared" si="108"/>
        <v>6061843.8443822293</v>
      </c>
      <c r="AM192" s="33">
        <f t="shared" si="109"/>
        <v>1.7322978480021676E-4</v>
      </c>
      <c r="AN192" s="40">
        <f t="shared" si="110"/>
        <v>6862894.71374215</v>
      </c>
      <c r="AO192" s="41">
        <f t="shared" si="111"/>
        <v>1.2033410565545921E-4</v>
      </c>
      <c r="AP192" s="40">
        <f t="shared" si="112"/>
        <v>11699574.971122848</v>
      </c>
      <c r="AQ192" s="41">
        <f t="shared" si="113"/>
        <v>2.0514053463183561E-4</v>
      </c>
      <c r="AR192" s="53"/>
      <c r="AS192" s="53"/>
      <c r="BH192" t="s">
        <v>317</v>
      </c>
      <c r="BI192">
        <v>1599312</v>
      </c>
      <c r="BJ192">
        <v>890702</v>
      </c>
      <c r="BK192" s="51">
        <v>39287.08</v>
      </c>
      <c r="BL192" s="32">
        <f t="shared" si="103"/>
        <v>34993080730.160004</v>
      </c>
      <c r="BM192">
        <v>57032</v>
      </c>
      <c r="BN192" s="37">
        <f t="shared" si="104"/>
        <v>3.5660333943595746E-2</v>
      </c>
      <c r="BO192" s="50">
        <f t="shared" si="114"/>
        <v>9264064</v>
      </c>
      <c r="BP192" s="3">
        <f t="shared" si="115"/>
        <v>92640.639999999999</v>
      </c>
      <c r="BQ192" s="11">
        <f>+'Rev mile pop elasticities'!P222</f>
        <v>2.0313362818812089E-2</v>
      </c>
      <c r="BR192" s="11">
        <f>+'Rev mile pop elasticities'!Q222</f>
        <v>4.1667990972118013E-2</v>
      </c>
      <c r="BS192" s="11">
        <f>+'Rev mile pop elasticities'!R222</f>
        <v>5.5733414232119811E-2</v>
      </c>
      <c r="BT192" s="11">
        <f>+'Rev mile pop elasticities'!S222</f>
        <v>4.9343673519613433E-2</v>
      </c>
      <c r="BU192" s="32">
        <f t="shared" si="116"/>
        <v>7108271.4501972198</v>
      </c>
      <c r="BV192" s="33">
        <f t="shared" si="117"/>
        <v>2.0313362818812089E-4</v>
      </c>
      <c r="BW192" s="40">
        <f t="shared" si="118"/>
        <v>14580913.719509039</v>
      </c>
      <c r="BX192" s="33">
        <f t="shared" si="119"/>
        <v>4.1667990972118015E-4</v>
      </c>
      <c r="BY192" s="40">
        <f t="shared" si="120"/>
        <v>31785880.80486257</v>
      </c>
      <c r="BZ192" s="41">
        <f t="shared" si="121"/>
        <v>5.5733414232119805E-4</v>
      </c>
      <c r="CA192" s="40">
        <f t="shared" si="122"/>
        <v>28141683.881705929</v>
      </c>
      <c r="CB192" s="41">
        <f t="shared" si="123"/>
        <v>4.9343673519613421E-4</v>
      </c>
      <c r="CQ192" s="70">
        <f t="shared" si="124"/>
        <v>1.7230769092963301</v>
      </c>
      <c r="CR192" s="70">
        <f t="shared" si="125"/>
        <v>7.9805271013169614</v>
      </c>
      <c r="CS192" s="70">
        <f t="shared" si="126"/>
        <v>9.7036040106132919</v>
      </c>
      <c r="CT192" s="70">
        <f t="shared" si="127"/>
        <v>6.8056924138289006</v>
      </c>
      <c r="CU192" s="70">
        <f t="shared" si="128"/>
        <v>16.370136947608785</v>
      </c>
      <c r="CV192" s="70">
        <f t="shared" si="129"/>
        <v>23.175829361437685</v>
      </c>
      <c r="CW192" s="69">
        <f t="shared" si="130"/>
        <v>7.7050401972176443</v>
      </c>
      <c r="CX192" s="69">
        <f t="shared" si="131"/>
        <v>35.686324724613364</v>
      </c>
      <c r="CY192" s="70">
        <f t="shared" si="132"/>
        <v>43.391364921831006</v>
      </c>
      <c r="CZ192" s="69">
        <f t="shared" si="133"/>
        <v>13.135229258632908</v>
      </c>
      <c r="DA192" s="69">
        <f t="shared" si="134"/>
        <v>31.594948570572345</v>
      </c>
      <c r="DB192" s="70">
        <f t="shared" si="135"/>
        <v>44.730177829205253</v>
      </c>
    </row>
    <row r="193" spans="23:106">
      <c r="W193" t="s">
        <v>476</v>
      </c>
      <c r="X193">
        <v>156009</v>
      </c>
      <c r="Y193">
        <v>77291</v>
      </c>
      <c r="Z193" s="51">
        <v>30336.55</v>
      </c>
      <c r="AA193" s="32">
        <f t="shared" si="101"/>
        <v>2344742286.0499997</v>
      </c>
      <c r="AB193">
        <v>3174</v>
      </c>
      <c r="AC193" s="37">
        <f t="shared" si="102"/>
        <v>2.0344980097302078E-2</v>
      </c>
      <c r="AD193" s="50">
        <f>+'Revenue mile elasticities'!M222</f>
        <v>552039</v>
      </c>
      <c r="AE193" s="3">
        <f t="shared" si="105"/>
        <v>5520.39</v>
      </c>
      <c r="AF193" s="11">
        <f>+'Revenue mile elasticities'!P222</f>
        <v>5.4067317964697501E-4</v>
      </c>
      <c r="AG193" s="11">
        <f>+'Revenue mile elasticities'!Q222</f>
        <v>2.135514286815477E-3</v>
      </c>
      <c r="AH193" s="11">
        <f>+'Revenue mile elasticities'!R222</f>
        <v>1.483435438742603E-3</v>
      </c>
      <c r="AI193" s="11">
        <f>+'Revenue mile elasticities'!S222</f>
        <v>2.5288984975446443E-3</v>
      </c>
      <c r="AJ193" s="32">
        <f t="shared" si="106"/>
        <v>12677.392672513703</v>
      </c>
      <c r="AK193" s="33">
        <f t="shared" si="107"/>
        <v>5.4067317964697501E-6</v>
      </c>
      <c r="AL193" s="40">
        <f t="shared" si="108"/>
        <v>50072.306507601563</v>
      </c>
      <c r="AM193" s="33">
        <f t="shared" si="109"/>
        <v>2.1355142868154771E-5</v>
      </c>
      <c r="AN193" s="40">
        <f t="shared" si="110"/>
        <v>47084.240825690227</v>
      </c>
      <c r="AO193" s="41">
        <f t="shared" si="111"/>
        <v>1.4834354387426032E-5</v>
      </c>
      <c r="AP193" s="40">
        <f t="shared" si="112"/>
        <v>80267.238312066998</v>
      </c>
      <c r="AQ193" s="41">
        <f t="shared" si="113"/>
        <v>2.528898497544644E-5</v>
      </c>
      <c r="AR193" s="53"/>
      <c r="AS193" s="53"/>
      <c r="BH193" t="s">
        <v>476</v>
      </c>
      <c r="BI193">
        <v>156009</v>
      </c>
      <c r="BJ193">
        <v>77291</v>
      </c>
      <c r="BK193" s="51">
        <v>30336.55</v>
      </c>
      <c r="BL193" s="32">
        <f t="shared" si="103"/>
        <v>2344742286.0499997</v>
      </c>
      <c r="BM193">
        <v>3174</v>
      </c>
      <c r="BN193" s="37">
        <f t="shared" si="104"/>
        <v>2.0344980097302078E-2</v>
      </c>
      <c r="BO193" s="50">
        <f t="shared" si="114"/>
        <v>552039</v>
      </c>
      <c r="BP193" s="3">
        <f t="shared" si="115"/>
        <v>5520.39</v>
      </c>
      <c r="BQ193" s="11">
        <f>+'Rev mile pop elasticities'!P223</f>
        <v>1.2408908498740455E-2</v>
      </c>
      <c r="BR193" s="11">
        <f>+'Rev mile pop elasticities'!Q223</f>
        <v>2.545389908659116E-2</v>
      </c>
      <c r="BS193" s="11">
        <f>+'Rev mile pop elasticities'!R223</f>
        <v>3.4046102740226521E-2</v>
      </c>
      <c r="BT193" s="11">
        <f>+'Rev mile pop elasticities'!S223</f>
        <v>3.0142775234121112E-2</v>
      </c>
      <c r="BU193" s="32">
        <f t="shared" si="116"/>
        <v>290956.92480721965</v>
      </c>
      <c r="BV193" s="33">
        <f t="shared" si="117"/>
        <v>1.2408908498740456E-4</v>
      </c>
      <c r="BW193" s="40">
        <f t="shared" si="118"/>
        <v>596828.3353317976</v>
      </c>
      <c r="BX193" s="33">
        <f t="shared" si="119"/>
        <v>2.5453899086591163E-4</v>
      </c>
      <c r="BY193" s="40">
        <f t="shared" si="120"/>
        <v>1080623.3009747895</v>
      </c>
      <c r="BZ193" s="41">
        <f t="shared" si="121"/>
        <v>3.4046102740226515E-4</v>
      </c>
      <c r="CA193" s="40">
        <f t="shared" si="122"/>
        <v>956731.68593100412</v>
      </c>
      <c r="CB193" s="41">
        <f t="shared" si="123"/>
        <v>3.0142775234121114E-4</v>
      </c>
      <c r="CQ193" s="70">
        <f t="shared" si="124"/>
        <v>0.16402158948019435</v>
      </c>
      <c r="CR193" s="70">
        <f t="shared" si="125"/>
        <v>3.7644347311746471</v>
      </c>
      <c r="CS193" s="70">
        <f t="shared" si="126"/>
        <v>3.9284563206548415</v>
      </c>
      <c r="CT193" s="70">
        <f t="shared" si="127"/>
        <v>0.64784135937692056</v>
      </c>
      <c r="CU193" s="70">
        <f t="shared" si="128"/>
        <v>7.7218348233532703</v>
      </c>
      <c r="CV193" s="70">
        <f t="shared" si="129"/>
        <v>8.3696761827301902</v>
      </c>
      <c r="CW193" s="69">
        <f t="shared" si="130"/>
        <v>0.60918141602114384</v>
      </c>
      <c r="CX193" s="69">
        <f t="shared" si="131"/>
        <v>13.981230686299693</v>
      </c>
      <c r="CY193" s="70">
        <f t="shared" si="132"/>
        <v>14.590412102320837</v>
      </c>
      <c r="CZ193" s="69">
        <f t="shared" si="133"/>
        <v>1.0385069194610885</v>
      </c>
      <c r="DA193" s="69">
        <f t="shared" si="134"/>
        <v>12.378306477222498</v>
      </c>
      <c r="DB193" s="70">
        <f t="shared" si="135"/>
        <v>13.416813396683587</v>
      </c>
    </row>
    <row r="194" spans="23:106">
      <c r="W194" t="s">
        <v>775</v>
      </c>
      <c r="X194">
        <v>157736</v>
      </c>
      <c r="Y194">
        <v>68665</v>
      </c>
      <c r="Z194" s="51">
        <v>26097.54</v>
      </c>
      <c r="AA194" s="32">
        <f t="shared" si="101"/>
        <v>1791987584.1000001</v>
      </c>
      <c r="AB194">
        <v>2969</v>
      </c>
      <c r="AC194" s="37">
        <f t="shared" si="102"/>
        <v>1.8822589643454887E-2</v>
      </c>
      <c r="AD194" s="50">
        <f>+'Revenue mile elasticities'!M223</f>
        <v>0</v>
      </c>
      <c r="AE194" s="3">
        <f t="shared" si="105"/>
        <v>0</v>
      </c>
      <c r="AF194" s="11">
        <f>+'Revenue mile elasticities'!P223</f>
        <v>0</v>
      </c>
      <c r="AG194" s="11">
        <f>+'Revenue mile elasticities'!Q223</f>
        <v>0</v>
      </c>
      <c r="AH194" s="11">
        <f>+'Revenue mile elasticities'!R223</f>
        <v>0</v>
      </c>
      <c r="AI194" s="11">
        <f>+'Revenue mile elasticities'!S223</f>
        <v>0</v>
      </c>
      <c r="AJ194" s="32">
        <f t="shared" si="106"/>
        <v>0</v>
      </c>
      <c r="AK194" s="33">
        <f t="shared" si="107"/>
        <v>0</v>
      </c>
      <c r="AL194" s="40">
        <f t="shared" si="108"/>
        <v>0</v>
      </c>
      <c r="AM194" s="33">
        <f t="shared" si="109"/>
        <v>0</v>
      </c>
      <c r="AN194" s="40">
        <f t="shared" si="110"/>
        <v>0</v>
      </c>
      <c r="AO194" s="41">
        <f t="shared" si="111"/>
        <v>0</v>
      </c>
      <c r="AP194" s="40">
        <f t="shared" si="112"/>
        <v>0</v>
      </c>
      <c r="AQ194" s="41">
        <f t="shared" si="113"/>
        <v>0</v>
      </c>
      <c r="AR194" s="53"/>
      <c r="AS194" s="53"/>
      <c r="BH194" t="s">
        <v>775</v>
      </c>
      <c r="BI194">
        <v>157736</v>
      </c>
      <c r="BJ194">
        <v>68665</v>
      </c>
      <c r="BK194" s="51">
        <v>26097.54</v>
      </c>
      <c r="BL194" s="32">
        <f t="shared" si="103"/>
        <v>1791987584.1000001</v>
      </c>
      <c r="BM194">
        <v>2969</v>
      </c>
      <c r="BN194" s="37">
        <f t="shared" si="104"/>
        <v>1.8822589643454887E-2</v>
      </c>
      <c r="BO194" s="50">
        <f t="shared" si="114"/>
        <v>0</v>
      </c>
      <c r="BP194" s="3">
        <f t="shared" si="115"/>
        <v>0</v>
      </c>
      <c r="BQ194" s="11">
        <f>+'Rev mile pop elasticities'!P224</f>
        <v>0</v>
      </c>
      <c r="BR194" s="11">
        <f>+'Rev mile pop elasticities'!Q224</f>
        <v>0</v>
      </c>
      <c r="BS194" s="11">
        <f>+'Rev mile pop elasticities'!R224</f>
        <v>0</v>
      </c>
      <c r="BT194" s="11">
        <f>+'Rev mile pop elasticities'!S224</f>
        <v>0</v>
      </c>
      <c r="BU194" s="32">
        <f t="shared" si="116"/>
        <v>0</v>
      </c>
      <c r="BV194" s="33">
        <f t="shared" si="117"/>
        <v>0</v>
      </c>
      <c r="BW194" s="40">
        <f t="shared" si="118"/>
        <v>0</v>
      </c>
      <c r="BX194" s="33">
        <f t="shared" si="119"/>
        <v>0</v>
      </c>
      <c r="BY194" s="40">
        <f t="shared" si="120"/>
        <v>0</v>
      </c>
      <c r="BZ194" s="41">
        <f t="shared" si="121"/>
        <v>0</v>
      </c>
      <c r="CA194" s="40">
        <f t="shared" si="122"/>
        <v>0</v>
      </c>
      <c r="CB194" s="41">
        <f t="shared" si="123"/>
        <v>0</v>
      </c>
      <c r="CQ194" s="70">
        <f t="shared" si="124"/>
        <v>0</v>
      </c>
      <c r="CR194" s="70">
        <f t="shared" si="125"/>
        <v>0</v>
      </c>
      <c r="CS194" s="70">
        <f t="shared" si="126"/>
        <v>0</v>
      </c>
      <c r="CT194" s="70">
        <f t="shared" si="127"/>
        <v>0</v>
      </c>
      <c r="CU194" s="70">
        <f t="shared" si="128"/>
        <v>0</v>
      </c>
      <c r="CV194" s="70">
        <f t="shared" si="129"/>
        <v>0</v>
      </c>
      <c r="CW194" s="69">
        <f t="shared" si="130"/>
        <v>0</v>
      </c>
      <c r="CX194" s="69">
        <f t="shared" si="131"/>
        <v>0</v>
      </c>
      <c r="CY194" s="70">
        <f t="shared" si="132"/>
        <v>0</v>
      </c>
      <c r="CZ194" s="69">
        <f t="shared" si="133"/>
        <v>0</v>
      </c>
      <c r="DA194" s="69">
        <f t="shared" si="134"/>
        <v>0</v>
      </c>
      <c r="DB194" s="70">
        <f t="shared" si="135"/>
        <v>0</v>
      </c>
    </row>
    <row r="195" spans="23:106">
      <c r="W195" t="s">
        <v>477</v>
      </c>
      <c r="X195">
        <v>200109</v>
      </c>
      <c r="Y195">
        <v>94881</v>
      </c>
      <c r="Z195" s="51">
        <v>40663.699999999997</v>
      </c>
      <c r="AA195" s="32">
        <f t="shared" si="101"/>
        <v>3858212519.6999998</v>
      </c>
      <c r="AB195">
        <v>6467</v>
      </c>
      <c r="AC195" s="37">
        <f t="shared" si="102"/>
        <v>3.2317387024071879E-2</v>
      </c>
      <c r="AD195" s="50">
        <f>+'Revenue mile elasticities'!M224</f>
        <v>1160421</v>
      </c>
      <c r="AE195" s="3">
        <f t="shared" si="105"/>
        <v>11604.210000000001</v>
      </c>
      <c r="AF195" s="11">
        <f>+'Revenue mile elasticities'!P224</f>
        <v>6.9007958327504081E-4</v>
      </c>
      <c r="AG195" s="11">
        <f>+'Revenue mile elasticities'!Q224</f>
        <v>2.7256295754964866E-3</v>
      </c>
      <c r="AH195" s="11">
        <f>+'Revenue mile elasticities'!R224</f>
        <v>1.8933591454477652E-3</v>
      </c>
      <c r="AI195" s="11">
        <f>+'Revenue mile elasticities'!S224</f>
        <v>3.2277192341405763E-3</v>
      </c>
      <c r="AJ195" s="32">
        <f t="shared" si="106"/>
        <v>26624.73687781121</v>
      </c>
      <c r="AK195" s="33">
        <f t="shared" si="107"/>
        <v>6.9007958327504079E-6</v>
      </c>
      <c r="AL195" s="40">
        <f t="shared" si="108"/>
        <v>105160.58152245141</v>
      </c>
      <c r="AM195" s="33">
        <f t="shared" si="109"/>
        <v>2.7256295754964869E-5</v>
      </c>
      <c r="AN195" s="40">
        <f t="shared" si="110"/>
        <v>122443.53593610696</v>
      </c>
      <c r="AO195" s="41">
        <f t="shared" si="111"/>
        <v>1.8933591454477649E-5</v>
      </c>
      <c r="AP195" s="40">
        <f t="shared" si="112"/>
        <v>208736.60287187106</v>
      </c>
      <c r="AQ195" s="41">
        <f t="shared" si="113"/>
        <v>3.2277192341405758E-5</v>
      </c>
      <c r="AR195" s="53"/>
      <c r="AS195" s="53"/>
      <c r="BH195" t="s">
        <v>477</v>
      </c>
      <c r="BI195">
        <v>200109</v>
      </c>
      <c r="BJ195">
        <v>94881</v>
      </c>
      <c r="BK195" s="51">
        <v>40663.699999999997</v>
      </c>
      <c r="BL195" s="32">
        <f t="shared" si="103"/>
        <v>3858212519.6999998</v>
      </c>
      <c r="BM195">
        <v>6467</v>
      </c>
      <c r="BN195" s="37">
        <f t="shared" si="104"/>
        <v>3.2317387024071879E-2</v>
      </c>
      <c r="BO195" s="50">
        <f t="shared" si="114"/>
        <v>1160421</v>
      </c>
      <c r="BP195" s="3">
        <f t="shared" si="115"/>
        <v>11604.210000000001</v>
      </c>
      <c r="BQ195" s="11">
        <f>+'Rev mile pop elasticities'!P225</f>
        <v>2.03358548152257E-2</v>
      </c>
      <c r="BR195" s="11">
        <f>+'Rev mile pop elasticities'!Q225</f>
        <v>4.1714127907290531E-2</v>
      </c>
      <c r="BS195" s="11">
        <f>+'Rev mile pop elasticities'!R225</f>
        <v>5.5795125124806978E-2</v>
      </c>
      <c r="BT195" s="11">
        <f>+'Rev mile pop elasticities'!S225</f>
        <v>4.9398309363896685E-2</v>
      </c>
      <c r="BU195" s="32">
        <f t="shared" si="116"/>
        <v>784600.49646905321</v>
      </c>
      <c r="BV195" s="33">
        <f t="shared" si="117"/>
        <v>2.0335854815225698E-4</v>
      </c>
      <c r="BW195" s="40">
        <f t="shared" si="118"/>
        <v>1609419.7054027547</v>
      </c>
      <c r="BX195" s="33">
        <f t="shared" si="119"/>
        <v>4.171412790729053E-4</v>
      </c>
      <c r="BY195" s="40">
        <f t="shared" si="120"/>
        <v>3608270.7418212672</v>
      </c>
      <c r="BZ195" s="41">
        <f t="shared" si="121"/>
        <v>5.5795125124806976E-4</v>
      </c>
      <c r="CA195" s="40">
        <f t="shared" si="122"/>
        <v>3194588.6665631989</v>
      </c>
      <c r="CB195" s="41">
        <f t="shared" si="123"/>
        <v>4.9398309363896695E-4</v>
      </c>
      <c r="CQ195" s="70">
        <f t="shared" si="124"/>
        <v>0.28061189150421273</v>
      </c>
      <c r="CR195" s="70">
        <f t="shared" si="125"/>
        <v>8.269310994498932</v>
      </c>
      <c r="CS195" s="70">
        <f t="shared" si="126"/>
        <v>8.5499228860031451</v>
      </c>
      <c r="CT195" s="70">
        <f t="shared" si="127"/>
        <v>1.1083418336911648</v>
      </c>
      <c r="CU195" s="70">
        <f t="shared" si="128"/>
        <v>16.962507829836898</v>
      </c>
      <c r="CV195" s="70">
        <f t="shared" si="129"/>
        <v>18.070849663528062</v>
      </c>
      <c r="CW195" s="69">
        <f t="shared" si="130"/>
        <v>1.2904958414867778</v>
      </c>
      <c r="CX195" s="69">
        <f t="shared" si="131"/>
        <v>38.029434152478025</v>
      </c>
      <c r="CY195" s="70">
        <f t="shared" si="132"/>
        <v>39.319929993964806</v>
      </c>
      <c r="CZ195" s="69">
        <f t="shared" si="133"/>
        <v>2.1999831670394605</v>
      </c>
      <c r="DA195" s="69">
        <f t="shared" si="134"/>
        <v>33.669424506099205</v>
      </c>
      <c r="DB195" s="70">
        <f t="shared" si="135"/>
        <v>35.869407673138667</v>
      </c>
    </row>
    <row r="196" spans="23:106">
      <c r="W196" t="s">
        <v>478</v>
      </c>
      <c r="X196">
        <v>122697</v>
      </c>
      <c r="Y196">
        <v>83022</v>
      </c>
      <c r="Z196" s="51">
        <v>31293.37</v>
      </c>
      <c r="AA196" s="32">
        <f t="shared" ref="AA196:AA259" si="136">Y196*Z196</f>
        <v>2598038164.1399999</v>
      </c>
      <c r="AB196">
        <v>3934</v>
      </c>
      <c r="AC196" s="37">
        <f t="shared" ref="AC196:AC259" si="137">+AB196/X196</f>
        <v>3.2062723619974406E-2</v>
      </c>
      <c r="AD196" s="50">
        <f>+'Revenue mile elasticities'!M225</f>
        <v>210608</v>
      </c>
      <c r="AE196" s="3">
        <f t="shared" si="105"/>
        <v>2106.08</v>
      </c>
      <c r="AF196" s="11">
        <f>+'Revenue mile elasticities'!P225</f>
        <v>2.0825948211775094E-4</v>
      </c>
      <c r="AG196" s="11">
        <f>+'Revenue mile elasticities'!Q225</f>
        <v>8.2256918998208301E-4</v>
      </c>
      <c r="AH196" s="11">
        <f>+'Revenue mile elasticities'!R225</f>
        <v>5.7139785707397371E-4</v>
      </c>
      <c r="AI196" s="11">
        <f>+'Revenue mile elasticities'!S225</f>
        <v>9.7409509339983519E-4</v>
      </c>
      <c r="AJ196" s="32">
        <f t="shared" si="106"/>
        <v>5410.6608258594879</v>
      </c>
      <c r="AK196" s="33">
        <f t="shared" si="107"/>
        <v>2.0825948211775092E-6</v>
      </c>
      <c r="AL196" s="40">
        <f t="shared" si="108"/>
        <v>21370.661482191776</v>
      </c>
      <c r="AM196" s="33">
        <f t="shared" si="109"/>
        <v>8.2256918998208302E-6</v>
      </c>
      <c r="AN196" s="40">
        <f t="shared" si="110"/>
        <v>22478.791697290126</v>
      </c>
      <c r="AO196" s="41">
        <f t="shared" si="111"/>
        <v>5.7139785707397374E-6</v>
      </c>
      <c r="AP196" s="40">
        <f t="shared" si="112"/>
        <v>38320.900974349519</v>
      </c>
      <c r="AQ196" s="41">
        <f t="shared" si="113"/>
        <v>9.7409509339983522E-6</v>
      </c>
      <c r="AR196" s="53"/>
      <c r="AS196" s="53"/>
      <c r="BH196" t="s">
        <v>478</v>
      </c>
      <c r="BI196">
        <v>122697</v>
      </c>
      <c r="BJ196">
        <v>83022</v>
      </c>
      <c r="BK196" s="51">
        <v>31293.37</v>
      </c>
      <c r="BL196" s="32">
        <f t="shared" ref="BL196:BL259" si="138">BJ196*BK196</f>
        <v>2598038164.1399999</v>
      </c>
      <c r="BM196">
        <v>3934</v>
      </c>
      <c r="BN196" s="37">
        <f t="shared" ref="BN196:BN259" si="139">+BM196/BI196</f>
        <v>3.2062723619974406E-2</v>
      </c>
      <c r="BO196" s="50">
        <f t="shared" si="114"/>
        <v>210608</v>
      </c>
      <c r="BP196" s="3">
        <f t="shared" si="115"/>
        <v>2106.08</v>
      </c>
      <c r="BQ196" s="11">
        <f>+'Rev mile pop elasticities'!P226</f>
        <v>6.0194165021149656E-3</v>
      </c>
      <c r="BR196" s="11">
        <f>+'Rev mile pop elasticities'!Q226</f>
        <v>1.2347388992395902E-2</v>
      </c>
      <c r="BS196" s="11">
        <f>+'Rev mile pop elasticities'!R226</f>
        <v>1.6515366576199904E-2</v>
      </c>
      <c r="BT196" s="11">
        <f>+'Rev mile pop elasticities'!S226</f>
        <v>1.4621908017310937E-2</v>
      </c>
      <c r="BU196" s="32">
        <f t="shared" si="116"/>
        <v>156386.73798348784</v>
      </c>
      <c r="BV196" s="33">
        <f t="shared" si="117"/>
        <v>6.0194165021149652E-5</v>
      </c>
      <c r="BW196" s="40">
        <f t="shared" si="118"/>
        <v>320789.8782972669</v>
      </c>
      <c r="BX196" s="33">
        <f t="shared" si="119"/>
        <v>1.2347388992395902E-4</v>
      </c>
      <c r="BY196" s="40">
        <f t="shared" si="120"/>
        <v>649714.52110770415</v>
      </c>
      <c r="BZ196" s="41">
        <f t="shared" si="121"/>
        <v>1.6515366576199902E-4</v>
      </c>
      <c r="CA196" s="40">
        <f t="shared" si="122"/>
        <v>575225.86140101228</v>
      </c>
      <c r="CB196" s="41">
        <f t="shared" si="123"/>
        <v>1.4621908017310937E-4</v>
      </c>
      <c r="CQ196" s="70">
        <f t="shared" si="124"/>
        <v>6.5171410299191629E-2</v>
      </c>
      <c r="CR196" s="70">
        <f t="shared" si="125"/>
        <v>1.8836782778478938</v>
      </c>
      <c r="CS196" s="70">
        <f t="shared" si="126"/>
        <v>1.9488496881470854</v>
      </c>
      <c r="CT196" s="70">
        <f t="shared" si="127"/>
        <v>0.25740962012709612</v>
      </c>
      <c r="CU196" s="70">
        <f t="shared" si="128"/>
        <v>3.8639141227297209</v>
      </c>
      <c r="CV196" s="70">
        <f t="shared" si="129"/>
        <v>4.1213237428568172</v>
      </c>
      <c r="CW196" s="69">
        <f t="shared" si="130"/>
        <v>0.27075704870143003</v>
      </c>
      <c r="CX196" s="69">
        <f t="shared" si="131"/>
        <v>7.8258114850004112</v>
      </c>
      <c r="CY196" s="70">
        <f t="shared" si="132"/>
        <v>8.0965685337018414</v>
      </c>
      <c r="CZ196" s="69">
        <f t="shared" si="133"/>
        <v>0.46157525685179251</v>
      </c>
      <c r="DA196" s="69">
        <f t="shared" si="134"/>
        <v>6.928595569861149</v>
      </c>
      <c r="DB196" s="70">
        <f t="shared" si="135"/>
        <v>7.3901708267129411</v>
      </c>
    </row>
    <row r="197" spans="23:106">
      <c r="W197" s="3" t="s">
        <v>479</v>
      </c>
      <c r="X197" s="3">
        <v>404771</v>
      </c>
      <c r="Y197" s="3">
        <v>229249</v>
      </c>
      <c r="Z197" s="51">
        <v>39030.93</v>
      </c>
      <c r="AA197" s="32">
        <f t="shared" si="136"/>
        <v>8947801671.5699997</v>
      </c>
      <c r="AB197" s="3">
        <v>13399</v>
      </c>
      <c r="AC197" s="37">
        <f t="shared" si="137"/>
        <v>3.3102667928285374E-2</v>
      </c>
      <c r="AD197" s="50">
        <f>+'Revenue mile elasticities'!M226</f>
        <v>1513281</v>
      </c>
      <c r="AE197" s="3">
        <f t="shared" ref="AE197:AE260" si="140">+AD197*$C$1</f>
        <v>15132.81</v>
      </c>
      <c r="AF197" s="11">
        <f>+'Revenue mile elasticities'!P226</f>
        <v>5.2970870998440465E-4</v>
      </c>
      <c r="AG197" s="11">
        <f>+'Revenue mile elasticities'!Q226</f>
        <v>2.0922075675381081E-3</v>
      </c>
      <c r="AH197" s="11">
        <f>+'Revenue mile elasticities'!R226</f>
        <v>1.4533524172857311E-3</v>
      </c>
      <c r="AI197" s="11">
        <f>+'Revenue mile elasticities'!S226</f>
        <v>2.4776142247161809E-3</v>
      </c>
      <c r="AJ197" s="32">
        <f t="shared" ref="AJ197:AJ260" si="141">AA197*$C$1*AF197</f>
        <v>47397.284806436444</v>
      </c>
      <c r="AK197" s="33">
        <f t="shared" ref="AK197:AK260" si="142">AJ197/AA197</f>
        <v>5.2970870998440467E-6</v>
      </c>
      <c r="AL197" s="40">
        <f t="shared" ref="AL197:AL260" si="143">+AA197*$C$1*AG197</f>
        <v>187206.58370088888</v>
      </c>
      <c r="AM197" s="33">
        <f t="shared" ref="AM197:AM260" si="144">AL197/AA197</f>
        <v>2.0922075675381083E-5</v>
      </c>
      <c r="AN197" s="40">
        <f t="shared" ref="AN197:AN260" si="145">+AH197*$C$1*AC197*X197*1000000</f>
        <v>194734.69039211512</v>
      </c>
      <c r="AO197" s="41">
        <f t="shared" ref="AO197:AO260" si="146">+AN197/AB197/1000000</f>
        <v>1.4533524172857312E-5</v>
      </c>
      <c r="AP197" s="40">
        <f t="shared" ref="AP197:AP260" si="147">+AI197*AC197*X197*$C$1*1000000</f>
        <v>331975.5299697211</v>
      </c>
      <c r="AQ197" s="41">
        <f t="shared" ref="AQ197:AQ260" si="148">+AP197/AB197/1000000</f>
        <v>2.4776142247161812E-5</v>
      </c>
      <c r="AR197" s="53"/>
      <c r="AS197" s="53"/>
      <c r="BH197" s="3" t="s">
        <v>479</v>
      </c>
      <c r="BI197" s="3">
        <v>404771</v>
      </c>
      <c r="BJ197" s="3">
        <v>229249</v>
      </c>
      <c r="BK197" s="51">
        <v>39030.93</v>
      </c>
      <c r="BL197" s="32">
        <f t="shared" si="138"/>
        <v>8947801671.5699997</v>
      </c>
      <c r="BM197" s="3">
        <v>13399</v>
      </c>
      <c r="BN197" s="37">
        <f t="shared" si="139"/>
        <v>3.3102667928285374E-2</v>
      </c>
      <c r="BO197" s="50">
        <f t="shared" ref="BO197:BO260" si="149">+AD197</f>
        <v>1513281</v>
      </c>
      <c r="BP197" s="3">
        <f t="shared" ref="BP197:BP260" si="150">+BO197*$C$1</f>
        <v>15132.81</v>
      </c>
      <c r="BQ197" s="11">
        <f>+'Rev mile pop elasticities'!P227</f>
        <v>1.3110633114575896E-2</v>
      </c>
      <c r="BR197" s="11">
        <f>+'Rev mile pop elasticities'!Q227</f>
        <v>2.6893318803471594E-2</v>
      </c>
      <c r="BS197" s="11">
        <f>+'Rev mile pop elasticities'!R227</f>
        <v>3.5971412155515088E-2</v>
      </c>
      <c r="BT197" s="11">
        <f>+'Rev mile pop elasticities'!S227</f>
        <v>3.1847351214637415E-2</v>
      </c>
      <c r="BU197" s="32">
        <f t="shared" ref="BU197:BU260" si="151">BL197*$C$1*BQ197</f>
        <v>1173113.448979432</v>
      </c>
      <c r="BV197" s="33">
        <f t="shared" ref="BV197:BV260" si="152">BU197/BL197</f>
        <v>1.3110633114575895E-4</v>
      </c>
      <c r="BW197" s="40">
        <f t="shared" ref="BW197:BW260" si="153">+BL197*$C$1*BR197</f>
        <v>2406360.8294376805</v>
      </c>
      <c r="BX197" s="33">
        <f t="shared" ref="BX197:BX260" si="154">BW197/BL197</f>
        <v>2.6893318803471595E-4</v>
      </c>
      <c r="BY197" s="40">
        <f t="shared" ref="BY197:BY260" si="155">+BS197*$C$1*BN197*BI197*1000000</f>
        <v>4819809.5147174662</v>
      </c>
      <c r="BZ197" s="41">
        <f t="shared" ref="BZ197:BZ260" si="156">+BY197/BM197/1000000</f>
        <v>3.5971412155515084E-4</v>
      </c>
      <c r="CA197" s="40">
        <f t="shared" ref="CA197:CA260" si="157">+BT197*BN197*BI197*$C$1*1000000</f>
        <v>4267226.5892492672</v>
      </c>
      <c r="CB197" s="41">
        <f t="shared" ref="CB197:CB260" si="158">+CA197/BM197/1000000</f>
        <v>3.1847351214637414E-4</v>
      </c>
      <c r="CQ197" s="70">
        <f t="shared" ref="CQ197:CQ260" si="159">+AJ197/Y197</f>
        <v>0.20675023579791599</v>
      </c>
      <c r="CR197" s="70">
        <f t="shared" ref="CR197:CR260" si="160">+BU197/Y197</f>
        <v>5.1172020335069375</v>
      </c>
      <c r="CS197" s="70">
        <f t="shared" ref="CS197:CS260" si="161">+(CQ197+CR197)</f>
        <v>5.3239522693048533</v>
      </c>
      <c r="CT197" s="70">
        <f t="shared" ref="CT197:CT260" si="162">+AL197/Y197</f>
        <v>0.81660807114050171</v>
      </c>
      <c r="CU197" s="70">
        <f t="shared" ref="CU197:CU260" si="163">+BW197/Y197</f>
        <v>10.496712436859836</v>
      </c>
      <c r="CV197" s="70">
        <f t="shared" ref="CV197:CV260" si="164">+(CT197+CU197)</f>
        <v>11.313320508000338</v>
      </c>
      <c r="CW197" s="69">
        <f t="shared" ref="CW197:CW260" si="165">+AN197/Y197</f>
        <v>0.84944619340592598</v>
      </c>
      <c r="CX197" s="69">
        <f t="shared" ref="CX197:CX260" si="166">+BY197/Y197</f>
        <v>21.024342591319773</v>
      </c>
      <c r="CY197" s="70">
        <f t="shared" ref="CY197:CY260" si="167">+(CW197+CX197)</f>
        <v>21.873788784725697</v>
      </c>
      <c r="CZ197" s="69">
        <f t="shared" ref="CZ197:CZ260" si="168">+AP197/Y197</f>
        <v>1.4481002314937954</v>
      </c>
      <c r="DA197" s="69">
        <f t="shared" ref="DA197:DA260" si="169">+CA197/Y197</f>
        <v>18.613937636584094</v>
      </c>
      <c r="DB197" s="70">
        <f t="shared" ref="DB197:DB260" si="170">+(CZ197+DA197)</f>
        <v>20.062037868077891</v>
      </c>
    </row>
    <row r="198" spans="23:106">
      <c r="W198" t="s">
        <v>480</v>
      </c>
      <c r="X198">
        <v>180515</v>
      </c>
      <c r="Y198">
        <v>93524</v>
      </c>
      <c r="Z198" s="51">
        <v>32991.9</v>
      </c>
      <c r="AA198" s="32">
        <f t="shared" si="136"/>
        <v>3085534455.5999999</v>
      </c>
      <c r="AB198">
        <v>4515</v>
      </c>
      <c r="AC198" s="37">
        <f t="shared" si="137"/>
        <v>2.5011771874913442E-2</v>
      </c>
      <c r="AD198" s="50">
        <f>+'Revenue mile elasticities'!M227</f>
        <v>687880</v>
      </c>
      <c r="AE198" s="3">
        <f t="shared" si="140"/>
        <v>6878.8</v>
      </c>
      <c r="AF198" s="11">
        <f>+'Revenue mile elasticities'!P227</f>
        <v>9.1406800128318881E-4</v>
      </c>
      <c r="AG198" s="11">
        <f>+'Revenue mile elasticities'!Q227</f>
        <v>3.6103238506035237E-3</v>
      </c>
      <c r="AH198" s="11">
        <f>+'Revenue mile elasticities'!R227</f>
        <v>2.5079122056867274E-3</v>
      </c>
      <c r="AI198" s="11">
        <f>+'Revenue mile elasticities'!S227</f>
        <v>4.275383507293647E-3</v>
      </c>
      <c r="AJ198" s="32">
        <f t="shared" si="141"/>
        <v>28203.883127207038</v>
      </c>
      <c r="AK198" s="33">
        <f t="shared" si="142"/>
        <v>9.1406800128318875E-6</v>
      </c>
      <c r="AL198" s="40">
        <f t="shared" si="143"/>
        <v>111397.78636911638</v>
      </c>
      <c r="AM198" s="33">
        <f t="shared" si="144"/>
        <v>3.6103238506035237E-5</v>
      </c>
      <c r="AN198" s="40">
        <f t="shared" si="145"/>
        <v>113232.23608675574</v>
      </c>
      <c r="AO198" s="41">
        <f t="shared" si="146"/>
        <v>2.5079122056867273E-5</v>
      </c>
      <c r="AP198" s="40">
        <f t="shared" si="147"/>
        <v>193033.56535430814</v>
      </c>
      <c r="AQ198" s="41">
        <f t="shared" si="148"/>
        <v>4.2753835072936468E-5</v>
      </c>
      <c r="AR198" s="53"/>
      <c r="AS198" s="53"/>
      <c r="BH198" t="s">
        <v>480</v>
      </c>
      <c r="BI198">
        <v>180515</v>
      </c>
      <c r="BJ198">
        <v>93524</v>
      </c>
      <c r="BK198" s="51">
        <v>32991.9</v>
      </c>
      <c r="BL198" s="32">
        <f t="shared" si="138"/>
        <v>3085534455.5999999</v>
      </c>
      <c r="BM198">
        <v>4515</v>
      </c>
      <c r="BN198" s="37">
        <f t="shared" si="139"/>
        <v>2.5011771874913442E-2</v>
      </c>
      <c r="BO198" s="50">
        <f t="shared" si="149"/>
        <v>687880</v>
      </c>
      <c r="BP198" s="3">
        <f t="shared" si="150"/>
        <v>6878.8</v>
      </c>
      <c r="BQ198" s="11">
        <f>+'Rev mile pop elasticities'!P228</f>
        <v>1.3363273642633573E-2</v>
      </c>
      <c r="BR198" s="11">
        <f>+'Rev mile pop elasticities'!Q228</f>
        <v>2.741155024236213E-2</v>
      </c>
      <c r="BS198" s="11">
        <f>+'Rev mile pop elasticities'!R228</f>
        <v>3.6664577503254574E-2</v>
      </c>
      <c r="BT198" s="11">
        <f>+'Rev mile pop elasticities'!S228</f>
        <v>3.2461046339639366E-2</v>
      </c>
      <c r="BU198" s="32">
        <f t="shared" si="151"/>
        <v>412328.41263957211</v>
      </c>
      <c r="BV198" s="33">
        <f t="shared" si="152"/>
        <v>1.3363273642633575E-4</v>
      </c>
      <c r="BW198" s="40">
        <f t="shared" si="153"/>
        <v>845792.82754218881</v>
      </c>
      <c r="BX198" s="33">
        <f t="shared" si="154"/>
        <v>2.7411550242362128E-4</v>
      </c>
      <c r="BY198" s="40">
        <f t="shared" si="155"/>
        <v>1655405.674271944</v>
      </c>
      <c r="BZ198" s="41">
        <f t="shared" si="156"/>
        <v>3.6664577503254571E-4</v>
      </c>
      <c r="CA198" s="40">
        <f t="shared" si="157"/>
        <v>1465616.2422347174</v>
      </c>
      <c r="CB198" s="41">
        <f t="shared" si="158"/>
        <v>3.2461046339639366E-4</v>
      </c>
      <c r="CQ198" s="70">
        <f t="shared" si="159"/>
        <v>0.30156840091534837</v>
      </c>
      <c r="CR198" s="70">
        <f t="shared" si="160"/>
        <v>4.4087978769040257</v>
      </c>
      <c r="CS198" s="70">
        <f t="shared" si="161"/>
        <v>4.7103662778193742</v>
      </c>
      <c r="CT198" s="70">
        <f t="shared" si="162"/>
        <v>1.1911144344672637</v>
      </c>
      <c r="CU198" s="70">
        <f t="shared" si="163"/>
        <v>9.0435912444098712</v>
      </c>
      <c r="CV198" s="70">
        <f t="shared" si="164"/>
        <v>10.234705678877134</v>
      </c>
      <c r="CW198" s="69">
        <f t="shared" si="165"/>
        <v>1.2107291827419244</v>
      </c>
      <c r="CX198" s="69">
        <f t="shared" si="166"/>
        <v>17.700330121380009</v>
      </c>
      <c r="CY198" s="70">
        <f t="shared" si="167"/>
        <v>18.911059304121935</v>
      </c>
      <c r="CZ198" s="69">
        <f t="shared" si="168"/>
        <v>2.0640003138692542</v>
      </c>
      <c r="DA198" s="69">
        <f t="shared" si="169"/>
        <v>15.67101751673065</v>
      </c>
      <c r="DB198" s="70">
        <f t="shared" si="170"/>
        <v>17.735017830599904</v>
      </c>
    </row>
    <row r="199" spans="23:106">
      <c r="W199" t="s">
        <v>481</v>
      </c>
      <c r="X199">
        <v>416657</v>
      </c>
      <c r="Y199">
        <v>281187</v>
      </c>
      <c r="Z199" s="51">
        <v>38358.839999999997</v>
      </c>
      <c r="AA199" s="32">
        <f t="shared" si="136"/>
        <v>10786007143.08</v>
      </c>
      <c r="AB199">
        <v>18248</v>
      </c>
      <c r="AC199" s="37">
        <f t="shared" si="137"/>
        <v>4.3796216072212873E-2</v>
      </c>
      <c r="AD199" s="50">
        <f>+'Revenue mile elasticities'!M228</f>
        <v>7219914</v>
      </c>
      <c r="AE199" s="3">
        <f t="shared" si="140"/>
        <v>72199.14</v>
      </c>
      <c r="AF199" s="11">
        <f>+'Revenue mile elasticities'!P228</f>
        <v>4.9421910817586271E-3</v>
      </c>
      <c r="AG199" s="11">
        <f>+'Revenue mile elasticities'!Q228</f>
        <v>1.9520331432305835E-2</v>
      </c>
      <c r="AH199" s="11">
        <f>+'Revenue mile elasticities'!R228</f>
        <v>1.355980224598035E-2</v>
      </c>
      <c r="AI199" s="11">
        <f>+'Revenue mile elasticities'!S228</f>
        <v>2.3116181959309545E-2</v>
      </c>
      <c r="AJ199" s="32">
        <f t="shared" si="141"/>
        <v>533065.08310314827</v>
      </c>
      <c r="AK199" s="33">
        <f t="shared" si="142"/>
        <v>4.9421910817586276E-5</v>
      </c>
      <c r="AL199" s="40">
        <f t="shared" si="143"/>
        <v>2105464.3426413978</v>
      </c>
      <c r="AM199" s="33">
        <f t="shared" si="144"/>
        <v>1.9520331432305835E-4</v>
      </c>
      <c r="AN199" s="40">
        <f t="shared" si="145"/>
        <v>2474392.7138464944</v>
      </c>
      <c r="AO199" s="41">
        <f t="shared" si="146"/>
        <v>1.3559802245980351E-4</v>
      </c>
      <c r="AP199" s="40">
        <f t="shared" si="147"/>
        <v>4218240.8839348061</v>
      </c>
      <c r="AQ199" s="41">
        <f t="shared" si="148"/>
        <v>2.3116181959309545E-4</v>
      </c>
      <c r="AR199" s="53"/>
      <c r="AS199" s="53"/>
      <c r="BH199" t="s">
        <v>481</v>
      </c>
      <c r="BI199">
        <v>416657</v>
      </c>
      <c r="BJ199">
        <v>281187</v>
      </c>
      <c r="BK199" s="51">
        <v>38358.839999999997</v>
      </c>
      <c r="BL199" s="32">
        <f t="shared" si="138"/>
        <v>10786007143.08</v>
      </c>
      <c r="BM199">
        <v>18248</v>
      </c>
      <c r="BN199" s="37">
        <f t="shared" si="139"/>
        <v>4.3796216072212873E-2</v>
      </c>
      <c r="BO199" s="50">
        <f t="shared" si="149"/>
        <v>7219914</v>
      </c>
      <c r="BP199" s="3">
        <f t="shared" si="150"/>
        <v>72199.14</v>
      </c>
      <c r="BQ199" s="11">
        <f>+'Rev mile pop elasticities'!P229</f>
        <v>6.0766862943572281E-2</v>
      </c>
      <c r="BR199" s="11">
        <f>+'Rev mile pop elasticities'!Q229</f>
        <v>0.12464864233074209</v>
      </c>
      <c r="BS199" s="11">
        <f>+'Rev mile pop elasticities'!R229</f>
        <v>0.16672496692099253</v>
      </c>
      <c r="BT199" s="11">
        <f>+'Rev mile pop elasticities'!S229</f>
        <v>0.14761023433903669</v>
      </c>
      <c r="BU199" s="32">
        <f t="shared" si="151"/>
        <v>6554318.1777193397</v>
      </c>
      <c r="BV199" s="33">
        <f t="shared" si="152"/>
        <v>6.0766862943572285E-4</v>
      </c>
      <c r="BW199" s="40">
        <f t="shared" si="153"/>
        <v>13444611.465546083</v>
      </c>
      <c r="BX199" s="33">
        <f t="shared" si="154"/>
        <v>1.246486423307421E-3</v>
      </c>
      <c r="BY199" s="40">
        <f t="shared" si="155"/>
        <v>30423971.963742718</v>
      </c>
      <c r="BZ199" s="41">
        <f t="shared" si="156"/>
        <v>1.6672496692099253E-3</v>
      </c>
      <c r="CA199" s="40">
        <f t="shared" si="157"/>
        <v>26935915.562187415</v>
      </c>
      <c r="CB199" s="41">
        <f t="shared" si="158"/>
        <v>1.4761023433903669E-3</v>
      </c>
      <c r="CQ199" s="70">
        <f t="shared" si="159"/>
        <v>1.8957671695460609</v>
      </c>
      <c r="CR199" s="70">
        <f t="shared" si="160"/>
        <v>23.309463729544181</v>
      </c>
      <c r="CS199" s="70">
        <f t="shared" si="161"/>
        <v>25.205230899090243</v>
      </c>
      <c r="CT199" s="70">
        <f t="shared" si="162"/>
        <v>7.4877727015879039</v>
      </c>
      <c r="CU199" s="70">
        <f t="shared" si="163"/>
        <v>47.813773273821631</v>
      </c>
      <c r="CV199" s="70">
        <f t="shared" si="164"/>
        <v>55.301545975409539</v>
      </c>
      <c r="CW199" s="69">
        <f t="shared" si="165"/>
        <v>8.7998119182127716</v>
      </c>
      <c r="CX199" s="69">
        <f t="shared" si="166"/>
        <v>108.19835897016121</v>
      </c>
      <c r="CY199" s="70">
        <f t="shared" si="167"/>
        <v>116.99817088837398</v>
      </c>
      <c r="CZ199" s="69">
        <f t="shared" si="168"/>
        <v>15.001550156781096</v>
      </c>
      <c r="DA199" s="69">
        <f t="shared" si="169"/>
        <v>95.793601987956109</v>
      </c>
      <c r="DB199" s="70">
        <f t="shared" si="170"/>
        <v>110.7951521447372</v>
      </c>
    </row>
    <row r="200" spans="23:106">
      <c r="W200" t="s">
        <v>482</v>
      </c>
      <c r="X200">
        <v>1227115</v>
      </c>
      <c r="Y200">
        <v>783366</v>
      </c>
      <c r="Z200" s="51">
        <v>43093.29</v>
      </c>
      <c r="AA200" s="32">
        <f t="shared" si="136"/>
        <v>33757818214.139999</v>
      </c>
      <c r="AB200">
        <v>52573</v>
      </c>
      <c r="AC200" s="37">
        <f t="shared" si="137"/>
        <v>4.2842765347991023E-2</v>
      </c>
      <c r="AD200" s="50">
        <f>+'Revenue mile elasticities'!M229</f>
        <v>418260</v>
      </c>
      <c r="AE200" s="3">
        <f t="shared" si="140"/>
        <v>4182.6000000000004</v>
      </c>
      <c r="AF200" s="11">
        <f>+'Revenue mile elasticities'!P229</f>
        <v>1.997092695216781E-4</v>
      </c>
      <c r="AG200" s="11">
        <f>+'Revenue mile elasticities'!Q229</f>
        <v>7.8879813966635395E-4</v>
      </c>
      <c r="AH200" s="11">
        <f>+'Revenue mile elasticities'!R229</f>
        <v>5.4793879002337667E-4</v>
      </c>
      <c r="AI200" s="11">
        <f>+'Revenue mile elasticities'!S229</f>
        <v>9.3410306013120864E-4</v>
      </c>
      <c r="AJ200" s="32">
        <f t="shared" si="141"/>
        <v>67417.492161914983</v>
      </c>
      <c r="AK200" s="33">
        <f t="shared" si="142"/>
        <v>1.9970926952167809E-6</v>
      </c>
      <c r="AL200" s="40">
        <f t="shared" si="143"/>
        <v>266281.0420650859</v>
      </c>
      <c r="AM200" s="33">
        <f t="shared" si="144"/>
        <v>7.8879813966635397E-6</v>
      </c>
      <c r="AN200" s="40">
        <f t="shared" si="145"/>
        <v>288067.86007898982</v>
      </c>
      <c r="AO200" s="41">
        <f t="shared" si="146"/>
        <v>5.4793879002337669E-6</v>
      </c>
      <c r="AP200" s="40">
        <f t="shared" si="147"/>
        <v>491086.00180278037</v>
      </c>
      <c r="AQ200" s="41">
        <f t="shared" si="148"/>
        <v>9.3410306013120888E-6</v>
      </c>
      <c r="AR200" s="53"/>
      <c r="AS200" s="53"/>
      <c r="BH200" t="s">
        <v>482</v>
      </c>
      <c r="BI200">
        <v>1227115</v>
      </c>
      <c r="BJ200">
        <v>783366</v>
      </c>
      <c r="BK200" s="51">
        <v>43093.29</v>
      </c>
      <c r="BL200" s="32">
        <f t="shared" si="138"/>
        <v>33757818214.139999</v>
      </c>
      <c r="BM200">
        <v>52573</v>
      </c>
      <c r="BN200" s="37">
        <f t="shared" si="139"/>
        <v>4.2842765347991023E-2</v>
      </c>
      <c r="BO200" s="50">
        <f t="shared" si="149"/>
        <v>418260</v>
      </c>
      <c r="BP200" s="3">
        <f t="shared" si="150"/>
        <v>4182.6000000000004</v>
      </c>
      <c r="BQ200" s="11">
        <f>+'Rev mile pop elasticities'!P230</f>
        <v>1.1952934592112392E-3</v>
      </c>
      <c r="BR200" s="11">
        <f>+'Rev mile pop elasticities'!Q230</f>
        <v>2.4518577997987151E-3</v>
      </c>
      <c r="BS200" s="11">
        <f>+'Rev mile pop elasticities'!R230</f>
        <v>3.2795055198575514E-3</v>
      </c>
      <c r="BT200" s="11">
        <f>+'Rev mile pop elasticities'!S230</f>
        <v>2.9035158155511099E-3</v>
      </c>
      <c r="BU200" s="32">
        <f t="shared" si="151"/>
        <v>403504.99308603577</v>
      </c>
      <c r="BV200" s="33">
        <f t="shared" si="152"/>
        <v>1.1952934592112392E-5</v>
      </c>
      <c r="BW200" s="40">
        <f t="shared" si="153"/>
        <v>827693.6989252629</v>
      </c>
      <c r="BX200" s="33">
        <f t="shared" si="154"/>
        <v>2.4518577997987151E-5</v>
      </c>
      <c r="BY200" s="40">
        <f t="shared" si="155"/>
        <v>1724134.4369547106</v>
      </c>
      <c r="BZ200" s="41">
        <f t="shared" si="156"/>
        <v>3.2795055198575522E-5</v>
      </c>
      <c r="CA200" s="40">
        <f t="shared" si="157"/>
        <v>1526465.3697096852</v>
      </c>
      <c r="CB200" s="41">
        <f t="shared" si="158"/>
        <v>2.9035158155511103E-5</v>
      </c>
      <c r="CQ200" s="70">
        <f t="shared" si="159"/>
        <v>8.6061294671858343E-2</v>
      </c>
      <c r="CR200" s="70">
        <f t="shared" si="160"/>
        <v>0.51509127672893096</v>
      </c>
      <c r="CS200" s="70">
        <f t="shared" si="161"/>
        <v>0.60115257140078926</v>
      </c>
      <c r="CT200" s="70">
        <f t="shared" si="162"/>
        <v>0.33991906984102693</v>
      </c>
      <c r="CU200" s="70">
        <f t="shared" si="163"/>
        <v>1.0565861920548798</v>
      </c>
      <c r="CV200" s="70">
        <f t="shared" si="164"/>
        <v>1.3965052618959066</v>
      </c>
      <c r="CW200" s="69">
        <f t="shared" si="165"/>
        <v>0.36773086919650561</v>
      </c>
      <c r="CX200" s="69">
        <f t="shared" si="166"/>
        <v>2.2009309019726548</v>
      </c>
      <c r="CY200" s="70">
        <f t="shared" si="167"/>
        <v>2.5686617711691606</v>
      </c>
      <c r="CZ200" s="69">
        <f t="shared" si="168"/>
        <v>0.62689215743698401</v>
      </c>
      <c r="DA200" s="69">
        <f t="shared" si="169"/>
        <v>1.9485979346942364</v>
      </c>
      <c r="DB200" s="70">
        <f t="shared" si="170"/>
        <v>2.5754900921312203</v>
      </c>
    </row>
    <row r="201" spans="23:106">
      <c r="W201" t="s">
        <v>483</v>
      </c>
      <c r="X201">
        <v>4092831</v>
      </c>
      <c r="Y201">
        <v>1744551</v>
      </c>
      <c r="Z201" s="51">
        <v>33652.25</v>
      </c>
      <c r="AA201" s="32">
        <f t="shared" si="136"/>
        <v>58708066389.75</v>
      </c>
      <c r="AB201">
        <v>93376</v>
      </c>
      <c r="AC201" s="37">
        <f t="shared" si="137"/>
        <v>2.281452618004506E-2</v>
      </c>
      <c r="AD201" s="50">
        <f>+'Revenue mile elasticities'!M230</f>
        <v>11900000</v>
      </c>
      <c r="AE201" s="3">
        <f t="shared" si="140"/>
        <v>119000</v>
      </c>
      <c r="AF201" s="11">
        <f>+'Revenue mile elasticities'!P230</f>
        <v>9.7366937877277661E-3</v>
      </c>
      <c r="AG201" s="11">
        <f>+'Revenue mile elasticities'!Q230</f>
        <v>3.8457333325867114E-2</v>
      </c>
      <c r="AH201" s="11">
        <f>+'Revenue mile elasticities'!R230</f>
        <v>2.6714394507845136E-2</v>
      </c>
      <c r="AI201" s="11">
        <f>+'Revenue mile elasticities'!S230</f>
        <v>4.5541578938526846E-2</v>
      </c>
      <c r="AJ201" s="32">
        <f t="shared" si="141"/>
        <v>5716224.6530658808</v>
      </c>
      <c r="AK201" s="33">
        <f t="shared" si="142"/>
        <v>9.736693787727766E-5</v>
      </c>
      <c r="AL201" s="40">
        <f t="shared" si="143"/>
        <v>22577556.78067752</v>
      </c>
      <c r="AM201" s="33">
        <f t="shared" si="144"/>
        <v>3.8457333325867118E-4</v>
      </c>
      <c r="AN201" s="40">
        <f t="shared" si="145"/>
        <v>24944833.015645474</v>
      </c>
      <c r="AO201" s="41">
        <f t="shared" si="146"/>
        <v>2.6714394507845133E-4</v>
      </c>
      <c r="AP201" s="40">
        <f t="shared" si="147"/>
        <v>42524904.749638826</v>
      </c>
      <c r="AQ201" s="41">
        <f t="shared" si="148"/>
        <v>4.5541578938526844E-4</v>
      </c>
      <c r="AR201" s="53"/>
      <c r="AS201" s="53"/>
      <c r="BH201" t="s">
        <v>483</v>
      </c>
      <c r="BI201">
        <v>4092831</v>
      </c>
      <c r="BJ201">
        <v>1744551</v>
      </c>
      <c r="BK201" s="51">
        <v>33652.25</v>
      </c>
      <c r="BL201" s="32">
        <f t="shared" si="138"/>
        <v>58708066389.75</v>
      </c>
      <c r="BM201">
        <v>93376</v>
      </c>
      <c r="BN201" s="37">
        <f t="shared" si="139"/>
        <v>2.281452618004506E-2</v>
      </c>
      <c r="BO201" s="50">
        <f t="shared" si="149"/>
        <v>11900000</v>
      </c>
      <c r="BP201" s="3">
        <f t="shared" si="150"/>
        <v>119000</v>
      </c>
      <c r="BQ201" s="11">
        <f>+'Rev mile pop elasticities'!P231</f>
        <v>1.0196159577563793E-2</v>
      </c>
      <c r="BR201" s="11">
        <f>+'Rev mile pop elasticities'!Q231</f>
        <v>2.0914975477853839E-2</v>
      </c>
      <c r="BS201" s="11">
        <f>+'Rev mile pop elasticities'!R231</f>
        <v>2.7975022667684053E-2</v>
      </c>
      <c r="BT201" s="11">
        <f>+'Rev mile pop elasticities'!S231</f>
        <v>2.4767734118511128E-2</v>
      </c>
      <c r="BU201" s="32">
        <f t="shared" si="151"/>
        <v>5985968.1340010054</v>
      </c>
      <c r="BV201" s="33">
        <f t="shared" si="152"/>
        <v>1.0196159577563794E-4</v>
      </c>
      <c r="BW201" s="40">
        <f t="shared" si="153"/>
        <v>12278777.688938364</v>
      </c>
      <c r="BX201" s="33">
        <f t="shared" si="154"/>
        <v>2.0914975477853839E-4</v>
      </c>
      <c r="BY201" s="40">
        <f t="shared" si="155"/>
        <v>26121957.166176662</v>
      </c>
      <c r="BZ201" s="41">
        <f t="shared" si="156"/>
        <v>2.7975022667684054E-4</v>
      </c>
      <c r="CA201" s="40">
        <f t="shared" si="157"/>
        <v>23127119.410500947</v>
      </c>
      <c r="CB201" s="41">
        <f t="shared" si="158"/>
        <v>2.4767734118511122E-4</v>
      </c>
      <c r="CQ201" s="70">
        <f t="shared" si="159"/>
        <v>3.2766165351806169</v>
      </c>
      <c r="CR201" s="70">
        <f t="shared" si="160"/>
        <v>3.4312371114407121</v>
      </c>
      <c r="CS201" s="70">
        <f t="shared" si="161"/>
        <v>6.707853646621329</v>
      </c>
      <c r="CT201" s="70">
        <f t="shared" si="162"/>
        <v>12.941757954154117</v>
      </c>
      <c r="CU201" s="70">
        <f t="shared" si="163"/>
        <v>7.0383598352460686</v>
      </c>
      <c r="CV201" s="70">
        <f t="shared" si="164"/>
        <v>19.980117789400186</v>
      </c>
      <c r="CW201" s="69">
        <f t="shared" si="165"/>
        <v>14.298712399720888</v>
      </c>
      <c r="CX201" s="69">
        <f t="shared" si="166"/>
        <v>14.9734557293978</v>
      </c>
      <c r="CY201" s="70">
        <f t="shared" si="167"/>
        <v>29.27216812911869</v>
      </c>
      <c r="CZ201" s="69">
        <f t="shared" si="168"/>
        <v>24.375844987987641</v>
      </c>
      <c r="DA201" s="69">
        <f t="shared" si="169"/>
        <v>13.256774614500205</v>
      </c>
      <c r="DB201" s="70">
        <f t="shared" si="170"/>
        <v>37.63261960248785</v>
      </c>
    </row>
    <row r="202" spans="23:106">
      <c r="W202" t="s">
        <v>484</v>
      </c>
      <c r="X202">
        <v>298920</v>
      </c>
      <c r="Y202">
        <v>206153</v>
      </c>
      <c r="Z202" s="51">
        <v>34645.519999999997</v>
      </c>
      <c r="AA202" s="32">
        <f t="shared" si="136"/>
        <v>7142277884.5599995</v>
      </c>
      <c r="AB202">
        <v>10948</v>
      </c>
      <c r="AC202" s="37">
        <f t="shared" si="137"/>
        <v>3.6625183995717916E-2</v>
      </c>
      <c r="AD202" s="50">
        <f>+'Revenue mile elasticities'!M231</f>
        <v>3015018</v>
      </c>
      <c r="AE202" s="3">
        <f t="shared" si="140"/>
        <v>30150.18</v>
      </c>
      <c r="AF202" s="11">
        <f>+'Revenue mile elasticities'!P231</f>
        <v>2.1481984183530731E-3</v>
      </c>
      <c r="AG202" s="11">
        <f>+'Revenue mile elasticities'!Q231</f>
        <v>8.484808542385527E-3</v>
      </c>
      <c r="AH202" s="11">
        <f>+'Revenue mile elasticities'!R231</f>
        <v>5.8939739998134857E-3</v>
      </c>
      <c r="AI202" s="11">
        <f>+'Revenue mile elasticities'!S231</f>
        <v>1.0047799589667072E-2</v>
      </c>
      <c r="AJ202" s="32">
        <f t="shared" si="141"/>
        <v>153430.30055049923</v>
      </c>
      <c r="AK202" s="33">
        <f t="shared" si="142"/>
        <v>2.148198418353073E-5</v>
      </c>
      <c r="AL202" s="40">
        <f t="shared" si="143"/>
        <v>606008.60407005914</v>
      </c>
      <c r="AM202" s="33">
        <f t="shared" si="144"/>
        <v>8.484808542385527E-5</v>
      </c>
      <c r="AN202" s="40">
        <f t="shared" si="145"/>
        <v>645272.27349958045</v>
      </c>
      <c r="AO202" s="41">
        <f t="shared" si="146"/>
        <v>5.8939739998134864E-5</v>
      </c>
      <c r="AP202" s="40">
        <f t="shared" si="147"/>
        <v>1100033.0990767509</v>
      </c>
      <c r="AQ202" s="41">
        <f t="shared" si="148"/>
        <v>1.0047799589667071E-4</v>
      </c>
      <c r="AR202" s="53"/>
      <c r="AS202" s="53"/>
      <c r="BH202" t="s">
        <v>484</v>
      </c>
      <c r="BI202">
        <v>298920</v>
      </c>
      <c r="BJ202">
        <v>206153</v>
      </c>
      <c r="BK202" s="51">
        <v>34645.519999999997</v>
      </c>
      <c r="BL202" s="32">
        <f t="shared" si="138"/>
        <v>7142277884.5599995</v>
      </c>
      <c r="BM202">
        <v>10948</v>
      </c>
      <c r="BN202" s="37">
        <f t="shared" si="139"/>
        <v>3.6625183995717916E-2</v>
      </c>
      <c r="BO202" s="50">
        <f t="shared" si="149"/>
        <v>3015018</v>
      </c>
      <c r="BP202" s="3">
        <f t="shared" si="150"/>
        <v>30150.18</v>
      </c>
      <c r="BQ202" s="11">
        <f>+'Rev mile pop elasticities'!P232</f>
        <v>3.537108732356483E-2</v>
      </c>
      <c r="BR202" s="11">
        <f>+'Rev mile pop elasticities'!Q232</f>
        <v>7.25553006864713E-2</v>
      </c>
      <c r="BS202" s="11">
        <f>+'Rev mile pop elasticities'!R232</f>
        <v>9.7047026591730215E-2</v>
      </c>
      <c r="BT202" s="11">
        <f>+'Rev mile pop elasticities'!S232</f>
        <v>8.5920750812926536E-2</v>
      </c>
      <c r="BU202" s="32">
        <f t="shared" si="151"/>
        <v>2526301.3474393762</v>
      </c>
      <c r="BV202" s="33">
        <f t="shared" si="152"/>
        <v>3.5371087323564826E-4</v>
      </c>
      <c r="BW202" s="40">
        <f t="shared" si="153"/>
        <v>5182101.195005849</v>
      </c>
      <c r="BX202" s="33">
        <f t="shared" si="154"/>
        <v>7.2555300686471299E-4</v>
      </c>
      <c r="BY202" s="40">
        <f t="shared" si="155"/>
        <v>10624708.471262624</v>
      </c>
      <c r="BZ202" s="41">
        <f t="shared" si="156"/>
        <v>9.7047026591730215E-4</v>
      </c>
      <c r="CA202" s="40">
        <f t="shared" si="157"/>
        <v>9406603.7989991978</v>
      </c>
      <c r="CB202" s="41">
        <f t="shared" si="158"/>
        <v>8.592075081292654E-4</v>
      </c>
      <c r="CQ202" s="70">
        <f t="shared" si="159"/>
        <v>0.74425451267019749</v>
      </c>
      <c r="CR202" s="70">
        <f t="shared" si="160"/>
        <v>12.254497132903117</v>
      </c>
      <c r="CS202" s="70">
        <f t="shared" si="161"/>
        <v>12.998751645573314</v>
      </c>
      <c r="CT202" s="70">
        <f t="shared" si="162"/>
        <v>2.939606040513886</v>
      </c>
      <c r="CU202" s="70">
        <f t="shared" si="163"/>
        <v>25.13716121039155</v>
      </c>
      <c r="CV202" s="70">
        <f t="shared" si="164"/>
        <v>28.076767250905437</v>
      </c>
      <c r="CW202" s="69">
        <f t="shared" si="165"/>
        <v>3.1300649202271149</v>
      </c>
      <c r="CX202" s="69">
        <f t="shared" si="166"/>
        <v>51.537976509013326</v>
      </c>
      <c r="CY202" s="70">
        <f t="shared" si="167"/>
        <v>54.668041429240439</v>
      </c>
      <c r="CZ202" s="69">
        <f t="shared" si="168"/>
        <v>5.3360033522517298</v>
      </c>
      <c r="DA202" s="69">
        <f t="shared" si="169"/>
        <v>45.629235562903268</v>
      </c>
      <c r="DB202" s="70">
        <f t="shared" si="170"/>
        <v>50.965238915154998</v>
      </c>
    </row>
    <row r="203" spans="23:106">
      <c r="W203" t="s">
        <v>485</v>
      </c>
      <c r="X203">
        <v>183394</v>
      </c>
      <c r="Y203">
        <v>132624</v>
      </c>
      <c r="Z203" s="51">
        <v>41982.69</v>
      </c>
      <c r="AA203" s="32">
        <f t="shared" si="136"/>
        <v>5567912278.5600004</v>
      </c>
      <c r="AB203">
        <v>7997</v>
      </c>
      <c r="AC203" s="37">
        <f t="shared" si="137"/>
        <v>4.3605570520300556E-2</v>
      </c>
      <c r="AD203" s="50">
        <f>+'Revenue mile elasticities'!M232</f>
        <v>981866</v>
      </c>
      <c r="AE203" s="3">
        <f t="shared" si="140"/>
        <v>9818.66</v>
      </c>
      <c r="AF203" s="11">
        <f>+'Revenue mile elasticities'!P232</f>
        <v>6.6759564059938874E-4</v>
      </c>
      <c r="AG203" s="11">
        <f>+'Revenue mile elasticities'!Q232</f>
        <v>2.6368240223171237E-3</v>
      </c>
      <c r="AH203" s="11">
        <f>+'Revenue mile elasticities'!R232</f>
        <v>1.8316703496589729E-3</v>
      </c>
      <c r="AI203" s="11">
        <f>+'Revenue mile elasticities'!S232</f>
        <v>3.1225547632702778E-3</v>
      </c>
      <c r="AJ203" s="32">
        <f t="shared" si="141"/>
        <v>37171.139644064657</v>
      </c>
      <c r="AK203" s="33">
        <f t="shared" si="142"/>
        <v>6.6759564059938876E-6</v>
      </c>
      <c r="AL203" s="40">
        <f t="shared" si="143"/>
        <v>146816.04850261481</v>
      </c>
      <c r="AM203" s="33">
        <f t="shared" si="144"/>
        <v>2.6368240223171235E-5</v>
      </c>
      <c r="AN203" s="40">
        <f t="shared" si="145"/>
        <v>146478.67786222807</v>
      </c>
      <c r="AO203" s="41">
        <f t="shared" si="146"/>
        <v>1.831670349658973E-5</v>
      </c>
      <c r="AP203" s="40">
        <f t="shared" si="147"/>
        <v>249710.70441872411</v>
      </c>
      <c r="AQ203" s="41">
        <f t="shared" si="148"/>
        <v>3.1225547632702776E-5</v>
      </c>
      <c r="AR203" s="53"/>
      <c r="AS203" s="53"/>
      <c r="BH203" t="s">
        <v>485</v>
      </c>
      <c r="BI203">
        <v>183394</v>
      </c>
      <c r="BJ203">
        <v>132624</v>
      </c>
      <c r="BK203" s="51">
        <v>41982.69</v>
      </c>
      <c r="BL203" s="32">
        <f t="shared" si="138"/>
        <v>5567912278.5600004</v>
      </c>
      <c r="BM203">
        <v>7997</v>
      </c>
      <c r="BN203" s="37">
        <f t="shared" si="139"/>
        <v>4.3605570520300556E-2</v>
      </c>
      <c r="BO203" s="50">
        <f t="shared" si="149"/>
        <v>981866</v>
      </c>
      <c r="BP203" s="3">
        <f t="shared" si="150"/>
        <v>9818.66</v>
      </c>
      <c r="BQ203" s="11">
        <f>+'Rev mile pop elasticities'!P233</f>
        <v>1.8775027133494004E-2</v>
      </c>
      <c r="BR203" s="11">
        <f>+'Rev mile pop elasticities'!Q233</f>
        <v>3.8512464335801612E-2</v>
      </c>
      <c r="BS203" s="11">
        <f>+'Rev mile pop elasticities'!R233</f>
        <v>5.1512709824748891E-2</v>
      </c>
      <c r="BT203" s="11">
        <f>+'Rev mile pop elasticities'!S233</f>
        <v>4.5606865660817696E-2</v>
      </c>
      <c r="BU203" s="32">
        <f t="shared" si="151"/>
        <v>1045377.0410687843</v>
      </c>
      <c r="BV203" s="33">
        <f t="shared" si="152"/>
        <v>1.8775027133494004E-4</v>
      </c>
      <c r="BW203" s="40">
        <f t="shared" si="153"/>
        <v>2144340.2305291393</v>
      </c>
      <c r="BX203" s="33">
        <f t="shared" si="154"/>
        <v>3.8512464335801615E-4</v>
      </c>
      <c r="BY203" s="40">
        <f t="shared" si="155"/>
        <v>4119471.404685169</v>
      </c>
      <c r="BZ203" s="41">
        <f t="shared" si="156"/>
        <v>5.1512709824748891E-4</v>
      </c>
      <c r="CA203" s="40">
        <f t="shared" si="157"/>
        <v>3647181.0468955906</v>
      </c>
      <c r="CB203" s="41">
        <f t="shared" si="158"/>
        <v>4.5606865660817686E-4</v>
      </c>
      <c r="CQ203" s="70">
        <f t="shared" si="159"/>
        <v>0.28027460824635553</v>
      </c>
      <c r="CR203" s="70">
        <f t="shared" si="160"/>
        <v>7.8822614388706747</v>
      </c>
      <c r="CS203" s="70">
        <f t="shared" si="161"/>
        <v>8.1625360471170296</v>
      </c>
      <c r="CT203" s="70">
        <f t="shared" si="162"/>
        <v>1.1070096551349289</v>
      </c>
      <c r="CU203" s="70">
        <f t="shared" si="163"/>
        <v>16.168568513460151</v>
      </c>
      <c r="CV203" s="70">
        <f t="shared" si="164"/>
        <v>17.275578168595079</v>
      </c>
      <c r="CW203" s="69">
        <f t="shared" si="165"/>
        <v>1.1044658422474671</v>
      </c>
      <c r="CX203" s="69">
        <f t="shared" si="166"/>
        <v>31.061281553000732</v>
      </c>
      <c r="CY203" s="70">
        <f t="shared" si="167"/>
        <v>32.165747395248196</v>
      </c>
      <c r="CZ203" s="69">
        <f t="shared" si="168"/>
        <v>1.8828470293365009</v>
      </c>
      <c r="DA203" s="69">
        <f t="shared" si="169"/>
        <v>27.50015869597954</v>
      </c>
      <c r="DB203" s="70">
        <f t="shared" si="170"/>
        <v>29.383005725316039</v>
      </c>
    </row>
    <row r="204" spans="23:106">
      <c r="W204" t="s">
        <v>486</v>
      </c>
      <c r="X204">
        <v>1033155</v>
      </c>
      <c r="Y204">
        <v>635709</v>
      </c>
      <c r="Z204" s="51">
        <v>39006.65</v>
      </c>
      <c r="AA204" s="32">
        <f t="shared" si="136"/>
        <v>24796878464.850002</v>
      </c>
      <c r="AB204">
        <v>40373</v>
      </c>
      <c r="AC204" s="37">
        <f t="shared" si="137"/>
        <v>3.9077389162323173E-2</v>
      </c>
      <c r="AD204" s="50">
        <f>+'Revenue mile elasticities'!M233</f>
        <v>5122614</v>
      </c>
      <c r="AE204" s="3">
        <f t="shared" si="140"/>
        <v>51226.14</v>
      </c>
      <c r="AF204" s="11">
        <f>+'Revenue mile elasticities'!P233</f>
        <v>1.5996951321358471E-3</v>
      </c>
      <c r="AG204" s="11">
        <f>+'Revenue mile elasticities'!Q233</f>
        <v>6.3183674312378797E-3</v>
      </c>
      <c r="AH204" s="11">
        <f>+'Revenue mile elasticities'!R233</f>
        <v>4.3890552361849954E-3</v>
      </c>
      <c r="AI204" s="11">
        <f>+'Revenue mile elasticities'!S233</f>
        <v>7.4822772212027521E-3</v>
      </c>
      <c r="AJ204" s="32">
        <f t="shared" si="141"/>
        <v>396674.45772384765</v>
      </c>
      <c r="AK204" s="33">
        <f t="shared" si="142"/>
        <v>1.5996951321358471E-5</v>
      </c>
      <c r="AL204" s="40">
        <f t="shared" si="143"/>
        <v>1566757.892886722</v>
      </c>
      <c r="AM204" s="33">
        <f t="shared" si="144"/>
        <v>6.3183674312378797E-5</v>
      </c>
      <c r="AN204" s="40">
        <f t="shared" si="145"/>
        <v>1771993.2705049682</v>
      </c>
      <c r="AO204" s="41">
        <f t="shared" si="146"/>
        <v>4.3890552361849953E-5</v>
      </c>
      <c r="AP204" s="40">
        <f t="shared" si="147"/>
        <v>3020819.7825161871</v>
      </c>
      <c r="AQ204" s="41">
        <f t="shared" si="148"/>
        <v>7.4822772212027513E-5</v>
      </c>
      <c r="AR204" s="53"/>
      <c r="AS204" s="53"/>
      <c r="BH204" t="s">
        <v>486</v>
      </c>
      <c r="BI204">
        <v>1033155</v>
      </c>
      <c r="BJ204">
        <v>635709</v>
      </c>
      <c r="BK204" s="51">
        <v>39006.65</v>
      </c>
      <c r="BL204" s="32">
        <f t="shared" si="138"/>
        <v>24796878464.850002</v>
      </c>
      <c r="BM204">
        <v>40373</v>
      </c>
      <c r="BN204" s="37">
        <f t="shared" si="139"/>
        <v>3.9077389162323173E-2</v>
      </c>
      <c r="BO204" s="50">
        <f t="shared" si="149"/>
        <v>5122614</v>
      </c>
      <c r="BP204" s="3">
        <f t="shared" si="150"/>
        <v>51226.14</v>
      </c>
      <c r="BQ204" s="11">
        <f>+'Rev mile pop elasticities'!P234</f>
        <v>1.738759937035585E-2</v>
      </c>
      <c r="BR204" s="11">
        <f>+'Rev mile pop elasticities'!Q234</f>
        <v>3.5666489101441705E-2</v>
      </c>
      <c r="BS204" s="11">
        <f>+'Rev mile pop elasticities'!R234</f>
        <v>4.770604881397273E-2</v>
      </c>
      <c r="BT204" s="11">
        <f>+'Rev mile pop elasticities'!S234</f>
        <v>4.2236631830654653E-2</v>
      </c>
      <c r="BU204" s="32">
        <f t="shared" si="151"/>
        <v>4311581.8838221645</v>
      </c>
      <c r="BV204" s="33">
        <f t="shared" si="152"/>
        <v>1.738759937035585E-4</v>
      </c>
      <c r="BW204" s="40">
        <f t="shared" si="153"/>
        <v>8844175.9551634714</v>
      </c>
      <c r="BX204" s="33">
        <f t="shared" si="154"/>
        <v>3.5666489101441706E-4</v>
      </c>
      <c r="BY204" s="40">
        <f t="shared" si="155"/>
        <v>19260363.087665211</v>
      </c>
      <c r="BZ204" s="41">
        <f t="shared" si="156"/>
        <v>4.7706048813972733E-4</v>
      </c>
      <c r="CA204" s="40">
        <f t="shared" si="157"/>
        <v>17052195.368990202</v>
      </c>
      <c r="CB204" s="41">
        <f t="shared" si="158"/>
        <v>4.2236631830654646E-4</v>
      </c>
      <c r="CQ204" s="70">
        <f t="shared" si="159"/>
        <v>0.6239874812592674</v>
      </c>
      <c r="CR204" s="70">
        <f t="shared" si="160"/>
        <v>6.7823200297969111</v>
      </c>
      <c r="CS204" s="70">
        <f t="shared" si="161"/>
        <v>7.4063075110561787</v>
      </c>
      <c r="CT204" s="70">
        <f t="shared" si="162"/>
        <v>2.4645834696169504</v>
      </c>
      <c r="CU204" s="70">
        <f t="shared" si="163"/>
        <v>13.912302571087512</v>
      </c>
      <c r="CV204" s="70">
        <f t="shared" si="164"/>
        <v>16.376886040704463</v>
      </c>
      <c r="CW204" s="69">
        <f t="shared" si="165"/>
        <v>2.787428320984866</v>
      </c>
      <c r="CX204" s="69">
        <f t="shared" si="166"/>
        <v>30.297452274020365</v>
      </c>
      <c r="CY204" s="70">
        <f t="shared" si="167"/>
        <v>33.084880595005231</v>
      </c>
      <c r="CZ204" s="69">
        <f t="shared" si="168"/>
        <v>4.7518908533876143</v>
      </c>
      <c r="DA204" s="69">
        <f t="shared" si="169"/>
        <v>26.823901138713154</v>
      </c>
      <c r="DB204" s="70">
        <f t="shared" si="170"/>
        <v>31.575791992100768</v>
      </c>
    </row>
    <row r="205" spans="23:106">
      <c r="W205" t="s">
        <v>487</v>
      </c>
      <c r="X205">
        <v>353381</v>
      </c>
      <c r="Y205">
        <v>195403</v>
      </c>
      <c r="Z205" s="51">
        <v>36955.879999999997</v>
      </c>
      <c r="AA205" s="32">
        <f t="shared" si="136"/>
        <v>7221289819.6399994</v>
      </c>
      <c r="AB205">
        <v>11375</v>
      </c>
      <c r="AC205" s="37">
        <f t="shared" si="137"/>
        <v>3.2189053740863262E-2</v>
      </c>
      <c r="AD205" s="50">
        <f>+'Revenue mile elasticities'!M234</f>
        <v>1286854</v>
      </c>
      <c r="AE205" s="3">
        <f t="shared" si="140"/>
        <v>12868.54</v>
      </c>
      <c r="AF205" s="11">
        <f>+'Revenue mile elasticities'!P234</f>
        <v>1.0435432794168248E-3</v>
      </c>
      <c r="AG205" s="11">
        <f>+'Revenue mile elasticities'!Q234</f>
        <v>4.1217165304185677E-3</v>
      </c>
      <c r="AH205" s="11">
        <f>+'Revenue mile elasticities'!R234</f>
        <v>2.863151235945079E-3</v>
      </c>
      <c r="AI205" s="11">
        <f>+'Revenue mile elasticities'!S234</f>
        <v>4.8809801018114612E-3</v>
      </c>
      <c r="AJ205" s="32">
        <f t="shared" si="141"/>
        <v>75357.284600064566</v>
      </c>
      <c r="AK205" s="33">
        <f t="shared" si="142"/>
        <v>1.0435432794168248E-5</v>
      </c>
      <c r="AL205" s="40">
        <f t="shared" si="143"/>
        <v>297641.09620553505</v>
      </c>
      <c r="AM205" s="33">
        <f t="shared" si="144"/>
        <v>4.1217165304185679E-5</v>
      </c>
      <c r="AN205" s="40">
        <f t="shared" si="145"/>
        <v>325683.45308875275</v>
      </c>
      <c r="AO205" s="41">
        <f t="shared" si="146"/>
        <v>2.8631512359450792E-5</v>
      </c>
      <c r="AP205" s="40">
        <f t="shared" si="147"/>
        <v>555211.4865810537</v>
      </c>
      <c r="AQ205" s="41">
        <f t="shared" si="148"/>
        <v>4.880980101811461E-5</v>
      </c>
      <c r="AR205" s="53"/>
      <c r="AS205" s="53"/>
      <c r="BH205" t="s">
        <v>487</v>
      </c>
      <c r="BI205">
        <v>353381</v>
      </c>
      <c r="BJ205">
        <v>195403</v>
      </c>
      <c r="BK205" s="51">
        <v>36955.879999999997</v>
      </c>
      <c r="BL205" s="32">
        <f t="shared" si="138"/>
        <v>7221289819.6399994</v>
      </c>
      <c r="BM205">
        <v>11375</v>
      </c>
      <c r="BN205" s="37">
        <f t="shared" si="139"/>
        <v>3.2189053740863262E-2</v>
      </c>
      <c r="BO205" s="50">
        <f t="shared" si="149"/>
        <v>1286854</v>
      </c>
      <c r="BP205" s="3">
        <f t="shared" si="150"/>
        <v>12868.54</v>
      </c>
      <c r="BQ205" s="11">
        <f>+'Rev mile pop elasticities'!P235</f>
        <v>1.2770254609840369E-2</v>
      </c>
      <c r="BR205" s="11">
        <f>+'Rev mile pop elasticities'!Q235</f>
        <v>2.6195113952363031E-2</v>
      </c>
      <c r="BS205" s="11">
        <f>+'Rev mile pop elasticities'!R235</f>
        <v>3.5037521673208234E-2</v>
      </c>
      <c r="BT205" s="11">
        <f>+'Rev mile pop elasticities'!S235</f>
        <v>3.1020529680429908E-2</v>
      </c>
      <c r="BU205" s="32">
        <f t="shared" si="151"/>
        <v>922177.09608251043</v>
      </c>
      <c r="BV205" s="33">
        <f t="shared" si="152"/>
        <v>1.2770254609840371E-4</v>
      </c>
      <c r="BW205" s="40">
        <f t="shared" si="153"/>
        <v>1891625.097085089</v>
      </c>
      <c r="BX205" s="33">
        <f t="shared" si="154"/>
        <v>2.6195113952363035E-4</v>
      </c>
      <c r="BY205" s="40">
        <f t="shared" si="155"/>
        <v>3985518.090327437</v>
      </c>
      <c r="BZ205" s="41">
        <f t="shared" si="156"/>
        <v>3.5037521673208236E-4</v>
      </c>
      <c r="CA205" s="40">
        <f t="shared" si="157"/>
        <v>3528585.2511489023</v>
      </c>
      <c r="CB205" s="41">
        <f t="shared" si="158"/>
        <v>3.102052968042991E-4</v>
      </c>
      <c r="CQ205" s="70">
        <f t="shared" si="159"/>
        <v>0.38565060208934648</v>
      </c>
      <c r="CR205" s="70">
        <f t="shared" si="160"/>
        <v>4.7193599693070754</v>
      </c>
      <c r="CS205" s="70">
        <f t="shared" si="161"/>
        <v>5.1050105713964218</v>
      </c>
      <c r="CT205" s="70">
        <f t="shared" si="162"/>
        <v>1.5232166149216493</v>
      </c>
      <c r="CU205" s="70">
        <f t="shared" si="163"/>
        <v>9.6806348780985392</v>
      </c>
      <c r="CV205" s="70">
        <f t="shared" si="164"/>
        <v>11.203851493020188</v>
      </c>
      <c r="CW205" s="69">
        <f t="shared" si="165"/>
        <v>1.6667269851985524</v>
      </c>
      <c r="CX205" s="69">
        <f t="shared" si="166"/>
        <v>20.396401745763562</v>
      </c>
      <c r="CY205" s="70">
        <f t="shared" si="167"/>
        <v>22.063128730962113</v>
      </c>
      <c r="CZ205" s="69">
        <f t="shared" si="168"/>
        <v>2.8413662358359582</v>
      </c>
      <c r="DA205" s="69">
        <f t="shared" si="169"/>
        <v>18.057989136036305</v>
      </c>
      <c r="DB205" s="70">
        <f t="shared" si="170"/>
        <v>20.899355371872264</v>
      </c>
    </row>
    <row r="206" spans="23:106">
      <c r="W206" t="s">
        <v>488</v>
      </c>
      <c r="X206">
        <v>95696</v>
      </c>
      <c r="Y206">
        <v>54438</v>
      </c>
      <c r="Z206" s="51">
        <v>31276.95</v>
      </c>
      <c r="AA206" s="32">
        <f t="shared" si="136"/>
        <v>1702654604.1000001</v>
      </c>
      <c r="AB206">
        <v>2550</v>
      </c>
      <c r="AC206" s="37">
        <f t="shared" si="137"/>
        <v>2.6646881792342418E-2</v>
      </c>
      <c r="AD206" s="50">
        <f>+'Revenue mile elasticities'!M235</f>
        <v>472359</v>
      </c>
      <c r="AE206" s="3">
        <f t="shared" si="140"/>
        <v>4723.59</v>
      </c>
      <c r="AF206" s="11">
        <f>+'Revenue mile elasticities'!P235</f>
        <v>5.6657753798899002E-4</v>
      </c>
      <c r="AG206" s="11">
        <f>+'Revenue mile elasticities'!Q235</f>
        <v>2.2378295660129407E-3</v>
      </c>
      <c r="AH206" s="11">
        <f>+'Revenue mile elasticities'!R235</f>
        <v>1.5545087684896476E-3</v>
      </c>
      <c r="AI206" s="11">
        <f>+'Revenue mile elasticities'!S235</f>
        <v>2.6500613281732191E-3</v>
      </c>
      <c r="AJ206" s="32">
        <f t="shared" si="141"/>
        <v>9646.8585363659658</v>
      </c>
      <c r="AK206" s="33">
        <f t="shared" si="142"/>
        <v>5.6657753798899002E-6</v>
      </c>
      <c r="AL206" s="40">
        <f t="shared" si="143"/>
        <v>38102.508137630386</v>
      </c>
      <c r="AM206" s="33">
        <f t="shared" si="144"/>
        <v>2.2378295660129407E-5</v>
      </c>
      <c r="AN206" s="40">
        <f t="shared" si="145"/>
        <v>39639.973596486008</v>
      </c>
      <c r="AO206" s="41">
        <f t="shared" si="146"/>
        <v>1.5545087684896475E-5</v>
      </c>
      <c r="AP206" s="40">
        <f t="shared" si="147"/>
        <v>67576.563868417099</v>
      </c>
      <c r="AQ206" s="41">
        <f t="shared" si="148"/>
        <v>2.6500613281732195E-5</v>
      </c>
      <c r="AR206" s="53"/>
      <c r="AS206" s="53"/>
      <c r="BH206" t="s">
        <v>488</v>
      </c>
      <c r="BI206">
        <v>95696</v>
      </c>
      <c r="BJ206">
        <v>54438</v>
      </c>
      <c r="BK206" s="51">
        <v>31276.95</v>
      </c>
      <c r="BL206" s="32">
        <f t="shared" si="138"/>
        <v>1702654604.1000001</v>
      </c>
      <c r="BM206">
        <v>2550</v>
      </c>
      <c r="BN206" s="37">
        <f t="shared" si="139"/>
        <v>2.6646881792342418E-2</v>
      </c>
      <c r="BO206" s="50">
        <f t="shared" si="149"/>
        <v>472359</v>
      </c>
      <c r="BP206" s="3">
        <f t="shared" si="150"/>
        <v>4723.59</v>
      </c>
      <c r="BQ206" s="11">
        <f>+'Rev mile pop elasticities'!P236</f>
        <v>1.730979339136432E-2</v>
      </c>
      <c r="BR206" s="11">
        <f>+'Rev mile pop elasticities'!Q236</f>
        <v>3.5506888799949843E-2</v>
      </c>
      <c r="BS206" s="11">
        <f>+'Rev mile pop elasticities'!R236</f>
        <v>4.7492573925764919E-2</v>
      </c>
      <c r="BT206" s="11">
        <f>+'Rev mile pop elasticities'!S236</f>
        <v>4.2047631473624815E-2</v>
      </c>
      <c r="BU206" s="32">
        <f t="shared" si="151"/>
        <v>294725.99413826212</v>
      </c>
      <c r="BV206" s="33">
        <f t="shared" si="152"/>
        <v>1.7309793391364318E-4</v>
      </c>
      <c r="BW206" s="40">
        <f t="shared" si="153"/>
        <v>604559.67692501331</v>
      </c>
      <c r="BX206" s="33">
        <f t="shared" si="154"/>
        <v>3.5506888799949842E-4</v>
      </c>
      <c r="BY206" s="40">
        <f t="shared" si="155"/>
        <v>1211060.6351070055</v>
      </c>
      <c r="BZ206" s="41">
        <f t="shared" si="156"/>
        <v>4.7492573925764919E-4</v>
      </c>
      <c r="CA206" s="40">
        <f t="shared" si="157"/>
        <v>1072214.6025774328</v>
      </c>
      <c r="CB206" s="41">
        <f t="shared" si="158"/>
        <v>4.2047631473624811E-4</v>
      </c>
      <c r="CQ206" s="70">
        <f t="shared" si="159"/>
        <v>0.17720817326804741</v>
      </c>
      <c r="CR206" s="70">
        <f t="shared" si="160"/>
        <v>5.4139754241203226</v>
      </c>
      <c r="CS206" s="70">
        <f t="shared" si="161"/>
        <v>5.5911835973883699</v>
      </c>
      <c r="CT206" s="70">
        <f t="shared" si="162"/>
        <v>0.69992483444708453</v>
      </c>
      <c r="CU206" s="70">
        <f t="shared" si="163"/>
        <v>11.105471856515914</v>
      </c>
      <c r="CV206" s="70">
        <f t="shared" si="164"/>
        <v>11.805396690962999</v>
      </c>
      <c r="CW206" s="69">
        <f t="shared" si="165"/>
        <v>0.72816733892659558</v>
      </c>
      <c r="CX206" s="69">
        <f t="shared" si="166"/>
        <v>22.246604120412314</v>
      </c>
      <c r="CY206" s="70">
        <f t="shared" si="167"/>
        <v>22.974771459338911</v>
      </c>
      <c r="CZ206" s="69">
        <f t="shared" si="168"/>
        <v>1.241349128704528</v>
      </c>
      <c r="DA206" s="69">
        <f t="shared" si="169"/>
        <v>19.696068969790087</v>
      </c>
      <c r="DB206" s="70">
        <f t="shared" si="170"/>
        <v>20.937418098494614</v>
      </c>
    </row>
    <row r="207" spans="23:106">
      <c r="W207" s="3" t="s">
        <v>319</v>
      </c>
      <c r="X207" s="3">
        <v>2101138</v>
      </c>
      <c r="Y207" s="3">
        <v>1227055</v>
      </c>
      <c r="Z207" s="51">
        <v>42165.06</v>
      </c>
      <c r="AA207" s="32">
        <f t="shared" si="136"/>
        <v>51738847698.299995</v>
      </c>
      <c r="AB207" s="3">
        <v>72228</v>
      </c>
      <c r="AC207" s="37">
        <f t="shared" si="137"/>
        <v>3.4375657381856876E-2</v>
      </c>
      <c r="AD207" s="50">
        <f>+'Revenue mile elasticities'!M236</f>
        <v>18100000</v>
      </c>
      <c r="AE207" s="3">
        <f t="shared" si="140"/>
        <v>181000</v>
      </c>
      <c r="AF207" s="11">
        <f>+'Revenue mile elasticities'!P236</f>
        <v>9.9587178849941081E-3</v>
      </c>
      <c r="AG207" s="11">
        <f>+'Revenue mile elasticities'!Q236</f>
        <v>3.9334269060018301E-2</v>
      </c>
      <c r="AH207" s="11">
        <f>+'Revenue mile elasticities'!R236</f>
        <v>2.7323558096012713E-2</v>
      </c>
      <c r="AI207" s="11">
        <f>+'Revenue mile elasticities'!S236</f>
        <v>4.6580055465811149E-2</v>
      </c>
      <c r="AJ207" s="32">
        <f t="shared" si="141"/>
        <v>5152525.8792204643</v>
      </c>
      <c r="AK207" s="33">
        <f t="shared" si="142"/>
        <v>9.958717884994109E-5</v>
      </c>
      <c r="AL207" s="40">
        <f t="shared" si="143"/>
        <v>20351097.562202405</v>
      </c>
      <c r="AM207" s="33">
        <f t="shared" si="144"/>
        <v>3.9334269060018297E-4</v>
      </c>
      <c r="AN207" s="40">
        <f t="shared" si="145"/>
        <v>19735259.541588061</v>
      </c>
      <c r="AO207" s="41">
        <f t="shared" si="146"/>
        <v>2.732355809601271E-4</v>
      </c>
      <c r="AP207" s="40">
        <f t="shared" si="147"/>
        <v>33643842.461846076</v>
      </c>
      <c r="AQ207" s="41">
        <f t="shared" si="148"/>
        <v>4.6580055465811148E-4</v>
      </c>
      <c r="AR207" s="53"/>
      <c r="AS207" s="53"/>
      <c r="BH207" s="3" t="s">
        <v>319</v>
      </c>
      <c r="BI207" s="3">
        <v>2101138</v>
      </c>
      <c r="BJ207" s="3">
        <v>1227055</v>
      </c>
      <c r="BK207" s="51">
        <v>42165.06</v>
      </c>
      <c r="BL207" s="32">
        <f t="shared" si="138"/>
        <v>51738847698.299995</v>
      </c>
      <c r="BM207" s="3">
        <v>72228</v>
      </c>
      <c r="BN207" s="37">
        <f t="shared" si="139"/>
        <v>3.4375657381856876E-2</v>
      </c>
      <c r="BO207" s="50">
        <f t="shared" si="149"/>
        <v>18100000</v>
      </c>
      <c r="BP207" s="3">
        <f t="shared" si="150"/>
        <v>181000</v>
      </c>
      <c r="BQ207" s="11">
        <f>+'Rev mile pop elasticities'!P237</f>
        <v>3.0209078128138177E-2</v>
      </c>
      <c r="BR207" s="11">
        <f>+'Rev mile pop elasticities'!Q237</f>
        <v>6.1966677105454289E-2</v>
      </c>
      <c r="BS207" s="11">
        <f>+'Rev mile pop elasticities'!R237</f>
        <v>8.2884113275758176E-2</v>
      </c>
      <c r="BT207" s="11">
        <f>+'Rev mile pop elasticities'!S237</f>
        <v>7.338159130909061E-2</v>
      </c>
      <c r="BU207" s="32">
        <f t="shared" si="151"/>
        <v>15629828.923777867</v>
      </c>
      <c r="BV207" s="33">
        <f t="shared" si="152"/>
        <v>3.020907812813818E-4</v>
      </c>
      <c r="BW207" s="40">
        <f t="shared" si="153"/>
        <v>32060844.69128833</v>
      </c>
      <c r="BX207" s="33">
        <f t="shared" si="154"/>
        <v>6.1966677105454297E-4</v>
      </c>
      <c r="BY207" s="40">
        <f t="shared" si="155"/>
        <v>59865537.336814612</v>
      </c>
      <c r="BZ207" s="41">
        <f t="shared" si="156"/>
        <v>8.288411327575817E-4</v>
      </c>
      <c r="CA207" s="40">
        <f t="shared" si="157"/>
        <v>53002055.770729959</v>
      </c>
      <c r="CB207" s="41">
        <f t="shared" si="158"/>
        <v>7.3381591309090591E-4</v>
      </c>
      <c r="CQ207" s="70">
        <f t="shared" si="159"/>
        <v>4.1990993714384963</v>
      </c>
      <c r="CR207" s="70">
        <f t="shared" si="160"/>
        <v>12.737675918176338</v>
      </c>
      <c r="CS207" s="70">
        <f t="shared" si="161"/>
        <v>16.936775289614836</v>
      </c>
      <c r="CT207" s="70">
        <f t="shared" si="162"/>
        <v>16.585318149718152</v>
      </c>
      <c r="CU207" s="70">
        <f t="shared" si="163"/>
        <v>26.128286581521063</v>
      </c>
      <c r="CV207" s="70">
        <f t="shared" si="164"/>
        <v>42.713604731239215</v>
      </c>
      <c r="CW207" s="69">
        <f t="shared" si="165"/>
        <v>16.083435169236964</v>
      </c>
      <c r="CX207" s="69">
        <f t="shared" si="166"/>
        <v>48.787982068297353</v>
      </c>
      <c r="CY207" s="70">
        <f t="shared" si="167"/>
        <v>64.871417237534317</v>
      </c>
      <c r="CZ207" s="69">
        <f t="shared" si="168"/>
        <v>27.418365486344197</v>
      </c>
      <c r="DA207" s="69">
        <f t="shared" si="169"/>
        <v>43.194523286022189</v>
      </c>
      <c r="DB207" s="70">
        <f t="shared" si="170"/>
        <v>70.612888772366389</v>
      </c>
    </row>
    <row r="208" spans="23:106">
      <c r="W208" s="3" t="s">
        <v>489</v>
      </c>
      <c r="X208" s="3">
        <v>200858</v>
      </c>
      <c r="Y208" s="3">
        <v>107289</v>
      </c>
      <c r="Z208" s="51">
        <v>34359.43</v>
      </c>
      <c r="AA208" s="32">
        <f t="shared" si="136"/>
        <v>3686388885.27</v>
      </c>
      <c r="AB208" s="3">
        <v>5534</v>
      </c>
      <c r="AC208" s="37">
        <f t="shared" si="137"/>
        <v>2.7551802766133289E-2</v>
      </c>
      <c r="AD208" s="50">
        <f>+'Revenue mile elasticities'!M237</f>
        <v>705698</v>
      </c>
      <c r="AE208" s="3">
        <f t="shared" si="140"/>
        <v>7056.9800000000005</v>
      </c>
      <c r="AF208" s="11">
        <f>+'Revenue mile elasticities'!P237</f>
        <v>6.1726508884630367E-4</v>
      </c>
      <c r="AG208" s="11">
        <f>+'Revenue mile elasticities'!Q237</f>
        <v>2.4380318196001371E-3</v>
      </c>
      <c r="AH208" s="11">
        <f>+'Revenue mile elasticities'!R237</f>
        <v>1.6935793051378728E-3</v>
      </c>
      <c r="AI208" s="11">
        <f>+'Revenue mile elasticities'!S237</f>
        <v>2.8871429442633204E-3</v>
      </c>
      <c r="AJ208" s="32">
        <f t="shared" si="141"/>
        <v>22754.791627882132</v>
      </c>
      <c r="AK208" s="33">
        <f t="shared" si="142"/>
        <v>6.1726508884630373E-6</v>
      </c>
      <c r="AL208" s="40">
        <f t="shared" si="143"/>
        <v>89875.334017085392</v>
      </c>
      <c r="AM208" s="33">
        <f t="shared" si="144"/>
        <v>2.4380318196001371E-5</v>
      </c>
      <c r="AN208" s="40">
        <f t="shared" si="145"/>
        <v>93722.678746329882</v>
      </c>
      <c r="AO208" s="41">
        <f t="shared" si="146"/>
        <v>1.6935793051378727E-5</v>
      </c>
      <c r="AP208" s="40">
        <f t="shared" si="147"/>
        <v>159774.49053553215</v>
      </c>
      <c r="AQ208" s="41">
        <f t="shared" si="148"/>
        <v>2.8871429442633203E-5</v>
      </c>
      <c r="AR208" s="53"/>
      <c r="AS208" s="53"/>
      <c r="BH208" s="3" t="s">
        <v>489</v>
      </c>
      <c r="BI208" s="3">
        <v>200858</v>
      </c>
      <c r="BJ208" s="3">
        <v>107289</v>
      </c>
      <c r="BK208" s="51">
        <v>34359.43</v>
      </c>
      <c r="BL208" s="32">
        <f t="shared" si="138"/>
        <v>3686388885.27</v>
      </c>
      <c r="BM208" s="3">
        <v>5534</v>
      </c>
      <c r="BN208" s="37">
        <f t="shared" si="139"/>
        <v>2.7551802766133289E-2</v>
      </c>
      <c r="BO208" s="50">
        <f t="shared" si="149"/>
        <v>705698</v>
      </c>
      <c r="BP208" s="3">
        <f t="shared" si="150"/>
        <v>7056.9800000000005</v>
      </c>
      <c r="BQ208" s="11">
        <f>+'Rev mile pop elasticities'!P238</f>
        <v>1.232092254408587E-2</v>
      </c>
      <c r="BR208" s="11">
        <f>+'Rev mile pop elasticities'!Q238</f>
        <v>2.5273417007039799E-2</v>
      </c>
      <c r="BS208" s="11">
        <f>+'Rev mile pop elasticities'!R238</f>
        <v>3.3804697232870981E-2</v>
      </c>
      <c r="BT208" s="11">
        <f>+'Rev mile pop elasticities'!S238</f>
        <v>2.9929046455705027E-2</v>
      </c>
      <c r="BU208" s="32">
        <f t="shared" si="151"/>
        <v>454197.11922790727</v>
      </c>
      <c r="BV208" s="33">
        <f t="shared" si="152"/>
        <v>1.2320922544085871E-4</v>
      </c>
      <c r="BW208" s="40">
        <f t="shared" si="153"/>
        <v>931676.43547545315</v>
      </c>
      <c r="BX208" s="33">
        <f t="shared" si="154"/>
        <v>2.5273417007039804E-4</v>
      </c>
      <c r="BY208" s="40">
        <f t="shared" si="155"/>
        <v>1870751.9448670803</v>
      </c>
      <c r="BZ208" s="41">
        <f t="shared" si="156"/>
        <v>3.3804697232870984E-4</v>
      </c>
      <c r="CA208" s="40">
        <f t="shared" si="157"/>
        <v>1656273.4308587161</v>
      </c>
      <c r="CB208" s="41">
        <f t="shared" si="158"/>
        <v>2.9929046455705023E-4</v>
      </c>
      <c r="CQ208" s="70">
        <f t="shared" si="159"/>
        <v>0.21208876611658356</v>
      </c>
      <c r="CR208" s="70">
        <f t="shared" si="160"/>
        <v>4.2333987568894038</v>
      </c>
      <c r="CS208" s="70">
        <f t="shared" si="161"/>
        <v>4.4454875230059869</v>
      </c>
      <c r="CT208" s="70">
        <f t="shared" si="162"/>
        <v>0.83769383643323536</v>
      </c>
      <c r="CU208" s="70">
        <f t="shared" si="163"/>
        <v>8.6838020251419366</v>
      </c>
      <c r="CV208" s="70">
        <f t="shared" si="164"/>
        <v>9.5214958615751719</v>
      </c>
      <c r="CW208" s="69">
        <f t="shared" si="165"/>
        <v>0.8735534746929311</v>
      </c>
      <c r="CX208" s="69">
        <f t="shared" si="166"/>
        <v>17.436568006664992</v>
      </c>
      <c r="CY208" s="70">
        <f t="shared" si="167"/>
        <v>18.310121481357921</v>
      </c>
      <c r="CZ208" s="69">
        <f t="shared" si="168"/>
        <v>1.4891973131964336</v>
      </c>
      <c r="DA208" s="69">
        <f t="shared" si="169"/>
        <v>15.437495277789113</v>
      </c>
      <c r="DB208" s="70">
        <f t="shared" si="170"/>
        <v>16.926692590985546</v>
      </c>
    </row>
    <row r="209" spans="23:106">
      <c r="W209" t="s">
        <v>490</v>
      </c>
      <c r="X209">
        <v>390561</v>
      </c>
      <c r="Y209">
        <v>208890</v>
      </c>
      <c r="Z209" s="51">
        <v>31322.09</v>
      </c>
      <c r="AA209" s="32">
        <f t="shared" si="136"/>
        <v>6542871380.1000004</v>
      </c>
      <c r="AB209">
        <v>9081</v>
      </c>
      <c r="AC209" s="37">
        <f t="shared" si="137"/>
        <v>2.3251169471606228E-2</v>
      </c>
      <c r="AD209" s="50">
        <f>+'Revenue mile elasticities'!M238</f>
        <v>2150744</v>
      </c>
      <c r="AE209" s="3">
        <f t="shared" si="140"/>
        <v>21507.439999999999</v>
      </c>
      <c r="AF209" s="11">
        <f>+'Revenue mile elasticities'!P238</f>
        <v>1.4053757267609884E-3</v>
      </c>
      <c r="AG209" s="11">
        <f>+'Revenue mile elasticities'!Q238</f>
        <v>5.5508578117401102E-3</v>
      </c>
      <c r="AH209" s="11">
        <f>+'Revenue mile elasticities'!R238</f>
        <v>3.8559045210770798E-3</v>
      </c>
      <c r="AI209" s="11">
        <f>+'Revenue mile elasticities'!S238</f>
        <v>6.5733842507448674E-3</v>
      </c>
      <c r="AJ209" s="32">
        <f t="shared" si="141"/>
        <v>91951.926209117097</v>
      </c>
      <c r="AK209" s="33">
        <f t="shared" si="142"/>
        <v>1.4053757267609885E-5</v>
      </c>
      <c r="AL209" s="40">
        <f t="shared" si="143"/>
        <v>363185.48711438884</v>
      </c>
      <c r="AM209" s="33">
        <f t="shared" si="144"/>
        <v>5.5508578117401103E-5</v>
      </c>
      <c r="AN209" s="40">
        <f t="shared" si="145"/>
        <v>350154.68955900962</v>
      </c>
      <c r="AO209" s="41">
        <f t="shared" si="146"/>
        <v>3.8559045210770797E-5</v>
      </c>
      <c r="AP209" s="40">
        <f t="shared" si="147"/>
        <v>596929.02381014149</v>
      </c>
      <c r="AQ209" s="41">
        <f t="shared" si="148"/>
        <v>6.5733842507448683E-5</v>
      </c>
      <c r="AR209" s="53"/>
      <c r="AS209" s="53"/>
      <c r="BH209" t="s">
        <v>490</v>
      </c>
      <c r="BI209">
        <v>390561</v>
      </c>
      <c r="BJ209">
        <v>208890</v>
      </c>
      <c r="BK209" s="51">
        <v>31322.09</v>
      </c>
      <c r="BL209" s="32">
        <f t="shared" si="138"/>
        <v>6542871380.1000004</v>
      </c>
      <c r="BM209">
        <v>9081</v>
      </c>
      <c r="BN209" s="37">
        <f t="shared" si="139"/>
        <v>2.3251169471606228E-2</v>
      </c>
      <c r="BO209" s="50">
        <f t="shared" si="149"/>
        <v>2150744</v>
      </c>
      <c r="BP209" s="3">
        <f t="shared" si="150"/>
        <v>21507.439999999999</v>
      </c>
      <c r="BQ209" s="11">
        <f>+'Rev mile pop elasticities'!P239</f>
        <v>1.9311380486223662E-2</v>
      </c>
      <c r="BR209" s="11">
        <f>+'Rev mile pop elasticities'!Q239</f>
        <v>3.9612664576340197E-2</v>
      </c>
      <c r="BS209" s="11">
        <f>+'Rev mile pop elasticities'!R239</f>
        <v>5.2984293030794161E-2</v>
      </c>
      <c r="BT209" s="11">
        <f>+'Rev mile pop elasticities'!S239</f>
        <v>4.690973436671865E-2</v>
      </c>
      <c r="BU209" s="32">
        <f t="shared" si="151"/>
        <v>1263518.7869353443</v>
      </c>
      <c r="BV209" s="33">
        <f t="shared" si="152"/>
        <v>1.9311380486223664E-4</v>
      </c>
      <c r="BW209" s="40">
        <f t="shared" si="153"/>
        <v>2591805.6934603737</v>
      </c>
      <c r="BX209" s="33">
        <f t="shared" si="154"/>
        <v>3.9612664576340196E-4</v>
      </c>
      <c r="BY209" s="40">
        <f t="shared" si="155"/>
        <v>4811503.6501264181</v>
      </c>
      <c r="BZ209" s="41">
        <f t="shared" si="156"/>
        <v>5.2984293030794167E-4</v>
      </c>
      <c r="CA209" s="40">
        <f t="shared" si="157"/>
        <v>4259872.97784172</v>
      </c>
      <c r="CB209" s="41">
        <f t="shared" si="158"/>
        <v>4.6909734366718642E-4</v>
      </c>
      <c r="CQ209" s="70">
        <f t="shared" si="159"/>
        <v>0.44019304997423092</v>
      </c>
      <c r="CR209" s="70">
        <f t="shared" si="160"/>
        <v>6.048727976137414</v>
      </c>
      <c r="CS209" s="70">
        <f t="shared" si="161"/>
        <v>6.4889210261116448</v>
      </c>
      <c r="CT209" s="70">
        <f t="shared" si="162"/>
        <v>1.7386446795652681</v>
      </c>
      <c r="CU209" s="70">
        <f t="shared" si="163"/>
        <v>12.407514449999395</v>
      </c>
      <c r="CV209" s="70">
        <f t="shared" si="164"/>
        <v>14.146159129564664</v>
      </c>
      <c r="CW209" s="69">
        <f t="shared" si="165"/>
        <v>1.6762635337211433</v>
      </c>
      <c r="CX209" s="69">
        <f t="shared" si="166"/>
        <v>23.033671550224607</v>
      </c>
      <c r="CY209" s="70">
        <f t="shared" si="167"/>
        <v>24.709935083945751</v>
      </c>
      <c r="CZ209" s="69">
        <f t="shared" si="168"/>
        <v>2.8576237436456577</v>
      </c>
      <c r="DA209" s="69">
        <f t="shared" si="169"/>
        <v>20.392900463601514</v>
      </c>
      <c r="DB209" s="70">
        <f t="shared" si="170"/>
        <v>23.250524207247171</v>
      </c>
    </row>
    <row r="210" spans="23:106">
      <c r="W210" t="s">
        <v>323</v>
      </c>
      <c r="X210">
        <v>1111600</v>
      </c>
      <c r="Y210">
        <v>834207</v>
      </c>
      <c r="Z210" s="51">
        <v>39217.54</v>
      </c>
      <c r="AA210" s="32">
        <f t="shared" si="136"/>
        <v>32715546390.780003</v>
      </c>
      <c r="AB210">
        <v>55270</v>
      </c>
      <c r="AC210" s="37">
        <f t="shared" si="137"/>
        <v>4.9721122706009355E-2</v>
      </c>
      <c r="AD210" s="50">
        <f>+'Revenue mile elasticities'!M239</f>
        <v>18400000</v>
      </c>
      <c r="AE210" s="3">
        <f t="shared" si="140"/>
        <v>184000</v>
      </c>
      <c r="AF210" s="11">
        <f>+'Revenue mile elasticities'!P239</f>
        <v>6.3445131609919962E-3</v>
      </c>
      <c r="AG210" s="11">
        <f>+'Revenue mile elasticities'!Q239</f>
        <v>2.5059128153968595E-2</v>
      </c>
      <c r="AH210" s="11">
        <f>+'Revenue mile elasticities'!R239</f>
        <v>1.7407328528353489E-2</v>
      </c>
      <c r="AI210" s="11">
        <f>+'Revenue mile elasticities'!S239</f>
        <v>2.9675283340225969E-2</v>
      </c>
      <c r="AJ210" s="32">
        <f t="shared" si="141"/>
        <v>2075642.1464534793</v>
      </c>
      <c r="AK210" s="33">
        <f t="shared" si="142"/>
        <v>6.3445131609919956E-5</v>
      </c>
      <c r="AL210" s="40">
        <f t="shared" si="143"/>
        <v>8198230.6963366084</v>
      </c>
      <c r="AM210" s="33">
        <f t="shared" si="144"/>
        <v>2.5059128153968597E-4</v>
      </c>
      <c r="AN210" s="40">
        <f t="shared" si="145"/>
        <v>9621030.4776209742</v>
      </c>
      <c r="AO210" s="41">
        <f t="shared" si="146"/>
        <v>1.7407328528353493E-4</v>
      </c>
      <c r="AP210" s="40">
        <f t="shared" si="147"/>
        <v>16401529.102142891</v>
      </c>
      <c r="AQ210" s="41">
        <f t="shared" si="148"/>
        <v>2.9675283340225965E-4</v>
      </c>
      <c r="AR210" s="53"/>
      <c r="AS210" s="53"/>
      <c r="BH210" t="s">
        <v>323</v>
      </c>
      <c r="BI210">
        <v>1111600</v>
      </c>
      <c r="BJ210">
        <v>834207</v>
      </c>
      <c r="BK210" s="51">
        <v>39217.54</v>
      </c>
      <c r="BL210" s="32">
        <f t="shared" si="138"/>
        <v>32715546390.780003</v>
      </c>
      <c r="BM210">
        <v>55270</v>
      </c>
      <c r="BN210" s="37">
        <f t="shared" si="139"/>
        <v>4.9721122706009355E-2</v>
      </c>
      <c r="BO210" s="50">
        <f t="shared" si="149"/>
        <v>18400000</v>
      </c>
      <c r="BP210" s="3">
        <f t="shared" si="150"/>
        <v>184000</v>
      </c>
      <c r="BQ210" s="11">
        <f>+'Rev mile pop elasticities'!P240</f>
        <v>5.8047398344728322E-2</v>
      </c>
      <c r="BR210" s="11">
        <f>+'Rev mile pop elasticities'!Q240</f>
        <v>0.11907031306225263</v>
      </c>
      <c r="BS210" s="11">
        <f>+'Rev mile pop elasticities'!R240</f>
        <v>0.15926362000719685</v>
      </c>
      <c r="BT210" s="11">
        <f>+'Rev mile pop elasticities'!S240</f>
        <v>0.14100431810003602</v>
      </c>
      <c r="BU210" s="32">
        <f t="shared" si="151"/>
        <v>18990523.534110457</v>
      </c>
      <c r="BV210" s="33">
        <f t="shared" si="152"/>
        <v>5.8047398344728321E-4</v>
      </c>
      <c r="BW210" s="40">
        <f t="shared" si="153"/>
        <v>38954503.507528238</v>
      </c>
      <c r="BX210" s="33">
        <f t="shared" si="154"/>
        <v>1.1907031306225262E-3</v>
      </c>
      <c r="BY210" s="40">
        <f t="shared" si="155"/>
        <v>88025002.77797769</v>
      </c>
      <c r="BZ210" s="41">
        <f t="shared" si="156"/>
        <v>1.5926362000719682E-3</v>
      </c>
      <c r="CA210" s="40">
        <f t="shared" si="157"/>
        <v>77933086.613889918</v>
      </c>
      <c r="CB210" s="41">
        <f t="shared" si="158"/>
        <v>1.4100431810003605E-3</v>
      </c>
      <c r="CQ210" s="70">
        <f t="shared" si="159"/>
        <v>2.4881619867173006</v>
      </c>
      <c r="CR210" s="70">
        <f t="shared" si="160"/>
        <v>22.764761664803167</v>
      </c>
      <c r="CS210" s="70">
        <f t="shared" si="161"/>
        <v>25.252923651520469</v>
      </c>
      <c r="CT210" s="70">
        <f t="shared" si="162"/>
        <v>9.8275736074338962</v>
      </c>
      <c r="CU210" s="70">
        <f t="shared" si="163"/>
        <v>46.696447653314152</v>
      </c>
      <c r="CV210" s="70">
        <f t="shared" si="164"/>
        <v>56.52402126074805</v>
      </c>
      <c r="CW210" s="69">
        <f t="shared" si="165"/>
        <v>11.533145223692649</v>
      </c>
      <c r="CX210" s="69">
        <f t="shared" si="166"/>
        <v>105.51937681891627</v>
      </c>
      <c r="CY210" s="70">
        <f t="shared" si="167"/>
        <v>117.05252204260893</v>
      </c>
      <c r="CZ210" s="69">
        <f t="shared" si="168"/>
        <v>19.661222097324632</v>
      </c>
      <c r="DA210" s="69">
        <f t="shared" si="169"/>
        <v>93.421760562893766</v>
      </c>
      <c r="DB210" s="70">
        <f t="shared" si="170"/>
        <v>113.08298266021839</v>
      </c>
    </row>
    <row r="211" spans="23:106">
      <c r="W211" t="s">
        <v>491</v>
      </c>
      <c r="X211">
        <v>109152</v>
      </c>
      <c r="Y211">
        <v>67417</v>
      </c>
      <c r="Z211" s="51">
        <v>29170.97</v>
      </c>
      <c r="AA211" s="32">
        <f t="shared" si="136"/>
        <v>1966619284.49</v>
      </c>
      <c r="AB211">
        <v>2888</v>
      </c>
      <c r="AC211" s="37">
        <f t="shared" si="137"/>
        <v>2.6458516564057462E-2</v>
      </c>
      <c r="AD211" s="50">
        <f>+'Revenue mile elasticities'!M240</f>
        <v>363964</v>
      </c>
      <c r="AE211" s="3">
        <f t="shared" si="140"/>
        <v>3639.64</v>
      </c>
      <c r="AF211" s="11">
        <f>+'Revenue mile elasticities'!P240</f>
        <v>5.7592458580198853E-4</v>
      </c>
      <c r="AG211" s="11">
        <f>+'Revenue mile elasticities'!Q240</f>
        <v>2.2747479020717755E-3</v>
      </c>
      <c r="AH211" s="11">
        <f>+'Revenue mile elasticities'!R240</f>
        <v>1.5801540982292824E-3</v>
      </c>
      <c r="AI211" s="11">
        <f>+'Revenue mile elasticities'!S240</f>
        <v>2.693780410348155E-3</v>
      </c>
      <c r="AJ211" s="32">
        <f t="shared" si="141"/>
        <v>11326.243968501063</v>
      </c>
      <c r="AK211" s="33">
        <f t="shared" si="142"/>
        <v>5.7592458580198858E-6</v>
      </c>
      <c r="AL211" s="40">
        <f t="shared" si="143"/>
        <v>44735.63091567524</v>
      </c>
      <c r="AM211" s="33">
        <f t="shared" si="144"/>
        <v>2.2747479020717756E-5</v>
      </c>
      <c r="AN211" s="40">
        <f t="shared" si="145"/>
        <v>45634.85035686168</v>
      </c>
      <c r="AO211" s="41">
        <f t="shared" si="146"/>
        <v>1.5801540982292827E-5</v>
      </c>
      <c r="AP211" s="40">
        <f t="shared" si="147"/>
        <v>77796.378250854716</v>
      </c>
      <c r="AQ211" s="41">
        <f t="shared" si="148"/>
        <v>2.693780410348155E-5</v>
      </c>
      <c r="AR211" s="53"/>
      <c r="AS211" s="53"/>
      <c r="BH211" t="s">
        <v>491</v>
      </c>
      <c r="BI211">
        <v>109152</v>
      </c>
      <c r="BJ211">
        <v>67417</v>
      </c>
      <c r="BK211" s="51">
        <v>29170.97</v>
      </c>
      <c r="BL211" s="32">
        <f t="shared" si="138"/>
        <v>1966619284.49</v>
      </c>
      <c r="BM211">
        <v>2888</v>
      </c>
      <c r="BN211" s="37">
        <f t="shared" si="139"/>
        <v>2.6458516564057462E-2</v>
      </c>
      <c r="BO211" s="50">
        <f t="shared" si="149"/>
        <v>363964</v>
      </c>
      <c r="BP211" s="3">
        <f t="shared" si="150"/>
        <v>3639.64</v>
      </c>
      <c r="BQ211" s="11">
        <f>+'Rev mile pop elasticities'!P241</f>
        <v>1.1693383854441512E-2</v>
      </c>
      <c r="BR211" s="11">
        <f>+'Rev mile pop elasticities'!Q241</f>
        <v>2.3986171921723837E-2</v>
      </c>
      <c r="BS211" s="11">
        <f>+'Rev mile pop elasticities'!R241</f>
        <v>3.208293043095866E-2</v>
      </c>
      <c r="BT211" s="11">
        <f>+'Rev mile pop elasticities'!S241</f>
        <v>2.8404677275725595E-2</v>
      </c>
      <c r="BU211" s="32">
        <f t="shared" si="151"/>
        <v>229964.34189088686</v>
      </c>
      <c r="BV211" s="33">
        <f t="shared" si="152"/>
        <v>1.1693383854441513E-4</v>
      </c>
      <c r="BW211" s="40">
        <f t="shared" si="153"/>
        <v>471716.68262354663</v>
      </c>
      <c r="BX211" s="33">
        <f t="shared" si="154"/>
        <v>2.3986171921723838E-4</v>
      </c>
      <c r="BY211" s="40">
        <f t="shared" si="155"/>
        <v>926555.0308460861</v>
      </c>
      <c r="BZ211" s="41">
        <f t="shared" si="156"/>
        <v>3.2082930430958655E-4</v>
      </c>
      <c r="CA211" s="40">
        <f t="shared" si="157"/>
        <v>820327.07972295512</v>
      </c>
      <c r="CB211" s="41">
        <f t="shared" si="158"/>
        <v>2.8404677275725595E-4</v>
      </c>
      <c r="CQ211" s="70">
        <f t="shared" si="159"/>
        <v>0.16800278814692235</v>
      </c>
      <c r="CR211" s="70">
        <f t="shared" si="160"/>
        <v>3.4110734961639775</v>
      </c>
      <c r="CS211" s="70">
        <f t="shared" si="161"/>
        <v>3.5790762843108999</v>
      </c>
      <c r="CT211" s="70">
        <f t="shared" si="162"/>
        <v>0.66356602808898701</v>
      </c>
      <c r="CU211" s="70">
        <f t="shared" si="163"/>
        <v>6.9969990154344845</v>
      </c>
      <c r="CV211" s="70">
        <f t="shared" si="164"/>
        <v>7.6605650435234711</v>
      </c>
      <c r="CW211" s="69">
        <f t="shared" si="165"/>
        <v>0.67690419859770801</v>
      </c>
      <c r="CX211" s="69">
        <f t="shared" si="166"/>
        <v>13.743640785648815</v>
      </c>
      <c r="CY211" s="70">
        <f t="shared" si="167"/>
        <v>14.420544984246522</v>
      </c>
      <c r="CZ211" s="69">
        <f t="shared" si="168"/>
        <v>1.1539578778476456</v>
      </c>
      <c r="DA211" s="69">
        <f t="shared" si="169"/>
        <v>12.167955852721942</v>
      </c>
      <c r="DB211" s="70">
        <f t="shared" si="170"/>
        <v>13.321913730569587</v>
      </c>
    </row>
    <row r="212" spans="23:106">
      <c r="W212" t="s">
        <v>492</v>
      </c>
      <c r="X212">
        <v>2030691</v>
      </c>
      <c r="Y212">
        <v>1186323</v>
      </c>
      <c r="Z212" s="51">
        <v>36215.96</v>
      </c>
      <c r="AA212" s="32">
        <f t="shared" si="136"/>
        <v>42963826315.080002</v>
      </c>
      <c r="AB212">
        <v>66816</v>
      </c>
      <c r="AC212" s="37">
        <f t="shared" si="137"/>
        <v>3.290308569841497E-2</v>
      </c>
      <c r="AD212" s="50">
        <f>+'Revenue mile elasticities'!M241</f>
        <v>19600000</v>
      </c>
      <c r="AE212" s="3">
        <f t="shared" si="140"/>
        <v>196000</v>
      </c>
      <c r="AF212" s="11">
        <f>+'Revenue mile elasticities'!P241</f>
        <v>1.3620510405965833E-2</v>
      </c>
      <c r="AG212" s="11">
        <f>+'Revenue mile elasticities'!Q241</f>
        <v>5.379736902180117E-2</v>
      </c>
      <c r="AH212" s="11">
        <f>+'Revenue mile elasticities'!R241</f>
        <v>3.7370353460411669E-2</v>
      </c>
      <c r="AI212" s="11">
        <f>+'Revenue mile elasticities'!S241</f>
        <v>6.3707410683711913E-2</v>
      </c>
      <c r="AJ212" s="32">
        <f t="shared" si="141"/>
        <v>5851892.434046559</v>
      </c>
      <c r="AK212" s="33">
        <f t="shared" si="142"/>
        <v>1.3620510405965835E-4</v>
      </c>
      <c r="AL212" s="40">
        <f t="shared" si="143"/>
        <v>23113408.188609309</v>
      </c>
      <c r="AM212" s="33">
        <f t="shared" si="144"/>
        <v>5.3797369021801173E-4</v>
      </c>
      <c r="AN212" s="40">
        <f t="shared" si="145"/>
        <v>24969375.368108656</v>
      </c>
      <c r="AO212" s="41">
        <f t="shared" si="146"/>
        <v>3.7370353460411659E-4</v>
      </c>
      <c r="AP212" s="40">
        <f t="shared" si="147"/>
        <v>42566743.522428945</v>
      </c>
      <c r="AQ212" s="41">
        <f t="shared" si="148"/>
        <v>6.3707410683711907E-4</v>
      </c>
      <c r="AR212" s="53"/>
      <c r="AS212" s="53"/>
      <c r="BH212" t="s">
        <v>492</v>
      </c>
      <c r="BI212">
        <v>2030691</v>
      </c>
      <c r="BJ212">
        <v>1186323</v>
      </c>
      <c r="BK212" s="51">
        <v>36215.96</v>
      </c>
      <c r="BL212" s="32">
        <f t="shared" si="138"/>
        <v>42963826315.080002</v>
      </c>
      <c r="BM212">
        <v>66816</v>
      </c>
      <c r="BN212" s="37">
        <f t="shared" si="139"/>
        <v>3.290308569841497E-2</v>
      </c>
      <c r="BO212" s="50">
        <f t="shared" si="149"/>
        <v>19600000</v>
      </c>
      <c r="BP212" s="3">
        <f t="shared" si="150"/>
        <v>196000</v>
      </c>
      <c r="BQ212" s="11">
        <f>+'Rev mile pop elasticities'!P242</f>
        <v>3.3847430258961107E-2</v>
      </c>
      <c r="BR212" s="11">
        <f>+'Rev mile pop elasticities'!Q242</f>
        <v>6.9429883719384203E-2</v>
      </c>
      <c r="BS212" s="11">
        <f>+'Rev mile pop elasticities'!R242</f>
        <v>9.2866595656355397E-2</v>
      </c>
      <c r="BT212" s="11">
        <f>+'Rev mile pop elasticities'!S242</f>
        <v>8.2219599141376026E-2</v>
      </c>
      <c r="BU212" s="32">
        <f t="shared" si="151"/>
        <v>14542151.148577884</v>
      </c>
      <c r="BV212" s="33">
        <f t="shared" si="152"/>
        <v>3.3847430258961109E-4</v>
      </c>
      <c r="BW212" s="40">
        <f t="shared" si="153"/>
        <v>29829734.651958238</v>
      </c>
      <c r="BX212" s="33">
        <f t="shared" si="154"/>
        <v>6.9429883719384212E-4</v>
      </c>
      <c r="BY212" s="40">
        <f t="shared" si="155"/>
        <v>62049744.553750418</v>
      </c>
      <c r="BZ212" s="41">
        <f t="shared" si="156"/>
        <v>9.2866595656355391E-4</v>
      </c>
      <c r="CA212" s="40">
        <f t="shared" si="157"/>
        <v>54935847.362301797</v>
      </c>
      <c r="CB212" s="41">
        <f t="shared" si="158"/>
        <v>8.2219599141376007E-4</v>
      </c>
      <c r="CQ212" s="70">
        <f t="shared" si="159"/>
        <v>4.9327986004204245</v>
      </c>
      <c r="CR212" s="70">
        <f t="shared" si="160"/>
        <v>12.258171803613251</v>
      </c>
      <c r="CS212" s="70">
        <f t="shared" si="161"/>
        <v>17.190970404033678</v>
      </c>
      <c r="CT212" s="70">
        <f t="shared" si="162"/>
        <v>19.483233645987905</v>
      </c>
      <c r="CU212" s="70">
        <f t="shared" si="163"/>
        <v>25.144698915858697</v>
      </c>
      <c r="CV212" s="70">
        <f t="shared" si="164"/>
        <v>44.627932561846606</v>
      </c>
      <c r="CW212" s="69">
        <f t="shared" si="165"/>
        <v>21.047704013248211</v>
      </c>
      <c r="CX212" s="69">
        <f t="shared" si="166"/>
        <v>52.304258244803833</v>
      </c>
      <c r="CY212" s="70">
        <f t="shared" si="167"/>
        <v>73.351962258052041</v>
      </c>
      <c r="CZ212" s="69">
        <f t="shared" si="168"/>
        <v>35.881242732737157</v>
      </c>
      <c r="DA212" s="69">
        <f t="shared" si="169"/>
        <v>46.307664406996913</v>
      </c>
      <c r="DB212" s="70">
        <f t="shared" si="170"/>
        <v>82.18890713973407</v>
      </c>
    </row>
    <row r="213" spans="23:106">
      <c r="W213" t="s">
        <v>325</v>
      </c>
      <c r="X213">
        <v>3019274</v>
      </c>
      <c r="Y213">
        <v>1920205</v>
      </c>
      <c r="Z213" s="51">
        <v>44562.98</v>
      </c>
      <c r="AA213" s="32">
        <f t="shared" si="136"/>
        <v>85570057010.900009</v>
      </c>
      <c r="AB213">
        <v>140538</v>
      </c>
      <c r="AC213" s="37">
        <f t="shared" si="137"/>
        <v>4.6546951353206099E-2</v>
      </c>
      <c r="AD213" s="50">
        <f>+'Revenue mile elasticities'!M242</f>
        <v>30300000</v>
      </c>
      <c r="AE213" s="3">
        <f t="shared" si="140"/>
        <v>303000</v>
      </c>
      <c r="AF213" s="11">
        <f>+'Revenue mile elasticities'!P242</f>
        <v>1.4779698346098716E-2</v>
      </c>
      <c r="AG213" s="11">
        <f>+'Revenue mile elasticities'!Q242</f>
        <v>5.8375850996576203E-2</v>
      </c>
      <c r="AH213" s="11">
        <f>+'Revenue mile elasticities'!R242</f>
        <v>4.0550796906263627E-2</v>
      </c>
      <c r="AI213" s="11">
        <f>+'Revenue mile elasticities'!S242</f>
        <v>6.9129297232787601E-2</v>
      </c>
      <c r="AJ213" s="32">
        <f t="shared" si="141"/>
        <v>12646996.300795717</v>
      </c>
      <c r="AK213" s="33">
        <f t="shared" si="142"/>
        <v>1.4779698346098716E-4</v>
      </c>
      <c r="AL213" s="40">
        <f t="shared" si="143"/>
        <v>49952248.978368297</v>
      </c>
      <c r="AM213" s="33">
        <f t="shared" si="144"/>
        <v>5.8375850996576198E-4</v>
      </c>
      <c r="AN213" s="40">
        <f t="shared" si="145"/>
        <v>56989278.956124768</v>
      </c>
      <c r="AO213" s="41">
        <f t="shared" si="146"/>
        <v>4.0550796906263623E-4</v>
      </c>
      <c r="AP213" s="40">
        <f t="shared" si="147"/>
        <v>97152931.74501504</v>
      </c>
      <c r="AQ213" s="41">
        <f t="shared" si="148"/>
        <v>6.9129297232787602E-4</v>
      </c>
      <c r="AR213" s="53"/>
      <c r="AS213" s="53"/>
      <c r="BH213" t="s">
        <v>325</v>
      </c>
      <c r="BI213">
        <v>3019274</v>
      </c>
      <c r="BJ213">
        <v>1920205</v>
      </c>
      <c r="BK213" s="51">
        <v>44562.98</v>
      </c>
      <c r="BL213" s="32">
        <f t="shared" si="138"/>
        <v>85570057010.900009</v>
      </c>
      <c r="BM213">
        <v>140538</v>
      </c>
      <c r="BN213" s="37">
        <f t="shared" si="139"/>
        <v>4.6546951353206099E-2</v>
      </c>
      <c r="BO213" s="50">
        <f t="shared" si="149"/>
        <v>30300000</v>
      </c>
      <c r="BP213" s="3">
        <f t="shared" si="150"/>
        <v>303000</v>
      </c>
      <c r="BQ213" s="11">
        <f>+'Rev mile pop elasticities'!P243</f>
        <v>3.5192780118664287E-2</v>
      </c>
      <c r="BR213" s="11">
        <f>+'Rev mile pop elasticities'!Q243</f>
        <v>7.2189546228662929E-2</v>
      </c>
      <c r="BS213" s="11">
        <f>+'Rev mile pop elasticities'!R243</f>
        <v>9.6557808267815376E-2</v>
      </c>
      <c r="BT213" s="11">
        <f>+'Rev mile pop elasticities'!S243</f>
        <v>8.5487620533942946E-2</v>
      </c>
      <c r="BU213" s="32">
        <f t="shared" si="151"/>
        <v>30114482.011261713</v>
      </c>
      <c r="BV213" s="33">
        <f t="shared" si="152"/>
        <v>3.5192780118664283E-4</v>
      </c>
      <c r="BW213" s="40">
        <f t="shared" si="153"/>
        <v>61772635.863776885</v>
      </c>
      <c r="BX213" s="33">
        <f t="shared" si="154"/>
        <v>7.2189546228662929E-4</v>
      </c>
      <c r="BY213" s="40">
        <f t="shared" si="155"/>
        <v>135700412.58342236</v>
      </c>
      <c r="BZ213" s="41">
        <f t="shared" si="156"/>
        <v>9.6557808267815374E-4</v>
      </c>
      <c r="CA213" s="40">
        <f t="shared" si="157"/>
        <v>120142592.14599274</v>
      </c>
      <c r="CB213" s="41">
        <f t="shared" si="158"/>
        <v>8.5487620533942945E-4</v>
      </c>
      <c r="CQ213" s="70">
        <f t="shared" si="159"/>
        <v>6.5862740180323023</v>
      </c>
      <c r="CR213" s="70">
        <f t="shared" si="160"/>
        <v>15.682951565724343</v>
      </c>
      <c r="CS213" s="70">
        <f t="shared" si="161"/>
        <v>22.269225583756644</v>
      </c>
      <c r="CT213" s="70">
        <f t="shared" si="162"/>
        <v>26.014018804434055</v>
      </c>
      <c r="CU213" s="70">
        <f t="shared" si="163"/>
        <v>32.169813047969818</v>
      </c>
      <c r="CV213" s="70">
        <f t="shared" si="164"/>
        <v>58.18383185240387</v>
      </c>
      <c r="CW213" s="69">
        <f t="shared" si="165"/>
        <v>29.67874729840031</v>
      </c>
      <c r="CX213" s="69">
        <f t="shared" si="166"/>
        <v>70.669752752139672</v>
      </c>
      <c r="CY213" s="70">
        <f t="shared" si="167"/>
        <v>100.34850005053998</v>
      </c>
      <c r="CZ213" s="69">
        <f t="shared" si="168"/>
        <v>50.59508320466567</v>
      </c>
      <c r="DA213" s="69">
        <f t="shared" si="169"/>
        <v>62.567586349370373</v>
      </c>
      <c r="DB213" s="70">
        <f t="shared" si="170"/>
        <v>113.16266955403604</v>
      </c>
    </row>
    <row r="214" spans="23:106">
      <c r="W214" t="s">
        <v>327</v>
      </c>
      <c r="X214">
        <v>4260236</v>
      </c>
      <c r="Y214">
        <v>2849527</v>
      </c>
      <c r="Z214" s="51">
        <v>61146.07</v>
      </c>
      <c r="AA214" s="32">
        <f t="shared" si="136"/>
        <v>174237377408.88998</v>
      </c>
      <c r="AB214">
        <v>283010</v>
      </c>
      <c r="AC214" s="37">
        <f t="shared" si="137"/>
        <v>6.6430592108042835E-2</v>
      </c>
      <c r="AD214" s="50">
        <f>+'Revenue mile elasticities'!M243</f>
        <v>106000000</v>
      </c>
      <c r="AE214" s="3">
        <f t="shared" si="140"/>
        <v>1060000</v>
      </c>
      <c r="AF214" s="11">
        <f>+'Revenue mile elasticities'!P243</f>
        <v>3.0142314524294087E-2</v>
      </c>
      <c r="AG214" s="11">
        <f>+'Revenue mile elasticities'!Q243</f>
        <v>0.1190540713455488</v>
      </c>
      <c r="AH214" s="11">
        <f>+'Revenue mile elasticities'!R243</f>
        <v>8.2700935156907962E-2</v>
      </c>
      <c r="AI214" s="11">
        <f>+'Revenue mile elasticities'!S243</f>
        <v>0.14098508448814989</v>
      </c>
      <c r="AJ214" s="32">
        <f t="shared" si="141"/>
        <v>52519178.317468949</v>
      </c>
      <c r="AK214" s="33">
        <f t="shared" si="142"/>
        <v>3.0142314524294087E-4</v>
      </c>
      <c r="AL214" s="40">
        <f t="shared" si="143"/>
        <v>207436691.610993</v>
      </c>
      <c r="AM214" s="33">
        <f t="shared" si="144"/>
        <v>1.190540713455488E-3</v>
      </c>
      <c r="AN214" s="40">
        <f t="shared" si="145"/>
        <v>234051916.58756518</v>
      </c>
      <c r="AO214" s="41">
        <f t="shared" si="146"/>
        <v>8.2700935156907948E-4</v>
      </c>
      <c r="AP214" s="40">
        <f t="shared" si="147"/>
        <v>399001887.60991293</v>
      </c>
      <c r="AQ214" s="41">
        <f t="shared" si="148"/>
        <v>1.4098508448814988E-3</v>
      </c>
      <c r="AR214" s="53"/>
      <c r="AS214" s="53"/>
      <c r="BH214" t="s">
        <v>327</v>
      </c>
      <c r="BI214">
        <v>4260236</v>
      </c>
      <c r="BJ214">
        <v>2849527</v>
      </c>
      <c r="BK214" s="51">
        <v>61146.07</v>
      </c>
      <c r="BL214" s="32">
        <f t="shared" si="138"/>
        <v>174237377408.88998</v>
      </c>
      <c r="BM214">
        <v>283010</v>
      </c>
      <c r="BN214" s="37">
        <f t="shared" si="139"/>
        <v>6.6430592108042835E-2</v>
      </c>
      <c r="BO214" s="50">
        <f t="shared" si="149"/>
        <v>106000000</v>
      </c>
      <c r="BP214" s="3">
        <f t="shared" si="150"/>
        <v>1060000</v>
      </c>
      <c r="BQ214" s="11">
        <f>+'Rev mile pop elasticities'!P244</f>
        <v>8.7254067615033515E-2</v>
      </c>
      <c r="BR214" s="11">
        <f>+'Rev mile pop elasticities'!Q244</f>
        <v>0.17898078885770649</v>
      </c>
      <c r="BS214" s="11">
        <f>+'Rev mile pop elasticities'!R244</f>
        <v>0.2393974418318609</v>
      </c>
      <c r="BT214" s="11">
        <f>+'Rev mile pop elasticities'!S244</f>
        <v>0.21195093417359981</v>
      </c>
      <c r="BU214" s="32">
        <f t="shared" si="151"/>
        <v>152029199.09501401</v>
      </c>
      <c r="BV214" s="33">
        <f t="shared" si="152"/>
        <v>8.7254067615033515E-4</v>
      </c>
      <c r="BW214" s="40">
        <f t="shared" si="153"/>
        <v>311851432.5714106</v>
      </c>
      <c r="BX214" s="33">
        <f t="shared" si="154"/>
        <v>1.789807888577065E-3</v>
      </c>
      <c r="BY214" s="40">
        <f t="shared" si="155"/>
        <v>677518700.12834954</v>
      </c>
      <c r="BZ214" s="41">
        <f t="shared" si="156"/>
        <v>2.393974418318609E-3</v>
      </c>
      <c r="CA214" s="40">
        <f t="shared" si="157"/>
        <v>599842338.80470479</v>
      </c>
      <c r="CB214" s="41">
        <f t="shared" si="158"/>
        <v>2.1195093417359979E-3</v>
      </c>
      <c r="CQ214" s="70">
        <f t="shared" si="159"/>
        <v>18.430840738645028</v>
      </c>
      <c r="CR214" s="70">
        <f t="shared" si="160"/>
        <v>53.352433261735719</v>
      </c>
      <c r="CS214" s="70">
        <f t="shared" si="161"/>
        <v>71.783274000380743</v>
      </c>
      <c r="CT214" s="70">
        <f t="shared" si="162"/>
        <v>72.796885802799196</v>
      </c>
      <c r="CU214" s="70">
        <f t="shared" si="163"/>
        <v>109.43971844148541</v>
      </c>
      <c r="CV214" s="70">
        <f t="shared" si="164"/>
        <v>182.23660424428459</v>
      </c>
      <c r="CW214" s="69">
        <f t="shared" si="165"/>
        <v>82.137111382894489</v>
      </c>
      <c r="CX214" s="69">
        <f t="shared" si="166"/>
        <v>237.76532039470044</v>
      </c>
      <c r="CY214" s="70">
        <f t="shared" si="167"/>
        <v>319.90243177759493</v>
      </c>
      <c r="CZ214" s="69">
        <f t="shared" si="168"/>
        <v>140.0239013737764</v>
      </c>
      <c r="DA214" s="69">
        <f t="shared" si="169"/>
        <v>210.50593267047645</v>
      </c>
      <c r="DB214" s="70">
        <f t="shared" si="170"/>
        <v>350.52983404425288</v>
      </c>
    </row>
    <row r="215" spans="23:106">
      <c r="W215" t="s">
        <v>329</v>
      </c>
      <c r="X215">
        <v>1810646</v>
      </c>
      <c r="Y215">
        <v>1208681</v>
      </c>
      <c r="Z215" s="51">
        <v>76360.73</v>
      </c>
      <c r="AA215" s="32">
        <f t="shared" si="136"/>
        <v>92295763497.12999</v>
      </c>
      <c r="AB215">
        <v>138071</v>
      </c>
      <c r="AC215" s="37">
        <f t="shared" si="137"/>
        <v>7.6255104531752757E-2</v>
      </c>
      <c r="AD215" s="50">
        <f>+'Revenue mile elasticities'!M244</f>
        <v>23100000</v>
      </c>
      <c r="AE215" s="3">
        <f t="shared" si="140"/>
        <v>231000</v>
      </c>
      <c r="AF215" s="11">
        <f>+'Revenue mile elasticities'!P244</f>
        <v>8.9106062311017867E-3</v>
      </c>
      <c r="AG215" s="11">
        <f>+'Revenue mile elasticities'!Q244</f>
        <v>3.5194508673667552E-2</v>
      </c>
      <c r="AH215" s="11">
        <f>+'Revenue mile elasticities'!R244</f>
        <v>2.4447872691831615E-2</v>
      </c>
      <c r="AI215" s="11">
        <f>+'Revenue mile elasticities'!S244</f>
        <v>4.1677707639869471E-2</v>
      </c>
      <c r="AJ215" s="32">
        <f t="shared" si="141"/>
        <v>8224112.0532182334</v>
      </c>
      <c r="AK215" s="33">
        <f t="shared" si="142"/>
        <v>8.9106062311017874E-5</v>
      </c>
      <c r="AL215" s="40">
        <f t="shared" si="143"/>
        <v>32483040.489425104</v>
      </c>
      <c r="AM215" s="33">
        <f t="shared" si="144"/>
        <v>3.5194508673667551E-4</v>
      </c>
      <c r="AN215" s="40">
        <f t="shared" si="145"/>
        <v>33755422.304338828</v>
      </c>
      <c r="AO215" s="41">
        <f t="shared" si="146"/>
        <v>2.4447872691831614E-4</v>
      </c>
      <c r="AP215" s="40">
        <f t="shared" si="147"/>
        <v>57544827.715444177</v>
      </c>
      <c r="AQ215" s="41">
        <f t="shared" si="148"/>
        <v>4.1677707639869473E-4</v>
      </c>
      <c r="AR215" s="53"/>
      <c r="AS215" s="53"/>
      <c r="BH215" t="s">
        <v>329</v>
      </c>
      <c r="BI215">
        <v>1810646</v>
      </c>
      <c r="BJ215">
        <v>1208681</v>
      </c>
      <c r="BK215" s="51">
        <v>76360.73</v>
      </c>
      <c r="BL215" s="32">
        <f t="shared" si="138"/>
        <v>92295763497.12999</v>
      </c>
      <c r="BM215">
        <v>138071</v>
      </c>
      <c r="BN215" s="37">
        <f t="shared" si="139"/>
        <v>7.6255104531752757E-2</v>
      </c>
      <c r="BO215" s="50">
        <f t="shared" si="149"/>
        <v>23100000</v>
      </c>
      <c r="BP215" s="3">
        <f t="shared" si="150"/>
        <v>231000</v>
      </c>
      <c r="BQ215" s="11">
        <f>+'Rev mile pop elasticities'!P245</f>
        <v>4.4739580238213318E-2</v>
      </c>
      <c r="BR215" s="11">
        <f>+'Rev mile pop elasticities'!Q245</f>
        <v>9.177251654934207E-2</v>
      </c>
      <c r="BS215" s="11">
        <f>+'Rev mile pop elasticities'!R245</f>
        <v>0.12275119487740838</v>
      </c>
      <c r="BT215" s="11">
        <f>+'Rev mile pop elasticities'!S245</f>
        <v>0.10867798012422088</v>
      </c>
      <c r="BU215" s="32">
        <f t="shared" si="151"/>
        <v>41292737.16627007</v>
      </c>
      <c r="BV215" s="33">
        <f t="shared" si="152"/>
        <v>4.4739580238213318E-4</v>
      </c>
      <c r="BW215" s="40">
        <f t="shared" si="153"/>
        <v>84702144.829745233</v>
      </c>
      <c r="BX215" s="33">
        <f t="shared" si="154"/>
        <v>9.1772516549342071E-4</v>
      </c>
      <c r="BY215" s="40">
        <f t="shared" si="155"/>
        <v>169483802.27918655</v>
      </c>
      <c r="BZ215" s="41">
        <f t="shared" si="156"/>
        <v>1.227511948774084E-3</v>
      </c>
      <c r="CA215" s="40">
        <f t="shared" si="157"/>
        <v>150052773.93731302</v>
      </c>
      <c r="CB215" s="41">
        <f t="shared" si="158"/>
        <v>1.0867798012422088E-3</v>
      </c>
      <c r="CQ215" s="70">
        <f t="shared" si="159"/>
        <v>6.8042039654948105</v>
      </c>
      <c r="CR215" s="70">
        <f t="shared" si="160"/>
        <v>34.163470068835423</v>
      </c>
      <c r="CS215" s="70">
        <f t="shared" si="161"/>
        <v>40.96767403433023</v>
      </c>
      <c r="CT215" s="70">
        <f t="shared" si="162"/>
        <v>26.874783743125857</v>
      </c>
      <c r="CU215" s="70">
        <f t="shared" si="163"/>
        <v>70.078163576448404</v>
      </c>
      <c r="CV215" s="70">
        <f t="shared" si="164"/>
        <v>96.952947319574264</v>
      </c>
      <c r="CW215" s="69">
        <f t="shared" si="165"/>
        <v>27.927486495062656</v>
      </c>
      <c r="CX215" s="69">
        <f t="shared" si="166"/>
        <v>140.22211177240857</v>
      </c>
      <c r="CY215" s="70">
        <f t="shared" si="167"/>
        <v>168.14959826747122</v>
      </c>
      <c r="CZ215" s="69">
        <f t="shared" si="168"/>
        <v>47.60960726233322</v>
      </c>
      <c r="DA215" s="69">
        <f t="shared" si="169"/>
        <v>124.14588624898796</v>
      </c>
      <c r="DB215" s="70">
        <f t="shared" si="170"/>
        <v>171.75549351132119</v>
      </c>
    </row>
    <row r="216" spans="23:106">
      <c r="W216" t="s">
        <v>493</v>
      </c>
      <c r="X216">
        <v>265134</v>
      </c>
      <c r="Y216">
        <v>156781</v>
      </c>
      <c r="Z216" s="51">
        <v>34095.480000000003</v>
      </c>
      <c r="AA216" s="32">
        <f t="shared" si="136"/>
        <v>5345523449.8800001</v>
      </c>
      <c r="AB216">
        <v>9069</v>
      </c>
      <c r="AC216" s="37">
        <f t="shared" si="137"/>
        <v>3.42053452216615E-2</v>
      </c>
      <c r="AD216" s="50">
        <f>+'Revenue mile elasticities'!M245</f>
        <v>381608</v>
      </c>
      <c r="AE216" s="3">
        <f t="shared" si="140"/>
        <v>3816.08</v>
      </c>
      <c r="AF216" s="11">
        <f>+'Revenue mile elasticities'!P245</f>
        <v>2.7628179822268692E-4</v>
      </c>
      <c r="AG216" s="11">
        <f>+'Revenue mile elasticities'!Q245</f>
        <v>1.0912391246720493E-3</v>
      </c>
      <c r="AH216" s="11">
        <f>+'Revenue mile elasticities'!R245</f>
        <v>7.580294824882384E-4</v>
      </c>
      <c r="AI216" s="11">
        <f>+'Revenue mile elasticities'!S245</f>
        <v>1.2922568581642691E-3</v>
      </c>
      <c r="AJ216" s="32">
        <f t="shared" si="141"/>
        <v>14768.708311743874</v>
      </c>
      <c r="AK216" s="33">
        <f t="shared" si="142"/>
        <v>2.7628179822268691E-6</v>
      </c>
      <c r="AL216" s="40">
        <f t="shared" si="143"/>
        <v>58332.443303609645</v>
      </c>
      <c r="AM216" s="33">
        <f t="shared" si="144"/>
        <v>1.0912391246720494E-5</v>
      </c>
      <c r="AN216" s="40">
        <f t="shared" si="145"/>
        <v>68745.693766858356</v>
      </c>
      <c r="AO216" s="41">
        <f t="shared" si="146"/>
        <v>7.5802948248823855E-6</v>
      </c>
      <c r="AP216" s="40">
        <f t="shared" si="147"/>
        <v>117194.77446691757</v>
      </c>
      <c r="AQ216" s="41">
        <f t="shared" si="148"/>
        <v>1.2922568581642691E-5</v>
      </c>
      <c r="AR216" s="53"/>
      <c r="AS216" s="53"/>
      <c r="BH216" t="s">
        <v>493</v>
      </c>
      <c r="BI216">
        <v>265134</v>
      </c>
      <c r="BJ216">
        <v>156781</v>
      </c>
      <c r="BK216" s="51">
        <v>34095.480000000003</v>
      </c>
      <c r="BL216" s="32">
        <f t="shared" si="138"/>
        <v>5345523449.8800001</v>
      </c>
      <c r="BM216">
        <v>9069</v>
      </c>
      <c r="BN216" s="37">
        <f t="shared" si="139"/>
        <v>3.42053452216615E-2</v>
      </c>
      <c r="BO216" s="50">
        <f t="shared" si="149"/>
        <v>381608</v>
      </c>
      <c r="BP216" s="3">
        <f t="shared" si="150"/>
        <v>3816.08</v>
      </c>
      <c r="BQ216" s="11">
        <f>+'Rev mile pop elasticities'!P246</f>
        <v>5.0473744090158172E-3</v>
      </c>
      <c r="BR216" s="11">
        <f>+'Rev mile pop elasticities'!Q246</f>
        <v>1.0353477815746E-2</v>
      </c>
      <c r="BS216" s="11">
        <f>+'Rev mile pop elasticities'!R246</f>
        <v>1.3848391880332206E-2</v>
      </c>
      <c r="BT216" s="11">
        <f>+'Rev mile pop elasticities'!S246</f>
        <v>1.2260697413383422E-2</v>
      </c>
      <c r="BU216" s="32">
        <f t="shared" si="151"/>
        <v>269808.58263718261</v>
      </c>
      <c r="BV216" s="33">
        <f t="shared" si="152"/>
        <v>5.0473744090158178E-5</v>
      </c>
      <c r="BW216" s="40">
        <f t="shared" si="153"/>
        <v>553447.5845188261</v>
      </c>
      <c r="BX216" s="33">
        <f t="shared" si="154"/>
        <v>1.0353477815746001E-4</v>
      </c>
      <c r="BY216" s="40">
        <f t="shared" si="155"/>
        <v>1255910.6596273277</v>
      </c>
      <c r="BZ216" s="41">
        <f t="shared" si="156"/>
        <v>1.3848391880332204E-4</v>
      </c>
      <c r="CA216" s="40">
        <f t="shared" si="157"/>
        <v>1111922.6484197425</v>
      </c>
      <c r="CB216" s="41">
        <f t="shared" si="158"/>
        <v>1.2260697413383421E-4</v>
      </c>
      <c r="CQ216" s="70">
        <f t="shared" si="159"/>
        <v>9.4199605256656577E-2</v>
      </c>
      <c r="CR216" s="70">
        <f t="shared" si="160"/>
        <v>1.7209265321511065</v>
      </c>
      <c r="CS216" s="70">
        <f t="shared" si="161"/>
        <v>1.815126137407763</v>
      </c>
      <c r="CT216" s="70">
        <f t="shared" si="162"/>
        <v>0.37206321750473365</v>
      </c>
      <c r="CU216" s="70">
        <f t="shared" si="163"/>
        <v>3.5300679579721148</v>
      </c>
      <c r="CV216" s="70">
        <f t="shared" si="164"/>
        <v>3.9021311754768484</v>
      </c>
      <c r="CW216" s="69">
        <f t="shared" si="165"/>
        <v>0.4384823018532753</v>
      </c>
      <c r="CX216" s="69">
        <f t="shared" si="166"/>
        <v>8.0106049816452742</v>
      </c>
      <c r="CY216" s="70">
        <f t="shared" si="167"/>
        <v>8.4490872834985495</v>
      </c>
      <c r="CZ216" s="69">
        <f t="shared" si="168"/>
        <v>0.74750623141144379</v>
      </c>
      <c r="DA216" s="69">
        <f t="shared" si="169"/>
        <v>7.0922028078641066</v>
      </c>
      <c r="DB216" s="70">
        <f t="shared" si="170"/>
        <v>7.8397090392755509</v>
      </c>
    </row>
    <row r="217" spans="23:106">
      <c r="W217" t="s">
        <v>776</v>
      </c>
      <c r="X217">
        <v>77339</v>
      </c>
      <c r="Y217">
        <v>48792</v>
      </c>
      <c r="Z217" s="51">
        <v>33320.33</v>
      </c>
      <c r="AA217" s="32">
        <f t="shared" si="136"/>
        <v>1625765541.3600001</v>
      </c>
      <c r="AB217">
        <v>2633</v>
      </c>
      <c r="AC217" s="37">
        <f t="shared" si="137"/>
        <v>3.4044919122305693E-2</v>
      </c>
      <c r="AD217" s="50">
        <f>+'Revenue mile elasticities'!M246</f>
        <v>0</v>
      </c>
      <c r="AE217" s="3">
        <f t="shared" si="140"/>
        <v>0</v>
      </c>
      <c r="AF217" s="11">
        <f>+'Revenue mile elasticities'!P246</f>
        <v>0</v>
      </c>
      <c r="AG217" s="11">
        <f>+'Revenue mile elasticities'!Q246</f>
        <v>0</v>
      </c>
      <c r="AH217" s="11">
        <f>+'Revenue mile elasticities'!R246</f>
        <v>0</v>
      </c>
      <c r="AI217" s="11">
        <f>+'Revenue mile elasticities'!S246</f>
        <v>0</v>
      </c>
      <c r="AJ217" s="32">
        <f t="shared" si="141"/>
        <v>0</v>
      </c>
      <c r="AK217" s="33">
        <f t="shared" si="142"/>
        <v>0</v>
      </c>
      <c r="AL217" s="40">
        <f t="shared" si="143"/>
        <v>0</v>
      </c>
      <c r="AM217" s="33">
        <f t="shared" si="144"/>
        <v>0</v>
      </c>
      <c r="AN217" s="40">
        <f t="shared" si="145"/>
        <v>0</v>
      </c>
      <c r="AO217" s="41">
        <f t="shared" si="146"/>
        <v>0</v>
      </c>
      <c r="AP217" s="40">
        <f t="shared" si="147"/>
        <v>0</v>
      </c>
      <c r="AQ217" s="41">
        <f t="shared" si="148"/>
        <v>0</v>
      </c>
      <c r="AR217" s="53"/>
      <c r="AS217" s="53"/>
      <c r="BH217" t="s">
        <v>776</v>
      </c>
      <c r="BI217">
        <v>77339</v>
      </c>
      <c r="BJ217">
        <v>48792</v>
      </c>
      <c r="BK217" s="51">
        <v>33320.33</v>
      </c>
      <c r="BL217" s="32">
        <f t="shared" si="138"/>
        <v>1625765541.3600001</v>
      </c>
      <c r="BM217">
        <v>2633</v>
      </c>
      <c r="BN217" s="37">
        <f t="shared" si="139"/>
        <v>3.4044919122305693E-2</v>
      </c>
      <c r="BO217" s="50">
        <f t="shared" si="149"/>
        <v>0</v>
      </c>
      <c r="BP217" s="3">
        <f t="shared" si="150"/>
        <v>0</v>
      </c>
      <c r="BQ217" s="11">
        <f>+'Rev mile pop elasticities'!P247</f>
        <v>0</v>
      </c>
      <c r="BR217" s="11">
        <f>+'Rev mile pop elasticities'!Q247</f>
        <v>0</v>
      </c>
      <c r="BS217" s="11">
        <f>+'Rev mile pop elasticities'!R247</f>
        <v>0</v>
      </c>
      <c r="BT217" s="11">
        <f>+'Rev mile pop elasticities'!S247</f>
        <v>0</v>
      </c>
      <c r="BU217" s="32">
        <f t="shared" si="151"/>
        <v>0</v>
      </c>
      <c r="BV217" s="33">
        <f t="shared" si="152"/>
        <v>0</v>
      </c>
      <c r="BW217" s="40">
        <f t="shared" si="153"/>
        <v>0</v>
      </c>
      <c r="BX217" s="33">
        <f t="shared" si="154"/>
        <v>0</v>
      </c>
      <c r="BY217" s="40">
        <f t="shared" si="155"/>
        <v>0</v>
      </c>
      <c r="BZ217" s="41">
        <f t="shared" si="156"/>
        <v>0</v>
      </c>
      <c r="CA217" s="40">
        <f t="shared" si="157"/>
        <v>0</v>
      </c>
      <c r="CB217" s="41">
        <f t="shared" si="158"/>
        <v>0</v>
      </c>
      <c r="CQ217" s="70">
        <f t="shared" si="159"/>
        <v>0</v>
      </c>
      <c r="CR217" s="70">
        <f t="shared" si="160"/>
        <v>0</v>
      </c>
      <c r="CS217" s="70">
        <f t="shared" si="161"/>
        <v>0</v>
      </c>
      <c r="CT217" s="70">
        <f t="shared" si="162"/>
        <v>0</v>
      </c>
      <c r="CU217" s="70">
        <f t="shared" si="163"/>
        <v>0</v>
      </c>
      <c r="CV217" s="70">
        <f t="shared" si="164"/>
        <v>0</v>
      </c>
      <c r="CW217" s="69">
        <f t="shared" si="165"/>
        <v>0</v>
      </c>
      <c r="CX217" s="69">
        <f t="shared" si="166"/>
        <v>0</v>
      </c>
      <c r="CY217" s="70">
        <f t="shared" si="167"/>
        <v>0</v>
      </c>
      <c r="CZ217" s="69">
        <f t="shared" si="168"/>
        <v>0</v>
      </c>
      <c r="DA217" s="69">
        <f t="shared" si="169"/>
        <v>0</v>
      </c>
      <c r="DB217" s="70">
        <f t="shared" si="170"/>
        <v>0</v>
      </c>
    </row>
    <row r="218" spans="23:106">
      <c r="W218" t="s">
        <v>494</v>
      </c>
      <c r="X218">
        <v>403655</v>
      </c>
      <c r="Y218">
        <v>265036</v>
      </c>
      <c r="Z218" s="51">
        <v>40883.230000000003</v>
      </c>
      <c r="AA218" s="32">
        <f t="shared" si="136"/>
        <v>10835527746.280001</v>
      </c>
      <c r="AB218">
        <v>16784</v>
      </c>
      <c r="AC218" s="37">
        <f t="shared" si="137"/>
        <v>4.1580062181813676E-2</v>
      </c>
      <c r="AD218" s="50">
        <f>+'Revenue mile elasticities'!M247</f>
        <v>6794534</v>
      </c>
      <c r="AE218" s="3">
        <f t="shared" si="140"/>
        <v>67945.34</v>
      </c>
      <c r="AF218" s="11">
        <f>+'Revenue mile elasticities'!P247</f>
        <v>3.851190488962937E-3</v>
      </c>
      <c r="AG218" s="11">
        <f>+'Revenue mile elasticities'!Q247</f>
        <v>1.5211171221398773E-2</v>
      </c>
      <c r="AH218" s="11">
        <f>+'Revenue mile elasticities'!R247</f>
        <v>1.0566443218815278E-2</v>
      </c>
      <c r="AI218" s="11">
        <f>+'Revenue mile elasticities'!S247</f>
        <v>1.8013229077972231E-2</v>
      </c>
      <c r="AJ218" s="32">
        <f t="shared" si="141"/>
        <v>417296.81399367546</v>
      </c>
      <c r="AK218" s="33">
        <f t="shared" si="142"/>
        <v>3.8511904889629371E-5</v>
      </c>
      <c r="AL218" s="40">
        <f t="shared" si="143"/>
        <v>1648210.6782288225</v>
      </c>
      <c r="AM218" s="33">
        <f t="shared" si="144"/>
        <v>1.5211171221398773E-4</v>
      </c>
      <c r="AN218" s="40">
        <f t="shared" si="145"/>
        <v>1773471.8298459563</v>
      </c>
      <c r="AO218" s="41">
        <f t="shared" si="146"/>
        <v>1.0566443218815279E-4</v>
      </c>
      <c r="AP218" s="40">
        <f t="shared" si="147"/>
        <v>3023340.3684468591</v>
      </c>
      <c r="AQ218" s="41">
        <f t="shared" si="148"/>
        <v>1.801322907797223E-4</v>
      </c>
      <c r="AR218" s="53"/>
      <c r="AS218" s="53"/>
      <c r="BH218" t="s">
        <v>494</v>
      </c>
      <c r="BI218">
        <v>403655</v>
      </c>
      <c r="BJ218">
        <v>265036</v>
      </c>
      <c r="BK218" s="51">
        <v>40883.230000000003</v>
      </c>
      <c r="BL218" s="32">
        <f t="shared" si="138"/>
        <v>10835527746.280001</v>
      </c>
      <c r="BM218">
        <v>16784</v>
      </c>
      <c r="BN218" s="37">
        <f t="shared" si="139"/>
        <v>4.1580062181813676E-2</v>
      </c>
      <c r="BO218" s="50">
        <f t="shared" si="149"/>
        <v>6794534</v>
      </c>
      <c r="BP218" s="3">
        <f t="shared" si="150"/>
        <v>67945.34</v>
      </c>
      <c r="BQ218" s="11">
        <f>+'Rev mile pop elasticities'!P248</f>
        <v>5.9028645060460044E-2</v>
      </c>
      <c r="BR218" s="11">
        <f>+'Rev mile pop elasticities'!Q248</f>
        <v>0.1210831053141916</v>
      </c>
      <c r="BS218" s="11">
        <f>+'Rev mile pop elasticities'!R248</f>
        <v>0.16195584926335607</v>
      </c>
      <c r="BT218" s="11">
        <f>+'Rev mile pop elasticities'!S248</f>
        <v>0.14338788787206899</v>
      </c>
      <c r="BU218" s="32">
        <f t="shared" si="151"/>
        <v>6396065.2137792874</v>
      </c>
      <c r="BV218" s="33">
        <f t="shared" si="152"/>
        <v>5.9028645060460049E-4</v>
      </c>
      <c r="BW218" s="40">
        <f t="shared" si="153"/>
        <v>13119993.472376665</v>
      </c>
      <c r="BX218" s="33">
        <f t="shared" si="154"/>
        <v>1.2108310531419161E-3</v>
      </c>
      <c r="BY218" s="40">
        <f t="shared" si="155"/>
        <v>27182669.740361683</v>
      </c>
      <c r="BZ218" s="41">
        <f t="shared" si="156"/>
        <v>1.6195584926335608E-3</v>
      </c>
      <c r="CA218" s="40">
        <f t="shared" si="157"/>
        <v>24066223.100448061</v>
      </c>
      <c r="CB218" s="41">
        <f t="shared" si="158"/>
        <v>1.4338788787206899E-3</v>
      </c>
      <c r="CQ218" s="70">
        <f t="shared" si="159"/>
        <v>1.5744910653408422</v>
      </c>
      <c r="CR218" s="70">
        <f t="shared" si="160"/>
        <v>24.132816725951521</v>
      </c>
      <c r="CS218" s="70">
        <f t="shared" si="161"/>
        <v>25.707307791292365</v>
      </c>
      <c r="CT218" s="70">
        <f t="shared" si="162"/>
        <v>6.2188181161382703</v>
      </c>
      <c r="CU218" s="70">
        <f t="shared" si="163"/>
        <v>49.502684436743181</v>
      </c>
      <c r="CV218" s="70">
        <f t="shared" si="164"/>
        <v>55.721502552881454</v>
      </c>
      <c r="CW218" s="69">
        <f t="shared" si="165"/>
        <v>6.6914375022485864</v>
      </c>
      <c r="CX218" s="69">
        <f t="shared" si="166"/>
        <v>102.56217925248527</v>
      </c>
      <c r="CY218" s="70">
        <f t="shared" si="167"/>
        <v>109.25361675473386</v>
      </c>
      <c r="CZ218" s="69">
        <f t="shared" si="168"/>
        <v>11.407281910558789</v>
      </c>
      <c r="DA218" s="69">
        <f t="shared" si="169"/>
        <v>90.803600644622094</v>
      </c>
      <c r="DB218" s="70">
        <f t="shared" si="170"/>
        <v>102.21088255518089</v>
      </c>
    </row>
    <row r="219" spans="23:106">
      <c r="W219" t="s">
        <v>495</v>
      </c>
      <c r="X219">
        <v>252929</v>
      </c>
      <c r="Y219">
        <v>145801</v>
      </c>
      <c r="Z219" s="51">
        <v>39533.06</v>
      </c>
      <c r="AA219" s="32">
        <f t="shared" si="136"/>
        <v>5763959681.0599995</v>
      </c>
      <c r="AB219">
        <v>8567</v>
      </c>
      <c r="AC219" s="37">
        <f t="shared" si="137"/>
        <v>3.38711654258705E-2</v>
      </c>
      <c r="AD219" s="50">
        <f>+'Revenue mile elasticities'!M248</f>
        <v>6532034</v>
      </c>
      <c r="AE219" s="3">
        <f t="shared" si="140"/>
        <v>65320.340000000004</v>
      </c>
      <c r="AF219" s="11">
        <f>+'Revenue mile elasticities'!P248</f>
        <v>3.191354847375736E-3</v>
      </c>
      <c r="AG219" s="11">
        <f>+'Revenue mile elasticities'!Q248</f>
        <v>1.2604997117331746E-2</v>
      </c>
      <c r="AH219" s="11">
        <f>+'Revenue mile elasticities'!R248</f>
        <v>8.7560638411753045E-3</v>
      </c>
      <c r="AI219" s="11">
        <f>+'Revenue mile elasticities'!S248</f>
        <v>1.4926970270524437E-2</v>
      </c>
      <c r="AJ219" s="32">
        <f t="shared" si="141"/>
        <v>183948.4066822913</v>
      </c>
      <c r="AK219" s="33">
        <f t="shared" si="142"/>
        <v>3.1913548473757362E-5</v>
      </c>
      <c r="AL219" s="40">
        <f t="shared" si="143"/>
        <v>726546.95164177706</v>
      </c>
      <c r="AM219" s="33">
        <f t="shared" si="144"/>
        <v>1.2604997117331748E-4</v>
      </c>
      <c r="AN219" s="40">
        <f t="shared" si="145"/>
        <v>750131.98927348829</v>
      </c>
      <c r="AO219" s="41">
        <f t="shared" si="146"/>
        <v>8.7560638411753036E-5</v>
      </c>
      <c r="AP219" s="40">
        <f t="shared" si="147"/>
        <v>1278793.5430758283</v>
      </c>
      <c r="AQ219" s="41">
        <f t="shared" si="148"/>
        <v>1.4926970270524436E-4</v>
      </c>
      <c r="AR219" s="53"/>
      <c r="AS219" s="53"/>
      <c r="BH219" t="s">
        <v>495</v>
      </c>
      <c r="BI219">
        <v>252929</v>
      </c>
      <c r="BJ219">
        <v>145801</v>
      </c>
      <c r="BK219" s="51">
        <v>39533.06</v>
      </c>
      <c r="BL219" s="32">
        <f t="shared" si="138"/>
        <v>5763959681.0599995</v>
      </c>
      <c r="BM219">
        <v>8567</v>
      </c>
      <c r="BN219" s="37">
        <f t="shared" si="139"/>
        <v>3.38711654258705E-2</v>
      </c>
      <c r="BO219" s="50">
        <f t="shared" si="149"/>
        <v>6532034</v>
      </c>
      <c r="BP219" s="3">
        <f t="shared" si="150"/>
        <v>65320.340000000004</v>
      </c>
      <c r="BQ219" s="11">
        <f>+'Rev mile pop elasticities'!P249</f>
        <v>9.0565603279497392E-2</v>
      </c>
      <c r="BR219" s="11">
        <f>+'Rev mile pop elasticities'!Q249</f>
        <v>0.18577360988894118</v>
      </c>
      <c r="BS219" s="11">
        <f>+'Rev mile pop elasticities'!R249</f>
        <v>0.24848324365493871</v>
      </c>
      <c r="BT219" s="11">
        <f>+'Rev mile pop elasticities'!S249</f>
        <v>0.2199950643421672</v>
      </c>
      <c r="BU219" s="32">
        <f t="shared" si="151"/>
        <v>5220164.8579389825</v>
      </c>
      <c r="BV219" s="33">
        <f t="shared" si="152"/>
        <v>9.05656032794974E-4</v>
      </c>
      <c r="BW219" s="40">
        <f t="shared" si="153"/>
        <v>10707915.972048262</v>
      </c>
      <c r="BX219" s="33">
        <f t="shared" si="154"/>
        <v>1.8577360988894119E-3</v>
      </c>
      <c r="BY219" s="40">
        <f t="shared" si="155"/>
        <v>21287559.483918596</v>
      </c>
      <c r="BZ219" s="41">
        <f t="shared" si="156"/>
        <v>2.4848324365493867E-3</v>
      </c>
      <c r="CA219" s="40">
        <f t="shared" si="157"/>
        <v>18846977.162193466</v>
      </c>
      <c r="CB219" s="41">
        <f t="shared" si="158"/>
        <v>2.1999506434216723E-3</v>
      </c>
      <c r="CQ219" s="70">
        <f t="shared" si="159"/>
        <v>1.2616402266259581</v>
      </c>
      <c r="CR219" s="70">
        <f t="shared" si="160"/>
        <v>35.803354283845671</v>
      </c>
      <c r="CS219" s="70">
        <f t="shared" si="161"/>
        <v>37.064994510471628</v>
      </c>
      <c r="CT219" s="70">
        <f t="shared" si="162"/>
        <v>4.9831410733930293</v>
      </c>
      <c r="CU219" s="70">
        <f t="shared" si="163"/>
        <v>73.441992661561045</v>
      </c>
      <c r="CV219" s="70">
        <f t="shared" si="164"/>
        <v>78.425133734954073</v>
      </c>
      <c r="CW219" s="69">
        <f t="shared" si="165"/>
        <v>5.1449029106349631</v>
      </c>
      <c r="CX219" s="69">
        <f t="shared" si="166"/>
        <v>146.00420767977309</v>
      </c>
      <c r="CY219" s="70">
        <f t="shared" si="167"/>
        <v>151.14911059040804</v>
      </c>
      <c r="CZ219" s="69">
        <f t="shared" si="168"/>
        <v>8.7708146245624405</v>
      </c>
      <c r="DA219" s="69">
        <f t="shared" si="169"/>
        <v>129.26507474018331</v>
      </c>
      <c r="DB219" s="70">
        <f t="shared" si="170"/>
        <v>138.03588936474574</v>
      </c>
    </row>
    <row r="220" spans="23:106">
      <c r="W220" t="s">
        <v>496</v>
      </c>
      <c r="X220">
        <v>145362</v>
      </c>
      <c r="Y220">
        <v>94627</v>
      </c>
      <c r="Z220" s="51">
        <v>34556.25</v>
      </c>
      <c r="AA220" s="32">
        <f t="shared" si="136"/>
        <v>3269954268.75</v>
      </c>
      <c r="AB220">
        <v>5514</v>
      </c>
      <c r="AC220" s="37">
        <f t="shared" si="137"/>
        <v>3.7932884797952697E-2</v>
      </c>
      <c r="AD220" s="50">
        <f>+'Revenue mile elasticities'!M249</f>
        <v>868322</v>
      </c>
      <c r="AE220" s="3">
        <f t="shared" si="140"/>
        <v>8683.2199999999993</v>
      </c>
      <c r="AF220" s="11">
        <f>+'Revenue mile elasticities'!P249</f>
        <v>7.1278685254538062E-4</v>
      </c>
      <c r="AG220" s="11">
        <f>+'Revenue mile elasticities'!Q249</f>
        <v>2.8153172089260552E-3</v>
      </c>
      <c r="AH220" s="11">
        <f>+'Revenue mile elasticities'!R249</f>
        <v>1.9556606784638603E-3</v>
      </c>
      <c r="AI220" s="11">
        <f>+'Revenue mile elasticities'!S249</f>
        <v>3.3339282737282231E-3</v>
      </c>
      <c r="AJ220" s="32">
        <f t="shared" si="141"/>
        <v>23307.804111896443</v>
      </c>
      <c r="AK220" s="33">
        <f t="shared" si="142"/>
        <v>7.1278685254538064E-6</v>
      </c>
      <c r="AL220" s="40">
        <f t="shared" si="143"/>
        <v>92059.585252130899</v>
      </c>
      <c r="AM220" s="33">
        <f t="shared" si="144"/>
        <v>2.8153172089260552E-5</v>
      </c>
      <c r="AN220" s="40">
        <f t="shared" si="145"/>
        <v>107835.12981049727</v>
      </c>
      <c r="AO220" s="41">
        <f t="shared" si="146"/>
        <v>1.9556606784638605E-5</v>
      </c>
      <c r="AP220" s="40">
        <f t="shared" si="147"/>
        <v>183832.80501337419</v>
      </c>
      <c r="AQ220" s="41">
        <f t="shared" si="148"/>
        <v>3.3339282737282223E-5</v>
      </c>
      <c r="AR220" s="53"/>
      <c r="AS220" s="53"/>
      <c r="BH220" t="s">
        <v>496</v>
      </c>
      <c r="BI220">
        <v>145362</v>
      </c>
      <c r="BJ220">
        <v>94627</v>
      </c>
      <c r="BK220" s="51">
        <v>34556.25</v>
      </c>
      <c r="BL220" s="32">
        <f t="shared" si="138"/>
        <v>3269954268.75</v>
      </c>
      <c r="BM220">
        <v>5514</v>
      </c>
      <c r="BN220" s="37">
        <f t="shared" si="139"/>
        <v>3.7932884797952697E-2</v>
      </c>
      <c r="BO220" s="50">
        <f t="shared" si="149"/>
        <v>868322</v>
      </c>
      <c r="BP220" s="3">
        <f t="shared" si="150"/>
        <v>8683.2199999999993</v>
      </c>
      <c r="BQ220" s="11">
        <f>+'Rev mile pop elasticities'!P250</f>
        <v>2.0948039763074255E-2</v>
      </c>
      <c r="BR220" s="11">
        <f>+'Rev mile pop elasticities'!Q250</f>
        <v>4.296987847442936E-2</v>
      </c>
      <c r="BS220" s="11">
        <f>+'Rev mile pop elasticities'!R250</f>
        <v>5.7474766136954632E-2</v>
      </c>
      <c r="BT220" s="11">
        <f>+'Rev mile pop elasticities'!S250</f>
        <v>5.0885382403929508E-2</v>
      </c>
      <c r="BU220" s="32">
        <f t="shared" si="151"/>
        <v>684991.32045209396</v>
      </c>
      <c r="BV220" s="33">
        <f t="shared" si="152"/>
        <v>2.0948039763074255E-4</v>
      </c>
      <c r="BW220" s="40">
        <f t="shared" si="153"/>
        <v>1405095.3754512903</v>
      </c>
      <c r="BX220" s="33">
        <f t="shared" si="154"/>
        <v>4.2969878474429364E-4</v>
      </c>
      <c r="BY220" s="40">
        <f t="shared" si="155"/>
        <v>3169158.604791678</v>
      </c>
      <c r="BZ220" s="41">
        <f t="shared" si="156"/>
        <v>5.7474766136954617E-4</v>
      </c>
      <c r="CA220" s="40">
        <f t="shared" si="157"/>
        <v>2805819.9857526734</v>
      </c>
      <c r="CB220" s="41">
        <f t="shared" si="158"/>
        <v>5.0885382403929511E-4</v>
      </c>
      <c r="CQ220" s="70">
        <f t="shared" si="159"/>
        <v>0.2463124067327131</v>
      </c>
      <c r="CR220" s="70">
        <f t="shared" si="160"/>
        <v>7.2388569906273466</v>
      </c>
      <c r="CS220" s="70">
        <f t="shared" si="161"/>
        <v>7.4851693973600595</v>
      </c>
      <c r="CT220" s="70">
        <f t="shared" si="162"/>
        <v>0.97286805300950996</v>
      </c>
      <c r="CU220" s="70">
        <f t="shared" si="163"/>
        <v>14.848778630319996</v>
      </c>
      <c r="CV220" s="70">
        <f t="shared" si="164"/>
        <v>15.821646683329506</v>
      </c>
      <c r="CW220" s="69">
        <f t="shared" si="165"/>
        <v>1.139580984396602</v>
      </c>
      <c r="CX220" s="69">
        <f t="shared" si="166"/>
        <v>33.491060741560844</v>
      </c>
      <c r="CY220" s="70">
        <f t="shared" si="167"/>
        <v>34.630641725957446</v>
      </c>
      <c r="CZ220" s="69">
        <f t="shared" si="168"/>
        <v>1.9427098503954916</v>
      </c>
      <c r="DA220" s="69">
        <f t="shared" si="169"/>
        <v>29.651367852226883</v>
      </c>
      <c r="DB220" s="70">
        <f t="shared" si="170"/>
        <v>31.594077702622375</v>
      </c>
    </row>
    <row r="221" spans="23:106">
      <c r="W221" t="s">
        <v>497</v>
      </c>
      <c r="X221">
        <v>466424</v>
      </c>
      <c r="Y221">
        <v>282137</v>
      </c>
      <c r="Z221" s="51">
        <v>42048.5</v>
      </c>
      <c r="AA221" s="32">
        <f t="shared" si="136"/>
        <v>11863437644.5</v>
      </c>
      <c r="AB221">
        <v>18173</v>
      </c>
      <c r="AC221" s="37">
        <f t="shared" si="137"/>
        <v>3.8962403306862424E-2</v>
      </c>
      <c r="AD221" s="50">
        <f>+'Revenue mile elasticities'!M250</f>
        <v>5472260</v>
      </c>
      <c r="AE221" s="3">
        <f t="shared" si="140"/>
        <v>54722.6</v>
      </c>
      <c r="AF221" s="11">
        <f>+'Revenue mile elasticities'!P250</f>
        <v>3.9330473481147725E-3</v>
      </c>
      <c r="AG221" s="11">
        <f>+'Revenue mile elasticities'!Q250</f>
        <v>1.5534483896732001E-2</v>
      </c>
      <c r="AH221" s="11">
        <f>+'Revenue mile elasticities'!R250</f>
        <v>1.0791032435260748E-2</v>
      </c>
      <c r="AI221" s="11">
        <f>+'Revenue mile elasticities'!S250</f>
        <v>1.839609935139316E-2</v>
      </c>
      <c r="AJ221" s="32">
        <f t="shared" si="141"/>
        <v>466594.61967225693</v>
      </c>
      <c r="AK221" s="33">
        <f t="shared" si="142"/>
        <v>3.9330473481147726E-5</v>
      </c>
      <c r="AL221" s="40">
        <f t="shared" si="143"/>
        <v>1842923.8104836948</v>
      </c>
      <c r="AM221" s="33">
        <f t="shared" si="144"/>
        <v>1.5534483896732001E-4</v>
      </c>
      <c r="AN221" s="40">
        <f t="shared" si="145"/>
        <v>1961054.324459936</v>
      </c>
      <c r="AO221" s="41">
        <f t="shared" si="146"/>
        <v>1.0791032435260749E-4</v>
      </c>
      <c r="AP221" s="40">
        <f t="shared" si="147"/>
        <v>3343123.1351286788</v>
      </c>
      <c r="AQ221" s="41">
        <f t="shared" si="148"/>
        <v>1.8396099351393157E-4</v>
      </c>
      <c r="AR221" s="53"/>
      <c r="AS221" s="53"/>
      <c r="BH221" t="s">
        <v>497</v>
      </c>
      <c r="BI221">
        <v>466424</v>
      </c>
      <c r="BJ221">
        <v>282137</v>
      </c>
      <c r="BK221" s="51">
        <v>42048.5</v>
      </c>
      <c r="BL221" s="32">
        <f t="shared" si="138"/>
        <v>11863437644.5</v>
      </c>
      <c r="BM221">
        <v>18173</v>
      </c>
      <c r="BN221" s="37">
        <f t="shared" si="139"/>
        <v>3.8962403306862424E-2</v>
      </c>
      <c r="BO221" s="50">
        <f t="shared" si="149"/>
        <v>5472260</v>
      </c>
      <c r="BP221" s="3">
        <f t="shared" si="150"/>
        <v>54722.6</v>
      </c>
      <c r="BQ221" s="11">
        <f>+'Rev mile pop elasticities'!P251</f>
        <v>4.1143317696344946E-2</v>
      </c>
      <c r="BR221" s="11">
        <f>+'Rev mile pop elasticities'!Q251</f>
        <v>8.4395646630533602E-2</v>
      </c>
      <c r="BS221" s="11">
        <f>+'Rev mile pop elasticities'!R251</f>
        <v>0.11288419295748073</v>
      </c>
      <c r="BT221" s="11">
        <f>+'Rev mile pop elasticities'!S251</f>
        <v>9.994221311510558E-2</v>
      </c>
      <c r="BU221" s="32">
        <f t="shared" si="151"/>
        <v>4881011.8397844164</v>
      </c>
      <c r="BV221" s="33">
        <f t="shared" si="152"/>
        <v>4.1143317696344943E-4</v>
      </c>
      <c r="BW221" s="40">
        <f t="shared" si="153"/>
        <v>10012224.91268592</v>
      </c>
      <c r="BX221" s="33">
        <f t="shared" si="154"/>
        <v>8.4395646630533601E-4</v>
      </c>
      <c r="BY221" s="40">
        <f t="shared" si="155"/>
        <v>20514444.38616297</v>
      </c>
      <c r="BZ221" s="41">
        <f t="shared" si="156"/>
        <v>1.1288419295748071E-3</v>
      </c>
      <c r="CA221" s="40">
        <f t="shared" si="157"/>
        <v>18162498.389408134</v>
      </c>
      <c r="CB221" s="41">
        <f t="shared" si="158"/>
        <v>9.9942213115105554E-4</v>
      </c>
      <c r="CQ221" s="70">
        <f t="shared" si="159"/>
        <v>1.6537874141720403</v>
      </c>
      <c r="CR221" s="70">
        <f t="shared" si="160"/>
        <v>17.300147941547603</v>
      </c>
      <c r="CS221" s="70">
        <f t="shared" si="161"/>
        <v>18.953935355719643</v>
      </c>
      <c r="CT221" s="70">
        <f t="shared" si="162"/>
        <v>6.5320174613173556</v>
      </c>
      <c r="CU221" s="70">
        <f t="shared" si="163"/>
        <v>35.487103473439923</v>
      </c>
      <c r="CV221" s="70">
        <f t="shared" si="164"/>
        <v>42.019120934757282</v>
      </c>
      <c r="CW221" s="69">
        <f t="shared" si="165"/>
        <v>6.9507165825819941</v>
      </c>
      <c r="CX221" s="69">
        <f t="shared" si="166"/>
        <v>72.710932582975545</v>
      </c>
      <c r="CY221" s="70">
        <f t="shared" si="167"/>
        <v>79.661649165557535</v>
      </c>
      <c r="CZ221" s="69">
        <f t="shared" si="168"/>
        <v>11.849290008501823</v>
      </c>
      <c r="DA221" s="69">
        <f t="shared" si="169"/>
        <v>64.3747484002741</v>
      </c>
      <c r="DB221" s="70">
        <f t="shared" si="170"/>
        <v>76.224038408775925</v>
      </c>
    </row>
    <row r="222" spans="23:106">
      <c r="W222" t="s">
        <v>498</v>
      </c>
      <c r="X222">
        <v>334562</v>
      </c>
      <c r="Y222">
        <v>212887</v>
      </c>
      <c r="Z222" s="51">
        <v>34542.33</v>
      </c>
      <c r="AA222" s="32">
        <f t="shared" si="136"/>
        <v>7353613006.71</v>
      </c>
      <c r="AB222">
        <v>10897</v>
      </c>
      <c r="AC222" s="37">
        <f t="shared" si="137"/>
        <v>3.2570943502250704E-2</v>
      </c>
      <c r="AD222" s="50">
        <f>+'Revenue mile elasticities'!M251</f>
        <v>2540001</v>
      </c>
      <c r="AE222" s="3">
        <f t="shared" si="140"/>
        <v>25400.010000000002</v>
      </c>
      <c r="AF222" s="11">
        <f>+'Revenue mile elasticities'!P251</f>
        <v>1.7353700159269453E-3</v>
      </c>
      <c r="AG222" s="11">
        <f>+'Revenue mile elasticities'!Q251</f>
        <v>6.8542468933689557E-3</v>
      </c>
      <c r="AH222" s="11">
        <f>+'Revenue mile elasticities'!R251</f>
        <v>4.7613040148176116E-3</v>
      </c>
      <c r="AI222" s="11">
        <f>+'Revenue mile elasticities'!S251</f>
        <v>8.1168713210948169E-3</v>
      </c>
      <c r="AJ222" s="32">
        <f t="shared" si="141"/>
        <v>127612.39520574926</v>
      </c>
      <c r="AK222" s="33">
        <f t="shared" si="142"/>
        <v>1.7353700159269455E-5</v>
      </c>
      <c r="AL222" s="40">
        <f t="shared" si="143"/>
        <v>504034.79106279567</v>
      </c>
      <c r="AM222" s="33">
        <f t="shared" si="144"/>
        <v>6.8542468933689563E-5</v>
      </c>
      <c r="AN222" s="40">
        <f t="shared" si="145"/>
        <v>518839.29849467514</v>
      </c>
      <c r="AO222" s="41">
        <f t="shared" si="146"/>
        <v>4.7613040148176118E-5</v>
      </c>
      <c r="AP222" s="40">
        <f t="shared" si="147"/>
        <v>884495.46785970207</v>
      </c>
      <c r="AQ222" s="41">
        <f t="shared" si="148"/>
        <v>8.1168713210948151E-5</v>
      </c>
      <c r="AR222" s="53"/>
      <c r="AS222" s="53"/>
      <c r="BH222" t="s">
        <v>498</v>
      </c>
      <c r="BI222">
        <v>334562</v>
      </c>
      <c r="BJ222">
        <v>212887</v>
      </c>
      <c r="BK222" s="51">
        <v>34542.33</v>
      </c>
      <c r="BL222" s="32">
        <f t="shared" si="138"/>
        <v>7353613006.71</v>
      </c>
      <c r="BM222">
        <v>10897</v>
      </c>
      <c r="BN222" s="37">
        <f t="shared" si="139"/>
        <v>3.2570943502250704E-2</v>
      </c>
      <c r="BO222" s="50">
        <f t="shared" si="149"/>
        <v>2540001</v>
      </c>
      <c r="BP222" s="3">
        <f t="shared" si="150"/>
        <v>25400.010000000002</v>
      </c>
      <c r="BQ222" s="11">
        <f>+'Rev mile pop elasticities'!P252</f>
        <v>2.662384343356388E-2</v>
      </c>
      <c r="BR222" s="11">
        <f>+'Rev mile pop elasticities'!Q252</f>
        <v>5.4612428169965518E-2</v>
      </c>
      <c r="BS222" s="11">
        <f>+'Rev mile pop elasticities'!R252</f>
        <v>7.3047368265373822E-2</v>
      </c>
      <c r="BT222" s="11">
        <f>+'Rev mile pop elasticities'!S252</f>
        <v>6.4672612306538119E-2</v>
      </c>
      <c r="BU222" s="32">
        <f t="shared" si="151"/>
        <v>1957814.4136166598</v>
      </c>
      <c r="BV222" s="33">
        <f t="shared" si="152"/>
        <v>2.6623843433563882E-4</v>
      </c>
      <c r="BW222" s="40">
        <f t="shared" si="153"/>
        <v>4015986.6211867407</v>
      </c>
      <c r="BX222" s="33">
        <f t="shared" si="154"/>
        <v>5.4612428169965518E-4</v>
      </c>
      <c r="BY222" s="40">
        <f t="shared" si="155"/>
        <v>7959971.7198777851</v>
      </c>
      <c r="BZ222" s="41">
        <f t="shared" si="156"/>
        <v>7.3047368265373815E-4</v>
      </c>
      <c r="CA222" s="40">
        <f t="shared" si="157"/>
        <v>7047374.5630434584</v>
      </c>
      <c r="CB222" s="41">
        <f t="shared" si="158"/>
        <v>6.4672612306538116E-4</v>
      </c>
      <c r="CQ222" s="70">
        <f t="shared" si="159"/>
        <v>0.59943723762253809</v>
      </c>
      <c r="CR222" s="70">
        <f t="shared" si="160"/>
        <v>9.1964958575049671</v>
      </c>
      <c r="CS222" s="70">
        <f t="shared" si="161"/>
        <v>9.7959330951275057</v>
      </c>
      <c r="CT222" s="70">
        <f t="shared" si="162"/>
        <v>2.3676165809222529</v>
      </c>
      <c r="CU222" s="70">
        <f t="shared" si="163"/>
        <v>18.864405159482452</v>
      </c>
      <c r="CV222" s="70">
        <f t="shared" si="164"/>
        <v>21.232021740404704</v>
      </c>
      <c r="CW222" s="69">
        <f t="shared" si="165"/>
        <v>2.437158203622932</v>
      </c>
      <c r="CX222" s="69">
        <f t="shared" si="166"/>
        <v>37.390595573603768</v>
      </c>
      <c r="CY222" s="70">
        <f t="shared" si="167"/>
        <v>39.827753777226704</v>
      </c>
      <c r="CZ222" s="69">
        <f t="shared" si="168"/>
        <v>4.1547650531018903</v>
      </c>
      <c r="DA222" s="69">
        <f t="shared" si="169"/>
        <v>33.103827678737822</v>
      </c>
      <c r="DB222" s="70">
        <f t="shared" si="170"/>
        <v>37.258592731839713</v>
      </c>
    </row>
    <row r="223" spans="23:106">
      <c r="W223" t="s">
        <v>499</v>
      </c>
      <c r="X223">
        <v>549321</v>
      </c>
      <c r="Y223">
        <v>322332</v>
      </c>
      <c r="Z223" s="51">
        <v>31606.3</v>
      </c>
      <c r="AA223" s="32">
        <f t="shared" si="136"/>
        <v>10187721891.6</v>
      </c>
      <c r="AB223">
        <v>16955</v>
      </c>
      <c r="AC223" s="37">
        <f t="shared" si="137"/>
        <v>3.0865377438692495E-2</v>
      </c>
      <c r="AD223" s="50">
        <f>+'Revenue mile elasticities'!M252</f>
        <v>2073158</v>
      </c>
      <c r="AE223" s="3">
        <f t="shared" si="140"/>
        <v>20731.580000000002</v>
      </c>
      <c r="AF223" s="11">
        <f>+'Revenue mile elasticities'!P252</f>
        <v>9.688570570524468E-4</v>
      </c>
      <c r="AG223" s="11">
        <f>+'Revenue mile elasticities'!Q252</f>
        <v>3.8267259503577148E-3</v>
      </c>
      <c r="AH223" s="11">
        <f>+'Revenue mile elasticities'!R252</f>
        <v>2.6582359688081571E-3</v>
      </c>
      <c r="AI223" s="11">
        <f>+'Revenue mile elasticities'!S252</f>
        <v>4.5316491517393993E-3</v>
      </c>
      <c r="AJ223" s="32">
        <f t="shared" si="141"/>
        <v>98704.462499643632</v>
      </c>
      <c r="AK223" s="33">
        <f t="shared" si="142"/>
        <v>9.688570570524468E-6</v>
      </c>
      <c r="AL223" s="40">
        <f t="shared" si="143"/>
        <v>389856.19737613108</v>
      </c>
      <c r="AM223" s="33">
        <f t="shared" si="144"/>
        <v>3.8267259503577147E-5</v>
      </c>
      <c r="AN223" s="40">
        <f t="shared" si="145"/>
        <v>450703.90851142304</v>
      </c>
      <c r="AO223" s="41">
        <f t="shared" si="146"/>
        <v>2.6582359688081569E-5</v>
      </c>
      <c r="AP223" s="40">
        <f t="shared" si="147"/>
        <v>768341.1136774153</v>
      </c>
      <c r="AQ223" s="41">
        <f t="shared" si="148"/>
        <v>4.5316491517393997E-5</v>
      </c>
      <c r="AR223" s="53"/>
      <c r="AS223" s="53"/>
      <c r="BH223" t="s">
        <v>499</v>
      </c>
      <c r="BI223">
        <v>549321</v>
      </c>
      <c r="BJ223">
        <v>322332</v>
      </c>
      <c r="BK223" s="51">
        <v>31606.3</v>
      </c>
      <c r="BL223" s="32">
        <f t="shared" si="138"/>
        <v>10187721891.6</v>
      </c>
      <c r="BM223">
        <v>16955</v>
      </c>
      <c r="BN223" s="37">
        <f t="shared" si="139"/>
        <v>3.0865377438692495E-2</v>
      </c>
      <c r="BO223" s="50">
        <f t="shared" si="149"/>
        <v>2073158</v>
      </c>
      <c r="BP223" s="3">
        <f t="shared" si="150"/>
        <v>20731.580000000002</v>
      </c>
      <c r="BQ223" s="11">
        <f>+'Rev mile pop elasticities'!P253</f>
        <v>1.3234869843971009E-2</v>
      </c>
      <c r="BR223" s="11">
        <f>+'Rev mile pop elasticities'!Q253</f>
        <v>2.7148160651422396E-2</v>
      </c>
      <c r="BS223" s="11">
        <f>+'Rev mile pop elasticities'!R253</f>
        <v>3.6312278272267032E-2</v>
      </c>
      <c r="BT223" s="11">
        <f>+'Rev mile pop elasticities'!S253</f>
        <v>3.2149137613526522E-2</v>
      </c>
      <c r="BU223" s="32">
        <f t="shared" si="151"/>
        <v>1348331.7324190014</v>
      </c>
      <c r="BV223" s="33">
        <f t="shared" si="152"/>
        <v>1.3234869843971011E-4</v>
      </c>
      <c r="BW223" s="40">
        <f t="shared" si="153"/>
        <v>2765779.1058516968</v>
      </c>
      <c r="BX223" s="33">
        <f t="shared" si="154"/>
        <v>2.7148160651422395E-4</v>
      </c>
      <c r="BY223" s="40">
        <f t="shared" si="155"/>
        <v>6156746.7810628759</v>
      </c>
      <c r="BZ223" s="41">
        <f t="shared" si="156"/>
        <v>3.6312278272267038E-4</v>
      </c>
      <c r="CA223" s="40">
        <f t="shared" si="157"/>
        <v>5450886.2823734218</v>
      </c>
      <c r="CB223" s="41">
        <f t="shared" si="158"/>
        <v>3.2149137613526522E-4</v>
      </c>
      <c r="CQ223" s="70">
        <f t="shared" si="159"/>
        <v>0.30621986802316753</v>
      </c>
      <c r="CR223" s="70">
        <f t="shared" si="160"/>
        <v>4.1830526674950095</v>
      </c>
      <c r="CS223" s="70">
        <f t="shared" si="161"/>
        <v>4.4892725355181771</v>
      </c>
      <c r="CT223" s="70">
        <f t="shared" si="162"/>
        <v>1.2094864840479105</v>
      </c>
      <c r="CU223" s="70">
        <f t="shared" si="163"/>
        <v>8.5805290999705175</v>
      </c>
      <c r="CV223" s="70">
        <f t="shared" si="164"/>
        <v>9.7900155840184286</v>
      </c>
      <c r="CW223" s="69">
        <f t="shared" si="165"/>
        <v>1.3982598951125642</v>
      </c>
      <c r="CX223" s="69">
        <f t="shared" si="166"/>
        <v>19.100637792905687</v>
      </c>
      <c r="CY223" s="70">
        <f t="shared" si="167"/>
        <v>20.49889768801825</v>
      </c>
      <c r="CZ223" s="69">
        <f t="shared" si="168"/>
        <v>2.3836948043551844</v>
      </c>
      <c r="DA223" s="69">
        <f t="shared" si="169"/>
        <v>16.910782306359348</v>
      </c>
      <c r="DB223" s="70">
        <f t="shared" si="170"/>
        <v>19.294477110714531</v>
      </c>
    </row>
    <row r="224" spans="23:106">
      <c r="W224" t="s">
        <v>331</v>
      </c>
      <c r="X224">
        <v>3356637</v>
      </c>
      <c r="Y224">
        <v>2306396</v>
      </c>
      <c r="Z224" s="51">
        <v>51606.48</v>
      </c>
      <c r="AA224" s="32">
        <f t="shared" si="136"/>
        <v>119024979046.08</v>
      </c>
      <c r="AB224">
        <v>194038</v>
      </c>
      <c r="AC224" s="37">
        <f t="shared" si="137"/>
        <v>5.7807263639172185E-2</v>
      </c>
      <c r="AD224" s="50">
        <f>+'Revenue mile elasticities'!M253</f>
        <v>60600000</v>
      </c>
      <c r="AE224" s="3">
        <f t="shared" si="140"/>
        <v>606000</v>
      </c>
      <c r="AF224" s="11">
        <f>+'Revenue mile elasticities'!P253</f>
        <v>2.0537620199172497E-2</v>
      </c>
      <c r="AG224" s="11">
        <f>+'Revenue mile elasticities'!Q253</f>
        <v>8.1118100552277639E-2</v>
      </c>
      <c r="AH224" s="11">
        <f>+'Revenue mile elasticities'!R253</f>
        <v>5.6348705239606854E-2</v>
      </c>
      <c r="AI224" s="11">
        <f>+'Revenue mile elasticities'!S253</f>
        <v>9.6060908548749838E-2</v>
      </c>
      <c r="AJ224" s="32">
        <f t="shared" si="141"/>
        <v>24444898.138628557</v>
      </c>
      <c r="AK224" s="33">
        <f t="shared" si="142"/>
        <v>2.0537620199172495E-4</v>
      </c>
      <c r="AL224" s="40">
        <f t="shared" si="143"/>
        <v>96550802.184926555</v>
      </c>
      <c r="AM224" s="33">
        <f t="shared" si="144"/>
        <v>8.1118100552277626E-4</v>
      </c>
      <c r="AN224" s="40">
        <f t="shared" si="145"/>
        <v>109337900.67282836</v>
      </c>
      <c r="AO224" s="41">
        <f t="shared" si="146"/>
        <v>5.634870523960686E-4</v>
      </c>
      <c r="AP224" s="40">
        <f t="shared" si="147"/>
        <v>186394665.7298232</v>
      </c>
      <c r="AQ224" s="41">
        <f t="shared" si="148"/>
        <v>9.6060908548749834E-4</v>
      </c>
      <c r="AR224" s="53"/>
      <c r="AS224" s="53"/>
      <c r="BH224" t="s">
        <v>331</v>
      </c>
      <c r="BI224">
        <v>3356637</v>
      </c>
      <c r="BJ224">
        <v>2306396</v>
      </c>
      <c r="BK224" s="51">
        <v>51606.48</v>
      </c>
      <c r="BL224" s="32">
        <f t="shared" si="138"/>
        <v>119024979046.08</v>
      </c>
      <c r="BM224">
        <v>194038</v>
      </c>
      <c r="BN224" s="37">
        <f t="shared" si="139"/>
        <v>5.7807263639172185E-2</v>
      </c>
      <c r="BO224" s="50">
        <f t="shared" si="149"/>
        <v>60600000</v>
      </c>
      <c r="BP224" s="3">
        <f t="shared" si="150"/>
        <v>606000</v>
      </c>
      <c r="BQ224" s="11">
        <f>+'Rev mile pop elasticities'!P254</f>
        <v>6.3311371470909719E-2</v>
      </c>
      <c r="BR224" s="11">
        <f>+'Rev mile pop elasticities'!Q254</f>
        <v>0.12986809118769771</v>
      </c>
      <c r="BS224" s="11">
        <f>+'Rev mile pop elasticities'!R254</f>
        <v>0.17370628995628662</v>
      </c>
      <c r="BT224" s="11">
        <f>+'Rev mile pop elasticities'!S254</f>
        <v>0.15379116061701045</v>
      </c>
      <c r="BU224" s="32">
        <f t="shared" si="151"/>
        <v>75356346.627036154</v>
      </c>
      <c r="BV224" s="33">
        <f t="shared" si="152"/>
        <v>6.3311371470909706E-4</v>
      </c>
      <c r="BW224" s="40">
        <f t="shared" si="153"/>
        <v>154575468.32370126</v>
      </c>
      <c r="BX224" s="33">
        <f t="shared" si="154"/>
        <v>1.2986809118769771E-3</v>
      </c>
      <c r="BY224" s="40">
        <f t="shared" si="155"/>
        <v>337056210.90537941</v>
      </c>
      <c r="BZ224" s="41">
        <f t="shared" si="156"/>
        <v>1.737062899562866E-3</v>
      </c>
      <c r="CA224" s="40">
        <f t="shared" si="157"/>
        <v>298413292.23803473</v>
      </c>
      <c r="CB224" s="41">
        <f t="shared" si="158"/>
        <v>1.5379116061701044E-3</v>
      </c>
      <c r="CQ224" s="70">
        <f t="shared" si="159"/>
        <v>10.598742860561915</v>
      </c>
      <c r="CR224" s="70">
        <f t="shared" si="160"/>
        <v>32.672770255860726</v>
      </c>
      <c r="CS224" s="70">
        <f t="shared" si="161"/>
        <v>43.271513116422639</v>
      </c>
      <c r="CT224" s="70">
        <f t="shared" si="162"/>
        <v>41.862196337891042</v>
      </c>
      <c r="CU224" s="70">
        <f t="shared" si="163"/>
        <v>67.020350505160977</v>
      </c>
      <c r="CV224" s="70">
        <f t="shared" si="164"/>
        <v>108.88254684305201</v>
      </c>
      <c r="CW224" s="69">
        <f t="shared" si="165"/>
        <v>47.40638670585119</v>
      </c>
      <c r="CX224" s="69">
        <f t="shared" si="166"/>
        <v>146.13978297975692</v>
      </c>
      <c r="CY224" s="70">
        <f t="shared" si="167"/>
        <v>193.54616968560811</v>
      </c>
      <c r="CZ224" s="69">
        <f t="shared" si="168"/>
        <v>80.816419092741754</v>
      </c>
      <c r="DA224" s="69">
        <f t="shared" si="169"/>
        <v>129.38510656367541</v>
      </c>
      <c r="DB224" s="70">
        <f t="shared" si="170"/>
        <v>210.20152565641718</v>
      </c>
    </row>
    <row r="225" spans="23:106">
      <c r="W225" t="s">
        <v>500</v>
      </c>
      <c r="X225">
        <v>134293</v>
      </c>
      <c r="Y225">
        <v>69017</v>
      </c>
      <c r="Z225" s="51">
        <v>34252.230000000003</v>
      </c>
      <c r="AA225" s="32">
        <f t="shared" si="136"/>
        <v>2363986157.9100003</v>
      </c>
      <c r="AB225">
        <v>4079</v>
      </c>
      <c r="AC225" s="37">
        <f t="shared" si="137"/>
        <v>3.0373883970125026E-2</v>
      </c>
      <c r="AD225" s="50">
        <f>+'Revenue mile elasticities'!M254</f>
        <v>296956</v>
      </c>
      <c r="AE225" s="3">
        <f t="shared" si="140"/>
        <v>2969.56</v>
      </c>
      <c r="AF225" s="11">
        <f>+'Revenue mile elasticities'!P254</f>
        <v>4.1025085003928492E-4</v>
      </c>
      <c r="AG225" s="11">
        <f>+'Revenue mile elasticities'!Q254</f>
        <v>1.6203810072641697E-3</v>
      </c>
      <c r="AH225" s="11">
        <f>+'Revenue mile elasticities'!R254</f>
        <v>1.1255980001077853E-3</v>
      </c>
      <c r="AI225" s="11">
        <f>+'Revenue mile elasticities'!S254</f>
        <v>1.9188722454444116E-3</v>
      </c>
      <c r="AJ225" s="32">
        <f t="shared" si="141"/>
        <v>9698.2733076368095</v>
      </c>
      <c r="AK225" s="33">
        <f t="shared" si="142"/>
        <v>4.1025085003928497E-6</v>
      </c>
      <c r="AL225" s="40">
        <f t="shared" si="143"/>
        <v>38305.582717127611</v>
      </c>
      <c r="AM225" s="33">
        <f t="shared" si="144"/>
        <v>1.6203810072641698E-5</v>
      </c>
      <c r="AN225" s="40">
        <f t="shared" si="145"/>
        <v>45913.142424396567</v>
      </c>
      <c r="AO225" s="41">
        <f t="shared" si="146"/>
        <v>1.1255980001077853E-5</v>
      </c>
      <c r="AP225" s="40">
        <f t="shared" si="147"/>
        <v>78270.79889167755</v>
      </c>
      <c r="AQ225" s="41">
        <f t="shared" si="148"/>
        <v>1.9188722454444115E-5</v>
      </c>
      <c r="AR225" s="53"/>
      <c r="AS225" s="53"/>
      <c r="BH225" t="s">
        <v>500</v>
      </c>
      <c r="BI225">
        <v>134293</v>
      </c>
      <c r="BJ225">
        <v>69017</v>
      </c>
      <c r="BK225" s="51">
        <v>34252.230000000003</v>
      </c>
      <c r="BL225" s="32">
        <f t="shared" si="138"/>
        <v>2363986157.9100003</v>
      </c>
      <c r="BM225">
        <v>4079</v>
      </c>
      <c r="BN225" s="37">
        <f t="shared" si="139"/>
        <v>3.0373883970125026E-2</v>
      </c>
      <c r="BO225" s="50">
        <f t="shared" si="149"/>
        <v>296956</v>
      </c>
      <c r="BP225" s="3">
        <f t="shared" si="150"/>
        <v>2969.56</v>
      </c>
      <c r="BQ225" s="11">
        <f>+'Rev mile pop elasticities'!P255</f>
        <v>7.7544714908446451E-3</v>
      </c>
      <c r="BR225" s="11">
        <f>+'Rev mile pop elasticities'!Q255</f>
        <v>1.5906438089848318E-2</v>
      </c>
      <c r="BS225" s="11">
        <f>+'Rev mile pop elasticities'!R255</f>
        <v>2.1275806256469063E-2</v>
      </c>
      <c r="BT225" s="11">
        <f>+'Rev mile pop elasticities'!S255</f>
        <v>1.8836571422188801E-2</v>
      </c>
      <c r="BU225" s="32">
        <f t="shared" si="151"/>
        <v>183314.63266264467</v>
      </c>
      <c r="BV225" s="33">
        <f t="shared" si="152"/>
        <v>7.7544714908446463E-5</v>
      </c>
      <c r="BW225" s="40">
        <f t="shared" si="153"/>
        <v>376025.99466053816</v>
      </c>
      <c r="BX225" s="33">
        <f t="shared" si="154"/>
        <v>1.5906438089848321E-4</v>
      </c>
      <c r="BY225" s="40">
        <f t="shared" si="155"/>
        <v>867840.13720137312</v>
      </c>
      <c r="BZ225" s="41">
        <f t="shared" si="156"/>
        <v>2.1275806256469064E-4</v>
      </c>
      <c r="CA225" s="40">
        <f t="shared" si="157"/>
        <v>768343.74831108132</v>
      </c>
      <c r="CB225" s="41">
        <f t="shared" si="158"/>
        <v>1.8836571422188806E-4</v>
      </c>
      <c r="CQ225" s="70">
        <f t="shared" si="159"/>
        <v>0.14052006473241099</v>
      </c>
      <c r="CR225" s="70">
        <f t="shared" si="160"/>
        <v>2.6560794103285374</v>
      </c>
      <c r="CS225" s="70">
        <f t="shared" si="161"/>
        <v>2.7965994750609484</v>
      </c>
      <c r="CT225" s="70">
        <f t="shared" si="162"/>
        <v>0.55501662948444019</v>
      </c>
      <c r="CU225" s="70">
        <f t="shared" si="163"/>
        <v>5.4483097593424539</v>
      </c>
      <c r="CV225" s="70">
        <f t="shared" si="164"/>
        <v>6.0033263888268937</v>
      </c>
      <c r="CW225" s="69">
        <f t="shared" si="165"/>
        <v>0.66524396053720924</v>
      </c>
      <c r="CX225" s="69">
        <f t="shared" si="166"/>
        <v>12.574295277994887</v>
      </c>
      <c r="CY225" s="70">
        <f t="shared" si="167"/>
        <v>13.239539238532096</v>
      </c>
      <c r="CZ225" s="69">
        <f t="shared" si="168"/>
        <v>1.1340799932143899</v>
      </c>
      <c r="DA225" s="69">
        <f t="shared" si="169"/>
        <v>11.132673809511878</v>
      </c>
      <c r="DB225" s="70">
        <f t="shared" si="170"/>
        <v>12.266753802726269</v>
      </c>
    </row>
    <row r="226" spans="23:106">
      <c r="W226" t="s">
        <v>501</v>
      </c>
      <c r="X226">
        <v>114458</v>
      </c>
      <c r="Y226">
        <v>79209</v>
      </c>
      <c r="Z226" s="51">
        <v>35009.449999999997</v>
      </c>
      <c r="AA226" s="32">
        <f t="shared" si="136"/>
        <v>2773063525.0499997</v>
      </c>
      <c r="AB226">
        <v>4868</v>
      </c>
      <c r="AC226" s="37">
        <f t="shared" si="137"/>
        <v>4.2530884691327826E-2</v>
      </c>
      <c r="AD226" s="50">
        <f>+'Revenue mile elasticities'!M255</f>
        <v>589276</v>
      </c>
      <c r="AE226" s="3">
        <f t="shared" si="140"/>
        <v>5892.76</v>
      </c>
      <c r="AF226" s="11">
        <f>+'Revenue mile elasticities'!P255</f>
        <v>4.7519064961440633E-4</v>
      </c>
      <c r="AG226" s="11">
        <f>+'Revenue mile elasticities'!Q255</f>
        <v>1.8768758270481924E-3</v>
      </c>
      <c r="AH226" s="11">
        <f>+'Revenue mile elasticities'!R255</f>
        <v>1.3037721794474685E-3</v>
      </c>
      <c r="AI226" s="11">
        <f>+'Revenue mile elasticities'!S255</f>
        <v>2.2226161109781227E-3</v>
      </c>
      <c r="AJ226" s="32">
        <f t="shared" si="141"/>
        <v>13177.33857890525</v>
      </c>
      <c r="AK226" s="33">
        <f t="shared" si="142"/>
        <v>4.7519064961440634E-6</v>
      </c>
      <c r="AL226" s="40">
        <f t="shared" si="143"/>
        <v>52046.958970353939</v>
      </c>
      <c r="AM226" s="33">
        <f t="shared" si="144"/>
        <v>1.8768758270481924E-5</v>
      </c>
      <c r="AN226" s="40">
        <f t="shared" si="145"/>
        <v>63467.629695502765</v>
      </c>
      <c r="AO226" s="41">
        <f t="shared" si="146"/>
        <v>1.3037721794474685E-5</v>
      </c>
      <c r="AP226" s="40">
        <f t="shared" si="147"/>
        <v>108196.95228241502</v>
      </c>
      <c r="AQ226" s="41">
        <f t="shared" si="148"/>
        <v>2.2226161109781227E-5</v>
      </c>
      <c r="AR226" s="53"/>
      <c r="AS226" s="53"/>
      <c r="BH226" t="s">
        <v>501</v>
      </c>
      <c r="BI226">
        <v>114458</v>
      </c>
      <c r="BJ226">
        <v>79209</v>
      </c>
      <c r="BK226" s="51">
        <v>35009.449999999997</v>
      </c>
      <c r="BL226" s="32">
        <f t="shared" si="138"/>
        <v>2773063525.0499997</v>
      </c>
      <c r="BM226">
        <v>4868</v>
      </c>
      <c r="BN226" s="37">
        <f t="shared" si="139"/>
        <v>4.2530884691327826E-2</v>
      </c>
      <c r="BO226" s="50">
        <f t="shared" si="149"/>
        <v>589276</v>
      </c>
      <c r="BP226" s="3">
        <f t="shared" si="150"/>
        <v>5892.76</v>
      </c>
      <c r="BQ226" s="11">
        <f>+'Rev mile pop elasticities'!P256</f>
        <v>1.8054525348337382E-2</v>
      </c>
      <c r="BR226" s="11">
        <f>+'Rev mile pop elasticities'!Q256</f>
        <v>3.7034527760401198E-2</v>
      </c>
      <c r="BS226" s="11">
        <f>+'Rev mile pop elasticities'!R256</f>
        <v>4.9535881822153099E-2</v>
      </c>
      <c r="BT226" s="11">
        <f>+'Rev mile pop elasticities'!S256</f>
        <v>4.385667761100142E-2</v>
      </c>
      <c r="BU226" s="32">
        <f t="shared" si="151"/>
        <v>500663.45705565036</v>
      </c>
      <c r="BV226" s="33">
        <f t="shared" si="152"/>
        <v>1.8054525348337383E-4</v>
      </c>
      <c r="BW226" s="40">
        <f t="shared" si="153"/>
        <v>1026990.9809982022</v>
      </c>
      <c r="BX226" s="33">
        <f t="shared" si="154"/>
        <v>3.70345277604012E-4</v>
      </c>
      <c r="BY226" s="40">
        <f t="shared" si="155"/>
        <v>2411406.7271024133</v>
      </c>
      <c r="BZ226" s="41">
        <f t="shared" si="156"/>
        <v>4.9535881822153111E-4</v>
      </c>
      <c r="CA226" s="40">
        <f t="shared" si="157"/>
        <v>2134943.0661035492</v>
      </c>
      <c r="CB226" s="41">
        <f t="shared" si="158"/>
        <v>4.3856677611001419E-4</v>
      </c>
      <c r="CQ226" s="70">
        <f t="shared" si="159"/>
        <v>0.16636163288143077</v>
      </c>
      <c r="CR226" s="70">
        <f t="shared" si="160"/>
        <v>6.3207900245635011</v>
      </c>
      <c r="CS226" s="70">
        <f t="shared" si="161"/>
        <v>6.4871516574449322</v>
      </c>
      <c r="CT226" s="70">
        <f t="shared" si="162"/>
        <v>0.65708390423252327</v>
      </c>
      <c r="CU226" s="70">
        <f t="shared" si="163"/>
        <v>12.965584479013776</v>
      </c>
      <c r="CV226" s="70">
        <f t="shared" si="164"/>
        <v>13.6226683832463</v>
      </c>
      <c r="CW226" s="69">
        <f t="shared" si="165"/>
        <v>0.80126790763048095</v>
      </c>
      <c r="CX226" s="69">
        <f t="shared" si="166"/>
        <v>30.443595135684244</v>
      </c>
      <c r="CY226" s="70">
        <f t="shared" si="167"/>
        <v>31.244863043314727</v>
      </c>
      <c r="CZ226" s="69">
        <f t="shared" si="168"/>
        <v>1.3659679112526988</v>
      </c>
      <c r="DA226" s="69">
        <f t="shared" si="169"/>
        <v>26.953288970995079</v>
      </c>
      <c r="DB226" s="70">
        <f t="shared" si="170"/>
        <v>28.319256882247778</v>
      </c>
    </row>
    <row r="227" spans="23:106">
      <c r="W227" t="s">
        <v>502</v>
      </c>
      <c r="X227">
        <v>118786</v>
      </c>
      <c r="Y227">
        <v>59552</v>
      </c>
      <c r="Z227" s="51">
        <v>32448.17</v>
      </c>
      <c r="AA227" s="32">
        <f t="shared" si="136"/>
        <v>1932353419.8399999</v>
      </c>
      <c r="AB227">
        <v>2850</v>
      </c>
      <c r="AC227" s="37">
        <f t="shared" si="137"/>
        <v>2.3992726415570858E-2</v>
      </c>
      <c r="AD227" s="50">
        <f>+'Revenue mile elasticities'!M256</f>
        <v>229376</v>
      </c>
      <c r="AE227" s="3">
        <f t="shared" si="140"/>
        <v>2293.7600000000002</v>
      </c>
      <c r="AF227" s="11">
        <f>+'Revenue mile elasticities'!P256</f>
        <v>3.5872054238587014E-4</v>
      </c>
      <c r="AG227" s="11">
        <f>+'Revenue mile elasticities'!Q256</f>
        <v>1.4168500899922685E-3</v>
      </c>
      <c r="AH227" s="11">
        <f>+'Revenue mile elasticities'!R256</f>
        <v>9.8421520654606983E-4</v>
      </c>
      <c r="AI227" s="11">
        <f>+'Revenue mile elasticities'!S256</f>
        <v>1.6778487907803182E-3</v>
      </c>
      <c r="AJ227" s="32">
        <f t="shared" si="141"/>
        <v>6931.748668461958</v>
      </c>
      <c r="AK227" s="33">
        <f t="shared" si="142"/>
        <v>3.5872054238587013E-6</v>
      </c>
      <c r="AL227" s="40">
        <f t="shared" si="143"/>
        <v>27378.551167971716</v>
      </c>
      <c r="AM227" s="33">
        <f t="shared" si="144"/>
        <v>1.4168500899922686E-5</v>
      </c>
      <c r="AN227" s="40">
        <f t="shared" si="145"/>
        <v>28050.133386562993</v>
      </c>
      <c r="AO227" s="41">
        <f t="shared" si="146"/>
        <v>9.8421520654606992E-6</v>
      </c>
      <c r="AP227" s="40">
        <f t="shared" si="147"/>
        <v>47818.690537239076</v>
      </c>
      <c r="AQ227" s="41">
        <f t="shared" si="148"/>
        <v>1.6778487907803187E-5</v>
      </c>
      <c r="AR227" s="53"/>
      <c r="AS227" s="53"/>
      <c r="BH227" t="s">
        <v>502</v>
      </c>
      <c r="BI227">
        <v>118786</v>
      </c>
      <c r="BJ227">
        <v>59552</v>
      </c>
      <c r="BK227" s="51">
        <v>32448.17</v>
      </c>
      <c r="BL227" s="32">
        <f t="shared" si="138"/>
        <v>1932353419.8399999</v>
      </c>
      <c r="BM227">
        <v>2850</v>
      </c>
      <c r="BN227" s="37">
        <f t="shared" si="139"/>
        <v>2.3992726415570858E-2</v>
      </c>
      <c r="BO227" s="50">
        <f t="shared" si="149"/>
        <v>229376</v>
      </c>
      <c r="BP227" s="3">
        <f t="shared" si="150"/>
        <v>2293.7600000000002</v>
      </c>
      <c r="BQ227" s="11">
        <f>+'Rev mile pop elasticities'!P257</f>
        <v>6.7716763281868222E-3</v>
      </c>
      <c r="BR227" s="11">
        <f>+'Rev mile pop elasticities'!Q257</f>
        <v>1.3890469570488105E-2</v>
      </c>
      <c r="BS227" s="11">
        <f>+'Rev mile pop elasticities'!R257</f>
        <v>1.8579328553869984E-2</v>
      </c>
      <c r="BT227" s="11">
        <f>+'Rev mile pop elasticities'!S257</f>
        <v>1.6449240280841177E-2</v>
      </c>
      <c r="BU227" s="32">
        <f t="shared" si="151"/>
        <v>130852.71910821379</v>
      </c>
      <c r="BV227" s="33">
        <f t="shared" si="152"/>
        <v>6.7716763281868212E-5</v>
      </c>
      <c r="BW227" s="40">
        <f t="shared" si="153"/>
        <v>268412.96377716144</v>
      </c>
      <c r="BX227" s="33">
        <f t="shared" si="154"/>
        <v>1.3890469570488104E-4</v>
      </c>
      <c r="BY227" s="40">
        <f t="shared" si="155"/>
        <v>529510.86378529458</v>
      </c>
      <c r="BZ227" s="41">
        <f t="shared" si="156"/>
        <v>1.8579328553869985E-4</v>
      </c>
      <c r="CA227" s="40">
        <f t="shared" si="157"/>
        <v>468803.34800397349</v>
      </c>
      <c r="CB227" s="41">
        <f t="shared" si="158"/>
        <v>1.6449240280841176E-4</v>
      </c>
      <c r="CQ227" s="70">
        <f t="shared" si="159"/>
        <v>0.11639825141828919</v>
      </c>
      <c r="CR227" s="70">
        <f t="shared" si="160"/>
        <v>2.1972850468198177</v>
      </c>
      <c r="CS227" s="70">
        <f t="shared" si="161"/>
        <v>2.3136832982381068</v>
      </c>
      <c r="CT227" s="70">
        <f t="shared" si="162"/>
        <v>0.45974192584584422</v>
      </c>
      <c r="CU227" s="70">
        <f t="shared" si="163"/>
        <v>4.5072031800302499</v>
      </c>
      <c r="CV227" s="70">
        <f t="shared" si="164"/>
        <v>4.9669451058760945</v>
      </c>
      <c r="CW227" s="69">
        <f t="shared" si="165"/>
        <v>0.47101916621713785</v>
      </c>
      <c r="CX227" s="69">
        <f t="shared" si="166"/>
        <v>8.8915714633479066</v>
      </c>
      <c r="CY227" s="70">
        <f t="shared" si="167"/>
        <v>9.3625906295650445</v>
      </c>
      <c r="CZ227" s="69">
        <f t="shared" si="168"/>
        <v>0.80297371267529349</v>
      </c>
      <c r="DA227" s="69">
        <f t="shared" si="169"/>
        <v>7.8721679877077761</v>
      </c>
      <c r="DB227" s="70">
        <f t="shared" si="170"/>
        <v>8.6751417003830689</v>
      </c>
    </row>
    <row r="228" spans="23:106">
      <c r="W228" t="s">
        <v>503</v>
      </c>
      <c r="X228">
        <v>389389</v>
      </c>
      <c r="Y228">
        <v>239993</v>
      </c>
      <c r="Z228" s="51">
        <v>33095.78</v>
      </c>
      <c r="AA228" s="32">
        <f t="shared" si="136"/>
        <v>7942755529.54</v>
      </c>
      <c r="AB228">
        <v>19604</v>
      </c>
      <c r="AC228" s="37">
        <f t="shared" si="137"/>
        <v>5.034554134811204E-2</v>
      </c>
      <c r="AD228" s="50">
        <f>+'Revenue mile elasticities'!M257</f>
        <v>2336216</v>
      </c>
      <c r="AE228" s="3">
        <f t="shared" si="140"/>
        <v>23362.16</v>
      </c>
      <c r="AF228" s="11">
        <f>+'Revenue mile elasticities'!P257</f>
        <v>3.0297650839324493E-3</v>
      </c>
      <c r="AG228" s="11">
        <f>+'Revenue mile elasticities'!Q257</f>
        <v>1.1966760819645249E-2</v>
      </c>
      <c r="AH228" s="11">
        <f>+'Revenue mile elasticities'!R257</f>
        <v>8.3127128656630377E-3</v>
      </c>
      <c r="AI228" s="11">
        <f>+'Revenue mile elasticities'!S257</f>
        <v>1.417116412852727E-2</v>
      </c>
      <c r="AJ228" s="32">
        <f t="shared" si="141"/>
        <v>240646.83373611688</v>
      </c>
      <c r="AK228" s="33">
        <f t="shared" si="142"/>
        <v>3.02976508393245E-5</v>
      </c>
      <c r="AL228" s="40">
        <f t="shared" si="143"/>
        <v>950490.55670919933</v>
      </c>
      <c r="AM228" s="33">
        <f t="shared" si="144"/>
        <v>1.196676081964525E-4</v>
      </c>
      <c r="AN228" s="40">
        <f t="shared" si="145"/>
        <v>1629624.2301845818</v>
      </c>
      <c r="AO228" s="41">
        <f t="shared" si="146"/>
        <v>8.3127128656630372E-5</v>
      </c>
      <c r="AP228" s="40">
        <f t="shared" si="147"/>
        <v>2778115.015756486</v>
      </c>
      <c r="AQ228" s="41">
        <f t="shared" si="148"/>
        <v>1.417116412852727E-4</v>
      </c>
      <c r="AR228" s="53"/>
      <c r="AS228" s="53"/>
      <c r="BH228" t="s">
        <v>503</v>
      </c>
      <c r="BI228">
        <v>389389</v>
      </c>
      <c r="BJ228">
        <v>239993</v>
      </c>
      <c r="BK228" s="51">
        <v>33095.78</v>
      </c>
      <c r="BL228" s="32">
        <f t="shared" si="138"/>
        <v>7942755529.54</v>
      </c>
      <c r="BM228">
        <v>19604</v>
      </c>
      <c r="BN228" s="37">
        <f t="shared" si="139"/>
        <v>5.034554134811204E-2</v>
      </c>
      <c r="BO228" s="50">
        <f t="shared" si="149"/>
        <v>2336216</v>
      </c>
      <c r="BP228" s="3">
        <f t="shared" si="150"/>
        <v>23362.16</v>
      </c>
      <c r="BQ228" s="11">
        <f>+'Rev mile pop elasticities'!P258</f>
        <v>2.1039857297252874E-2</v>
      </c>
      <c r="BR228" s="11">
        <f>+'Rev mile pop elasticities'!Q258</f>
        <v>4.3158220120239663E-2</v>
      </c>
      <c r="BS228" s="11">
        <f>+'Rev mile pop elasticities'!R258</f>
        <v>5.7726684281271423E-2</v>
      </c>
      <c r="BT228" s="11">
        <f>+'Rev mile pop elasticities'!S258</f>
        <v>5.1108418563441706E-2</v>
      </c>
      <c r="BU228" s="32">
        <f t="shared" si="151"/>
        <v>1671144.4288848781</v>
      </c>
      <c r="BV228" s="33">
        <f t="shared" si="152"/>
        <v>2.1039857297252876E-4</v>
      </c>
      <c r="BW228" s="40">
        <f t="shared" si="153"/>
        <v>3427951.9150513811</v>
      </c>
      <c r="BX228" s="33">
        <f t="shared" si="154"/>
        <v>4.3158220120239666E-4</v>
      </c>
      <c r="BY228" s="40">
        <f t="shared" si="155"/>
        <v>11316739.186500449</v>
      </c>
      <c r="BZ228" s="41">
        <f t="shared" si="156"/>
        <v>5.7726684281271426E-4</v>
      </c>
      <c r="CA228" s="40">
        <f t="shared" si="157"/>
        <v>10019294.375177113</v>
      </c>
      <c r="CB228" s="41">
        <f t="shared" si="158"/>
        <v>5.110841856344171E-4</v>
      </c>
      <c r="CQ228" s="70">
        <f t="shared" si="159"/>
        <v>1.002724386695099</v>
      </c>
      <c r="CR228" s="70">
        <f t="shared" si="160"/>
        <v>6.963304883412758</v>
      </c>
      <c r="CS228" s="70">
        <f t="shared" si="161"/>
        <v>7.9660292701078568</v>
      </c>
      <c r="CT228" s="70">
        <f t="shared" si="162"/>
        <v>3.9604928339959886</v>
      </c>
      <c r="CU228" s="70">
        <f t="shared" si="163"/>
        <v>14.283549582910256</v>
      </c>
      <c r="CV228" s="70">
        <f t="shared" si="164"/>
        <v>18.244042416906243</v>
      </c>
      <c r="CW228" s="69">
        <f t="shared" si="165"/>
        <v>6.7902990094902007</v>
      </c>
      <c r="CX228" s="69">
        <f t="shared" si="166"/>
        <v>47.154455282030931</v>
      </c>
      <c r="CY228" s="70">
        <f t="shared" si="167"/>
        <v>53.944754291521129</v>
      </c>
      <c r="CZ228" s="69">
        <f t="shared" si="168"/>
        <v>11.57581686031045</v>
      </c>
      <c r="DA228" s="69">
        <f t="shared" si="169"/>
        <v>41.74827755466665</v>
      </c>
      <c r="DB228" s="70">
        <f t="shared" si="170"/>
        <v>53.324094414977097</v>
      </c>
    </row>
    <row r="229" spans="23:106">
      <c r="W229" t="s">
        <v>504</v>
      </c>
      <c r="X229">
        <v>142764</v>
      </c>
      <c r="Y229">
        <v>95115</v>
      </c>
      <c r="Z229" s="51">
        <v>32321.68</v>
      </c>
      <c r="AA229" s="32">
        <f t="shared" si="136"/>
        <v>3074276593.1999998</v>
      </c>
      <c r="AB229">
        <v>5817</v>
      </c>
      <c r="AC229" s="37">
        <f t="shared" si="137"/>
        <v>4.0745566109103133E-2</v>
      </c>
      <c r="AD229" s="50">
        <f>+'Revenue mile elasticities'!M258</f>
        <v>507019</v>
      </c>
      <c r="AE229" s="3">
        <f t="shared" si="140"/>
        <v>5070.1900000000005</v>
      </c>
      <c r="AF229" s="11">
        <f>+'Revenue mile elasticities'!P258</f>
        <v>5.9091150991441533E-4</v>
      </c>
      <c r="AG229" s="11">
        <f>+'Revenue mile elasticities'!Q258</f>
        <v>2.3339422393577566E-3</v>
      </c>
      <c r="AH229" s="11">
        <f>+'Revenue mile elasticities'!R258</f>
        <v>1.6212734568048942E-3</v>
      </c>
      <c r="AI229" s="11">
        <f>+'Revenue mile elasticities'!S258</f>
        <v>2.7638789676605012E-3</v>
      </c>
      <c r="AJ229" s="32">
        <f t="shared" si="141"/>
        <v>18166.25423582357</v>
      </c>
      <c r="AK229" s="33">
        <f t="shared" si="142"/>
        <v>5.9091150991441546E-6</v>
      </c>
      <c r="AL229" s="40">
        <f t="shared" si="143"/>
        <v>71751.839963383434</v>
      </c>
      <c r="AM229" s="33">
        <f t="shared" si="144"/>
        <v>2.3339422393577568E-5</v>
      </c>
      <c r="AN229" s="40">
        <f t="shared" si="145"/>
        <v>94309.476982340682</v>
      </c>
      <c r="AO229" s="41">
        <f t="shared" si="146"/>
        <v>1.6212734568048939E-5</v>
      </c>
      <c r="AP229" s="40">
        <f t="shared" si="147"/>
        <v>160774.83954881137</v>
      </c>
      <c r="AQ229" s="41">
        <f t="shared" si="148"/>
        <v>2.7638789676605016E-5</v>
      </c>
      <c r="AR229" s="53"/>
      <c r="AS229" s="53"/>
      <c r="BH229" t="s">
        <v>504</v>
      </c>
      <c r="BI229">
        <v>142764</v>
      </c>
      <c r="BJ229">
        <v>95115</v>
      </c>
      <c r="BK229" s="51">
        <v>32321.68</v>
      </c>
      <c r="BL229" s="32">
        <f t="shared" si="138"/>
        <v>3074276593.1999998</v>
      </c>
      <c r="BM229">
        <v>5817</v>
      </c>
      <c r="BN229" s="37">
        <f t="shared" si="139"/>
        <v>4.0745566109103133E-2</v>
      </c>
      <c r="BO229" s="50">
        <f t="shared" si="149"/>
        <v>507019</v>
      </c>
      <c r="BP229" s="3">
        <f t="shared" si="150"/>
        <v>5070.1900000000005</v>
      </c>
      <c r="BQ229" s="11">
        <f>+'Rev mile pop elasticities'!P259</f>
        <v>1.2454290784651592E-2</v>
      </c>
      <c r="BR229" s="11">
        <f>+'Rev mile pop elasticities'!Q259</f>
        <v>2.5546989959653696E-2</v>
      </c>
      <c r="BS229" s="11">
        <f>+'Rev mile pop elasticities'!R259</f>
        <v>3.4170617315289566E-2</v>
      </c>
      <c r="BT229" s="11">
        <f>+'Rev mile pop elasticities'!S259</f>
        <v>3.0253014425905694E-2</v>
      </c>
      <c r="BU229" s="32">
        <f t="shared" si="151"/>
        <v>382879.3464416085</v>
      </c>
      <c r="BV229" s="33">
        <f t="shared" si="152"/>
        <v>1.2454290784651593E-4</v>
      </c>
      <c r="BW229" s="40">
        <f t="shared" si="153"/>
        <v>785385.13259678765</v>
      </c>
      <c r="BX229" s="33">
        <f t="shared" si="154"/>
        <v>2.5546989959653694E-4</v>
      </c>
      <c r="BY229" s="40">
        <f t="shared" si="155"/>
        <v>1987704.8092303942</v>
      </c>
      <c r="BZ229" s="41">
        <f t="shared" si="156"/>
        <v>3.4170617315289572E-4</v>
      </c>
      <c r="CA229" s="40">
        <f t="shared" si="157"/>
        <v>1759817.8491549343</v>
      </c>
      <c r="CB229" s="41">
        <f t="shared" si="158"/>
        <v>3.0253014425905698E-4</v>
      </c>
      <c r="CQ229" s="70">
        <f t="shared" si="159"/>
        <v>0.19099252731770561</v>
      </c>
      <c r="CR229" s="70">
        <f t="shared" si="160"/>
        <v>4.025436013684577</v>
      </c>
      <c r="CS229" s="70">
        <f t="shared" si="161"/>
        <v>4.2164285410022826</v>
      </c>
      <c r="CT229" s="70">
        <f t="shared" si="162"/>
        <v>0.75436934199004824</v>
      </c>
      <c r="CU229" s="70">
        <f t="shared" si="163"/>
        <v>8.2572163443913968</v>
      </c>
      <c r="CV229" s="70">
        <f t="shared" si="164"/>
        <v>9.0115856863814443</v>
      </c>
      <c r="CW229" s="69">
        <f t="shared" si="165"/>
        <v>0.99153106221248677</v>
      </c>
      <c r="CX229" s="69">
        <f t="shared" si="166"/>
        <v>20.897911046947318</v>
      </c>
      <c r="CY229" s="70">
        <f t="shared" si="167"/>
        <v>21.889442109159805</v>
      </c>
      <c r="CZ229" s="69">
        <f t="shared" si="168"/>
        <v>1.6903205545793132</v>
      </c>
      <c r="DA229" s="69">
        <f t="shared" si="169"/>
        <v>18.502001252745984</v>
      </c>
      <c r="DB229" s="70">
        <f t="shared" si="170"/>
        <v>20.192321807325296</v>
      </c>
    </row>
    <row r="230" spans="23:106">
      <c r="W230" t="s">
        <v>505</v>
      </c>
      <c r="X230">
        <v>233503</v>
      </c>
      <c r="Y230">
        <v>176693</v>
      </c>
      <c r="Z230" s="51">
        <v>35230.29</v>
      </c>
      <c r="AA230" s="32">
        <f t="shared" si="136"/>
        <v>6224945630.9700003</v>
      </c>
      <c r="AB230">
        <v>13366</v>
      </c>
      <c r="AC230" s="37">
        <f t="shared" si="137"/>
        <v>5.7241234587992448E-2</v>
      </c>
      <c r="AD230" s="50">
        <f>+'Revenue mile elasticities'!M259</f>
        <v>719079</v>
      </c>
      <c r="AE230" s="3">
        <f t="shared" si="140"/>
        <v>7190.79</v>
      </c>
      <c r="AF230" s="11">
        <f>+'Revenue mile elasticities'!P259</f>
        <v>4.7107942388394954E-4</v>
      </c>
      <c r="AG230" s="11">
        <f>+'Revenue mile elasticities'!Q259</f>
        <v>1.8606375862509586E-3</v>
      </c>
      <c r="AH230" s="11">
        <f>+'Revenue mile elasticities'!R259</f>
        <v>1.2924922821364682E-3</v>
      </c>
      <c r="AI230" s="11">
        <f>+'Revenue mile elasticities'!S259</f>
        <v>2.2033866152971877E-3</v>
      </c>
      <c r="AJ230" s="32">
        <f t="shared" si="141"/>
        <v>29324.438015462565</v>
      </c>
      <c r="AK230" s="33">
        <f t="shared" si="142"/>
        <v>4.7107942388394955E-6</v>
      </c>
      <c r="AL230" s="40">
        <f t="shared" si="143"/>
        <v>115823.67813351472</v>
      </c>
      <c r="AM230" s="33">
        <f t="shared" si="144"/>
        <v>1.8606375862509588E-5</v>
      </c>
      <c r="AN230" s="40">
        <f t="shared" si="145"/>
        <v>172754.51843036033</v>
      </c>
      <c r="AO230" s="41">
        <f t="shared" si="146"/>
        <v>1.2924922821364682E-5</v>
      </c>
      <c r="AP230" s="40">
        <f t="shared" si="147"/>
        <v>294504.65500062204</v>
      </c>
      <c r="AQ230" s="41">
        <f t="shared" si="148"/>
        <v>2.2033866152971873E-5</v>
      </c>
      <c r="AR230" s="53"/>
      <c r="AS230" s="53"/>
      <c r="BH230" t="s">
        <v>505</v>
      </c>
      <c r="BI230">
        <v>233503</v>
      </c>
      <c r="BJ230">
        <v>176693</v>
      </c>
      <c r="BK230" s="51">
        <v>35230.29</v>
      </c>
      <c r="BL230" s="32">
        <f t="shared" si="138"/>
        <v>6224945630.9700003</v>
      </c>
      <c r="BM230">
        <v>13366</v>
      </c>
      <c r="BN230" s="37">
        <f t="shared" si="139"/>
        <v>5.7241234587992448E-2</v>
      </c>
      <c r="BO230" s="50">
        <f t="shared" si="149"/>
        <v>719079</v>
      </c>
      <c r="BP230" s="3">
        <f t="shared" si="150"/>
        <v>7190.79</v>
      </c>
      <c r="BQ230" s="11">
        <f>+'Rev mile pop elasticities'!P260</f>
        <v>1.0799349981713295E-2</v>
      </c>
      <c r="BR230" s="11">
        <f>+'Rev mile pop elasticities'!Q260</f>
        <v>2.2152275896241164E-2</v>
      </c>
      <c r="BS230" s="11">
        <f>+'Rev mile pop elasticities'!R260</f>
        <v>2.9629985509393882E-2</v>
      </c>
      <c r="BT230" s="11">
        <f>+'Rev mile pop elasticities'!S260</f>
        <v>2.6232958298180325E-2</v>
      </c>
      <c r="BU230" s="32">
        <f t="shared" si="151"/>
        <v>672253.66485982132</v>
      </c>
      <c r="BV230" s="33">
        <f t="shared" si="152"/>
        <v>1.0799349981713296E-4</v>
      </c>
      <c r="BW230" s="40">
        <f t="shared" si="153"/>
        <v>1378967.1305634847</v>
      </c>
      <c r="BX230" s="33">
        <f t="shared" si="154"/>
        <v>2.2152275896241162E-4</v>
      </c>
      <c r="BY230" s="40">
        <f t="shared" si="155"/>
        <v>3960343.8631855869</v>
      </c>
      <c r="BZ230" s="41">
        <f t="shared" si="156"/>
        <v>2.9629985509393883E-4</v>
      </c>
      <c r="CA230" s="40">
        <f t="shared" si="157"/>
        <v>3506297.2061347826</v>
      </c>
      <c r="CB230" s="41">
        <f t="shared" si="158"/>
        <v>2.623295829818033E-4</v>
      </c>
      <c r="CQ230" s="70">
        <f t="shared" si="159"/>
        <v>0.16596264716464471</v>
      </c>
      <c r="CR230" s="70">
        <f t="shared" si="160"/>
        <v>3.8046423166725414</v>
      </c>
      <c r="CS230" s="70">
        <f t="shared" si="161"/>
        <v>3.9706049638371859</v>
      </c>
      <c r="CT230" s="70">
        <f t="shared" si="162"/>
        <v>0.65550801748521292</v>
      </c>
      <c r="CU230" s="70">
        <f t="shared" si="163"/>
        <v>7.8043110398458611</v>
      </c>
      <c r="CV230" s="70">
        <f t="shared" si="164"/>
        <v>8.4598190573310745</v>
      </c>
      <c r="CW230" s="69">
        <f t="shared" si="165"/>
        <v>0.97771003056352168</v>
      </c>
      <c r="CX230" s="69">
        <f t="shared" si="166"/>
        <v>22.413699825038837</v>
      </c>
      <c r="CY230" s="70">
        <f t="shared" si="167"/>
        <v>23.391409855602358</v>
      </c>
      <c r="CZ230" s="69">
        <f t="shared" si="168"/>
        <v>1.6667590396938308</v>
      </c>
      <c r="DA230" s="69">
        <f t="shared" si="169"/>
        <v>19.844007437390179</v>
      </c>
      <c r="DB230" s="70">
        <f t="shared" si="170"/>
        <v>21.510766477084008</v>
      </c>
    </row>
    <row r="231" spans="23:106">
      <c r="W231" t="s">
        <v>506</v>
      </c>
      <c r="X231">
        <v>318129</v>
      </c>
      <c r="Y231">
        <v>173864</v>
      </c>
      <c r="Z231" s="51">
        <v>34269.46</v>
      </c>
      <c r="AA231" s="32">
        <f t="shared" si="136"/>
        <v>5958225393.4399996</v>
      </c>
      <c r="AB231">
        <v>11351</v>
      </c>
      <c r="AC231" s="37">
        <f t="shared" si="137"/>
        <v>3.5680494390640277E-2</v>
      </c>
      <c r="AD231" s="50">
        <f>+'Revenue mile elasticities'!M260</f>
        <v>1760451</v>
      </c>
      <c r="AE231" s="3">
        <f t="shared" si="140"/>
        <v>17604.510000000002</v>
      </c>
      <c r="AF231" s="11">
        <f>+'Revenue mile elasticities'!P260</f>
        <v>1.6191917753531104E-3</v>
      </c>
      <c r="AG231" s="11">
        <f>+'Revenue mile elasticities'!Q260</f>
        <v>6.3953739514477316E-3</v>
      </c>
      <c r="AH231" s="11">
        <f>+'Revenue mile elasticities'!R260</f>
        <v>4.4425478312937325E-3</v>
      </c>
      <c r="AI231" s="11">
        <f>+'Revenue mile elasticities'!S260</f>
        <v>7.5734691530302085E-3</v>
      </c>
      <c r="AJ231" s="32">
        <f t="shared" si="141"/>
        <v>96475.095527580983</v>
      </c>
      <c r="AK231" s="33">
        <f t="shared" si="142"/>
        <v>1.6191917753531104E-5</v>
      </c>
      <c r="AL231" s="40">
        <f t="shared" si="143"/>
        <v>381050.79478060588</v>
      </c>
      <c r="AM231" s="33">
        <f t="shared" si="144"/>
        <v>6.3953739514477327E-5</v>
      </c>
      <c r="AN231" s="40">
        <f t="shared" si="145"/>
        <v>504273.60433015169</v>
      </c>
      <c r="AO231" s="41">
        <f t="shared" si="146"/>
        <v>4.4425478312937335E-5</v>
      </c>
      <c r="AP231" s="40">
        <f t="shared" si="147"/>
        <v>859664.48356045899</v>
      </c>
      <c r="AQ231" s="41">
        <f t="shared" si="148"/>
        <v>7.5734691530302087E-5</v>
      </c>
      <c r="AR231" s="53"/>
      <c r="AS231" s="53"/>
      <c r="BH231" t="s">
        <v>506</v>
      </c>
      <c r="BI231">
        <v>318129</v>
      </c>
      <c r="BJ231">
        <v>173864</v>
      </c>
      <c r="BK231" s="51">
        <v>34269.46</v>
      </c>
      <c r="BL231" s="32">
        <f t="shared" si="138"/>
        <v>5958225393.4399996</v>
      </c>
      <c r="BM231">
        <v>11351</v>
      </c>
      <c r="BN231" s="37">
        <f t="shared" si="139"/>
        <v>3.5680494390640277E-2</v>
      </c>
      <c r="BO231" s="50">
        <f t="shared" si="149"/>
        <v>1760451</v>
      </c>
      <c r="BP231" s="3">
        <f t="shared" si="150"/>
        <v>17604.510000000002</v>
      </c>
      <c r="BQ231" s="11">
        <f>+'Rev mile pop elasticities'!P261</f>
        <v>1.9405916391841044E-2</v>
      </c>
      <c r="BR231" s="11">
        <f>+'Rev mile pop elasticities'!Q261</f>
        <v>3.980658230906331E-2</v>
      </c>
      <c r="BS231" s="11">
        <f>+'Rev mile pop elasticities'!R261</f>
        <v>5.3243669522740775E-2</v>
      </c>
      <c r="BT231" s="11">
        <f>+'Rev mile pop elasticities'!S261</f>
        <v>4.7139373787048661E-2</v>
      </c>
      <c r="BU231" s="32">
        <f t="shared" si="151"/>
        <v>1156248.2382884086</v>
      </c>
      <c r="BV231" s="33">
        <f t="shared" si="152"/>
        <v>1.9405916391841048E-4</v>
      </c>
      <c r="BW231" s="40">
        <f t="shared" si="153"/>
        <v>2371765.8953992049</v>
      </c>
      <c r="BX231" s="33">
        <f t="shared" si="154"/>
        <v>3.9806582309063316E-4</v>
      </c>
      <c r="BY231" s="40">
        <f t="shared" si="155"/>
        <v>6043688.9275263054</v>
      </c>
      <c r="BZ231" s="41">
        <f t="shared" si="156"/>
        <v>5.3243669522740772E-4</v>
      </c>
      <c r="CA231" s="40">
        <f t="shared" si="157"/>
        <v>5350790.3185678935</v>
      </c>
      <c r="CB231" s="41">
        <f t="shared" si="158"/>
        <v>4.7139373787048663E-4</v>
      </c>
      <c r="CQ231" s="70">
        <f t="shared" si="159"/>
        <v>0.55488827777792404</v>
      </c>
      <c r="CR231" s="70">
        <f t="shared" si="160"/>
        <v>6.6503027555354102</v>
      </c>
      <c r="CS231" s="70">
        <f t="shared" si="161"/>
        <v>7.2051910333133344</v>
      </c>
      <c r="CT231" s="70">
        <f t="shared" si="162"/>
        <v>2.1916601181417996</v>
      </c>
      <c r="CU231" s="70">
        <f t="shared" si="163"/>
        <v>13.641500801771528</v>
      </c>
      <c r="CV231" s="70">
        <f t="shared" si="164"/>
        <v>15.833160919913327</v>
      </c>
      <c r="CW231" s="69">
        <f t="shared" si="165"/>
        <v>2.9003911351984981</v>
      </c>
      <c r="CX231" s="69">
        <f t="shared" si="166"/>
        <v>34.76101393920711</v>
      </c>
      <c r="CY231" s="70">
        <f t="shared" si="167"/>
        <v>37.661405074405607</v>
      </c>
      <c r="CZ231" s="69">
        <f t="shared" si="168"/>
        <v>4.9444651196363765</v>
      </c>
      <c r="DA231" s="69">
        <f t="shared" si="169"/>
        <v>30.775723085675548</v>
      </c>
      <c r="DB231" s="70">
        <f t="shared" si="170"/>
        <v>35.720188205311928</v>
      </c>
    </row>
    <row r="232" spans="23:106">
      <c r="W232" t="s">
        <v>507</v>
      </c>
      <c r="X232">
        <v>282520</v>
      </c>
      <c r="Y232">
        <v>157940</v>
      </c>
      <c r="Z232" s="51">
        <v>37056.980000000003</v>
      </c>
      <c r="AA232" s="32">
        <f t="shared" si="136"/>
        <v>5852779421.2000008</v>
      </c>
      <c r="AB232">
        <v>8900</v>
      </c>
      <c r="AC232" s="37">
        <f t="shared" si="137"/>
        <v>3.1502194534900184E-2</v>
      </c>
      <c r="AD232" s="50">
        <f>+'Revenue mile elasticities'!M261</f>
        <v>273089</v>
      </c>
      <c r="AE232" s="3">
        <f t="shared" si="140"/>
        <v>2730.89</v>
      </c>
      <c r="AF232" s="11">
        <f>+'Revenue mile elasticities'!P261</f>
        <v>2.4541848281280749E-4</v>
      </c>
      <c r="AG232" s="11">
        <f>+'Revenue mile elasticities'!Q261</f>
        <v>9.6933729288648895E-4</v>
      </c>
      <c r="AH232" s="11">
        <f>+'Revenue mile elasticities'!R261</f>
        <v>6.7335034995571737E-4</v>
      </c>
      <c r="AI232" s="11">
        <f>+'Revenue mile elasticities'!S261</f>
        <v>1.1478994257866316E-3</v>
      </c>
      <c r="AJ232" s="32">
        <f t="shared" si="141"/>
        <v>14363.802457889258</v>
      </c>
      <c r="AK232" s="33">
        <f t="shared" si="142"/>
        <v>2.4541848281280749E-6</v>
      </c>
      <c r="AL232" s="40">
        <f t="shared" si="143"/>
        <v>56733.173600077607</v>
      </c>
      <c r="AM232" s="33">
        <f t="shared" si="144"/>
        <v>9.6933729288648895E-6</v>
      </c>
      <c r="AN232" s="40">
        <f t="shared" si="145"/>
        <v>59928.181146058851</v>
      </c>
      <c r="AO232" s="41">
        <f t="shared" si="146"/>
        <v>6.7335034995571741E-6</v>
      </c>
      <c r="AP232" s="40">
        <f t="shared" si="147"/>
        <v>102163.04889501022</v>
      </c>
      <c r="AQ232" s="41">
        <f t="shared" si="148"/>
        <v>1.1478994257866318E-5</v>
      </c>
      <c r="AR232" s="53"/>
      <c r="AS232" s="53"/>
      <c r="BH232" t="s">
        <v>507</v>
      </c>
      <c r="BI232">
        <v>282520</v>
      </c>
      <c r="BJ232">
        <v>157940</v>
      </c>
      <c r="BK232" s="51">
        <v>37056.980000000003</v>
      </c>
      <c r="BL232" s="32">
        <f t="shared" si="138"/>
        <v>5852779421.2000008</v>
      </c>
      <c r="BM232">
        <v>8900</v>
      </c>
      <c r="BN232" s="37">
        <f t="shared" si="139"/>
        <v>3.1502194534900184E-2</v>
      </c>
      <c r="BO232" s="50">
        <f t="shared" si="149"/>
        <v>273089</v>
      </c>
      <c r="BP232" s="3">
        <f t="shared" si="150"/>
        <v>2730.89</v>
      </c>
      <c r="BQ232" s="11">
        <f>+'Rev mile pop elasticities'!P262</f>
        <v>3.3897563605408462E-3</v>
      </c>
      <c r="BR232" s="11">
        <f>+'Rev mile pop elasticities'!Q262</f>
        <v>6.9532720253433393E-3</v>
      </c>
      <c r="BS232" s="11">
        <f>+'Rev mile pop elasticities'!R262</f>
        <v>9.3004145632167631E-3</v>
      </c>
      <c r="BT232" s="11">
        <f>+'Rev mile pop elasticities'!S262</f>
        <v>8.2341379247486916E-3</v>
      </c>
      <c r="BU232" s="32">
        <f t="shared" si="151"/>
        <v>198394.96269855276</v>
      </c>
      <c r="BV232" s="33">
        <f t="shared" si="152"/>
        <v>3.3897563605408462E-5</v>
      </c>
      <c r="BW232" s="40">
        <f t="shared" si="153"/>
        <v>406959.67419935152</v>
      </c>
      <c r="BX232" s="33">
        <f t="shared" si="154"/>
        <v>6.9532720253433404E-5</v>
      </c>
      <c r="BY232" s="40">
        <f t="shared" si="155"/>
        <v>827736.89612629183</v>
      </c>
      <c r="BZ232" s="41">
        <f t="shared" si="156"/>
        <v>9.3004145632167627E-5</v>
      </c>
      <c r="CA232" s="40">
        <f t="shared" si="157"/>
        <v>732838.27530263353</v>
      </c>
      <c r="CB232" s="41">
        <f t="shared" si="158"/>
        <v>8.2341379247486906E-5</v>
      </c>
      <c r="CQ232" s="70">
        <f t="shared" si="159"/>
        <v>9.0944678092245532E-2</v>
      </c>
      <c r="CR232" s="70">
        <f t="shared" si="160"/>
        <v>1.2561413365743495</v>
      </c>
      <c r="CS232" s="70">
        <f t="shared" si="161"/>
        <v>1.3470860146665951</v>
      </c>
      <c r="CT232" s="70">
        <f t="shared" si="162"/>
        <v>0.35920712675748773</v>
      </c>
      <c r="CU232" s="70">
        <f t="shared" si="163"/>
        <v>2.576672623777077</v>
      </c>
      <c r="CV232" s="70">
        <f t="shared" si="164"/>
        <v>2.9358797505345646</v>
      </c>
      <c r="CW232" s="69">
        <f t="shared" si="165"/>
        <v>0.37943637549739678</v>
      </c>
      <c r="CX232" s="69">
        <f t="shared" si="166"/>
        <v>5.2408313038260852</v>
      </c>
      <c r="CY232" s="70">
        <f t="shared" si="167"/>
        <v>5.620267679323482</v>
      </c>
      <c r="CZ232" s="69">
        <f t="shared" si="168"/>
        <v>0.64684721346720409</v>
      </c>
      <c r="DA232" s="69">
        <f t="shared" si="169"/>
        <v>4.639978949617789</v>
      </c>
      <c r="DB232" s="70">
        <f t="shared" si="170"/>
        <v>5.2868261630849931</v>
      </c>
    </row>
    <row r="233" spans="23:106">
      <c r="W233" t="s">
        <v>508</v>
      </c>
      <c r="X233">
        <v>462408</v>
      </c>
      <c r="Y233">
        <v>282327</v>
      </c>
      <c r="Z233" s="51">
        <v>36279.089999999997</v>
      </c>
      <c r="AA233" s="32">
        <f t="shared" si="136"/>
        <v>10242566642.429998</v>
      </c>
      <c r="AB233">
        <v>14912</v>
      </c>
      <c r="AC233" s="37">
        <f t="shared" si="137"/>
        <v>3.2248577014238507E-2</v>
      </c>
      <c r="AD233" s="50">
        <f>+'Revenue mile elasticities'!M262</f>
        <v>5718006</v>
      </c>
      <c r="AE233" s="3">
        <f t="shared" si="140"/>
        <v>57180.06</v>
      </c>
      <c r="AF233" s="11">
        <f>+'Revenue mile elasticities'!P262</f>
        <v>3.2266533366867843E-3</v>
      </c>
      <c r="AG233" s="11">
        <f>+'Revenue mile elasticities'!Q262</f>
        <v>1.2744416698447213E-2</v>
      </c>
      <c r="AH233" s="11">
        <f>+'Revenue mile elasticities'!R262</f>
        <v>8.8529116818843179E-3</v>
      </c>
      <c r="AI233" s="11">
        <f>+'Revenue mile elasticities'!S262</f>
        <v>1.5092072406055909E-2</v>
      </c>
      <c r="AJ233" s="32">
        <f t="shared" si="141"/>
        <v>330492.11833033507</v>
      </c>
      <c r="AK233" s="33">
        <f t="shared" si="142"/>
        <v>3.2266533366867842E-5</v>
      </c>
      <c r="AL233" s="40">
        <f t="shared" si="143"/>
        <v>1305355.3735274328</v>
      </c>
      <c r="AM233" s="33">
        <f t="shared" si="144"/>
        <v>1.2744416698447214E-4</v>
      </c>
      <c r="AN233" s="40">
        <f t="shared" si="145"/>
        <v>1320146.1900025895</v>
      </c>
      <c r="AO233" s="41">
        <f t="shared" si="146"/>
        <v>8.8529116818843179E-5</v>
      </c>
      <c r="AP233" s="40">
        <f t="shared" si="147"/>
        <v>2250529.8371910569</v>
      </c>
      <c r="AQ233" s="41">
        <f t="shared" si="148"/>
        <v>1.5092072406055909E-4</v>
      </c>
      <c r="AR233" s="53"/>
      <c r="AS233" s="53"/>
      <c r="BH233" t="s">
        <v>508</v>
      </c>
      <c r="BI233">
        <v>462408</v>
      </c>
      <c r="BJ233">
        <v>282327</v>
      </c>
      <c r="BK233" s="51">
        <v>36279.089999999997</v>
      </c>
      <c r="BL233" s="32">
        <f t="shared" si="138"/>
        <v>10242566642.429998</v>
      </c>
      <c r="BM233">
        <v>14912</v>
      </c>
      <c r="BN233" s="37">
        <f t="shared" si="139"/>
        <v>3.2248577014238507E-2</v>
      </c>
      <c r="BO233" s="50">
        <f t="shared" si="149"/>
        <v>5718006</v>
      </c>
      <c r="BP233" s="3">
        <f t="shared" si="150"/>
        <v>57180.06</v>
      </c>
      <c r="BQ233" s="11">
        <f>+'Rev mile pop elasticities'!P263</f>
        <v>4.3364340151813972E-2</v>
      </c>
      <c r="BR233" s="11">
        <f>+'Rev mile pop elasticities'!Q263</f>
        <v>8.8951541410183216E-2</v>
      </c>
      <c r="BS233" s="11">
        <f>+'Rev mile pop elasticities'!R263</f>
        <v>0.11897797297970621</v>
      </c>
      <c r="BT233" s="11">
        <f>+'Rev mile pop elasticities'!S263</f>
        <v>0.10533735166995381</v>
      </c>
      <c r="BU233" s="32">
        <f t="shared" si="151"/>
        <v>4441621.4390995763</v>
      </c>
      <c r="BV233" s="33">
        <f t="shared" si="152"/>
        <v>4.3364340151813975E-4</v>
      </c>
      <c r="BW233" s="40">
        <f t="shared" si="153"/>
        <v>9110920.9084067326</v>
      </c>
      <c r="BX233" s="33">
        <f t="shared" si="154"/>
        <v>8.8951541410183215E-4</v>
      </c>
      <c r="BY233" s="40">
        <f t="shared" si="155"/>
        <v>17741995.330733791</v>
      </c>
      <c r="BZ233" s="41">
        <f t="shared" si="156"/>
        <v>1.1897797297970622E-3</v>
      </c>
      <c r="CA233" s="40">
        <f t="shared" si="157"/>
        <v>15707905.881023511</v>
      </c>
      <c r="CB233" s="41">
        <f t="shared" si="158"/>
        <v>1.053373516699538E-3</v>
      </c>
      <c r="CQ233" s="70">
        <f t="shared" si="159"/>
        <v>1.1706004680046014</v>
      </c>
      <c r="CR233" s="70">
        <f t="shared" si="160"/>
        <v>15.732187991582727</v>
      </c>
      <c r="CS233" s="70">
        <f t="shared" si="161"/>
        <v>16.902788459587327</v>
      </c>
      <c r="CT233" s="70">
        <f t="shared" si="162"/>
        <v>4.623558404004692</v>
      </c>
      <c r="CU233" s="70">
        <f t="shared" si="163"/>
        <v>32.270809764587632</v>
      </c>
      <c r="CV233" s="70">
        <f t="shared" si="164"/>
        <v>36.894368168592322</v>
      </c>
      <c r="CW233" s="69">
        <f t="shared" si="165"/>
        <v>4.6759473589227722</v>
      </c>
      <c r="CX233" s="69">
        <f t="shared" si="166"/>
        <v>62.842007072415285</v>
      </c>
      <c r="CY233" s="70">
        <f t="shared" si="167"/>
        <v>67.517954431338055</v>
      </c>
      <c r="CZ233" s="69">
        <f t="shared" si="168"/>
        <v>7.971358875314996</v>
      </c>
      <c r="DA233" s="69">
        <f t="shared" si="169"/>
        <v>55.637278336905474</v>
      </c>
      <c r="DB233" s="70">
        <f t="shared" si="170"/>
        <v>63.608637212220472</v>
      </c>
    </row>
    <row r="234" spans="23:106">
      <c r="W234" t="s">
        <v>509</v>
      </c>
      <c r="X234" s="3">
        <v>207305</v>
      </c>
      <c r="Y234" s="3">
        <v>138600</v>
      </c>
      <c r="Z234" s="51">
        <v>34693.75</v>
      </c>
      <c r="AA234" s="32">
        <f t="shared" si="136"/>
        <v>4808553750</v>
      </c>
      <c r="AB234" s="3">
        <v>6374</v>
      </c>
      <c r="AC234" s="37">
        <f t="shared" si="137"/>
        <v>3.074696702925641E-2</v>
      </c>
      <c r="AD234" s="50">
        <f>+'Revenue mile elasticities'!M263</f>
        <v>1203481</v>
      </c>
      <c r="AE234" s="3">
        <f t="shared" si="140"/>
        <v>12034.81</v>
      </c>
      <c r="AF234" s="11">
        <f>+'Revenue mile elasticities'!P263</f>
        <v>8.0144536204976291E-4</v>
      </c>
      <c r="AG234" s="11">
        <f>+'Revenue mile elasticities'!Q263</f>
        <v>3.1654945819150301E-3</v>
      </c>
      <c r="AH234" s="11">
        <f>+'Revenue mile elasticities'!R263</f>
        <v>2.1989114626636093E-3</v>
      </c>
      <c r="AI234" s="11">
        <f>+'Revenue mile elasticities'!S263</f>
        <v>3.7486120048993779E-3</v>
      </c>
      <c r="AJ234" s="32">
        <f t="shared" si="141"/>
        <v>38537.931011044951</v>
      </c>
      <c r="AK234" s="33">
        <f t="shared" si="142"/>
        <v>8.0144536204976285E-6</v>
      </c>
      <c r="AL234" s="40">
        <f t="shared" si="143"/>
        <v>152214.50842472201</v>
      </c>
      <c r="AM234" s="33">
        <f t="shared" si="144"/>
        <v>3.16549458191503E-5</v>
      </c>
      <c r="AN234" s="40">
        <f t="shared" si="145"/>
        <v>140158.61663017844</v>
      </c>
      <c r="AO234" s="41">
        <f t="shared" si="146"/>
        <v>2.198911462663609E-5</v>
      </c>
      <c r="AP234" s="40">
        <f t="shared" si="147"/>
        <v>238936.52919228637</v>
      </c>
      <c r="AQ234" s="41">
        <f t="shared" si="148"/>
        <v>3.7486120048993783E-5</v>
      </c>
      <c r="AR234" s="53"/>
      <c r="AS234" s="53"/>
      <c r="BH234" t="s">
        <v>509</v>
      </c>
      <c r="BI234" s="3">
        <v>207305</v>
      </c>
      <c r="BJ234" s="3">
        <v>138600</v>
      </c>
      <c r="BK234" s="51">
        <v>34693.75</v>
      </c>
      <c r="BL234" s="32">
        <f t="shared" si="138"/>
        <v>4808553750</v>
      </c>
      <c r="BM234" s="3">
        <v>6374</v>
      </c>
      <c r="BN234" s="37">
        <f t="shared" si="139"/>
        <v>3.074696702925641E-2</v>
      </c>
      <c r="BO234" s="50">
        <f t="shared" si="149"/>
        <v>1203481</v>
      </c>
      <c r="BP234" s="3">
        <f t="shared" si="150"/>
        <v>12034.81</v>
      </c>
      <c r="BQ234" s="11">
        <f>+'Rev mile pop elasticities'!P264</f>
        <v>2.0358366852801422E-2</v>
      </c>
      <c r="BR234" s="11">
        <f>+'Rev mile pop elasticities'!Q264</f>
        <v>4.1760305952099563E-2</v>
      </c>
      <c r="BS234" s="11">
        <f>+'Rev mile pop elasticities'!R264</f>
        <v>5.5856891004076113E-2</v>
      </c>
      <c r="BT234" s="11">
        <f>+'Rev mile pop elasticities'!S264</f>
        <v>4.9452993890644226E-2</v>
      </c>
      <c r="BU234" s="32">
        <f t="shared" si="151"/>
        <v>978943.01273913973</v>
      </c>
      <c r="BV234" s="33">
        <f t="shared" si="152"/>
        <v>2.0358366852801422E-4</v>
      </c>
      <c r="BW234" s="40">
        <f t="shared" si="153"/>
        <v>2008066.7578711568</v>
      </c>
      <c r="BX234" s="33">
        <f t="shared" si="154"/>
        <v>4.1760305952099561E-4</v>
      </c>
      <c r="BY234" s="40">
        <f t="shared" si="155"/>
        <v>3560318.2325998116</v>
      </c>
      <c r="BZ234" s="41">
        <f t="shared" si="156"/>
        <v>5.5856891004076113E-4</v>
      </c>
      <c r="CA234" s="40">
        <f t="shared" si="157"/>
        <v>3152133.8305896632</v>
      </c>
      <c r="CB234" s="41">
        <f t="shared" si="158"/>
        <v>4.9452993890644224E-4</v>
      </c>
      <c r="CQ234" s="70">
        <f t="shared" si="159"/>
        <v>0.27805145029613965</v>
      </c>
      <c r="CR234" s="70">
        <f t="shared" si="160"/>
        <v>7.0630808999937935</v>
      </c>
      <c r="CS234" s="70">
        <f t="shared" si="161"/>
        <v>7.3411323502899331</v>
      </c>
      <c r="CT234" s="70">
        <f t="shared" si="162"/>
        <v>1.0982287765131458</v>
      </c>
      <c r="CU234" s="70">
        <f t="shared" si="163"/>
        <v>14.488216146256542</v>
      </c>
      <c r="CV234" s="70">
        <f t="shared" si="164"/>
        <v>15.586444922769688</v>
      </c>
      <c r="CW234" s="69">
        <f t="shared" si="165"/>
        <v>1.0112454302321676</v>
      </c>
      <c r="CX234" s="69">
        <f t="shared" si="166"/>
        <v>25.687721735929376</v>
      </c>
      <c r="CY234" s="70">
        <f t="shared" si="167"/>
        <v>26.698967166161545</v>
      </c>
      <c r="CZ234" s="69">
        <f t="shared" si="168"/>
        <v>1.7239287820511282</v>
      </c>
      <c r="DA234" s="69">
        <f t="shared" si="169"/>
        <v>22.742668330372751</v>
      </c>
      <c r="DB234" s="70">
        <f t="shared" si="170"/>
        <v>24.46659711242388</v>
      </c>
    </row>
    <row r="235" spans="23:106">
      <c r="W235" t="s">
        <v>510</v>
      </c>
      <c r="X235" s="3">
        <v>426125</v>
      </c>
      <c r="Y235" s="3">
        <v>270951</v>
      </c>
      <c r="Z235" s="51">
        <v>30982.34</v>
      </c>
      <c r="AA235" s="32">
        <f t="shared" si="136"/>
        <v>8394696005.3400002</v>
      </c>
      <c r="AB235" s="3">
        <v>12666</v>
      </c>
      <c r="AC235" s="37">
        <f t="shared" si="137"/>
        <v>2.9723672631270168E-2</v>
      </c>
      <c r="AD235" s="50">
        <f>+'Revenue mile elasticities'!M264</f>
        <v>1066287</v>
      </c>
      <c r="AE235" s="3">
        <f t="shared" si="140"/>
        <v>10662.87</v>
      </c>
      <c r="AF235" s="11">
        <f>+'Revenue mile elasticities'!P264</f>
        <v>7.4489421199647166E-4</v>
      </c>
      <c r="AG235" s="11">
        <f>+'Revenue mile elasticities'!Q264</f>
        <v>2.9421326815642461E-3</v>
      </c>
      <c r="AH235" s="11">
        <f>+'Revenue mile elasticities'!R264</f>
        <v>2.0437530726256986E-3</v>
      </c>
      <c r="AI235" s="11">
        <f>+'Revenue mile elasticities'!S264</f>
        <v>3.484104491326081E-3</v>
      </c>
      <c r="AJ235" s="32">
        <f t="shared" si="141"/>
        <v>62531.604658476688</v>
      </c>
      <c r="AK235" s="33">
        <f t="shared" si="142"/>
        <v>7.448942119964718E-6</v>
      </c>
      <c r="AL235" s="40">
        <f t="shared" si="143"/>
        <v>246983.09469107643</v>
      </c>
      <c r="AM235" s="33">
        <f t="shared" si="144"/>
        <v>2.9421326815642465E-5</v>
      </c>
      <c r="AN235" s="40">
        <f t="shared" si="145"/>
        <v>258861.764178771</v>
      </c>
      <c r="AO235" s="41">
        <f t="shared" si="146"/>
        <v>2.0437530726256987E-5</v>
      </c>
      <c r="AP235" s="40">
        <f t="shared" si="147"/>
        <v>441296.67487136147</v>
      </c>
      <c r="AQ235" s="41">
        <f t="shared" si="148"/>
        <v>3.4841044913260815E-5</v>
      </c>
      <c r="AR235" s="53"/>
      <c r="AS235" s="53"/>
      <c r="BH235" t="s">
        <v>510</v>
      </c>
      <c r="BI235" s="3">
        <v>426125</v>
      </c>
      <c r="BJ235" s="3">
        <v>270951</v>
      </c>
      <c r="BK235" s="51">
        <v>30982.34</v>
      </c>
      <c r="BL235" s="32">
        <f t="shared" si="138"/>
        <v>8394696005.3400002</v>
      </c>
      <c r="BM235" s="3">
        <v>12666</v>
      </c>
      <c r="BN235" s="37">
        <f t="shared" si="139"/>
        <v>2.9723672631270168E-2</v>
      </c>
      <c r="BO235" s="50">
        <f t="shared" si="149"/>
        <v>1066287</v>
      </c>
      <c r="BP235" s="3">
        <f t="shared" si="150"/>
        <v>10662.87</v>
      </c>
      <c r="BQ235" s="11">
        <f>+'Rev mile pop elasticities'!P265</f>
        <v>8.7750697033499563E-3</v>
      </c>
      <c r="BR235" s="11">
        <f>+'Rev mile pop elasticities'!Q265</f>
        <v>1.7999950497623939E-2</v>
      </c>
      <c r="BS235" s="11">
        <f>+'Rev mile pop elasticities'!R265</f>
        <v>2.4076003518216486E-2</v>
      </c>
      <c r="BT235" s="11">
        <f>+'Rev mile pop elasticities'!S265</f>
        <v>2.1315730852449404E-2</v>
      </c>
      <c r="BU235" s="32">
        <f t="shared" si="151"/>
        <v>736640.42585291946</v>
      </c>
      <c r="BV235" s="33">
        <f t="shared" si="152"/>
        <v>8.7750697033499569E-5</v>
      </c>
      <c r="BW235" s="40">
        <f t="shared" si="153"/>
        <v>1511041.1253872144</v>
      </c>
      <c r="BX235" s="33">
        <f t="shared" si="154"/>
        <v>1.7999950497623939E-4</v>
      </c>
      <c r="BY235" s="40">
        <f t="shared" si="155"/>
        <v>3049466.6056173006</v>
      </c>
      <c r="BZ235" s="41">
        <f t="shared" si="156"/>
        <v>2.407600351821649E-4</v>
      </c>
      <c r="CA235" s="40">
        <f t="shared" si="157"/>
        <v>2699850.4697712418</v>
      </c>
      <c r="CB235" s="41">
        <f t="shared" si="158"/>
        <v>2.1315730852449404E-4</v>
      </c>
      <c r="CQ235" s="70">
        <f t="shared" si="159"/>
        <v>0.23078565740106768</v>
      </c>
      <c r="CR235" s="70">
        <f t="shared" si="160"/>
        <v>2.7187219307288752</v>
      </c>
      <c r="CS235" s="70">
        <f t="shared" si="161"/>
        <v>2.9495075881299431</v>
      </c>
      <c r="CT235" s="70">
        <f t="shared" si="162"/>
        <v>0.91154155065335218</v>
      </c>
      <c r="CU235" s="70">
        <f t="shared" si="163"/>
        <v>5.576805863005541</v>
      </c>
      <c r="CV235" s="70">
        <f t="shared" si="164"/>
        <v>6.488347413658893</v>
      </c>
      <c r="CW235" s="69">
        <f t="shared" si="165"/>
        <v>0.95538220629844883</v>
      </c>
      <c r="CX235" s="69">
        <f t="shared" si="166"/>
        <v>11.254679280081271</v>
      </c>
      <c r="CY235" s="70">
        <f t="shared" si="167"/>
        <v>12.21006148637972</v>
      </c>
      <c r="CZ235" s="69">
        <f t="shared" si="168"/>
        <v>1.6286955016639963</v>
      </c>
      <c r="DA235" s="69">
        <f t="shared" si="169"/>
        <v>9.9643495309898906</v>
      </c>
      <c r="DB235" s="70">
        <f t="shared" si="170"/>
        <v>11.593045032653887</v>
      </c>
    </row>
    <row r="236" spans="23:106">
      <c r="W236" t="s">
        <v>511</v>
      </c>
      <c r="X236" s="3">
        <v>139818</v>
      </c>
      <c r="Y236" s="3">
        <v>67417</v>
      </c>
      <c r="Z236" s="51">
        <v>31100.98</v>
      </c>
      <c r="AA236" s="32">
        <f t="shared" si="136"/>
        <v>2096734768.6600001</v>
      </c>
      <c r="AB236" s="3">
        <v>3072</v>
      </c>
      <c r="AC236" s="37">
        <f t="shared" si="137"/>
        <v>2.1971419988842639E-2</v>
      </c>
      <c r="AD236" s="50">
        <f>+'Revenue mile elasticities'!M265</f>
        <v>233650</v>
      </c>
      <c r="AE236" s="3">
        <f t="shared" si="140"/>
        <v>2336.5</v>
      </c>
      <c r="AF236" s="11">
        <f>+'Revenue mile elasticities'!P265</f>
        <v>2.491707904284814E-4</v>
      </c>
      <c r="AG236" s="11">
        <f>+'Revenue mile elasticities'!Q265</f>
        <v>9.8415790323566534E-4</v>
      </c>
      <c r="AH236" s="11">
        <f>+'Revenue mile elasticities'!R265</f>
        <v>6.836454899842811E-4</v>
      </c>
      <c r="AI236" s="11">
        <f>+'Revenue mile elasticities'!S265</f>
        <v>1.1654501485685511E-3</v>
      </c>
      <c r="AJ236" s="32">
        <f t="shared" si="141"/>
        <v>5224.4505962589128</v>
      </c>
      <c r="AK236" s="33">
        <f t="shared" si="142"/>
        <v>2.4917079042848136E-6</v>
      </c>
      <c r="AL236" s="40">
        <f t="shared" si="143"/>
        <v>20635.180935657434</v>
      </c>
      <c r="AM236" s="33">
        <f t="shared" si="144"/>
        <v>9.8415790323566535E-6</v>
      </c>
      <c r="AN236" s="40">
        <f t="shared" si="145"/>
        <v>21001.589452317116</v>
      </c>
      <c r="AO236" s="41">
        <f t="shared" si="146"/>
        <v>6.836454899842811E-6</v>
      </c>
      <c r="AP236" s="40">
        <f t="shared" si="147"/>
        <v>35802.628564025887</v>
      </c>
      <c r="AQ236" s="41">
        <f t="shared" si="148"/>
        <v>1.165450148568551E-5</v>
      </c>
      <c r="AR236" s="53"/>
      <c r="AS236" s="53"/>
      <c r="BH236" t="s">
        <v>511</v>
      </c>
      <c r="BI236" s="3">
        <v>139818</v>
      </c>
      <c r="BJ236" s="3">
        <v>67417</v>
      </c>
      <c r="BK236" s="51">
        <v>31100.98</v>
      </c>
      <c r="BL236" s="32">
        <f t="shared" si="138"/>
        <v>2096734768.6600001</v>
      </c>
      <c r="BM236" s="3">
        <v>3072</v>
      </c>
      <c r="BN236" s="37">
        <f t="shared" si="139"/>
        <v>2.1971419988842639E-2</v>
      </c>
      <c r="BO236" s="50">
        <f t="shared" si="149"/>
        <v>233650</v>
      </c>
      <c r="BP236" s="3">
        <f t="shared" si="150"/>
        <v>2336.5</v>
      </c>
      <c r="BQ236" s="11">
        <f>+'Rev mile pop elasticities'!P266</f>
        <v>5.8602504184010638E-3</v>
      </c>
      <c r="BR236" s="11">
        <f>+'Rev mile pop elasticities'!Q266</f>
        <v>1.2020897953053255E-2</v>
      </c>
      <c r="BS236" s="11">
        <f>+'Rev mile pop elasticities'!R266</f>
        <v>1.6078665407887393E-2</v>
      </c>
      <c r="BT236" s="11">
        <f>+'Rev mile pop elasticities'!S266</f>
        <v>1.4235273891773594E-2</v>
      </c>
      <c r="BU236" s="32">
        <f t="shared" si="151"/>
        <v>122873.90805315823</v>
      </c>
      <c r="BV236" s="33">
        <f t="shared" si="152"/>
        <v>5.8602504184010635E-5</v>
      </c>
      <c r="BW236" s="40">
        <f t="shared" si="153"/>
        <v>252046.34688680584</v>
      </c>
      <c r="BX236" s="33">
        <f t="shared" si="154"/>
        <v>1.2020897953053254E-4</v>
      </c>
      <c r="BY236" s="40">
        <f t="shared" si="155"/>
        <v>493936.60133030073</v>
      </c>
      <c r="BZ236" s="41">
        <f t="shared" si="156"/>
        <v>1.6078665407887394E-4</v>
      </c>
      <c r="CA236" s="40">
        <f t="shared" si="157"/>
        <v>437307.61395528482</v>
      </c>
      <c r="CB236" s="41">
        <f t="shared" si="158"/>
        <v>1.4235273891773594E-4</v>
      </c>
      <c r="CQ236" s="70">
        <f t="shared" si="159"/>
        <v>7.7494557697003918E-2</v>
      </c>
      <c r="CR236" s="70">
        <f t="shared" si="160"/>
        <v>1.8225953105768311</v>
      </c>
      <c r="CS236" s="70">
        <f t="shared" si="161"/>
        <v>1.900089868273835</v>
      </c>
      <c r="CT236" s="70">
        <f t="shared" si="162"/>
        <v>0.30608275265374363</v>
      </c>
      <c r="CU236" s="70">
        <f t="shared" si="163"/>
        <v>3.7386170681995021</v>
      </c>
      <c r="CV236" s="70">
        <f t="shared" si="164"/>
        <v>4.0446998208532454</v>
      </c>
      <c r="CW236" s="69">
        <f t="shared" si="165"/>
        <v>0.31151770995916633</v>
      </c>
      <c r="CX236" s="69">
        <f t="shared" si="166"/>
        <v>7.3265882689870621</v>
      </c>
      <c r="CY236" s="70">
        <f t="shared" si="167"/>
        <v>7.6381059789462284</v>
      </c>
      <c r="CZ236" s="69">
        <f t="shared" si="168"/>
        <v>0.5310623220259858</v>
      </c>
      <c r="DA236" s="69">
        <f t="shared" si="169"/>
        <v>6.4866074425632236</v>
      </c>
      <c r="DB236" s="70">
        <f t="shared" si="170"/>
        <v>7.0176697645892094</v>
      </c>
    </row>
    <row r="237" spans="23:106">
      <c r="W237" s="3" t="s">
        <v>512</v>
      </c>
      <c r="X237">
        <v>187672</v>
      </c>
      <c r="Y237">
        <v>130785</v>
      </c>
      <c r="Z237" s="51">
        <v>33679.86</v>
      </c>
      <c r="AA237" s="32">
        <f t="shared" si="136"/>
        <v>4404820490.1000004</v>
      </c>
      <c r="AB237">
        <v>6589</v>
      </c>
      <c r="AC237" s="37">
        <f t="shared" si="137"/>
        <v>3.5109126561234494E-2</v>
      </c>
      <c r="AD237" s="50">
        <f>+'Revenue mile elasticities'!M266</f>
        <v>1069852</v>
      </c>
      <c r="AE237" s="3">
        <f t="shared" si="140"/>
        <v>10698.52</v>
      </c>
      <c r="AF237" s="11">
        <f>+'Revenue mile elasticities'!P266</f>
        <v>6.9173169377338337E-4</v>
      </c>
      <c r="AG237" s="11">
        <f>+'Revenue mile elasticities'!Q266</f>
        <v>2.7321549695892952E-3</v>
      </c>
      <c r="AH237" s="11">
        <f>+'Revenue mile elasticities'!R266</f>
        <v>1.8978920117970084E-3</v>
      </c>
      <c r="AI237" s="11">
        <f>+'Revenue mile elasticities'!S266</f>
        <v>3.2354466745136393E-3</v>
      </c>
      <c r="AJ237" s="32">
        <f t="shared" si="141"/>
        <v>30469.539383845782</v>
      </c>
      <c r="AK237" s="33">
        <f t="shared" si="142"/>
        <v>6.9173169377338344E-6</v>
      </c>
      <c r="AL237" s="40">
        <f t="shared" si="143"/>
        <v>120346.52192175473</v>
      </c>
      <c r="AM237" s="33">
        <f t="shared" si="144"/>
        <v>2.7321549695892955E-5</v>
      </c>
      <c r="AN237" s="40">
        <f t="shared" si="145"/>
        <v>125052.10465730488</v>
      </c>
      <c r="AO237" s="41">
        <f t="shared" si="146"/>
        <v>1.8978920117970084E-5</v>
      </c>
      <c r="AP237" s="40">
        <f t="shared" si="147"/>
        <v>213183.58138370368</v>
      </c>
      <c r="AQ237" s="41">
        <f t="shared" si="148"/>
        <v>3.2354466745136392E-5</v>
      </c>
      <c r="AR237" s="53"/>
      <c r="AS237" s="53"/>
      <c r="BH237" s="3" t="s">
        <v>512</v>
      </c>
      <c r="BI237">
        <v>187672</v>
      </c>
      <c r="BJ237">
        <v>130785</v>
      </c>
      <c r="BK237" s="51">
        <v>33679.86</v>
      </c>
      <c r="BL237" s="32">
        <f t="shared" si="138"/>
        <v>4404820490.1000004</v>
      </c>
      <c r="BM237">
        <v>6589</v>
      </c>
      <c r="BN237" s="37">
        <f t="shared" si="139"/>
        <v>3.5109126561234494E-2</v>
      </c>
      <c r="BO237" s="50">
        <f t="shared" si="149"/>
        <v>1069852</v>
      </c>
      <c r="BP237" s="3">
        <f t="shared" si="150"/>
        <v>10698.52</v>
      </c>
      <c r="BQ237" s="11">
        <f>+'Rev mile pop elasticities'!P267</f>
        <v>1.9991146205294342E-2</v>
      </c>
      <c r="BR237" s="11">
        <f>+'Rev mile pop elasticities'!Q267</f>
        <v>4.1007040884095659E-2</v>
      </c>
      <c r="BS237" s="11">
        <f>+'Rev mile pop elasticities'!R267</f>
        <v>5.4849354209471839E-2</v>
      </c>
      <c r="BT237" s="11">
        <f>+'Rev mile pop elasticities'!S267</f>
        <v>4.8560969468008017E-2</v>
      </c>
      <c r="BU237" s="32">
        <f t="shared" si="151"/>
        <v>880574.10425665393</v>
      </c>
      <c r="BV237" s="33">
        <f t="shared" si="152"/>
        <v>1.9991146205294342E-4</v>
      </c>
      <c r="BW237" s="40">
        <f t="shared" si="153"/>
        <v>1806286.53924633</v>
      </c>
      <c r="BX237" s="33">
        <f t="shared" si="154"/>
        <v>4.100704088409566E-4</v>
      </c>
      <c r="BY237" s="40">
        <f t="shared" si="155"/>
        <v>3614023.9488621</v>
      </c>
      <c r="BZ237" s="41">
        <f t="shared" si="156"/>
        <v>5.4849354209471845E-4</v>
      </c>
      <c r="CA237" s="40">
        <f t="shared" si="157"/>
        <v>3199682.2782470486</v>
      </c>
      <c r="CB237" s="41">
        <f t="shared" si="158"/>
        <v>4.8560969468008024E-4</v>
      </c>
      <c r="CQ237" s="70">
        <f t="shared" si="159"/>
        <v>0.23297426603850427</v>
      </c>
      <c r="CR237" s="70">
        <f t="shared" si="160"/>
        <v>6.7329900543384484</v>
      </c>
      <c r="CS237" s="70">
        <f t="shared" si="161"/>
        <v>6.965964320376953</v>
      </c>
      <c r="CT237" s="70">
        <f t="shared" si="162"/>
        <v>0.92018596874071745</v>
      </c>
      <c r="CU237" s="70">
        <f t="shared" si="163"/>
        <v>13.811113959906182</v>
      </c>
      <c r="CV237" s="70">
        <f t="shared" si="164"/>
        <v>14.7312999286469</v>
      </c>
      <c r="CW237" s="69">
        <f t="shared" si="165"/>
        <v>0.95616549801051254</v>
      </c>
      <c r="CX237" s="69">
        <f t="shared" si="166"/>
        <v>27.63332147312077</v>
      </c>
      <c r="CY237" s="70">
        <f t="shared" si="167"/>
        <v>28.589486971131283</v>
      </c>
      <c r="CZ237" s="69">
        <f t="shared" si="168"/>
        <v>1.6300308245112489</v>
      </c>
      <c r="DA237" s="69">
        <f t="shared" si="169"/>
        <v>24.46520838205489</v>
      </c>
      <c r="DB237" s="70">
        <f t="shared" si="170"/>
        <v>26.095239206566138</v>
      </c>
    </row>
    <row r="238" spans="23:106">
      <c r="W238" s="3" t="s">
        <v>513</v>
      </c>
      <c r="X238">
        <v>126051</v>
      </c>
      <c r="Y238">
        <v>76449</v>
      </c>
      <c r="Z238" s="51">
        <v>32280.68</v>
      </c>
      <c r="AA238" s="32">
        <f t="shared" si="136"/>
        <v>2467825705.3200002</v>
      </c>
      <c r="AB238">
        <v>3657</v>
      </c>
      <c r="AC238" s="37">
        <f t="shared" si="137"/>
        <v>2.9012066544493894E-2</v>
      </c>
      <c r="AD238" s="50">
        <f>+'Revenue mile elasticities'!M267</f>
        <v>771112</v>
      </c>
      <c r="AE238" s="3">
        <f t="shared" si="140"/>
        <v>7711.12</v>
      </c>
      <c r="AF238" s="11">
        <f>+'Revenue mile elasticities'!P267</f>
        <v>7.9115656413803273E-4</v>
      </c>
      <c r="AG238" s="11">
        <f>+'Revenue mile elasticities'!Q267</f>
        <v>3.1248565851329387E-3</v>
      </c>
      <c r="AH238" s="11">
        <f>+'Revenue mile elasticities'!R267</f>
        <v>2.1706822698372018E-3</v>
      </c>
      <c r="AI238" s="11">
        <f>+'Revenue mile elasticities'!S267</f>
        <v>3.700488061341638E-3</v>
      </c>
      <c r="AJ238" s="32">
        <f t="shared" si="141"/>
        <v>19524.365059124888</v>
      </c>
      <c r="AK238" s="33">
        <f t="shared" si="142"/>
        <v>7.9115656413803288E-6</v>
      </c>
      <c r="AL238" s="40">
        <f t="shared" si="143"/>
        <v>77116.01406229542</v>
      </c>
      <c r="AM238" s="33">
        <f t="shared" si="144"/>
        <v>3.1248565851329392E-5</v>
      </c>
      <c r="AN238" s="40">
        <f t="shared" si="145"/>
        <v>79381.850607946471</v>
      </c>
      <c r="AO238" s="41">
        <f t="shared" si="146"/>
        <v>2.1706822698372018E-5</v>
      </c>
      <c r="AP238" s="40">
        <f t="shared" si="147"/>
        <v>135326.84840326369</v>
      </c>
      <c r="AQ238" s="41">
        <f t="shared" si="148"/>
        <v>3.7004880613416375E-5</v>
      </c>
      <c r="AR238" s="53"/>
      <c r="AS238" s="53"/>
      <c r="BH238" s="3" t="s">
        <v>513</v>
      </c>
      <c r="BI238">
        <v>126051</v>
      </c>
      <c r="BJ238">
        <v>76449</v>
      </c>
      <c r="BK238" s="51">
        <v>32280.68</v>
      </c>
      <c r="BL238" s="32">
        <f t="shared" si="138"/>
        <v>2467825705.3200002</v>
      </c>
      <c r="BM238">
        <v>3657</v>
      </c>
      <c r="BN238" s="37">
        <f t="shared" si="139"/>
        <v>2.9012066544493894E-2</v>
      </c>
      <c r="BO238" s="50">
        <f t="shared" si="149"/>
        <v>771112</v>
      </c>
      <c r="BP238" s="3">
        <f t="shared" si="150"/>
        <v>7711.12</v>
      </c>
      <c r="BQ238" s="11">
        <f>+'Rev mile pop elasticities'!P268</f>
        <v>2.1452832455434702E-2</v>
      </c>
      <c r="BR238" s="11">
        <f>+'Rev mile pop elasticities'!Q268</f>
        <v>4.4005339591117888E-2</v>
      </c>
      <c r="BS238" s="11">
        <f>+'Rev mile pop elasticities'!R268</f>
        <v>5.8859756917438173E-2</v>
      </c>
      <c r="BT238" s="11">
        <f>+'Rev mile pop elasticities'!S268</f>
        <v>5.2111586357902757E-2</v>
      </c>
      <c r="BU238" s="32">
        <f t="shared" si="151"/>
        <v>529418.51385444938</v>
      </c>
      <c r="BV238" s="33">
        <f t="shared" si="152"/>
        <v>2.1452832455434704E-4</v>
      </c>
      <c r="BW238" s="40">
        <f t="shared" si="153"/>
        <v>1085975.0821429663</v>
      </c>
      <c r="BX238" s="33">
        <f t="shared" si="154"/>
        <v>4.4005339591117888E-4</v>
      </c>
      <c r="BY238" s="40">
        <f t="shared" si="155"/>
        <v>2152501.3104707138</v>
      </c>
      <c r="BZ238" s="41">
        <f t="shared" si="156"/>
        <v>5.8859756917438162E-4</v>
      </c>
      <c r="CA238" s="40">
        <f t="shared" si="157"/>
        <v>1905720.7131085037</v>
      </c>
      <c r="CB238" s="41">
        <f t="shared" si="158"/>
        <v>5.2111586357902757E-4</v>
      </c>
      <c r="CQ238" s="70">
        <f t="shared" si="159"/>
        <v>0.25539071876839314</v>
      </c>
      <c r="CR238" s="70">
        <f t="shared" si="160"/>
        <v>6.9251201958750199</v>
      </c>
      <c r="CS238" s="70">
        <f t="shared" si="161"/>
        <v>7.1805109146434134</v>
      </c>
      <c r="CT238" s="70">
        <f t="shared" si="162"/>
        <v>1.0087249547056916</v>
      </c>
      <c r="CU238" s="70">
        <f t="shared" si="163"/>
        <v>14.205222856322075</v>
      </c>
      <c r="CV238" s="70">
        <f t="shared" si="164"/>
        <v>15.213947811027767</v>
      </c>
      <c r="CW238" s="69">
        <f t="shared" si="165"/>
        <v>1.0383634921051481</v>
      </c>
      <c r="CX238" s="69">
        <f t="shared" si="166"/>
        <v>28.156042727448543</v>
      </c>
      <c r="CY238" s="70">
        <f t="shared" si="167"/>
        <v>29.194406219553692</v>
      </c>
      <c r="CZ238" s="69">
        <f t="shared" si="168"/>
        <v>1.7701585161776308</v>
      </c>
      <c r="DA238" s="69">
        <f t="shared" si="169"/>
        <v>24.928000537724543</v>
      </c>
      <c r="DB238" s="70">
        <f t="shared" si="170"/>
        <v>26.698159053902174</v>
      </c>
    </row>
    <row r="239" spans="23:106">
      <c r="W239" s="3" t="s">
        <v>321</v>
      </c>
      <c r="X239">
        <v>2818688</v>
      </c>
      <c r="Y239">
        <v>1731976</v>
      </c>
      <c r="Z239" s="51">
        <v>42578.1</v>
      </c>
      <c r="AA239" s="32">
        <f t="shared" si="136"/>
        <v>73744247325.599991</v>
      </c>
      <c r="AB239">
        <v>116061</v>
      </c>
      <c r="AC239" s="37">
        <f t="shared" si="137"/>
        <v>4.1175539825620999E-2</v>
      </c>
      <c r="AD239" s="50">
        <f>+'Revenue mile elasticities'!M268</f>
        <v>24000000</v>
      </c>
      <c r="AE239" s="3">
        <f t="shared" si="140"/>
        <v>240000</v>
      </c>
      <c r="AF239" s="11">
        <f>+'Revenue mile elasticities'!P268</f>
        <v>9.5683679222213023E-3</v>
      </c>
      <c r="AG239" s="11">
        <f>+'Revenue mile elasticities'!Q268</f>
        <v>3.7792491228716397E-2</v>
      </c>
      <c r="AH239" s="11">
        <f>+'Revenue mile elasticities'!R268</f>
        <v>2.6252561808260612E-2</v>
      </c>
      <c r="AI239" s="11">
        <f>+'Revenue mile elasticities'!S268</f>
        <v>4.4754265928743105E-2</v>
      </c>
      <c r="AJ239" s="32">
        <f t="shared" si="141"/>
        <v>7056120.9055862501</v>
      </c>
      <c r="AK239" s="33">
        <f t="shared" si="142"/>
        <v>9.5683679222213018E-5</v>
      </c>
      <c r="AL239" s="40">
        <f t="shared" si="143"/>
        <v>27869788.202210303</v>
      </c>
      <c r="AM239" s="33">
        <f t="shared" si="144"/>
        <v>3.7792491228716397E-4</v>
      </c>
      <c r="AN239" s="40">
        <f t="shared" si="145"/>
        <v>30468985.760285355</v>
      </c>
      <c r="AO239" s="41">
        <f t="shared" si="146"/>
        <v>2.625256180826062E-4</v>
      </c>
      <c r="AP239" s="40">
        <f t="shared" si="147"/>
        <v>51942248.579558536</v>
      </c>
      <c r="AQ239" s="41">
        <f t="shared" si="148"/>
        <v>4.4754265928743101E-4</v>
      </c>
      <c r="AR239" s="53"/>
      <c r="AS239" s="53"/>
      <c r="BH239" s="3" t="s">
        <v>321</v>
      </c>
      <c r="BI239">
        <v>2818688</v>
      </c>
      <c r="BJ239">
        <v>1731976</v>
      </c>
      <c r="BK239" s="51">
        <v>42578.1</v>
      </c>
      <c r="BL239" s="32">
        <f t="shared" si="138"/>
        <v>73744247325.599991</v>
      </c>
      <c r="BM239">
        <v>116061</v>
      </c>
      <c r="BN239" s="37">
        <f t="shared" si="139"/>
        <v>4.1175539825620999E-2</v>
      </c>
      <c r="BO239" s="50">
        <f t="shared" si="149"/>
        <v>24000000</v>
      </c>
      <c r="BP239" s="3">
        <f t="shared" si="150"/>
        <v>240000</v>
      </c>
      <c r="BQ239" s="11">
        <f>+'Rev mile pop elasticities'!P269</f>
        <v>2.9859168520957262E-2</v>
      </c>
      <c r="BR239" s="11">
        <f>+'Rev mile pop elasticities'!Q269</f>
        <v>6.1248921484037967E-2</v>
      </c>
      <c r="BS239" s="11">
        <f>+'Rev mile pop elasticities'!R269</f>
        <v>8.1924072476272633E-2</v>
      </c>
      <c r="BT239" s="11">
        <f>+'Rev mile pop elasticities'!S269</f>
        <v>7.253161754688707E-2</v>
      </c>
      <c r="BU239" s="32">
        <f t="shared" si="151"/>
        <v>22019419.083462421</v>
      </c>
      <c r="BV239" s="33">
        <f t="shared" si="152"/>
        <v>2.9859168520957264E-4</v>
      </c>
      <c r="BW239" s="40">
        <f t="shared" si="153"/>
        <v>45167556.143451504</v>
      </c>
      <c r="BX239" s="33">
        <f t="shared" si="154"/>
        <v>6.1248921484037967E-4</v>
      </c>
      <c r="BY239" s="40">
        <f t="shared" si="155"/>
        <v>95081897.756686777</v>
      </c>
      <c r="BZ239" s="41">
        <f t="shared" si="156"/>
        <v>8.1924072476272623E-4</v>
      </c>
      <c r="CA239" s="40">
        <f t="shared" si="157"/>
        <v>84180920.641092598</v>
      </c>
      <c r="CB239" s="41">
        <f t="shared" si="158"/>
        <v>7.2531617546887071E-4</v>
      </c>
      <c r="CQ239" s="70">
        <f t="shared" si="159"/>
        <v>4.0740292622913081</v>
      </c>
      <c r="CR239" s="70">
        <f t="shared" si="160"/>
        <v>12.713466632021703</v>
      </c>
      <c r="CS239" s="70">
        <f t="shared" si="161"/>
        <v>16.787495894313011</v>
      </c>
      <c r="CT239" s="70">
        <f t="shared" si="162"/>
        <v>16.091324707854096</v>
      </c>
      <c r="CU239" s="70">
        <f t="shared" si="163"/>
        <v>26.078627038395165</v>
      </c>
      <c r="CV239" s="70">
        <f t="shared" si="164"/>
        <v>42.169951746249261</v>
      </c>
      <c r="CW239" s="69">
        <f t="shared" si="165"/>
        <v>17.592036933701941</v>
      </c>
      <c r="CX239" s="69">
        <f t="shared" si="166"/>
        <v>54.897930315828148</v>
      </c>
      <c r="CY239" s="70">
        <f t="shared" si="167"/>
        <v>72.489967249530082</v>
      </c>
      <c r="CZ239" s="69">
        <f t="shared" si="168"/>
        <v>29.990166480112045</v>
      </c>
      <c r="DA239" s="69">
        <f t="shared" si="169"/>
        <v>48.603976406770414</v>
      </c>
      <c r="DB239" s="70">
        <f t="shared" si="170"/>
        <v>78.594142886882452</v>
      </c>
    </row>
    <row r="240" spans="23:106">
      <c r="W240" t="s">
        <v>514</v>
      </c>
      <c r="X240">
        <v>145550</v>
      </c>
      <c r="Y240">
        <v>110365</v>
      </c>
      <c r="Z240" s="51">
        <v>31585.439999999999</v>
      </c>
      <c r="AA240" s="32">
        <f t="shared" si="136"/>
        <v>3485927085.5999999</v>
      </c>
      <c r="AB240">
        <v>3502</v>
      </c>
      <c r="AC240" s="37">
        <f t="shared" si="137"/>
        <v>2.4060460322913087E-2</v>
      </c>
      <c r="AD240" s="50">
        <f>+'Revenue mile elasticities'!M269</f>
        <v>1298380</v>
      </c>
      <c r="AE240" s="3">
        <f t="shared" si="140"/>
        <v>12983.800000000001</v>
      </c>
      <c r="AF240" s="11">
        <f>+'Revenue mile elasticities'!P269</f>
        <v>7.1800330832645003E-4</v>
      </c>
      <c r="AG240" s="11">
        <f>+'Revenue mile elasticities'!Q269</f>
        <v>2.8359208124824368E-3</v>
      </c>
      <c r="AH240" s="11">
        <f>+'Revenue mile elasticities'!R269</f>
        <v>1.9699729759137257E-3</v>
      </c>
      <c r="AI240" s="11">
        <f>+'Revenue mile elasticities'!S269</f>
        <v>3.358327277939728E-3</v>
      </c>
      <c r="AJ240" s="32">
        <f t="shared" si="141"/>
        <v>25029.0718004558</v>
      </c>
      <c r="AK240" s="33">
        <f t="shared" si="142"/>
        <v>7.1800330832645001E-6</v>
      </c>
      <c r="AL240" s="40">
        <f t="shared" si="143"/>
        <v>98858.131728492852</v>
      </c>
      <c r="AM240" s="33">
        <f t="shared" si="144"/>
        <v>2.8359208124824369E-5</v>
      </c>
      <c r="AN240" s="40">
        <f t="shared" si="145"/>
        <v>68988.453616498664</v>
      </c>
      <c r="AO240" s="41">
        <f t="shared" si="146"/>
        <v>1.9699729759137256E-5</v>
      </c>
      <c r="AP240" s="40">
        <f t="shared" si="147"/>
        <v>117608.62127344927</v>
      </c>
      <c r="AQ240" s="41">
        <f t="shared" si="148"/>
        <v>3.3583272779397276E-5</v>
      </c>
      <c r="AR240" s="53"/>
      <c r="AS240" s="53"/>
      <c r="BH240" t="s">
        <v>514</v>
      </c>
      <c r="BI240">
        <v>145550</v>
      </c>
      <c r="BJ240">
        <v>110365</v>
      </c>
      <c r="BK240" s="51">
        <v>31585.439999999999</v>
      </c>
      <c r="BL240" s="32">
        <f t="shared" si="138"/>
        <v>3485927085.5999999</v>
      </c>
      <c r="BM240">
        <v>3502</v>
      </c>
      <c r="BN240" s="37">
        <f t="shared" si="139"/>
        <v>2.4060460322913087E-2</v>
      </c>
      <c r="BO240" s="50">
        <f t="shared" si="149"/>
        <v>1298380</v>
      </c>
      <c r="BP240" s="3">
        <f t="shared" si="150"/>
        <v>12983.800000000001</v>
      </c>
      <c r="BQ240" s="11">
        <f>+'Rev mile pop elasticities'!P270</f>
        <v>3.1282617324630703E-2</v>
      </c>
      <c r="BR240" s="11">
        <f>+'Rev mile pop elasticities'!Q270</f>
        <v>6.416878524218482E-2</v>
      </c>
      <c r="BS240" s="11">
        <f>+'Rev mile pop elasticities'!R270</f>
        <v>8.5829563778770171E-2</v>
      </c>
      <c r="BT240" s="11">
        <f>+'Rev mile pop elasticities'!S270</f>
        <v>7.5989350944692557E-2</v>
      </c>
      <c r="BU240" s="32">
        <f t="shared" si="151"/>
        <v>1090489.2304038997</v>
      </c>
      <c r="BV240" s="33">
        <f t="shared" si="152"/>
        <v>3.1282617324630699E-4</v>
      </c>
      <c r="BW240" s="40">
        <f t="shared" si="153"/>
        <v>2236877.0652578161</v>
      </c>
      <c r="BX240" s="33">
        <f t="shared" si="154"/>
        <v>6.4168785242184822E-4</v>
      </c>
      <c r="BY240" s="40">
        <f t="shared" si="155"/>
        <v>3005751.323532531</v>
      </c>
      <c r="BZ240" s="41">
        <f t="shared" si="156"/>
        <v>8.5829563778770158E-4</v>
      </c>
      <c r="CA240" s="40">
        <f t="shared" si="157"/>
        <v>2661147.0700831334</v>
      </c>
      <c r="CB240" s="41">
        <f t="shared" si="158"/>
        <v>7.598935094469256E-4</v>
      </c>
      <c r="CQ240" s="70">
        <f t="shared" si="159"/>
        <v>0.22678450414946585</v>
      </c>
      <c r="CR240" s="70">
        <f t="shared" si="160"/>
        <v>9.8807523255008345</v>
      </c>
      <c r="CS240" s="70">
        <f t="shared" si="161"/>
        <v>10.1075368296503</v>
      </c>
      <c r="CT240" s="70">
        <f t="shared" si="162"/>
        <v>0.89573806667415257</v>
      </c>
      <c r="CU240" s="70">
        <f t="shared" si="163"/>
        <v>20.26799316139914</v>
      </c>
      <c r="CV240" s="70">
        <f t="shared" si="164"/>
        <v>21.163731228073292</v>
      </c>
      <c r="CW240" s="69">
        <f t="shared" si="165"/>
        <v>0.62509358597833242</v>
      </c>
      <c r="CX240" s="69">
        <f t="shared" si="166"/>
        <v>27.234642536424872</v>
      </c>
      <c r="CY240" s="70">
        <f t="shared" si="167"/>
        <v>27.859736122403206</v>
      </c>
      <c r="CZ240" s="69">
        <f t="shared" si="168"/>
        <v>1.0656333191994678</v>
      </c>
      <c r="DA240" s="69">
        <f t="shared" si="169"/>
        <v>24.112237304246214</v>
      </c>
      <c r="DB240" s="70">
        <f t="shared" si="170"/>
        <v>25.177870623445681</v>
      </c>
    </row>
    <row r="241" spans="23:106">
      <c r="W241" t="s">
        <v>515</v>
      </c>
      <c r="X241">
        <v>668753</v>
      </c>
      <c r="Y241">
        <v>289244</v>
      </c>
      <c r="Z241" s="51">
        <v>35977.360000000001</v>
      </c>
      <c r="AA241" s="32">
        <f t="shared" si="136"/>
        <v>10406235515.84</v>
      </c>
      <c r="AB241">
        <v>16604</v>
      </c>
      <c r="AC241" s="37">
        <f t="shared" si="137"/>
        <v>2.4828299835664289E-2</v>
      </c>
      <c r="AD241" s="50">
        <f>+'Revenue mile elasticities'!M270</f>
        <v>4127514</v>
      </c>
      <c r="AE241" s="3">
        <f t="shared" si="140"/>
        <v>41275.14</v>
      </c>
      <c r="AF241" s="11">
        <f>+'Revenue mile elasticities'!P270</f>
        <v>2.6895710988919103E-3</v>
      </c>
      <c r="AG241" s="11">
        <f>+'Revenue mile elasticities'!Q270</f>
        <v>1.0623085670422732E-2</v>
      </c>
      <c r="AH241" s="11">
        <f>+'Revenue mile elasticities'!R270</f>
        <v>7.3793286467792483E-3</v>
      </c>
      <c r="AI241" s="11">
        <f>+'Revenue mile elasticities'!S270</f>
        <v>1.2579969872869025E-2</v>
      </c>
      <c r="AJ241" s="32">
        <f t="shared" si="141"/>
        <v>279883.10291665816</v>
      </c>
      <c r="AK241" s="33">
        <f t="shared" si="142"/>
        <v>2.6895710988919106E-5</v>
      </c>
      <c r="AL241" s="40">
        <f t="shared" si="143"/>
        <v>1105463.3139136401</v>
      </c>
      <c r="AM241" s="33">
        <f t="shared" si="144"/>
        <v>1.0623085670422731E-4</v>
      </c>
      <c r="AN241" s="40">
        <f t="shared" si="145"/>
        <v>1225263.7285112264</v>
      </c>
      <c r="AO241" s="41">
        <f t="shared" si="146"/>
        <v>7.3793286467792484E-5</v>
      </c>
      <c r="AP241" s="40">
        <f t="shared" si="147"/>
        <v>2088778.1976911728</v>
      </c>
      <c r="AQ241" s="41">
        <f t="shared" si="148"/>
        <v>1.2579969872869026E-4</v>
      </c>
      <c r="AR241" s="53"/>
      <c r="AS241" s="53"/>
      <c r="BH241" t="s">
        <v>515</v>
      </c>
      <c r="BI241">
        <v>668753</v>
      </c>
      <c r="BJ241">
        <v>289244</v>
      </c>
      <c r="BK241" s="51">
        <v>35977.360000000001</v>
      </c>
      <c r="BL241" s="32">
        <f t="shared" si="138"/>
        <v>10406235515.84</v>
      </c>
      <c r="BM241">
        <v>16604</v>
      </c>
      <c r="BN241" s="37">
        <f t="shared" si="139"/>
        <v>2.4828299835664289E-2</v>
      </c>
      <c r="BO241" s="50">
        <f t="shared" si="149"/>
        <v>4127514</v>
      </c>
      <c r="BP241" s="3">
        <f t="shared" si="150"/>
        <v>41275.14</v>
      </c>
      <c r="BQ241" s="11">
        <f>+'Rev mile pop elasticities'!P271</f>
        <v>2.1643938263424606E-2</v>
      </c>
      <c r="BR241" s="11">
        <f>+'Rev mile pop elasticities'!Q271</f>
        <v>4.4397347312984017E-2</v>
      </c>
      <c r="BS241" s="11">
        <f>+'Rev mile pop elasticities'!R271</f>
        <v>5.9384090542248018E-2</v>
      </c>
      <c r="BT241" s="11">
        <f>+'Rev mile pop elasticities'!S271</f>
        <v>5.2575806028533706E-2</v>
      </c>
      <c r="BU241" s="32">
        <f t="shared" si="151"/>
        <v>2252319.1905949749</v>
      </c>
      <c r="BV241" s="33">
        <f t="shared" si="152"/>
        <v>2.1643938263424608E-4</v>
      </c>
      <c r="BW241" s="40">
        <f t="shared" si="153"/>
        <v>4620092.5241745785</v>
      </c>
      <c r="BX241" s="33">
        <f t="shared" si="154"/>
        <v>4.4397347312984017E-4</v>
      </c>
      <c r="BY241" s="40">
        <f t="shared" si="155"/>
        <v>9860134.3936348595</v>
      </c>
      <c r="BZ241" s="41">
        <f t="shared" si="156"/>
        <v>5.9384090542248004E-4</v>
      </c>
      <c r="CA241" s="40">
        <f t="shared" si="157"/>
        <v>8729686.8329777382</v>
      </c>
      <c r="CB241" s="41">
        <f t="shared" si="158"/>
        <v>5.2575806028533714E-4</v>
      </c>
      <c r="CQ241" s="70">
        <f t="shared" si="159"/>
        <v>0.96763667670429865</v>
      </c>
      <c r="CR241" s="70">
        <f t="shared" si="160"/>
        <v>7.7869175872100191</v>
      </c>
      <c r="CS241" s="70">
        <f t="shared" si="161"/>
        <v>8.7545542639143186</v>
      </c>
      <c r="CT241" s="70">
        <f t="shared" si="162"/>
        <v>3.8219057747563996</v>
      </c>
      <c r="CU241" s="70">
        <f t="shared" si="163"/>
        <v>15.972993473242585</v>
      </c>
      <c r="CV241" s="70">
        <f t="shared" si="164"/>
        <v>19.794899247998984</v>
      </c>
      <c r="CW241" s="69">
        <f t="shared" si="165"/>
        <v>4.2360903891220785</v>
      </c>
      <c r="CX241" s="69">
        <f t="shared" si="166"/>
        <v>34.089330785201625</v>
      </c>
      <c r="CY241" s="70">
        <f t="shared" si="167"/>
        <v>38.325421174323701</v>
      </c>
      <c r="CZ241" s="69">
        <f t="shared" si="168"/>
        <v>7.2215091676618108</v>
      </c>
      <c r="DA241" s="69">
        <f t="shared" si="169"/>
        <v>30.181047257601673</v>
      </c>
      <c r="DB241" s="70">
        <f t="shared" si="170"/>
        <v>37.402556425263484</v>
      </c>
    </row>
    <row r="242" spans="23:106">
      <c r="W242" t="s">
        <v>516</v>
      </c>
      <c r="X242">
        <v>104313</v>
      </c>
      <c r="Y242">
        <v>55277</v>
      </c>
      <c r="Z242" s="51">
        <v>28898.97</v>
      </c>
      <c r="AA242" s="32">
        <f t="shared" si="136"/>
        <v>1597448364.6900001</v>
      </c>
      <c r="AB242">
        <v>2056</v>
      </c>
      <c r="AC242" s="37">
        <f t="shared" si="137"/>
        <v>1.9709911516301901E-2</v>
      </c>
      <c r="AD242" s="50">
        <f>+'Revenue mile elasticities'!M271</f>
        <v>540809</v>
      </c>
      <c r="AE242" s="3">
        <f t="shared" si="140"/>
        <v>5408.09</v>
      </c>
      <c r="AF242" s="11">
        <f>+'Revenue mile elasticities'!P271</f>
        <v>7.9790651434531723E-4</v>
      </c>
      <c r="AG242" s="11">
        <f>+'Revenue mile elasticities'!Q271</f>
        <v>3.1515170810583349E-3</v>
      </c>
      <c r="AH242" s="11">
        <f>+'Revenue mile elasticities'!R271</f>
        <v>2.1892019888174771E-3</v>
      </c>
      <c r="AI242" s="11">
        <f>+'Revenue mile elasticities'!S271</f>
        <v>3.7320597012532918E-3</v>
      </c>
      <c r="AJ242" s="32">
        <f t="shared" si="141"/>
        <v>12746.14456516425</v>
      </c>
      <c r="AK242" s="33">
        <f t="shared" si="142"/>
        <v>7.9790651434531718E-6</v>
      </c>
      <c r="AL242" s="40">
        <f t="shared" si="143"/>
        <v>50343.858074292395</v>
      </c>
      <c r="AM242" s="33">
        <f t="shared" si="144"/>
        <v>3.1515170810583348E-5</v>
      </c>
      <c r="AN242" s="40">
        <f t="shared" si="145"/>
        <v>45009.992890087335</v>
      </c>
      <c r="AO242" s="41">
        <f t="shared" si="146"/>
        <v>2.1892019888174772E-5</v>
      </c>
      <c r="AP242" s="40">
        <f t="shared" si="147"/>
        <v>76731.147457767685</v>
      </c>
      <c r="AQ242" s="41">
        <f t="shared" si="148"/>
        <v>3.7320597012532925E-5</v>
      </c>
      <c r="AR242" s="53"/>
      <c r="AS242" s="53"/>
      <c r="BH242" t="s">
        <v>516</v>
      </c>
      <c r="BI242">
        <v>104313</v>
      </c>
      <c r="BJ242">
        <v>55277</v>
      </c>
      <c r="BK242" s="51">
        <v>28898.97</v>
      </c>
      <c r="BL242" s="32">
        <f t="shared" si="138"/>
        <v>1597448364.6900001</v>
      </c>
      <c r="BM242">
        <v>2056</v>
      </c>
      <c r="BN242" s="37">
        <f t="shared" si="139"/>
        <v>1.9709911516301901E-2</v>
      </c>
      <c r="BO242" s="50">
        <f t="shared" si="149"/>
        <v>540809</v>
      </c>
      <c r="BP242" s="3">
        <f t="shared" si="150"/>
        <v>5408.09</v>
      </c>
      <c r="BQ242" s="11">
        <f>+'Rev mile pop elasticities'!P272</f>
        <v>1.818104950849846E-2</v>
      </c>
      <c r="BR242" s="11">
        <f>+'Rev mile pop elasticities'!Q272</f>
        <v>3.7294061723850337E-2</v>
      </c>
      <c r="BS242" s="11">
        <f>+'Rev mile pop elasticities'!R272</f>
        <v>4.9883023922234038E-2</v>
      </c>
      <c r="BT242" s="11">
        <f>+'Rev mile pop elasticities'!S272</f>
        <v>4.4164020462454351E-2</v>
      </c>
      <c r="BU242" s="32">
        <f t="shared" si="151"/>
        <v>290432.87805698795</v>
      </c>
      <c r="BV242" s="33">
        <f t="shared" si="152"/>
        <v>1.8181049508498461E-4</v>
      </c>
      <c r="BW242" s="40">
        <f t="shared" si="153"/>
        <v>595753.37913412647</v>
      </c>
      <c r="BX242" s="33">
        <f t="shared" si="154"/>
        <v>3.7294061723850341E-4</v>
      </c>
      <c r="BY242" s="40">
        <f t="shared" si="155"/>
        <v>1025594.9718411319</v>
      </c>
      <c r="BZ242" s="41">
        <f t="shared" si="156"/>
        <v>4.9883023922234042E-4</v>
      </c>
      <c r="CA242" s="40">
        <f t="shared" si="157"/>
        <v>908012.26070806151</v>
      </c>
      <c r="CB242" s="41">
        <f t="shared" si="158"/>
        <v>4.4164020462454353E-4</v>
      </c>
      <c r="CQ242" s="70">
        <f t="shared" si="159"/>
        <v>0.23058676420869892</v>
      </c>
      <c r="CR242" s="70">
        <f t="shared" si="160"/>
        <v>5.2541360431461177</v>
      </c>
      <c r="CS242" s="70">
        <f t="shared" si="161"/>
        <v>5.4847228073548164</v>
      </c>
      <c r="CT242" s="70">
        <f t="shared" si="162"/>
        <v>0.91075597579992396</v>
      </c>
      <c r="CU242" s="70">
        <f t="shared" si="163"/>
        <v>10.777599709356993</v>
      </c>
      <c r="CV242" s="70">
        <f t="shared" si="164"/>
        <v>11.688355685156917</v>
      </c>
      <c r="CW242" s="69">
        <f t="shared" si="165"/>
        <v>0.81426258462086099</v>
      </c>
      <c r="CX242" s="69">
        <f t="shared" si="166"/>
        <v>18.553737935147204</v>
      </c>
      <c r="CY242" s="70">
        <f t="shared" si="167"/>
        <v>19.368000519768064</v>
      </c>
      <c r="CZ242" s="69">
        <f t="shared" si="168"/>
        <v>1.3881206913864299</v>
      </c>
      <c r="DA242" s="69">
        <f t="shared" si="169"/>
        <v>16.426583582829412</v>
      </c>
      <c r="DB242" s="70">
        <f t="shared" si="170"/>
        <v>17.814704274215842</v>
      </c>
    </row>
    <row r="243" spans="23:106">
      <c r="W243" t="s">
        <v>517</v>
      </c>
      <c r="X243">
        <v>645016</v>
      </c>
      <c r="Y243">
        <v>389267</v>
      </c>
      <c r="Z243" s="51">
        <v>37228.97</v>
      </c>
      <c r="AA243" s="32">
        <f t="shared" si="136"/>
        <v>14492009464.99</v>
      </c>
      <c r="AB243">
        <v>23241</v>
      </c>
      <c r="AC243" s="37">
        <f t="shared" si="137"/>
        <v>3.6031664330807296E-2</v>
      </c>
      <c r="AD243" s="50">
        <f>+'Revenue mile elasticities'!M272</f>
        <v>6064361</v>
      </c>
      <c r="AE243" s="3">
        <f t="shared" si="140"/>
        <v>60643.61</v>
      </c>
      <c r="AF243" s="11">
        <f>+'Revenue mile elasticities'!P272</f>
        <v>1.8472515872443827E-3</v>
      </c>
      <c r="AG243" s="11">
        <f>+'Revenue mile elasticities'!Q272</f>
        <v>7.2961491422205722E-3</v>
      </c>
      <c r="AH243" s="11">
        <f>+'Revenue mile elasticities'!R272</f>
        <v>5.0682715029087763E-3</v>
      </c>
      <c r="AI243" s="11">
        <f>+'Revenue mile elasticities'!S272</f>
        <v>8.6401766157875193E-3</v>
      </c>
      <c r="AJ243" s="32">
        <f t="shared" si="141"/>
        <v>267703.87486563396</v>
      </c>
      <c r="AK243" s="33">
        <f t="shared" si="142"/>
        <v>1.8472515872443828E-5</v>
      </c>
      <c r="AL243" s="40">
        <f t="shared" si="143"/>
        <v>1057358.6242703919</v>
      </c>
      <c r="AM243" s="33">
        <f t="shared" si="144"/>
        <v>7.2961491422205712E-5</v>
      </c>
      <c r="AN243" s="40">
        <f t="shared" si="145"/>
        <v>1177916.9799910288</v>
      </c>
      <c r="AO243" s="41">
        <f t="shared" si="146"/>
        <v>5.0682715029087765E-5</v>
      </c>
      <c r="AP243" s="40">
        <f t="shared" si="147"/>
        <v>2008063.4472751773</v>
      </c>
      <c r="AQ243" s="41">
        <f t="shared" si="148"/>
        <v>8.6401766157875182E-5</v>
      </c>
      <c r="AR243" s="53"/>
      <c r="AS243" s="53"/>
      <c r="BH243" t="s">
        <v>517</v>
      </c>
      <c r="BI243">
        <v>645016</v>
      </c>
      <c r="BJ243">
        <v>389267</v>
      </c>
      <c r="BK243" s="51">
        <v>37228.97</v>
      </c>
      <c r="BL243" s="32">
        <f t="shared" si="138"/>
        <v>14492009464.99</v>
      </c>
      <c r="BM243">
        <v>23241</v>
      </c>
      <c r="BN243" s="37">
        <f t="shared" si="139"/>
        <v>3.6031664330807296E-2</v>
      </c>
      <c r="BO243" s="50">
        <f t="shared" si="149"/>
        <v>6064361</v>
      </c>
      <c r="BP243" s="3">
        <f t="shared" si="150"/>
        <v>60643.61</v>
      </c>
      <c r="BQ243" s="11">
        <f>+'Rev mile pop elasticities'!P273</f>
        <v>3.2970689784470458E-2</v>
      </c>
      <c r="BR243" s="11">
        <f>+'Rev mile pop elasticities'!Q273</f>
        <v>6.7631460951976391E-2</v>
      </c>
      <c r="BS243" s="11">
        <f>+'Rev mile pop elasticities'!R273</f>
        <v>9.0461098325622907E-2</v>
      </c>
      <c r="BT243" s="11">
        <f>+'Rev mile pop elasticities'!S273</f>
        <v>8.0089887969445731E-2</v>
      </c>
      <c r="BU243" s="32">
        <f t="shared" si="151"/>
        <v>4778115.4842379494</v>
      </c>
      <c r="BV243" s="33">
        <f t="shared" si="152"/>
        <v>3.2970689784470454E-4</v>
      </c>
      <c r="BW243" s="40">
        <f t="shared" si="153"/>
        <v>9801157.7224714346</v>
      </c>
      <c r="BX243" s="33">
        <f t="shared" si="154"/>
        <v>6.7631460951976389E-4</v>
      </c>
      <c r="BY243" s="40">
        <f t="shared" si="155"/>
        <v>21024063.861858021</v>
      </c>
      <c r="BZ243" s="41">
        <f t="shared" si="156"/>
        <v>9.0461098325622918E-4</v>
      </c>
      <c r="CA243" s="40">
        <f t="shared" si="157"/>
        <v>18613690.862978883</v>
      </c>
      <c r="CB243" s="41">
        <f t="shared" si="158"/>
        <v>8.0089887969445734E-4</v>
      </c>
      <c r="CQ243" s="70">
        <f t="shared" si="159"/>
        <v>0.68771273923973508</v>
      </c>
      <c r="CR243" s="70">
        <f t="shared" si="160"/>
        <v>12.27464820865357</v>
      </c>
      <c r="CS243" s="70">
        <f t="shared" si="161"/>
        <v>12.962360947893306</v>
      </c>
      <c r="CT243" s="70">
        <f t="shared" si="162"/>
        <v>2.7162811753125538</v>
      </c>
      <c r="CU243" s="70">
        <f t="shared" si="163"/>
        <v>25.178496308373006</v>
      </c>
      <c r="CV243" s="70">
        <f t="shared" si="164"/>
        <v>27.894777483685559</v>
      </c>
      <c r="CW243" s="69">
        <f t="shared" si="165"/>
        <v>3.0259872529421421</v>
      </c>
      <c r="CX243" s="69">
        <f t="shared" si="166"/>
        <v>54.009365966953332</v>
      </c>
      <c r="CY243" s="70">
        <f t="shared" si="167"/>
        <v>57.035353219895477</v>
      </c>
      <c r="CZ243" s="69">
        <f t="shared" si="168"/>
        <v>5.1585761117052753</v>
      </c>
      <c r="DA243" s="69">
        <f t="shared" si="169"/>
        <v>47.817284442243711</v>
      </c>
      <c r="DB243" s="70">
        <f t="shared" si="170"/>
        <v>52.975860553948984</v>
      </c>
    </row>
    <row r="244" spans="23:106">
      <c r="W244" t="s">
        <v>518</v>
      </c>
      <c r="X244">
        <v>357171</v>
      </c>
      <c r="Y244">
        <v>219628</v>
      </c>
      <c r="Z244" s="51">
        <v>33525.43</v>
      </c>
      <c r="AA244" s="32">
        <f t="shared" si="136"/>
        <v>7363123140.04</v>
      </c>
      <c r="AB244">
        <v>8736</v>
      </c>
      <c r="AC244" s="37">
        <f t="shared" si="137"/>
        <v>2.4458872640835901E-2</v>
      </c>
      <c r="AD244" s="50">
        <f>+'Revenue mile elasticities'!M273</f>
        <v>1865534</v>
      </c>
      <c r="AE244" s="3">
        <f t="shared" si="140"/>
        <v>18655.34</v>
      </c>
      <c r="AF244" s="11">
        <f>+'Revenue mile elasticities'!P273</f>
        <v>1.2217537731771856E-3</v>
      </c>
      <c r="AG244" s="11">
        <f>+'Revenue mile elasticities'!Q273</f>
        <v>4.8256002624249882E-3</v>
      </c>
      <c r="AH244" s="11">
        <f>+'Revenue mile elasticities'!R273</f>
        <v>3.3521042152153827E-3</v>
      </c>
      <c r="AI244" s="11">
        <f>+'Revenue mile elasticities'!S273</f>
        <v>5.7145266265559071E-3</v>
      </c>
      <c r="AJ244" s="32">
        <f t="shared" si="141"/>
        <v>89959.234787121168</v>
      </c>
      <c r="AK244" s="33">
        <f t="shared" si="142"/>
        <v>1.2217537731771855E-5</v>
      </c>
      <c r="AL244" s="40">
        <f t="shared" si="143"/>
        <v>355314.88956844527</v>
      </c>
      <c r="AM244" s="33">
        <f t="shared" si="144"/>
        <v>4.8256002624249884E-5</v>
      </c>
      <c r="AN244" s="40">
        <f t="shared" si="145"/>
        <v>292839.82424121583</v>
      </c>
      <c r="AO244" s="41">
        <f t="shared" si="146"/>
        <v>3.3521042152153824E-5</v>
      </c>
      <c r="AP244" s="40">
        <f t="shared" si="147"/>
        <v>499221.0460959241</v>
      </c>
      <c r="AQ244" s="41">
        <f t="shared" si="148"/>
        <v>5.7145266265559083E-5</v>
      </c>
      <c r="AR244" s="53"/>
      <c r="AS244" s="53"/>
      <c r="BH244" t="s">
        <v>518</v>
      </c>
      <c r="BI244">
        <v>357171</v>
      </c>
      <c r="BJ244">
        <v>219628</v>
      </c>
      <c r="BK244" s="51">
        <v>33525.43</v>
      </c>
      <c r="BL244" s="32">
        <f t="shared" si="138"/>
        <v>7363123140.04</v>
      </c>
      <c r="BM244">
        <v>8736</v>
      </c>
      <c r="BN244" s="37">
        <f t="shared" si="139"/>
        <v>2.4458872640835901E-2</v>
      </c>
      <c r="BO244" s="50">
        <f t="shared" si="149"/>
        <v>1865534</v>
      </c>
      <c r="BP244" s="3">
        <f t="shared" si="150"/>
        <v>18655.34</v>
      </c>
      <c r="BQ244" s="11">
        <f>+'Rev mile pop elasticities'!P274</f>
        <v>1.8316414103832616E-2</v>
      </c>
      <c r="BR244" s="11">
        <f>+'Rev mile pop elasticities'!Q274</f>
        <v>3.7571729719378118E-2</v>
      </c>
      <c r="BS244" s="11">
        <f>+'Rev mile pop elasticities'!R274</f>
        <v>5.0254421367916198E-2</v>
      </c>
      <c r="BT244" s="11">
        <f>+'Rev mile pop elasticities'!S274</f>
        <v>4.4492837825579348E-2</v>
      </c>
      <c r="BU244" s="32">
        <f t="shared" si="151"/>
        <v>1348660.1253048496</v>
      </c>
      <c r="BV244" s="33">
        <f t="shared" si="152"/>
        <v>1.8316414103832616E-4</v>
      </c>
      <c r="BW244" s="40">
        <f t="shared" si="153"/>
        <v>2766452.7250808161</v>
      </c>
      <c r="BX244" s="33">
        <f t="shared" si="154"/>
        <v>3.7571729719378122E-4</v>
      </c>
      <c r="BY244" s="40">
        <f t="shared" si="155"/>
        <v>4390226.2507011592</v>
      </c>
      <c r="BZ244" s="41">
        <f t="shared" si="156"/>
        <v>5.0254421367916199E-4</v>
      </c>
      <c r="CA244" s="40">
        <f t="shared" si="157"/>
        <v>3886894.3124426119</v>
      </c>
      <c r="CB244" s="41">
        <f t="shared" si="158"/>
        <v>4.4492837825579347E-4</v>
      </c>
      <c r="CQ244" s="70">
        <f t="shared" si="159"/>
        <v>0.40959820599887614</v>
      </c>
      <c r="CR244" s="70">
        <f t="shared" si="160"/>
        <v>6.1406565888905309</v>
      </c>
      <c r="CS244" s="70">
        <f t="shared" si="161"/>
        <v>6.5502547948894074</v>
      </c>
      <c r="CT244" s="70">
        <f t="shared" si="162"/>
        <v>1.6178032380591056</v>
      </c>
      <c r="CU244" s="70">
        <f t="shared" si="163"/>
        <v>12.596083946859308</v>
      </c>
      <c r="CV244" s="70">
        <f t="shared" si="164"/>
        <v>14.213887184918413</v>
      </c>
      <c r="CW244" s="69">
        <f t="shared" si="165"/>
        <v>1.3333446748193118</v>
      </c>
      <c r="CX244" s="69">
        <f t="shared" si="166"/>
        <v>19.989374081178898</v>
      </c>
      <c r="CY244" s="70">
        <f t="shared" si="167"/>
        <v>21.32271875599821</v>
      </c>
      <c r="CZ244" s="69">
        <f t="shared" si="168"/>
        <v>2.2730300603562572</v>
      </c>
      <c r="DA244" s="69">
        <f t="shared" si="169"/>
        <v>17.697626497726208</v>
      </c>
      <c r="DB244" s="70">
        <f t="shared" si="170"/>
        <v>19.970656558082467</v>
      </c>
    </row>
    <row r="245" spans="23:106">
      <c r="W245" t="s">
        <v>333</v>
      </c>
      <c r="X245">
        <v>2730007</v>
      </c>
      <c r="Y245">
        <v>1576110</v>
      </c>
      <c r="Z245" s="51">
        <v>38033.29</v>
      </c>
      <c r="AA245" s="32">
        <f t="shared" si="136"/>
        <v>59944648701.900002</v>
      </c>
      <c r="AB245">
        <v>98666</v>
      </c>
      <c r="AC245" s="37">
        <f t="shared" si="137"/>
        <v>3.6141299271393812E-2</v>
      </c>
      <c r="AD245" s="50">
        <f>+'Revenue mile elasticities'!M274</f>
        <v>18000000</v>
      </c>
      <c r="AE245" s="3">
        <f t="shared" si="140"/>
        <v>180000</v>
      </c>
      <c r="AF245" s="11">
        <f>+'Revenue mile elasticities'!P274</f>
        <v>8.5229664459325685E-3</v>
      </c>
      <c r="AG245" s="11">
        <f>+'Revenue mile elasticities'!Q274</f>
        <v>3.3663435318211941E-2</v>
      </c>
      <c r="AH245" s="11">
        <f>+'Revenue mile elasticities'!R274</f>
        <v>2.3384312270428708E-2</v>
      </c>
      <c r="AI245" s="11">
        <f>+'Revenue mile elasticities'!S274</f>
        <v>3.9864594455777301E-2</v>
      </c>
      <c r="AJ245" s="32">
        <f t="shared" si="141"/>
        <v>5109062.29499509</v>
      </c>
      <c r="AK245" s="33">
        <f t="shared" si="142"/>
        <v>8.5229664459325689E-5</v>
      </c>
      <c r="AL245" s="40">
        <f t="shared" si="143"/>
        <v>20179428.042493481</v>
      </c>
      <c r="AM245" s="33">
        <f t="shared" si="144"/>
        <v>3.3663435318211939E-4</v>
      </c>
      <c r="AN245" s="40">
        <f t="shared" si="145"/>
        <v>23072365.544741191</v>
      </c>
      <c r="AO245" s="41">
        <f t="shared" si="146"/>
        <v>2.3384312270428712E-4</v>
      </c>
      <c r="AP245" s="40">
        <f t="shared" si="147"/>
        <v>39332800.765737243</v>
      </c>
      <c r="AQ245" s="41">
        <f t="shared" si="148"/>
        <v>3.9864594455777313E-4</v>
      </c>
      <c r="AR245" s="53"/>
      <c r="AS245" s="53"/>
      <c r="BH245" t="s">
        <v>333</v>
      </c>
      <c r="BI245">
        <v>2730007</v>
      </c>
      <c r="BJ245">
        <v>1576110</v>
      </c>
      <c r="BK245" s="51">
        <v>38033.29</v>
      </c>
      <c r="BL245" s="32">
        <f t="shared" si="138"/>
        <v>59944648701.900002</v>
      </c>
      <c r="BM245">
        <v>98666</v>
      </c>
      <c r="BN245" s="37">
        <f t="shared" si="139"/>
        <v>3.6141299271393812E-2</v>
      </c>
      <c r="BO245" s="50">
        <f t="shared" si="149"/>
        <v>18000000</v>
      </c>
      <c r="BP245" s="3">
        <f t="shared" si="150"/>
        <v>180000</v>
      </c>
      <c r="BQ245" s="11">
        <f>+'Rev mile pop elasticities'!P275</f>
        <v>2.3121830823144406E-2</v>
      </c>
      <c r="BR245" s="11">
        <f>+'Rev mile pop elasticities'!Q275</f>
        <v>4.7428889376474132E-2</v>
      </c>
      <c r="BS245" s="11">
        <f>+'Rev mile pop elasticities'!R275</f>
        <v>6.3438958215125449E-2</v>
      </c>
      <c r="BT245" s="11">
        <f>+'Rev mile pop elasticities'!S275</f>
        <v>5.6165790051087787E-2</v>
      </c>
      <c r="BU245" s="32">
        <f t="shared" si="151"/>
        <v>13860300.260381548</v>
      </c>
      <c r="BV245" s="33">
        <f t="shared" si="152"/>
        <v>2.3121830823144405E-4</v>
      </c>
      <c r="BW245" s="40">
        <f t="shared" si="153"/>
        <v>28431081.119940192</v>
      </c>
      <c r="BX245" s="33">
        <f t="shared" si="154"/>
        <v>4.7428889376474137E-4</v>
      </c>
      <c r="BY245" s="40">
        <f t="shared" si="155"/>
        <v>62592682.512535676</v>
      </c>
      <c r="BZ245" s="41">
        <f t="shared" si="156"/>
        <v>6.3438958215125446E-4</v>
      </c>
      <c r="CA245" s="40">
        <f t="shared" si="157"/>
        <v>55416538.411806285</v>
      </c>
      <c r="CB245" s="41">
        <f t="shared" si="158"/>
        <v>5.6165790051087802E-4</v>
      </c>
      <c r="CQ245" s="70">
        <f t="shared" si="159"/>
        <v>3.241564544984227</v>
      </c>
      <c r="CR245" s="70">
        <f t="shared" si="160"/>
        <v>8.7939929702758999</v>
      </c>
      <c r="CS245" s="70">
        <f t="shared" si="161"/>
        <v>12.035557515260127</v>
      </c>
      <c r="CT245" s="70">
        <f t="shared" si="162"/>
        <v>12.803311978537971</v>
      </c>
      <c r="CU245" s="70">
        <f t="shared" si="163"/>
        <v>18.0387670403336</v>
      </c>
      <c r="CV245" s="70">
        <f t="shared" si="164"/>
        <v>30.842079018871573</v>
      </c>
      <c r="CW245" s="69">
        <f t="shared" si="165"/>
        <v>14.638804109320537</v>
      </c>
      <c r="CX245" s="69">
        <f t="shared" si="166"/>
        <v>39.713397232766546</v>
      </c>
      <c r="CY245" s="70">
        <f t="shared" si="167"/>
        <v>54.352201342087085</v>
      </c>
      <c r="CZ245" s="69">
        <f t="shared" si="168"/>
        <v>24.955619065761429</v>
      </c>
      <c r="DA245" s="69">
        <f t="shared" si="169"/>
        <v>35.160324096545473</v>
      </c>
      <c r="DB245" s="70">
        <f t="shared" si="170"/>
        <v>60.115943162306905</v>
      </c>
    </row>
    <row r="246" spans="23:106">
      <c r="W246" t="s">
        <v>519</v>
      </c>
      <c r="X246">
        <v>169812</v>
      </c>
      <c r="Y246">
        <v>90217</v>
      </c>
      <c r="Z246" s="51">
        <v>32112.61</v>
      </c>
      <c r="AA246" s="32">
        <f t="shared" si="136"/>
        <v>2897103336.3699999</v>
      </c>
      <c r="AB246">
        <v>4604</v>
      </c>
      <c r="AC246" s="37">
        <f t="shared" si="137"/>
        <v>2.7112335995100465E-2</v>
      </c>
      <c r="AD246" s="50">
        <f>+'Revenue mile elasticities'!M275</f>
        <v>407824</v>
      </c>
      <c r="AE246" s="3">
        <f t="shared" si="140"/>
        <v>4078.2400000000002</v>
      </c>
      <c r="AF246" s="11">
        <f>+'Revenue mile elasticities'!P275</f>
        <v>4.4109090439396027E-4</v>
      </c>
      <c r="AG246" s="11">
        <f>+'Revenue mile elasticities'!Q275</f>
        <v>1.7421909641101468E-3</v>
      </c>
      <c r="AH246" s="11">
        <f>+'Revenue mile elasticities'!R275</f>
        <v>1.2102133116946203E-3</v>
      </c>
      <c r="AI246" s="11">
        <f>+'Revenue mile elasticities'!S275</f>
        <v>2.0631208785514897E-3</v>
      </c>
      <c r="AJ246" s="32">
        <f t="shared" si="141"/>
        <v>12778.85930762203</v>
      </c>
      <c r="AK246" s="33">
        <f t="shared" si="142"/>
        <v>4.4109090439396029E-6</v>
      </c>
      <c r="AL246" s="40">
        <f t="shared" si="143"/>
        <v>50473.072547171731</v>
      </c>
      <c r="AM246" s="33">
        <f t="shared" si="144"/>
        <v>1.7421909641101468E-5</v>
      </c>
      <c r="AN246" s="40">
        <f t="shared" si="145"/>
        <v>55718.220870420322</v>
      </c>
      <c r="AO246" s="41">
        <f t="shared" si="146"/>
        <v>1.2102133116946204E-5</v>
      </c>
      <c r="AP246" s="40">
        <f t="shared" si="147"/>
        <v>94986.085248510601</v>
      </c>
      <c r="AQ246" s="41">
        <f t="shared" si="148"/>
        <v>2.0631208785514901E-5</v>
      </c>
      <c r="AR246" s="53"/>
      <c r="AS246" s="53"/>
      <c r="BH246" t="s">
        <v>519</v>
      </c>
      <c r="BI246">
        <v>169812</v>
      </c>
      <c r="BJ246">
        <v>90217</v>
      </c>
      <c r="BK246" s="51">
        <v>32112.61</v>
      </c>
      <c r="BL246" s="32">
        <f t="shared" si="138"/>
        <v>2897103336.3699999</v>
      </c>
      <c r="BM246">
        <v>4604</v>
      </c>
      <c r="BN246" s="37">
        <f t="shared" si="139"/>
        <v>2.7112335995100465E-2</v>
      </c>
      <c r="BO246" s="50">
        <f t="shared" si="149"/>
        <v>407824</v>
      </c>
      <c r="BP246" s="3">
        <f t="shared" si="150"/>
        <v>4078.2400000000002</v>
      </c>
      <c r="BQ246" s="11">
        <f>+'Rev mile pop elasticities'!P276</f>
        <v>8.4220512076884999E-3</v>
      </c>
      <c r="BR246" s="11">
        <f>+'Rev mile pop elasticities'!Q276</f>
        <v>1.7275817737262385E-2</v>
      </c>
      <c r="BS246" s="11">
        <f>+'Rev mile pop elasticities'!R276</f>
        <v>2.3107432916401664E-2</v>
      </c>
      <c r="BT246" s="11">
        <f>+'Rev mile pop elasticities'!S276</f>
        <v>2.0458205215179142E-2</v>
      </c>
      <c r="BU246" s="32">
        <f t="shared" si="151"/>
        <v>243995.5265287334</v>
      </c>
      <c r="BV246" s="33">
        <f t="shared" si="152"/>
        <v>8.4220512076884995E-5</v>
      </c>
      <c r="BW246" s="40">
        <f t="shared" si="153"/>
        <v>500498.29205142881</v>
      </c>
      <c r="BX246" s="33">
        <f t="shared" si="154"/>
        <v>1.7275817737262387E-4</v>
      </c>
      <c r="BY246" s="40">
        <f t="shared" si="155"/>
        <v>1063866.2114711325</v>
      </c>
      <c r="BZ246" s="41">
        <f t="shared" si="156"/>
        <v>2.310743291640166E-4</v>
      </c>
      <c r="CA246" s="40">
        <f t="shared" si="157"/>
        <v>941895.76810684777</v>
      </c>
      <c r="CB246" s="41">
        <f t="shared" si="158"/>
        <v>2.0458205215179143E-4</v>
      </c>
      <c r="CQ246" s="70">
        <f t="shared" si="159"/>
        <v>0.14164580187350531</v>
      </c>
      <c r="CR246" s="70">
        <f t="shared" si="160"/>
        <v>2.7045404583252979</v>
      </c>
      <c r="CS246" s="70">
        <f t="shared" si="161"/>
        <v>2.8461862601988033</v>
      </c>
      <c r="CT246" s="70">
        <f t="shared" si="162"/>
        <v>0.55946298975993136</v>
      </c>
      <c r="CU246" s="70">
        <f t="shared" si="163"/>
        <v>5.547715974277895</v>
      </c>
      <c r="CV246" s="70">
        <f t="shared" si="164"/>
        <v>6.1071789640378267</v>
      </c>
      <c r="CW246" s="69">
        <f t="shared" si="165"/>
        <v>0.6176022353926679</v>
      </c>
      <c r="CX246" s="69">
        <f t="shared" si="166"/>
        <v>11.792303129910465</v>
      </c>
      <c r="CY246" s="70">
        <f t="shared" si="167"/>
        <v>12.409905365303134</v>
      </c>
      <c r="CZ246" s="69">
        <f t="shared" si="168"/>
        <v>1.052862379025135</v>
      </c>
      <c r="DA246" s="69">
        <f t="shared" si="169"/>
        <v>10.440335725050133</v>
      </c>
      <c r="DB246" s="70">
        <f t="shared" si="170"/>
        <v>11.493198104075269</v>
      </c>
    </row>
    <row r="247" spans="23:106">
      <c r="W247" t="s">
        <v>520</v>
      </c>
      <c r="X247">
        <v>673345</v>
      </c>
      <c r="Y247">
        <v>395389</v>
      </c>
      <c r="Z247" s="51">
        <v>36992.78</v>
      </c>
      <c r="AA247" s="32">
        <f t="shared" si="136"/>
        <v>14626538291.42</v>
      </c>
      <c r="AB247">
        <v>22914</v>
      </c>
      <c r="AC247" s="37">
        <f t="shared" si="137"/>
        <v>3.4030103438801799E-2</v>
      </c>
      <c r="AD247" s="50">
        <f>+'Revenue mile elasticities'!M276</f>
        <v>3567496</v>
      </c>
      <c r="AE247" s="3">
        <f t="shared" si="140"/>
        <v>35674.959999999999</v>
      </c>
      <c r="AF247" s="11">
        <f>+'Revenue mile elasticities'!P276</f>
        <v>2.8814292169500521E-3</v>
      </c>
      <c r="AG247" s="11">
        <f>+'Revenue mile elasticities'!Q276</f>
        <v>1.1380873864063503E-2</v>
      </c>
      <c r="AH247" s="11">
        <f>+'Revenue mile elasticities'!R276</f>
        <v>7.9057263714153048E-3</v>
      </c>
      <c r="AI247" s="11">
        <f>+'Revenue mile elasticities'!S276</f>
        <v>1.3477350628496254E-2</v>
      </c>
      <c r="AJ247" s="32">
        <f t="shared" si="141"/>
        <v>421453.34775736288</v>
      </c>
      <c r="AK247" s="33">
        <f t="shared" si="142"/>
        <v>2.8814292169500523E-5</v>
      </c>
      <c r="AL247" s="40">
        <f t="shared" si="143"/>
        <v>1664627.8736254594</v>
      </c>
      <c r="AM247" s="33">
        <f t="shared" si="144"/>
        <v>1.1380873864063504E-4</v>
      </c>
      <c r="AN247" s="40">
        <f t="shared" si="145"/>
        <v>1811518.1407461029</v>
      </c>
      <c r="AO247" s="41">
        <f t="shared" si="146"/>
        <v>7.9057263714153053E-5</v>
      </c>
      <c r="AP247" s="40">
        <f t="shared" si="147"/>
        <v>3088200.1230136314</v>
      </c>
      <c r="AQ247" s="41">
        <f t="shared" si="148"/>
        <v>1.3477350628496253E-4</v>
      </c>
      <c r="AR247" s="53"/>
      <c r="AS247" s="53"/>
      <c r="BH247" t="s">
        <v>520</v>
      </c>
      <c r="BI247">
        <v>673345</v>
      </c>
      <c r="BJ247">
        <v>395389</v>
      </c>
      <c r="BK247" s="51">
        <v>36992.78</v>
      </c>
      <c r="BL247" s="32">
        <f t="shared" si="138"/>
        <v>14626538291.42</v>
      </c>
      <c r="BM247">
        <v>22914</v>
      </c>
      <c r="BN247" s="37">
        <f t="shared" si="139"/>
        <v>3.4030103438801799E-2</v>
      </c>
      <c r="BO247" s="50">
        <f t="shared" si="149"/>
        <v>3567496</v>
      </c>
      <c r="BP247" s="3">
        <f t="shared" si="150"/>
        <v>35674.959999999999</v>
      </c>
      <c r="BQ247" s="11">
        <f>+'Rev mile pop elasticities'!P277</f>
        <v>1.857972706817456E-2</v>
      </c>
      <c r="BR247" s="11">
        <f>+'Rev mile pop elasticities'!Q277</f>
        <v>3.8111853101159138E-2</v>
      </c>
      <c r="BS247" s="11">
        <f>+'Rev mile pop elasticities'!R277</f>
        <v>5.0976868490298428E-2</v>
      </c>
      <c r="BT247" s="11">
        <f>+'Rev mile pop elasticities'!S277</f>
        <v>4.5132457619793717E-2</v>
      </c>
      <c r="BU247" s="32">
        <f t="shared" si="151"/>
        <v>2717570.8940678788</v>
      </c>
      <c r="BV247" s="33">
        <f t="shared" si="152"/>
        <v>1.8579727068174562E-4</v>
      </c>
      <c r="BW247" s="40">
        <f t="shared" si="153"/>
        <v>5574444.7874107827</v>
      </c>
      <c r="BX247" s="33">
        <f t="shared" si="154"/>
        <v>3.8111853101159142E-4</v>
      </c>
      <c r="BY247" s="40">
        <f t="shared" si="155"/>
        <v>11680839.645866983</v>
      </c>
      <c r="BZ247" s="41">
        <f t="shared" si="156"/>
        <v>5.0976868490298433E-4</v>
      </c>
      <c r="CA247" s="40">
        <f t="shared" si="157"/>
        <v>10341651.338999532</v>
      </c>
      <c r="CB247" s="41">
        <f t="shared" si="158"/>
        <v>4.513245761979372E-4</v>
      </c>
      <c r="CQ247" s="70">
        <f t="shared" si="159"/>
        <v>1.0659207710820555</v>
      </c>
      <c r="CR247" s="70">
        <f t="shared" si="160"/>
        <v>6.8731575589302656</v>
      </c>
      <c r="CS247" s="70">
        <f t="shared" si="161"/>
        <v>7.9390783300123209</v>
      </c>
      <c r="CT247" s="70">
        <f t="shared" si="162"/>
        <v>4.2101016306105112</v>
      </c>
      <c r="CU247" s="70">
        <f t="shared" si="163"/>
        <v>14.098633971634978</v>
      </c>
      <c r="CV247" s="70">
        <f t="shared" si="164"/>
        <v>18.308735602245491</v>
      </c>
      <c r="CW247" s="69">
        <f t="shared" si="165"/>
        <v>4.5816098595208841</v>
      </c>
      <c r="CX247" s="69">
        <f t="shared" si="166"/>
        <v>29.542652036012591</v>
      </c>
      <c r="CY247" s="70">
        <f t="shared" si="167"/>
        <v>34.124261895533472</v>
      </c>
      <c r="CZ247" s="69">
        <f t="shared" si="168"/>
        <v>7.8105362643210396</v>
      </c>
      <c r="DA247" s="69">
        <f t="shared" si="169"/>
        <v>26.155637458299378</v>
      </c>
      <c r="DB247" s="70">
        <f t="shared" si="170"/>
        <v>33.966173722620418</v>
      </c>
    </row>
    <row r="248" spans="23:106">
      <c r="W248" t="s">
        <v>521</v>
      </c>
      <c r="X248">
        <v>229774</v>
      </c>
      <c r="Y248">
        <v>144846</v>
      </c>
      <c r="Z248" s="51">
        <v>34260.03</v>
      </c>
      <c r="AA248" s="32">
        <f t="shared" si="136"/>
        <v>4962428305.3800001</v>
      </c>
      <c r="AB248">
        <v>6905</v>
      </c>
      <c r="AC248" s="37">
        <f t="shared" si="137"/>
        <v>3.0051267767458457E-2</v>
      </c>
      <c r="AD248" s="50">
        <f>+'Revenue mile elasticities'!M277</f>
        <v>977573</v>
      </c>
      <c r="AE248" s="3">
        <f t="shared" si="140"/>
        <v>9775.73</v>
      </c>
      <c r="AF248" s="11">
        <f>+'Revenue mile elasticities'!P277</f>
        <v>7.8654618245117488E-4</v>
      </c>
      <c r="AG248" s="11">
        <f>+'Revenue mile elasticities'!Q277</f>
        <v>3.1066468119638944E-3</v>
      </c>
      <c r="AH248" s="11">
        <f>+'Revenue mile elasticities'!R277</f>
        <v>2.1580328471584582E-3</v>
      </c>
      <c r="AI248" s="11">
        <f>+'Revenue mile elasticities'!S277</f>
        <v>3.6789238562730327E-3</v>
      </c>
      <c r="AJ248" s="32">
        <f t="shared" si="141"/>
        <v>39031.790392842922</v>
      </c>
      <c r="AK248" s="33">
        <f t="shared" si="142"/>
        <v>7.8654618245117484E-6</v>
      </c>
      <c r="AL248" s="40">
        <f t="shared" si="143"/>
        <v>154165.12074508169</v>
      </c>
      <c r="AM248" s="33">
        <f t="shared" si="144"/>
        <v>3.1066468119638942E-5</v>
      </c>
      <c r="AN248" s="40">
        <f t="shared" si="145"/>
        <v>149012.16809629157</v>
      </c>
      <c r="AO248" s="41">
        <f t="shared" si="146"/>
        <v>2.1580328471584588E-5</v>
      </c>
      <c r="AP248" s="40">
        <f t="shared" si="147"/>
        <v>254029.69227565292</v>
      </c>
      <c r="AQ248" s="41">
        <f t="shared" si="148"/>
        <v>3.678923856273033E-5</v>
      </c>
      <c r="AR248" s="53"/>
      <c r="AS248" s="53"/>
      <c r="BH248" t="s">
        <v>521</v>
      </c>
      <c r="BI248">
        <v>229774</v>
      </c>
      <c r="BJ248">
        <v>144846</v>
      </c>
      <c r="BK248" s="51">
        <v>34260.03</v>
      </c>
      <c r="BL248" s="32">
        <f t="shared" si="138"/>
        <v>4962428305.3800001</v>
      </c>
      <c r="BM248">
        <v>6905</v>
      </c>
      <c r="BN248" s="37">
        <f t="shared" si="139"/>
        <v>3.0051267767458457E-2</v>
      </c>
      <c r="BO248" s="50">
        <f t="shared" si="149"/>
        <v>977573</v>
      </c>
      <c r="BP248" s="3">
        <f t="shared" si="150"/>
        <v>9775.73</v>
      </c>
      <c r="BQ248" s="11">
        <f>+'Rev mile pop elasticities'!P278</f>
        <v>1.4919758318434633E-2</v>
      </c>
      <c r="BR248" s="11">
        <f>+'Rev mile pop elasticities'!Q278</f>
        <v>3.0604305179001975E-2</v>
      </c>
      <c r="BS248" s="11">
        <f>+'Rev mile pop elasticities'!R278</f>
        <v>4.0935076974766504E-2</v>
      </c>
      <c r="BT248" s="11">
        <f>+'Rev mile pop elasticities'!S278</f>
        <v>3.6241940343554969E-2</v>
      </c>
      <c r="BU248" s="32">
        <f t="shared" si="151"/>
        <v>740382.30988828733</v>
      </c>
      <c r="BV248" s="33">
        <f t="shared" si="152"/>
        <v>1.4919758318434633E-4</v>
      </c>
      <c r="BW248" s="40">
        <f t="shared" si="153"/>
        <v>1518716.7028676714</v>
      </c>
      <c r="BX248" s="33">
        <f t="shared" si="154"/>
        <v>3.0604305179001974E-4</v>
      </c>
      <c r="BY248" s="40">
        <f t="shared" si="155"/>
        <v>2826567.0651076273</v>
      </c>
      <c r="BZ248" s="41">
        <f t="shared" si="156"/>
        <v>4.0935076974766508E-4</v>
      </c>
      <c r="CA248" s="40">
        <f t="shared" si="157"/>
        <v>2502505.9807224711</v>
      </c>
      <c r="CB248" s="41">
        <f t="shared" si="158"/>
        <v>3.6241940343554978E-4</v>
      </c>
      <c r="CQ248" s="70">
        <f t="shared" si="159"/>
        <v>0.26947095807162724</v>
      </c>
      <c r="CR248" s="70">
        <f t="shared" si="160"/>
        <v>5.1115136758232005</v>
      </c>
      <c r="CS248" s="70">
        <f t="shared" si="161"/>
        <v>5.380984633894828</v>
      </c>
      <c r="CT248" s="70">
        <f t="shared" si="162"/>
        <v>1.0643381297728738</v>
      </c>
      <c r="CU248" s="70">
        <f t="shared" si="163"/>
        <v>10.485044135617631</v>
      </c>
      <c r="CV248" s="70">
        <f t="shared" si="164"/>
        <v>11.549382265390506</v>
      </c>
      <c r="CW248" s="69">
        <f t="shared" si="165"/>
        <v>1.028762741782939</v>
      </c>
      <c r="CX248" s="69">
        <f t="shared" si="166"/>
        <v>19.514291489634697</v>
      </c>
      <c r="CY248" s="70">
        <f t="shared" si="167"/>
        <v>20.543054231417635</v>
      </c>
      <c r="CZ248" s="69">
        <f t="shared" si="168"/>
        <v>1.7537915598335676</v>
      </c>
      <c r="DA248" s="69">
        <f t="shared" si="169"/>
        <v>17.277011313550055</v>
      </c>
      <c r="DB248" s="70">
        <f t="shared" si="170"/>
        <v>19.030802873383621</v>
      </c>
    </row>
    <row r="249" spans="23:106">
      <c r="W249" t="s">
        <v>522</v>
      </c>
      <c r="X249">
        <v>1009832</v>
      </c>
      <c r="Y249">
        <v>520444</v>
      </c>
      <c r="Z249" s="51">
        <v>35391.06</v>
      </c>
      <c r="AA249" s="32">
        <f t="shared" si="136"/>
        <v>18419064830.639999</v>
      </c>
      <c r="AB249">
        <v>25595</v>
      </c>
      <c r="AC249" s="37">
        <f t="shared" si="137"/>
        <v>2.5345800093480895E-2</v>
      </c>
      <c r="AD249" s="50">
        <f>+'Revenue mile elasticities'!M278</f>
        <v>7560203</v>
      </c>
      <c r="AE249" s="3">
        <f t="shared" si="140"/>
        <v>75602.03</v>
      </c>
      <c r="AF249" s="11">
        <f>+'Revenue mile elasticities'!P278</f>
        <v>5.6982880775115728E-3</v>
      </c>
      <c r="AG249" s="11">
        <f>+'Revenue mile elasticities'!Q278</f>
        <v>2.2506712110006443E-2</v>
      </c>
      <c r="AH249" s="11">
        <f>+'Revenue mile elasticities'!R278</f>
        <v>1.5634292198226696E-2</v>
      </c>
      <c r="AI249" s="11">
        <f>+'Revenue mile elasticities'!S278</f>
        <v>2.6652685393428684E-2</v>
      </c>
      <c r="AJ249" s="32">
        <f t="shared" si="141"/>
        <v>1049571.3752334863</v>
      </c>
      <c r="AK249" s="33">
        <f t="shared" si="142"/>
        <v>5.6982880775115728E-5</v>
      </c>
      <c r="AL249" s="40">
        <f t="shared" si="143"/>
        <v>4145525.8947875905</v>
      </c>
      <c r="AM249" s="33">
        <f t="shared" si="144"/>
        <v>2.2506712110006443E-4</v>
      </c>
      <c r="AN249" s="40">
        <f t="shared" si="145"/>
        <v>4001597.0881361226</v>
      </c>
      <c r="AO249" s="41">
        <f t="shared" si="146"/>
        <v>1.5634292198226694E-4</v>
      </c>
      <c r="AP249" s="40">
        <f t="shared" si="147"/>
        <v>6821754.8264480708</v>
      </c>
      <c r="AQ249" s="41">
        <f t="shared" si="148"/>
        <v>2.6652685393428678E-4</v>
      </c>
      <c r="AR249" s="53"/>
      <c r="AS249" s="53"/>
      <c r="BH249" t="s">
        <v>522</v>
      </c>
      <c r="BI249">
        <v>1009832</v>
      </c>
      <c r="BJ249">
        <v>520444</v>
      </c>
      <c r="BK249" s="51">
        <v>35391.06</v>
      </c>
      <c r="BL249" s="32">
        <f t="shared" si="138"/>
        <v>18419064830.639999</v>
      </c>
      <c r="BM249">
        <v>25595</v>
      </c>
      <c r="BN249" s="37">
        <f t="shared" si="139"/>
        <v>2.5345800093480895E-2</v>
      </c>
      <c r="BO249" s="50">
        <f t="shared" si="149"/>
        <v>7560203</v>
      </c>
      <c r="BP249" s="3">
        <f t="shared" si="150"/>
        <v>75602.03</v>
      </c>
      <c r="BQ249" s="11">
        <f>+'Rev mile pop elasticities'!P279</f>
        <v>2.6254140376280408E-2</v>
      </c>
      <c r="BR249" s="11">
        <f>+'Rev mile pop elasticities'!Q279</f>
        <v>5.3854071033795727E-2</v>
      </c>
      <c r="BS249" s="11">
        <f>+'Rev mile pop elasticities'!R279</f>
        <v>7.2033020526978742E-2</v>
      </c>
      <c r="BT249" s="11">
        <f>+'Rev mile pop elasticities'!S279</f>
        <v>6.3774557803179158E-2</v>
      </c>
      <c r="BU249" s="32">
        <f t="shared" si="151"/>
        <v>4835767.136634321</v>
      </c>
      <c r="BV249" s="33">
        <f t="shared" si="152"/>
        <v>2.6254140376280409E-4</v>
      </c>
      <c r="BW249" s="40">
        <f t="shared" si="153"/>
        <v>9919416.2576537523</v>
      </c>
      <c r="BX249" s="33">
        <f t="shared" si="154"/>
        <v>5.385407103379573E-4</v>
      </c>
      <c r="BY249" s="40">
        <f t="shared" si="155"/>
        <v>18436851.603880208</v>
      </c>
      <c r="BZ249" s="41">
        <f t="shared" si="156"/>
        <v>7.2033020526978742E-4</v>
      </c>
      <c r="CA249" s="40">
        <f t="shared" si="157"/>
        <v>16323098.069723707</v>
      </c>
      <c r="CB249" s="41">
        <f t="shared" si="158"/>
        <v>6.3774557803179159E-4</v>
      </c>
      <c r="CQ249" s="70">
        <f t="shared" si="159"/>
        <v>2.0166845524849673</v>
      </c>
      <c r="CR249" s="70">
        <f t="shared" si="160"/>
        <v>9.2916185730536256</v>
      </c>
      <c r="CS249" s="70">
        <f t="shared" si="161"/>
        <v>11.308303125538593</v>
      </c>
      <c r="CT249" s="70">
        <f t="shared" si="162"/>
        <v>7.9653639868796464</v>
      </c>
      <c r="CU249" s="70">
        <f t="shared" si="163"/>
        <v>19.059526592013267</v>
      </c>
      <c r="CV249" s="70">
        <f t="shared" si="164"/>
        <v>27.024890578892915</v>
      </c>
      <c r="CW249" s="69">
        <f t="shared" si="165"/>
        <v>7.6888139514263258</v>
      </c>
      <c r="CX249" s="69">
        <f t="shared" si="166"/>
        <v>35.425236151978325</v>
      </c>
      <c r="CY249" s="70">
        <f t="shared" si="167"/>
        <v>43.114050103404651</v>
      </c>
      <c r="CZ249" s="69">
        <f t="shared" si="168"/>
        <v>13.107567435589749</v>
      </c>
      <c r="DA249" s="69">
        <f t="shared" si="169"/>
        <v>31.363793356679501</v>
      </c>
      <c r="DB249" s="70">
        <f t="shared" si="170"/>
        <v>44.471360792269252</v>
      </c>
    </row>
    <row r="250" spans="23:106">
      <c r="W250" t="s">
        <v>523</v>
      </c>
      <c r="X250">
        <v>916037</v>
      </c>
      <c r="Y250">
        <v>585325</v>
      </c>
      <c r="Z250" s="51">
        <v>40439.620000000003</v>
      </c>
      <c r="AA250" s="32">
        <f t="shared" si="136"/>
        <v>23670320576.5</v>
      </c>
      <c r="AB250">
        <v>41796</v>
      </c>
      <c r="AC250" s="37">
        <f t="shared" si="137"/>
        <v>4.5626977949580642E-2</v>
      </c>
      <c r="AD250" s="50">
        <f>+'Revenue mile elasticities'!M279</f>
        <v>2611001</v>
      </c>
      <c r="AE250" s="3">
        <f t="shared" si="140"/>
        <v>26110.010000000002</v>
      </c>
      <c r="AF250" s="11">
        <f>+'Revenue mile elasticities'!P279</f>
        <v>1.6499025114427022E-3</v>
      </c>
      <c r="AG250" s="11">
        <f>+'Revenue mile elasticities'!Q279</f>
        <v>6.5166731357733983E-3</v>
      </c>
      <c r="AH250" s="11">
        <f>+'Revenue mile elasticities'!R279</f>
        <v>4.526808334644237E-3</v>
      </c>
      <c r="AI250" s="11">
        <f>+'Revenue mile elasticities'!S279</f>
        <v>7.7171129239421831E-3</v>
      </c>
      <c r="AJ250" s="32">
        <f t="shared" si="141"/>
        <v>390537.21365821222</v>
      </c>
      <c r="AK250" s="33">
        <f t="shared" si="142"/>
        <v>1.6499025114427023E-5</v>
      </c>
      <c r="AL250" s="40">
        <f t="shared" si="143"/>
        <v>1542517.4221602187</v>
      </c>
      <c r="AM250" s="33">
        <f t="shared" si="144"/>
        <v>6.5166731357733996E-5</v>
      </c>
      <c r="AN250" s="40">
        <f t="shared" si="145"/>
        <v>1892024.8115479057</v>
      </c>
      <c r="AO250" s="41">
        <f t="shared" si="146"/>
        <v>4.5268083346442379E-5</v>
      </c>
      <c r="AP250" s="40">
        <f t="shared" si="147"/>
        <v>3225444.5176908751</v>
      </c>
      <c r="AQ250" s="41">
        <f t="shared" si="148"/>
        <v>7.7171129239421828E-5</v>
      </c>
      <c r="AR250" s="53"/>
      <c r="AS250" s="53"/>
      <c r="BH250" t="s">
        <v>523</v>
      </c>
      <c r="BI250">
        <v>916037</v>
      </c>
      <c r="BJ250">
        <v>585325</v>
      </c>
      <c r="BK250" s="51">
        <v>40439.620000000003</v>
      </c>
      <c r="BL250" s="32">
        <f t="shared" si="138"/>
        <v>23670320576.5</v>
      </c>
      <c r="BM250">
        <v>41796</v>
      </c>
      <c r="BN250" s="37">
        <f t="shared" si="139"/>
        <v>4.5626977949580642E-2</v>
      </c>
      <c r="BO250" s="50">
        <f t="shared" si="149"/>
        <v>2611001</v>
      </c>
      <c r="BP250" s="3">
        <f t="shared" si="150"/>
        <v>26110.010000000002</v>
      </c>
      <c r="BQ250" s="11">
        <f>+'Rev mile pop elasticities'!P280</f>
        <v>9.9955684397245951E-3</v>
      </c>
      <c r="BR250" s="11">
        <f>+'Rev mile pop elasticities'!Q280</f>
        <v>2.050351087718073E-2</v>
      </c>
      <c r="BS250" s="11">
        <f>+'Rev mile pop elasticities'!R280</f>
        <v>2.7424664311157736E-2</v>
      </c>
      <c r="BT250" s="11">
        <f>+'Rev mile pop elasticities'!S280</f>
        <v>2.4280473407187704E-2</v>
      </c>
      <c r="BU250" s="32">
        <f t="shared" si="151"/>
        <v>2365983.0931262709</v>
      </c>
      <c r="BV250" s="33">
        <f t="shared" si="152"/>
        <v>9.9955684397245949E-5</v>
      </c>
      <c r="BW250" s="40">
        <f t="shared" si="153"/>
        <v>4853246.7540662261</v>
      </c>
      <c r="BX250" s="33">
        <f t="shared" si="154"/>
        <v>2.0503510877180729E-4</v>
      </c>
      <c r="BY250" s="40">
        <f t="shared" si="155"/>
        <v>11462412.695491487</v>
      </c>
      <c r="BZ250" s="41">
        <f t="shared" si="156"/>
        <v>2.742466431115773E-4</v>
      </c>
      <c r="CA250" s="40">
        <f t="shared" si="157"/>
        <v>10148266.665268173</v>
      </c>
      <c r="CB250" s="41">
        <f t="shared" si="158"/>
        <v>2.4280473407187704E-4</v>
      </c>
      <c r="CQ250" s="70">
        <f t="shared" si="159"/>
        <v>0.66721430599788534</v>
      </c>
      <c r="CR250" s="70">
        <f t="shared" si="160"/>
        <v>4.0421698938645552</v>
      </c>
      <c r="CS250" s="70">
        <f t="shared" si="161"/>
        <v>4.7093841998624404</v>
      </c>
      <c r="CT250" s="70">
        <f t="shared" si="162"/>
        <v>2.6353178527488468</v>
      </c>
      <c r="CU250" s="70">
        <f t="shared" si="163"/>
        <v>8.2915418853905543</v>
      </c>
      <c r="CV250" s="70">
        <f t="shared" si="164"/>
        <v>10.926859738139401</v>
      </c>
      <c r="CW250" s="69">
        <f t="shared" si="165"/>
        <v>3.2324346500626246</v>
      </c>
      <c r="CX250" s="69">
        <f t="shared" si="166"/>
        <v>19.582988417531265</v>
      </c>
      <c r="CY250" s="70">
        <f t="shared" si="167"/>
        <v>22.81542306759389</v>
      </c>
      <c r="CZ250" s="69">
        <f t="shared" si="168"/>
        <v>5.5105189726918811</v>
      </c>
      <c r="DA250" s="69">
        <f t="shared" si="169"/>
        <v>17.337832256042667</v>
      </c>
      <c r="DB250" s="70">
        <f t="shared" si="170"/>
        <v>22.848351228734547</v>
      </c>
    </row>
    <row r="251" spans="23:106">
      <c r="W251" t="s">
        <v>524</v>
      </c>
      <c r="X251">
        <v>208902</v>
      </c>
      <c r="Y251">
        <v>121545</v>
      </c>
      <c r="Z251" s="51">
        <v>35053.11</v>
      </c>
      <c r="AA251" s="32">
        <f t="shared" si="136"/>
        <v>4260530254.9500003</v>
      </c>
      <c r="AB251">
        <v>6498</v>
      </c>
      <c r="AC251" s="37">
        <f t="shared" si="137"/>
        <v>3.1105494442370107E-2</v>
      </c>
      <c r="AD251" s="50">
        <f>+'Revenue mile elasticities'!M280</f>
        <v>236131</v>
      </c>
      <c r="AE251" s="3">
        <f t="shared" si="140"/>
        <v>2361.31</v>
      </c>
      <c r="AF251" s="11">
        <f>+'Revenue mile elasticities'!P280</f>
        <v>2.7334907053205544E-4</v>
      </c>
      <c r="AG251" s="11">
        <f>+'Revenue mile elasticities'!Q280</f>
        <v>1.0796556355728267E-3</v>
      </c>
      <c r="AH251" s="11">
        <f>+'Revenue mile elasticities'!R280</f>
        <v>7.4998300940202936E-4</v>
      </c>
      <c r="AI251" s="11">
        <f>+'Revenue mile elasticities'!S280</f>
        <v>1.2785395684415054E-3</v>
      </c>
      <c r="AJ251" s="32">
        <f t="shared" si="141"/>
        <v>11646.119851642838</v>
      </c>
      <c r="AK251" s="33">
        <f t="shared" si="142"/>
        <v>2.7334907053205543E-6</v>
      </c>
      <c r="AL251" s="40">
        <f t="shared" si="143"/>
        <v>45999.055002852998</v>
      </c>
      <c r="AM251" s="33">
        <f t="shared" si="144"/>
        <v>1.0796556355728267E-5</v>
      </c>
      <c r="AN251" s="40">
        <f t="shared" si="145"/>
        <v>48733.895950943872</v>
      </c>
      <c r="AO251" s="41">
        <f t="shared" si="146"/>
        <v>7.4998300940202939E-6</v>
      </c>
      <c r="AP251" s="40">
        <f t="shared" si="147"/>
        <v>83079.501157329025</v>
      </c>
      <c r="AQ251" s="41">
        <f t="shared" si="148"/>
        <v>1.2785395684415053E-5</v>
      </c>
      <c r="AR251" s="53"/>
      <c r="AS251" s="53"/>
      <c r="BH251" t="s">
        <v>524</v>
      </c>
      <c r="BI251">
        <v>208902</v>
      </c>
      <c r="BJ251">
        <v>121545</v>
      </c>
      <c r="BK251" s="51">
        <v>35053.11</v>
      </c>
      <c r="BL251" s="32">
        <f t="shared" si="138"/>
        <v>4260530254.9500003</v>
      </c>
      <c r="BM251">
        <v>6498</v>
      </c>
      <c r="BN251" s="37">
        <f t="shared" si="139"/>
        <v>3.1105494442370107E-2</v>
      </c>
      <c r="BO251" s="50">
        <f t="shared" si="149"/>
        <v>236131</v>
      </c>
      <c r="BP251" s="3">
        <f t="shared" si="150"/>
        <v>2361.31</v>
      </c>
      <c r="BQ251" s="11">
        <f>+'Rev mile pop elasticities'!P281</f>
        <v>3.9639108932418071E-3</v>
      </c>
      <c r="BR251" s="11">
        <f>+'Rev mile pop elasticities'!Q281</f>
        <v>8.1310123186948916E-3</v>
      </c>
      <c r="BS251" s="11">
        <f>+'Rev mile pop elasticities'!R281</f>
        <v>1.0875712198064163E-2</v>
      </c>
      <c r="BT251" s="11">
        <f>+'Rev mile pop elasticities'!S281</f>
        <v>9.6288303774018438E-3</v>
      </c>
      <c r="BU251" s="32">
        <f t="shared" si="151"/>
        <v>168883.62288582599</v>
      </c>
      <c r="BV251" s="33">
        <f t="shared" si="152"/>
        <v>3.963910893241807E-5</v>
      </c>
      <c r="BW251" s="40">
        <f t="shared" si="153"/>
        <v>346424.2398717074</v>
      </c>
      <c r="BX251" s="33">
        <f t="shared" si="154"/>
        <v>8.1310123186948915E-5</v>
      </c>
      <c r="BY251" s="40">
        <f t="shared" si="155"/>
        <v>706703.77863020939</v>
      </c>
      <c r="BZ251" s="41">
        <f t="shared" si="156"/>
        <v>1.0875712198064164E-4</v>
      </c>
      <c r="CA251" s="40">
        <f t="shared" si="157"/>
        <v>625681.39792357176</v>
      </c>
      <c r="CB251" s="41">
        <f t="shared" si="158"/>
        <v>9.6288303774018429E-5</v>
      </c>
      <c r="CQ251" s="70">
        <f t="shared" si="159"/>
        <v>9.5817350377578978E-2</v>
      </c>
      <c r="CR251" s="70">
        <f t="shared" si="160"/>
        <v>1.3894740457100332</v>
      </c>
      <c r="CS251" s="70">
        <f t="shared" si="161"/>
        <v>1.4852913960876122</v>
      </c>
      <c r="CT251" s="70">
        <f t="shared" si="162"/>
        <v>0.37845287755854207</v>
      </c>
      <c r="CU251" s="70">
        <f t="shared" si="163"/>
        <v>2.8501726921856712</v>
      </c>
      <c r="CV251" s="70">
        <f t="shared" si="164"/>
        <v>3.2286255697442132</v>
      </c>
      <c r="CW251" s="69">
        <f t="shared" si="165"/>
        <v>0.40095352298279546</v>
      </c>
      <c r="CX251" s="69">
        <f t="shared" si="166"/>
        <v>5.8143385464659953</v>
      </c>
      <c r="CY251" s="70">
        <f t="shared" si="167"/>
        <v>6.2152920694487905</v>
      </c>
      <c r="CZ251" s="69">
        <f t="shared" si="168"/>
        <v>0.68352874373548089</v>
      </c>
      <c r="DA251" s="69">
        <f t="shared" si="169"/>
        <v>5.14773456681535</v>
      </c>
      <c r="DB251" s="70">
        <f t="shared" si="170"/>
        <v>5.8312633105508311</v>
      </c>
    </row>
    <row r="252" spans="23:106">
      <c r="W252" t="s">
        <v>525</v>
      </c>
      <c r="X252">
        <v>292833</v>
      </c>
      <c r="Y252">
        <v>163507</v>
      </c>
      <c r="Z252" s="51">
        <v>31950.880000000001</v>
      </c>
      <c r="AA252" s="32">
        <f t="shared" si="136"/>
        <v>5224192536.1599998</v>
      </c>
      <c r="AB252">
        <v>6653</v>
      </c>
      <c r="AC252" s="37">
        <f t="shared" si="137"/>
        <v>2.2719433943578764E-2</v>
      </c>
      <c r="AD252" s="50">
        <f>+'Revenue mile elasticities'!M281</f>
        <v>1066067</v>
      </c>
      <c r="AE252" s="3">
        <f t="shared" si="140"/>
        <v>10660.67</v>
      </c>
      <c r="AF252" s="11">
        <f>+'Revenue mile elasticities'!P281</f>
        <v>7.0470286535547063E-4</v>
      </c>
      <c r="AG252" s="11">
        <f>+'Revenue mile elasticities'!Q281</f>
        <v>2.7833876241263092E-3</v>
      </c>
      <c r="AH252" s="11">
        <f>+'Revenue mile elasticities'!R281</f>
        <v>1.9334807858128436E-3</v>
      </c>
      <c r="AI252" s="11">
        <f>+'Revenue mile elasticities'!S281</f>
        <v>3.2961169233074713E-3</v>
      </c>
      <c r="AJ252" s="32">
        <f t="shared" si="141"/>
        <v>36815.034494006148</v>
      </c>
      <c r="AK252" s="33">
        <f t="shared" si="142"/>
        <v>7.0470286535547059E-6</v>
      </c>
      <c r="AL252" s="40">
        <f t="shared" si="143"/>
        <v>145409.52851200779</v>
      </c>
      <c r="AM252" s="33">
        <f t="shared" si="144"/>
        <v>2.783387624126309E-5</v>
      </c>
      <c r="AN252" s="40">
        <f t="shared" si="145"/>
        <v>128634.4766801285</v>
      </c>
      <c r="AO252" s="41">
        <f t="shared" si="146"/>
        <v>1.9334807858128438E-5</v>
      </c>
      <c r="AP252" s="40">
        <f t="shared" si="147"/>
        <v>219290.65890764605</v>
      </c>
      <c r="AQ252" s="41">
        <f t="shared" si="148"/>
        <v>3.2961169233074716E-5</v>
      </c>
      <c r="AR252" s="53"/>
      <c r="AS252" s="53"/>
      <c r="BH252" t="s">
        <v>525</v>
      </c>
      <c r="BI252">
        <v>292833</v>
      </c>
      <c r="BJ252">
        <v>163507</v>
      </c>
      <c r="BK252" s="51">
        <v>31950.880000000001</v>
      </c>
      <c r="BL252" s="32">
        <f t="shared" si="138"/>
        <v>5224192536.1599998</v>
      </c>
      <c r="BM252">
        <v>6653</v>
      </c>
      <c r="BN252" s="37">
        <f t="shared" si="139"/>
        <v>2.2719433943578764E-2</v>
      </c>
      <c r="BO252" s="50">
        <f t="shared" si="149"/>
        <v>1066067</v>
      </c>
      <c r="BP252" s="3">
        <f t="shared" si="150"/>
        <v>10660.67</v>
      </c>
      <c r="BQ252" s="11">
        <f>+'Rev mile pop elasticities'!P282</f>
        <v>1.2766679564598251E-2</v>
      </c>
      <c r="BR252" s="11">
        <f>+'Rev mile pop elasticities'!Q282</f>
        <v>2.618778060464497E-2</v>
      </c>
      <c r="BS252" s="11">
        <f>+'Rev mile pop elasticities'!R282</f>
        <v>3.5027712884818304E-2</v>
      </c>
      <c r="BT252" s="11">
        <f>+'Rev mile pop elasticities'!S282</f>
        <v>3.1011845452869044E-2</v>
      </c>
      <c r="BU252" s="32">
        <f t="shared" si="151"/>
        <v>666955.92092920584</v>
      </c>
      <c r="BV252" s="33">
        <f t="shared" si="152"/>
        <v>1.2766679564598252E-4</v>
      </c>
      <c r="BW252" s="40">
        <f t="shared" si="153"/>
        <v>1368100.0797338185</v>
      </c>
      <c r="BX252" s="33">
        <f t="shared" si="154"/>
        <v>2.6187780604644968E-4</v>
      </c>
      <c r="BY252" s="40">
        <f t="shared" si="155"/>
        <v>2330393.7382269623</v>
      </c>
      <c r="BZ252" s="41">
        <f t="shared" si="156"/>
        <v>3.5027712884818312E-4</v>
      </c>
      <c r="CA252" s="40">
        <f t="shared" si="157"/>
        <v>2063218.0779793777</v>
      </c>
      <c r="CB252" s="41">
        <f t="shared" si="158"/>
        <v>3.1011845452869047E-4</v>
      </c>
      <c r="CQ252" s="70">
        <f t="shared" si="159"/>
        <v>0.22515876686628797</v>
      </c>
      <c r="CR252" s="70">
        <f t="shared" si="160"/>
        <v>4.0790664676693096</v>
      </c>
      <c r="CS252" s="70">
        <f t="shared" si="161"/>
        <v>4.3042252345355978</v>
      </c>
      <c r="CT252" s="70">
        <f t="shared" si="162"/>
        <v>0.88931683971944808</v>
      </c>
      <c r="CU252" s="70">
        <f t="shared" si="163"/>
        <v>8.3672263556533881</v>
      </c>
      <c r="CV252" s="70">
        <f t="shared" si="164"/>
        <v>9.2565431953728368</v>
      </c>
      <c r="CW252" s="69">
        <f t="shared" si="165"/>
        <v>0.78672152678557183</v>
      </c>
      <c r="CX252" s="69">
        <f t="shared" si="166"/>
        <v>14.252562509415268</v>
      </c>
      <c r="CY252" s="70">
        <f t="shared" si="167"/>
        <v>15.03928403620084</v>
      </c>
      <c r="CZ252" s="69">
        <f t="shared" si="168"/>
        <v>1.341169851490432</v>
      </c>
      <c r="DA252" s="69">
        <f t="shared" si="169"/>
        <v>12.618530570430487</v>
      </c>
      <c r="DB252" s="70">
        <f t="shared" si="170"/>
        <v>13.959700421920919</v>
      </c>
    </row>
    <row r="253" spans="23:106">
      <c r="W253" t="s">
        <v>526</v>
      </c>
      <c r="X253">
        <v>114256</v>
      </c>
      <c r="Y253">
        <v>70584</v>
      </c>
      <c r="Z253" s="51">
        <v>36814.11</v>
      </c>
      <c r="AA253" s="32">
        <f t="shared" si="136"/>
        <v>2598487140.2400002</v>
      </c>
      <c r="AB253">
        <v>5056</v>
      </c>
      <c r="AC253" s="37">
        <f t="shared" si="137"/>
        <v>4.4251505391401762E-2</v>
      </c>
      <c r="AD253" s="50">
        <f>+'Revenue mile elasticities'!M282</f>
        <v>359433</v>
      </c>
      <c r="AE253" s="3">
        <f t="shared" si="140"/>
        <v>3594.33</v>
      </c>
      <c r="AF253" s="11">
        <f>+'Revenue mile elasticities'!P282</f>
        <v>7.841088115745344E-4</v>
      </c>
      <c r="AG253" s="11">
        <f>+'Revenue mile elasticities'!Q282</f>
        <v>3.0970198496412353E-3</v>
      </c>
      <c r="AH253" s="11">
        <f>+'Revenue mile elasticities'!R282</f>
        <v>2.1513454758001664E-3</v>
      </c>
      <c r="AI253" s="11">
        <f>+'Revenue mile elasticities'!S282</f>
        <v>3.6675235061540946E-3</v>
      </c>
      <c r="AJ253" s="32">
        <f t="shared" si="141"/>
        <v>20374.966634252971</v>
      </c>
      <c r="AK253" s="33">
        <f t="shared" si="142"/>
        <v>7.8410881157453436E-6</v>
      </c>
      <c r="AL253" s="40">
        <f t="shared" si="143"/>
        <v>80475.662523607694</v>
      </c>
      <c r="AM253" s="33">
        <f t="shared" si="144"/>
        <v>3.0970198496412358E-5</v>
      </c>
      <c r="AN253" s="40">
        <f t="shared" si="145"/>
        <v>108772.02725645641</v>
      </c>
      <c r="AO253" s="41">
        <f t="shared" si="146"/>
        <v>2.1513454758001664E-5</v>
      </c>
      <c r="AP253" s="40">
        <f t="shared" si="147"/>
        <v>185429.98847115101</v>
      </c>
      <c r="AQ253" s="41">
        <f t="shared" si="148"/>
        <v>3.6675235061540948E-5</v>
      </c>
      <c r="AR253" s="53"/>
      <c r="AS253" s="53"/>
      <c r="BH253" t="s">
        <v>526</v>
      </c>
      <c r="BI253">
        <v>114256</v>
      </c>
      <c r="BJ253">
        <v>70584</v>
      </c>
      <c r="BK253" s="51">
        <v>36814.11</v>
      </c>
      <c r="BL253" s="32">
        <f t="shared" si="138"/>
        <v>2598487140.2400002</v>
      </c>
      <c r="BM253">
        <v>5056</v>
      </c>
      <c r="BN253" s="37">
        <f t="shared" si="139"/>
        <v>4.4251505391401762E-2</v>
      </c>
      <c r="BO253" s="50">
        <f t="shared" si="149"/>
        <v>359433</v>
      </c>
      <c r="BP253" s="3">
        <f t="shared" si="150"/>
        <v>3594.33</v>
      </c>
      <c r="BQ253" s="11">
        <f>+'Rev mile pop elasticities'!P283</f>
        <v>1.103195309708024E-2</v>
      </c>
      <c r="BR253" s="11">
        <f>+'Rev mile pop elasticities'!Q283</f>
        <v>2.2629405389651313E-2</v>
      </c>
      <c r="BS253" s="11">
        <f>+'Rev mile pop elasticities'!R283</f>
        <v>3.0268174562386216E-2</v>
      </c>
      <c r="BT253" s="11">
        <f>+'Rev mile pop elasticities'!S283</f>
        <v>2.6797980066692342E-2</v>
      </c>
      <c r="BU253" s="32">
        <f t="shared" si="151"/>
        <v>286663.88254493847</v>
      </c>
      <c r="BV253" s="33">
        <f t="shared" si="152"/>
        <v>1.103195309708024E-4</v>
      </c>
      <c r="BW253" s="40">
        <f t="shared" si="153"/>
        <v>588022.1889628669</v>
      </c>
      <c r="BX253" s="33">
        <f t="shared" si="154"/>
        <v>2.2629405389651313E-4</v>
      </c>
      <c r="BY253" s="40">
        <f t="shared" si="155"/>
        <v>1530358.9058742467</v>
      </c>
      <c r="BZ253" s="41">
        <f t="shared" si="156"/>
        <v>3.0268174562386209E-4</v>
      </c>
      <c r="CA253" s="40">
        <f t="shared" si="157"/>
        <v>1354905.8721719647</v>
      </c>
      <c r="CB253" s="41">
        <f t="shared" si="158"/>
        <v>2.6797980066692339E-4</v>
      </c>
      <c r="CQ253" s="70">
        <f t="shared" si="159"/>
        <v>0.28866268041274185</v>
      </c>
      <c r="CR253" s="70">
        <f t="shared" si="160"/>
        <v>4.0613153483075273</v>
      </c>
      <c r="CS253" s="70">
        <f t="shared" si="161"/>
        <v>4.349978028720269</v>
      </c>
      <c r="CT253" s="70">
        <f t="shared" si="162"/>
        <v>1.1401402941687591</v>
      </c>
      <c r="CU253" s="70">
        <f t="shared" si="163"/>
        <v>8.3308141924921646</v>
      </c>
      <c r="CV253" s="70">
        <f t="shared" si="164"/>
        <v>9.4709544866609239</v>
      </c>
      <c r="CW253" s="69">
        <f t="shared" si="165"/>
        <v>1.5410295145706734</v>
      </c>
      <c r="CX253" s="69">
        <f t="shared" si="166"/>
        <v>21.681385383008141</v>
      </c>
      <c r="CY253" s="70">
        <f t="shared" si="167"/>
        <v>23.222414897578815</v>
      </c>
      <c r="CZ253" s="69">
        <f t="shared" si="168"/>
        <v>2.6270824616223365</v>
      </c>
      <c r="DA253" s="69">
        <f t="shared" si="169"/>
        <v>19.195651594865193</v>
      </c>
      <c r="DB253" s="70">
        <f t="shared" si="170"/>
        <v>21.82273405648753</v>
      </c>
    </row>
    <row r="254" spans="23:106">
      <c r="W254" t="s">
        <v>527</v>
      </c>
      <c r="X254">
        <v>1670225</v>
      </c>
      <c r="Y254">
        <v>1046118</v>
      </c>
      <c r="Z254" s="51">
        <v>34901.74</v>
      </c>
      <c r="AA254" s="32">
        <f t="shared" si="136"/>
        <v>36511338445.32</v>
      </c>
      <c r="AB254">
        <v>54568</v>
      </c>
      <c r="AC254" s="37">
        <f t="shared" si="137"/>
        <v>3.2671047313984646E-2</v>
      </c>
      <c r="AD254" s="50">
        <f>+'Revenue mile elasticities'!M283</f>
        <v>12100000</v>
      </c>
      <c r="AE254" s="3">
        <f t="shared" si="140"/>
        <v>121000</v>
      </c>
      <c r="AF254" s="11">
        <f>+'Revenue mile elasticities'!P283</f>
        <v>1.064930604181066E-2</v>
      </c>
      <c r="AG254" s="11">
        <f>+'Revenue mile elasticities'!Q283</f>
        <v>4.2061907364826095E-2</v>
      </c>
      <c r="AH254" s="11">
        <f>+'Revenue mile elasticities'!R283</f>
        <v>2.9218312605689897E-2</v>
      </c>
      <c r="AI254" s="11">
        <f>+'Revenue mile elasticities'!S283</f>
        <v>4.9810153458346697E-2</v>
      </c>
      <c r="AJ254" s="32">
        <f t="shared" si="141"/>
        <v>3888204.1710034008</v>
      </c>
      <c r="AK254" s="33">
        <f t="shared" si="142"/>
        <v>1.0649306041810659E-4</v>
      </c>
      <c r="AL254" s="40">
        <f t="shared" si="143"/>
        <v>15357365.354528634</v>
      </c>
      <c r="AM254" s="33">
        <f t="shared" si="144"/>
        <v>4.2061907364826094E-4</v>
      </c>
      <c r="AN254" s="40">
        <f t="shared" si="145"/>
        <v>15943848.822672866</v>
      </c>
      <c r="AO254" s="41">
        <f t="shared" si="146"/>
        <v>2.9218312605689903E-4</v>
      </c>
      <c r="AP254" s="40">
        <f t="shared" si="147"/>
        <v>27180404.539150629</v>
      </c>
      <c r="AQ254" s="41">
        <f t="shared" si="148"/>
        <v>4.9810153458346705E-4</v>
      </c>
      <c r="AR254" s="53"/>
      <c r="AS254" s="53"/>
      <c r="BH254" t="s">
        <v>527</v>
      </c>
      <c r="BI254">
        <v>1670225</v>
      </c>
      <c r="BJ254">
        <v>1046118</v>
      </c>
      <c r="BK254" s="51">
        <v>34901.74</v>
      </c>
      <c r="BL254" s="32">
        <f t="shared" si="138"/>
        <v>36511338445.32</v>
      </c>
      <c r="BM254">
        <v>54568</v>
      </c>
      <c r="BN254" s="37">
        <f t="shared" si="139"/>
        <v>3.2671047313984646E-2</v>
      </c>
      <c r="BO254" s="50">
        <f t="shared" si="149"/>
        <v>12100000</v>
      </c>
      <c r="BP254" s="3">
        <f t="shared" si="150"/>
        <v>121000</v>
      </c>
      <c r="BQ254" s="11">
        <f>+'Rev mile pop elasticities'!P284</f>
        <v>2.5405272942268253E-2</v>
      </c>
      <c r="BR254" s="11">
        <f>+'Rev mile pop elasticities'!Q284</f>
        <v>5.2112823122633184E-2</v>
      </c>
      <c r="BS254" s="11">
        <f>+'Rev mile pop elasticities'!R284</f>
        <v>6.9703997964346107E-2</v>
      </c>
      <c r="BT254" s="11">
        <f>+'Rev mile pop elasticities'!S284</f>
        <v>6.171255369785509E-2</v>
      </c>
      <c r="BU254" s="32">
        <f t="shared" si="151"/>
        <v>9275805.1869088672</v>
      </c>
      <c r="BV254" s="33">
        <f t="shared" si="152"/>
        <v>2.5405272942268252E-4</v>
      </c>
      <c r="BW254" s="40">
        <f t="shared" si="153"/>
        <v>19027089.223715581</v>
      </c>
      <c r="BX254" s="33">
        <f t="shared" si="154"/>
        <v>5.2112823122633185E-4</v>
      </c>
      <c r="BY254" s="40">
        <f t="shared" si="155"/>
        <v>38036077.609184384</v>
      </c>
      <c r="BZ254" s="41">
        <f t="shared" si="156"/>
        <v>6.9703997964346107E-4</v>
      </c>
      <c r="CA254" s="40">
        <f t="shared" si="157"/>
        <v>33675306.301845573</v>
      </c>
      <c r="CB254" s="41">
        <f t="shared" si="158"/>
        <v>6.1712553697855109E-4</v>
      </c>
      <c r="CQ254" s="70">
        <f t="shared" si="159"/>
        <v>3.7167931065170476</v>
      </c>
      <c r="CR254" s="70">
        <f t="shared" si="160"/>
        <v>8.8668823086008146</v>
      </c>
      <c r="CS254" s="70">
        <f t="shared" si="161"/>
        <v>12.583675415117863</v>
      </c>
      <c r="CT254" s="70">
        <f t="shared" si="162"/>
        <v>14.680337547512455</v>
      </c>
      <c r="CU254" s="70">
        <f t="shared" si="163"/>
        <v>18.188282032921315</v>
      </c>
      <c r="CV254" s="70">
        <f t="shared" si="164"/>
        <v>32.868619580433773</v>
      </c>
      <c r="CW254" s="69">
        <f t="shared" si="165"/>
        <v>15.240965954770749</v>
      </c>
      <c r="CX254" s="69">
        <f t="shared" si="166"/>
        <v>36.359261201111522</v>
      </c>
      <c r="CY254" s="70">
        <f t="shared" si="167"/>
        <v>51.600227155882273</v>
      </c>
      <c r="CZ254" s="69">
        <f t="shared" si="168"/>
        <v>25.98215931582348</v>
      </c>
      <c r="DA254" s="69">
        <f t="shared" si="169"/>
        <v>32.190734029856642</v>
      </c>
      <c r="DB254" s="70">
        <f t="shared" si="170"/>
        <v>58.172893345680123</v>
      </c>
    </row>
    <row r="255" spans="23:106">
      <c r="W255" t="s">
        <v>528</v>
      </c>
      <c r="X255">
        <v>422343</v>
      </c>
      <c r="Y255">
        <v>192374</v>
      </c>
      <c r="Z255" s="51">
        <v>31968.18</v>
      </c>
      <c r="AA255" s="32">
        <f t="shared" si="136"/>
        <v>6149846659.3199997</v>
      </c>
      <c r="AB255">
        <v>9535</v>
      </c>
      <c r="AC255" s="37">
        <f t="shared" si="137"/>
        <v>2.257643668771591E-2</v>
      </c>
      <c r="AD255" s="50">
        <f>+'Revenue mile elasticities'!M284</f>
        <v>1484454</v>
      </c>
      <c r="AE255" s="3">
        <f t="shared" si="140"/>
        <v>14844.54</v>
      </c>
      <c r="AF255" s="11">
        <f>+'Revenue mile elasticities'!P284</f>
        <v>1.2176653491203487E-3</v>
      </c>
      <c r="AG255" s="11">
        <f>+'Revenue mile elasticities'!Q284</f>
        <v>4.8094520821330856E-3</v>
      </c>
      <c r="AH255" s="11">
        <f>+'Revenue mile elasticities'!R284</f>
        <v>3.3408868784529418E-3</v>
      </c>
      <c r="AI255" s="11">
        <f>+'Revenue mile elasticities'!S284</f>
        <v>5.6954037814733911E-3</v>
      </c>
      <c r="AJ255" s="32">
        <f t="shared" si="141"/>
        <v>74884.551794574974</v>
      </c>
      <c r="AK255" s="33">
        <f t="shared" si="142"/>
        <v>1.2176653491203488E-5</v>
      </c>
      <c r="AL255" s="40">
        <f t="shared" si="143"/>
        <v>295773.92820465774</v>
      </c>
      <c r="AM255" s="33">
        <f t="shared" si="144"/>
        <v>4.8094520821330857E-5</v>
      </c>
      <c r="AN255" s="40">
        <f t="shared" si="145"/>
        <v>318553.56386048807</v>
      </c>
      <c r="AO255" s="41">
        <f t="shared" si="146"/>
        <v>3.3408868784529428E-5</v>
      </c>
      <c r="AP255" s="40">
        <f t="shared" si="147"/>
        <v>543056.75056348776</v>
      </c>
      <c r="AQ255" s="41">
        <f t="shared" si="148"/>
        <v>5.6954037814733899E-5</v>
      </c>
      <c r="AR255" s="53"/>
      <c r="AS255" s="53"/>
      <c r="BH255" t="s">
        <v>528</v>
      </c>
      <c r="BI255">
        <v>422343</v>
      </c>
      <c r="BJ255">
        <v>192374</v>
      </c>
      <c r="BK255" s="51">
        <v>31968.18</v>
      </c>
      <c r="BL255" s="32">
        <f t="shared" si="138"/>
        <v>6149846659.3199997</v>
      </c>
      <c r="BM255">
        <v>9535</v>
      </c>
      <c r="BN255" s="37">
        <f t="shared" si="139"/>
        <v>2.257643668771591E-2</v>
      </c>
      <c r="BO255" s="50">
        <f t="shared" si="149"/>
        <v>1484454</v>
      </c>
      <c r="BP255" s="3">
        <f t="shared" si="150"/>
        <v>14844.54</v>
      </c>
      <c r="BQ255" s="11">
        <f>+'Rev mile pop elasticities'!P285</f>
        <v>1.2325794381059943E-2</v>
      </c>
      <c r="BR255" s="11">
        <f>+'Rev mile pop elasticities'!Q285</f>
        <v>2.5283410411916382E-2</v>
      </c>
      <c r="BS255" s="11">
        <f>+'Rev mile pop elasticities'!R285</f>
        <v>3.3818064005796233E-2</v>
      </c>
      <c r="BT255" s="11">
        <f>+'Rev mile pop elasticities'!S285</f>
        <v>2.9940880750953611E-2</v>
      </c>
      <c r="BU255" s="32">
        <f t="shared" si="151"/>
        <v>758017.45397826715</v>
      </c>
      <c r="BV255" s="33">
        <f t="shared" si="152"/>
        <v>1.2325794381059943E-4</v>
      </c>
      <c r="BW255" s="40">
        <f t="shared" si="153"/>
        <v>1554890.9705794046</v>
      </c>
      <c r="BX255" s="33">
        <f t="shared" si="154"/>
        <v>2.5283410411916382E-4</v>
      </c>
      <c r="BY255" s="40">
        <f t="shared" si="155"/>
        <v>3224552.402952672</v>
      </c>
      <c r="BZ255" s="41">
        <f t="shared" si="156"/>
        <v>3.3818064005796246E-4</v>
      </c>
      <c r="CA255" s="40">
        <f t="shared" si="157"/>
        <v>2854862.979603427</v>
      </c>
      <c r="CB255" s="41">
        <f t="shared" si="158"/>
        <v>2.9940880750953616E-4</v>
      </c>
      <c r="CQ255" s="70">
        <f t="shared" si="159"/>
        <v>0.38926545060442147</v>
      </c>
      <c r="CR255" s="70">
        <f t="shared" si="160"/>
        <v>3.9403321341671282</v>
      </c>
      <c r="CS255" s="70">
        <f t="shared" si="161"/>
        <v>4.32959758477155</v>
      </c>
      <c r="CT255" s="70">
        <f t="shared" si="162"/>
        <v>1.5374942986300526</v>
      </c>
      <c r="CU255" s="70">
        <f t="shared" si="163"/>
        <v>8.082646150620171</v>
      </c>
      <c r="CV255" s="70">
        <f t="shared" si="164"/>
        <v>9.6201404492502238</v>
      </c>
      <c r="CW255" s="69">
        <f t="shared" si="165"/>
        <v>1.6559075751426289</v>
      </c>
      <c r="CX255" s="69">
        <f t="shared" si="166"/>
        <v>16.76189299464934</v>
      </c>
      <c r="CY255" s="70">
        <f t="shared" si="167"/>
        <v>18.417800569791968</v>
      </c>
      <c r="CZ255" s="69">
        <f t="shared" si="168"/>
        <v>2.8229217595074583</v>
      </c>
      <c r="DA255" s="69">
        <f t="shared" si="169"/>
        <v>14.840170603113867</v>
      </c>
      <c r="DB255" s="70">
        <f t="shared" si="170"/>
        <v>17.663092362621324</v>
      </c>
    </row>
    <row r="256" spans="23:106">
      <c r="W256" t="s">
        <v>529</v>
      </c>
      <c r="X256">
        <v>230849</v>
      </c>
      <c r="Y256">
        <v>138139</v>
      </c>
      <c r="Z256" s="51">
        <v>31016.01</v>
      </c>
      <c r="AA256" s="32">
        <f t="shared" si="136"/>
        <v>4284520605.3899999</v>
      </c>
      <c r="AB256">
        <v>6856</v>
      </c>
      <c r="AC256" s="37">
        <f t="shared" si="137"/>
        <v>2.9699067355717375E-2</v>
      </c>
      <c r="AD256" s="50">
        <f>+'Revenue mile elasticities'!M285</f>
        <v>774477</v>
      </c>
      <c r="AE256" s="3">
        <f t="shared" si="140"/>
        <v>7744.77</v>
      </c>
      <c r="AF256" s="11">
        <f>+'Revenue mile elasticities'!P285</f>
        <v>6.9029453766467866E-4</v>
      </c>
      <c r="AG256" s="11">
        <f>+'Revenue mile elasticities'!Q285</f>
        <v>2.7264785877785186E-3</v>
      </c>
      <c r="AH256" s="11">
        <f>+'Revenue mile elasticities'!R285</f>
        <v>1.8939489120041724E-3</v>
      </c>
      <c r="AI256" s="11">
        <f>+'Revenue mile elasticities'!S285</f>
        <v>3.2287246434219304E-3</v>
      </c>
      <c r="AJ256" s="32">
        <f t="shared" si="141"/>
        <v>29575.81170412479</v>
      </c>
      <c r="AK256" s="33">
        <f t="shared" si="142"/>
        <v>6.9029453766467866E-6</v>
      </c>
      <c r="AL256" s="40">
        <f t="shared" si="143"/>
        <v>116816.53689491689</v>
      </c>
      <c r="AM256" s="33">
        <f t="shared" si="144"/>
        <v>2.7264785877785182E-5</v>
      </c>
      <c r="AN256" s="40">
        <f t="shared" si="145"/>
        <v>129849.13740700604</v>
      </c>
      <c r="AO256" s="41">
        <f t="shared" si="146"/>
        <v>1.893948912004172E-5</v>
      </c>
      <c r="AP256" s="40">
        <f t="shared" si="147"/>
        <v>221361.36155300753</v>
      </c>
      <c r="AQ256" s="41">
        <f t="shared" si="148"/>
        <v>3.2287246434219301E-5</v>
      </c>
      <c r="AR256" s="53"/>
      <c r="AS256" s="53"/>
      <c r="BH256" t="s">
        <v>529</v>
      </c>
      <c r="BI256">
        <v>230849</v>
      </c>
      <c r="BJ256">
        <v>138139</v>
      </c>
      <c r="BK256" s="51">
        <v>31016.01</v>
      </c>
      <c r="BL256" s="32">
        <f t="shared" si="138"/>
        <v>4284520605.3899999</v>
      </c>
      <c r="BM256">
        <v>6856</v>
      </c>
      <c r="BN256" s="37">
        <f t="shared" si="139"/>
        <v>2.9699067355717375E-2</v>
      </c>
      <c r="BO256" s="50">
        <f t="shared" si="149"/>
        <v>774477</v>
      </c>
      <c r="BP256" s="3">
        <f t="shared" si="150"/>
        <v>7744.77</v>
      </c>
      <c r="BQ256" s="11">
        <f>+'Rev mile pop elasticities'!P286</f>
        <v>1.1765056089218491E-2</v>
      </c>
      <c r="BR256" s="11">
        <f>+'Rev mile pop elasticities'!Q286</f>
        <v>2.4133190318346626E-2</v>
      </c>
      <c r="BS256" s="11">
        <f>+'Rev mile pop elasticities'!R286</f>
        <v>3.2279576273668065E-2</v>
      </c>
      <c r="BT256" s="11">
        <f>+'Rev mile pop elasticities'!S286</f>
        <v>2.8578778008568374E-2</v>
      </c>
      <c r="BU256" s="32">
        <f t="shared" si="151"/>
        <v>504076.25237825711</v>
      </c>
      <c r="BV256" s="33">
        <f t="shared" si="152"/>
        <v>1.176505608921849E-4</v>
      </c>
      <c r="BW256" s="40">
        <f t="shared" si="153"/>
        <v>1033991.5119275457</v>
      </c>
      <c r="BX256" s="33">
        <f t="shared" si="154"/>
        <v>2.4133190318346626E-4</v>
      </c>
      <c r="BY256" s="40">
        <f t="shared" si="155"/>
        <v>2213087.7493226822</v>
      </c>
      <c r="BZ256" s="41">
        <f t="shared" si="156"/>
        <v>3.2279576273668063E-4</v>
      </c>
      <c r="CA256" s="40">
        <f t="shared" si="157"/>
        <v>1959361.0202674482</v>
      </c>
      <c r="CB256" s="41">
        <f t="shared" si="158"/>
        <v>2.8578778008568379E-4</v>
      </c>
      <c r="CQ256" s="70">
        <f t="shared" si="159"/>
        <v>0.21410182283153048</v>
      </c>
      <c r="CR256" s="70">
        <f t="shared" si="160"/>
        <v>3.6490509731376157</v>
      </c>
      <c r="CS256" s="70">
        <f t="shared" si="161"/>
        <v>3.8631527959691461</v>
      </c>
      <c r="CT256" s="70">
        <f t="shared" si="162"/>
        <v>0.84564487143324396</v>
      </c>
      <c r="CU256" s="70">
        <f t="shared" si="163"/>
        <v>7.4851527224574212</v>
      </c>
      <c r="CV256" s="70">
        <f t="shared" si="164"/>
        <v>8.3307975938906651</v>
      </c>
      <c r="CW256" s="69">
        <f t="shared" si="165"/>
        <v>0.93998897781948643</v>
      </c>
      <c r="CX256" s="69">
        <f t="shared" si="166"/>
        <v>16.020730925536469</v>
      </c>
      <c r="CY256" s="70">
        <f t="shared" si="167"/>
        <v>16.960719903355955</v>
      </c>
      <c r="CZ256" s="69">
        <f t="shared" si="168"/>
        <v>1.602453771585197</v>
      </c>
      <c r="DA256" s="69">
        <f t="shared" si="169"/>
        <v>14.183981498834132</v>
      </c>
      <c r="DB256" s="70">
        <f t="shared" si="170"/>
        <v>15.786435270419329</v>
      </c>
    </row>
    <row r="257" spans="23:106">
      <c r="W257" t="s">
        <v>337</v>
      </c>
      <c r="X257">
        <v>5377936</v>
      </c>
      <c r="Y257">
        <v>3904006</v>
      </c>
      <c r="Z257" s="51">
        <v>55048.91</v>
      </c>
      <c r="AA257" s="32">
        <f t="shared" si="136"/>
        <v>214911274933.46002</v>
      </c>
      <c r="AB257">
        <v>312626</v>
      </c>
      <c r="AC257" s="37">
        <f t="shared" si="137"/>
        <v>5.8131223577223681E-2</v>
      </c>
      <c r="AD257" s="50">
        <f>+'Revenue mile elasticities'!M286</f>
        <v>120000000</v>
      </c>
      <c r="AE257" s="3">
        <f t="shared" si="140"/>
        <v>1200000</v>
      </c>
      <c r="AF257" s="11">
        <f>+'Revenue mile elasticities'!P286</f>
        <v>2.6782830843078122E-2</v>
      </c>
      <c r="AG257" s="11">
        <f>+'Revenue mile elasticities'!Q286</f>
        <v>0.10578501035339</v>
      </c>
      <c r="AH257" s="11">
        <f>+'Revenue mile elasticities'!R286</f>
        <v>7.3483579208445393E-2</v>
      </c>
      <c r="AI257" s="11">
        <f>+'Revenue mile elasticities'!S286</f>
        <v>0.12527172278690921</v>
      </c>
      <c r="AJ257" s="32">
        <f t="shared" si="141"/>
        <v>57559323.22813116</v>
      </c>
      <c r="AK257" s="33">
        <f t="shared" si="142"/>
        <v>2.6782830843078125E-4</v>
      </c>
      <c r="AL257" s="40">
        <f t="shared" si="143"/>
        <v>227343914.43896315</v>
      </c>
      <c r="AM257" s="33">
        <f t="shared" si="144"/>
        <v>1.0578501035339001E-3</v>
      </c>
      <c r="AN257" s="40">
        <f t="shared" si="145"/>
        <v>229728774.33619455</v>
      </c>
      <c r="AO257" s="41">
        <f t="shared" si="146"/>
        <v>7.348357920844541E-4</v>
      </c>
      <c r="AP257" s="40">
        <f t="shared" si="147"/>
        <v>391631976.07980281</v>
      </c>
      <c r="AQ257" s="41">
        <f t="shared" si="148"/>
        <v>1.2527172278690921E-3</v>
      </c>
      <c r="AR257" s="53"/>
      <c r="AS257" s="53"/>
      <c r="BH257" t="s">
        <v>337</v>
      </c>
      <c r="BI257">
        <v>5377936</v>
      </c>
      <c r="BJ257">
        <v>3904006</v>
      </c>
      <c r="BK257" s="51">
        <v>55048.91</v>
      </c>
      <c r="BL257" s="32">
        <f t="shared" si="138"/>
        <v>214911274933.46002</v>
      </c>
      <c r="BM257">
        <v>312626</v>
      </c>
      <c r="BN257" s="37">
        <f t="shared" si="139"/>
        <v>5.8131223577223681E-2</v>
      </c>
      <c r="BO257" s="50">
        <f t="shared" si="149"/>
        <v>120000000</v>
      </c>
      <c r="BP257" s="3">
        <f t="shared" si="150"/>
        <v>1200000</v>
      </c>
      <c r="BQ257" s="11">
        <f>+'Rev mile pop elasticities'!P287</f>
        <v>7.8249053168353053E-2</v>
      </c>
      <c r="BR257" s="11">
        <f>+'Rev mile pop elasticities'!Q287</f>
        <v>0.16050916187920422</v>
      </c>
      <c r="BS257" s="11">
        <f>+'Rev mile pop elasticities'!R287</f>
        <v>0.21469054298898313</v>
      </c>
      <c r="BT257" s="11">
        <f>+'Rev mile pop elasticities'!S287</f>
        <v>0.19007663906747868</v>
      </c>
      <c r="BU257" s="32">
        <f t="shared" si="151"/>
        <v>168166037.78746855</v>
      </c>
      <c r="BV257" s="33">
        <f t="shared" si="152"/>
        <v>7.8249053168353059E-4</v>
      </c>
      <c r="BW257" s="40">
        <f t="shared" si="153"/>
        <v>344952286.179609</v>
      </c>
      <c r="BX257" s="33">
        <f t="shared" si="154"/>
        <v>1.6050916187920422E-3</v>
      </c>
      <c r="BY257" s="40">
        <f t="shared" si="155"/>
        <v>671178456.92473841</v>
      </c>
      <c r="BZ257" s="41">
        <f t="shared" si="156"/>
        <v>2.1469054298898314E-3</v>
      </c>
      <c r="CA257" s="40">
        <f t="shared" si="157"/>
        <v>594228993.65109599</v>
      </c>
      <c r="CB257" s="41">
        <f t="shared" si="158"/>
        <v>1.9007663906747871E-3</v>
      </c>
      <c r="CQ257" s="70">
        <f t="shared" si="159"/>
        <v>14.743656446258321</v>
      </c>
      <c r="CR257" s="70">
        <f t="shared" si="160"/>
        <v>43.075250854498826</v>
      </c>
      <c r="CS257" s="70">
        <f t="shared" si="161"/>
        <v>57.818907300757147</v>
      </c>
      <c r="CT257" s="70">
        <f t="shared" si="162"/>
        <v>58.233495142928355</v>
      </c>
      <c r="CU257" s="70">
        <f t="shared" si="163"/>
        <v>88.358544064637456</v>
      </c>
      <c r="CV257" s="70">
        <f t="shared" si="164"/>
        <v>146.59203920756582</v>
      </c>
      <c r="CW257" s="69">
        <f t="shared" si="165"/>
        <v>58.844370202349729</v>
      </c>
      <c r="CX257" s="69">
        <f t="shared" si="166"/>
        <v>171.92044708044466</v>
      </c>
      <c r="CY257" s="70">
        <f t="shared" si="167"/>
        <v>230.76481728279438</v>
      </c>
      <c r="CZ257" s="69">
        <f t="shared" si="168"/>
        <v>100.31541347011321</v>
      </c>
      <c r="DA257" s="69">
        <f t="shared" si="169"/>
        <v>152.21006157549348</v>
      </c>
      <c r="DB257" s="70">
        <f t="shared" si="170"/>
        <v>252.5254750456067</v>
      </c>
    </row>
    <row r="258" spans="23:106">
      <c r="W258" t="s">
        <v>530</v>
      </c>
      <c r="X258">
        <v>163659</v>
      </c>
      <c r="Y258">
        <v>113542</v>
      </c>
      <c r="Z258" s="51">
        <v>34509.769999999997</v>
      </c>
      <c r="AA258" s="32">
        <f t="shared" si="136"/>
        <v>3918308305.3399997</v>
      </c>
      <c r="AB258">
        <v>6724</v>
      </c>
      <c r="AC258" s="37">
        <f t="shared" si="137"/>
        <v>4.108542762695605E-2</v>
      </c>
      <c r="AD258" s="50">
        <f>+'Revenue mile elasticities'!M287</f>
        <v>621321</v>
      </c>
      <c r="AE258" s="3">
        <f t="shared" si="140"/>
        <v>6213.21</v>
      </c>
      <c r="AF258" s="11">
        <f>+'Revenue mile elasticities'!P287</f>
        <v>6.8467708900961854E-4</v>
      </c>
      <c r="AG258" s="11">
        <f>+'Revenue mile elasticities'!Q287</f>
        <v>2.7042911697413119E-3</v>
      </c>
      <c r="AH258" s="11">
        <f>+'Revenue mile elasticities'!R287</f>
        <v>1.8785364174993145E-3</v>
      </c>
      <c r="AI258" s="11">
        <f>+'Revenue mile elasticities'!S287</f>
        <v>3.2024500694305008E-3</v>
      </c>
      <c r="AJ258" s="32">
        <f t="shared" si="141"/>
        <v>26827.759243424025</v>
      </c>
      <c r="AK258" s="33">
        <f t="shared" si="142"/>
        <v>6.8467708900961851E-6</v>
      </c>
      <c r="AL258" s="40">
        <f t="shared" si="143"/>
        <v>105962.46550455004</v>
      </c>
      <c r="AM258" s="33">
        <f t="shared" si="144"/>
        <v>2.7042911697413117E-5</v>
      </c>
      <c r="AN258" s="40">
        <f t="shared" si="145"/>
        <v>126312.78871265391</v>
      </c>
      <c r="AO258" s="41">
        <f t="shared" si="146"/>
        <v>1.8785364174993144E-5</v>
      </c>
      <c r="AP258" s="40">
        <f t="shared" si="147"/>
        <v>215332.74266850692</v>
      </c>
      <c r="AQ258" s="41">
        <f t="shared" si="148"/>
        <v>3.2024500694305017E-5</v>
      </c>
      <c r="AR258" s="53"/>
      <c r="AS258" s="53"/>
      <c r="BH258" t="s">
        <v>530</v>
      </c>
      <c r="BI258">
        <v>163659</v>
      </c>
      <c r="BJ258">
        <v>113542</v>
      </c>
      <c r="BK258" s="51">
        <v>34509.769999999997</v>
      </c>
      <c r="BL258" s="32">
        <f t="shared" si="138"/>
        <v>3918308305.3399997</v>
      </c>
      <c r="BM258">
        <v>6724</v>
      </c>
      <c r="BN258" s="37">
        <f t="shared" si="139"/>
        <v>4.108542762695605E-2</v>
      </c>
      <c r="BO258" s="50">
        <f t="shared" si="149"/>
        <v>621321</v>
      </c>
      <c r="BP258" s="3">
        <f t="shared" si="150"/>
        <v>6213.21</v>
      </c>
      <c r="BQ258" s="11">
        <f>+'Rev mile pop elasticities'!P288</f>
        <v>1.3313419422213259E-2</v>
      </c>
      <c r="BR258" s="11">
        <f>+'Rev mile pop elasticities'!Q288</f>
        <v>2.7309286268399537E-2</v>
      </c>
      <c r="BS258" s="11">
        <f>+'Rev mile pop elasticities'!R288</f>
        <v>3.6527793360585113E-2</v>
      </c>
      <c r="BT258" s="11">
        <f>+'Rev mile pop elasticities'!S288</f>
        <v>3.2339944265209981E-2</v>
      </c>
      <c r="BU258" s="32">
        <f t="shared" si="151"/>
        <v>521660.81894533068</v>
      </c>
      <c r="BV258" s="33">
        <f t="shared" si="152"/>
        <v>1.3313419422213257E-4</v>
      </c>
      <c r="BW258" s="40">
        <f t="shared" si="153"/>
        <v>1070062.0319837751</v>
      </c>
      <c r="BX258" s="33">
        <f t="shared" si="154"/>
        <v>2.7309286268399537E-4</v>
      </c>
      <c r="BY258" s="40">
        <f t="shared" si="155"/>
        <v>2456128.8255657433</v>
      </c>
      <c r="BZ258" s="41">
        <f t="shared" si="156"/>
        <v>3.6527793360585116E-4</v>
      </c>
      <c r="CA258" s="40">
        <f t="shared" si="157"/>
        <v>2174537.8523927191</v>
      </c>
      <c r="CB258" s="41">
        <f t="shared" si="158"/>
        <v>3.233994426520998E-4</v>
      </c>
      <c r="CQ258" s="70">
        <f t="shared" si="159"/>
        <v>0.23628048865991461</v>
      </c>
      <c r="CR258" s="70">
        <f t="shared" si="160"/>
        <v>4.5944304217411238</v>
      </c>
      <c r="CS258" s="70">
        <f t="shared" si="161"/>
        <v>4.8307109104010388</v>
      </c>
      <c r="CT258" s="70">
        <f t="shared" si="162"/>
        <v>0.9332446628080362</v>
      </c>
      <c r="CU258" s="70">
        <f t="shared" si="163"/>
        <v>9.4243718798662623</v>
      </c>
      <c r="CV258" s="70">
        <f t="shared" si="164"/>
        <v>10.357616542674299</v>
      </c>
      <c r="CW258" s="69">
        <f t="shared" si="165"/>
        <v>1.1124763410249416</v>
      </c>
      <c r="CX258" s="69">
        <f t="shared" si="166"/>
        <v>21.631896792074681</v>
      </c>
      <c r="CY258" s="70">
        <f t="shared" si="167"/>
        <v>22.744373133099621</v>
      </c>
      <c r="CZ258" s="69">
        <f t="shared" si="168"/>
        <v>1.8965029915670581</v>
      </c>
      <c r="DA258" s="69">
        <f t="shared" si="169"/>
        <v>19.15183678632329</v>
      </c>
      <c r="DB258" s="70">
        <f t="shared" si="170"/>
        <v>21.048339777890348</v>
      </c>
    </row>
    <row r="259" spans="23:106">
      <c r="W259" t="s">
        <v>531</v>
      </c>
      <c r="X259">
        <v>131043</v>
      </c>
      <c r="Y259">
        <v>92289</v>
      </c>
      <c r="Z259" s="51">
        <v>35303.300000000003</v>
      </c>
      <c r="AA259" s="32">
        <f t="shared" si="136"/>
        <v>3258106253.7000003</v>
      </c>
      <c r="AB259">
        <v>5099</v>
      </c>
      <c r="AC259" s="37">
        <f t="shared" si="137"/>
        <v>3.8910891844661677E-2</v>
      </c>
      <c r="AD259" s="50">
        <f>+'Revenue mile elasticities'!M288</f>
        <v>569706</v>
      </c>
      <c r="AE259" s="3">
        <f t="shared" si="140"/>
        <v>5697.06</v>
      </c>
      <c r="AF259" s="11">
        <f>+'Revenue mile elasticities'!P288</f>
        <v>3.3506199426529862E-4</v>
      </c>
      <c r="AG259" s="11">
        <f>+'Revenue mile elasticities'!Q288</f>
        <v>1.3234051598224749E-3</v>
      </c>
      <c r="AH259" s="11">
        <f>+'Revenue mile elasticities'!R288</f>
        <v>9.1930366657627053E-4</v>
      </c>
      <c r="AI259" s="11">
        <f>+'Revenue mile elasticities'!S288</f>
        <v>1.5671903208424045E-3</v>
      </c>
      <c r="AJ259" s="32">
        <f t="shared" si="141"/>
        <v>10916.675788929631</v>
      </c>
      <c r="AK259" s="33">
        <f t="shared" si="142"/>
        <v>3.3506199426529865E-6</v>
      </c>
      <c r="AL259" s="40">
        <f t="shared" si="143"/>
        <v>43117.946273964539</v>
      </c>
      <c r="AM259" s="33">
        <f t="shared" si="144"/>
        <v>1.3234051598224749E-5</v>
      </c>
      <c r="AN259" s="40">
        <f t="shared" si="145"/>
        <v>46875.29395872404</v>
      </c>
      <c r="AO259" s="41">
        <f t="shared" si="146"/>
        <v>9.193036665762706E-6</v>
      </c>
      <c r="AP259" s="40">
        <f t="shared" si="147"/>
        <v>79911.034459754213</v>
      </c>
      <c r="AQ259" s="41">
        <f t="shared" si="148"/>
        <v>1.5671903208424047E-5</v>
      </c>
      <c r="AR259" s="53"/>
      <c r="AS259" s="53"/>
      <c r="BH259" t="s">
        <v>531</v>
      </c>
      <c r="BI259">
        <v>131043</v>
      </c>
      <c r="BJ259">
        <v>92289</v>
      </c>
      <c r="BK259" s="51">
        <v>35303.300000000003</v>
      </c>
      <c r="BL259" s="32">
        <f t="shared" si="138"/>
        <v>3258106253.7000003</v>
      </c>
      <c r="BM259">
        <v>5099</v>
      </c>
      <c r="BN259" s="37">
        <f t="shared" si="139"/>
        <v>3.8910891844661677E-2</v>
      </c>
      <c r="BO259" s="50">
        <f t="shared" si="149"/>
        <v>569706</v>
      </c>
      <c r="BP259" s="3">
        <f t="shared" si="150"/>
        <v>5697.06</v>
      </c>
      <c r="BQ259" s="11">
        <f>+'Rev mile pop elasticities'!P289</f>
        <v>1.5245807825828161E-2</v>
      </c>
      <c r="BR259" s="11">
        <f>+'Rev mile pop elasticities'!Q289</f>
        <v>3.1273117529360593E-2</v>
      </c>
      <c r="BS259" s="11">
        <f>+'Rev mile pop elasticities'!R289</f>
        <v>4.1829653240539361E-2</v>
      </c>
      <c r="BT259" s="11">
        <f>+'Rev mile pop elasticities'!S289</f>
        <v>3.7033954968979654E-2</v>
      </c>
      <c r="BU259" s="32">
        <f t="shared" si="151"/>
        <v>496724.61820039141</v>
      </c>
      <c r="BV259" s="33">
        <f t="shared" si="152"/>
        <v>1.5245807825828162E-4</v>
      </c>
      <c r="BW259" s="40">
        <f t="shared" si="153"/>
        <v>1018911.3979510486</v>
      </c>
      <c r="BX259" s="33">
        <f t="shared" si="154"/>
        <v>3.1273117529360592E-4</v>
      </c>
      <c r="BY259" s="40">
        <f t="shared" si="155"/>
        <v>2132894.0187351019</v>
      </c>
      <c r="BZ259" s="41">
        <f t="shared" si="156"/>
        <v>4.1829653240539356E-4</v>
      </c>
      <c r="CA259" s="40">
        <f t="shared" si="157"/>
        <v>1888361.3638682726</v>
      </c>
      <c r="CB259" s="41">
        <f t="shared" si="158"/>
        <v>3.7033954968979658E-4</v>
      </c>
      <c r="CQ259" s="70">
        <f t="shared" si="159"/>
        <v>0.11828794102146119</v>
      </c>
      <c r="CR259" s="70">
        <f t="shared" si="160"/>
        <v>5.3822732741755939</v>
      </c>
      <c r="CS259" s="70">
        <f t="shared" si="161"/>
        <v>5.5005612151970551</v>
      </c>
      <c r="CT259" s="70">
        <f t="shared" si="162"/>
        <v>0.46720569378760785</v>
      </c>
      <c r="CU259" s="70">
        <f t="shared" si="163"/>
        <v>11.04044250074276</v>
      </c>
      <c r="CV259" s="70">
        <f t="shared" si="164"/>
        <v>11.507648194530368</v>
      </c>
      <c r="CW259" s="69">
        <f t="shared" si="165"/>
        <v>0.50791853805680032</v>
      </c>
      <c r="CX259" s="69">
        <f t="shared" si="166"/>
        <v>23.11103185358062</v>
      </c>
      <c r="CY259" s="70">
        <f t="shared" si="167"/>
        <v>23.618950391637419</v>
      </c>
      <c r="CZ259" s="69">
        <f t="shared" si="168"/>
        <v>0.86587821365226858</v>
      </c>
      <c r="DA259" s="69">
        <f t="shared" si="169"/>
        <v>20.461391540359877</v>
      </c>
      <c r="DB259" s="70">
        <f t="shared" si="170"/>
        <v>21.327269754012146</v>
      </c>
    </row>
    <row r="260" spans="23:106">
      <c r="W260" t="s">
        <v>532</v>
      </c>
      <c r="X260">
        <v>108301</v>
      </c>
      <c r="Y260">
        <v>65773</v>
      </c>
      <c r="Z260" s="51">
        <v>33550.58</v>
      </c>
      <c r="AA260" s="32">
        <f t="shared" ref="AA260:AA268" si="171">Y260*Z260</f>
        <v>2206722298.3400002</v>
      </c>
      <c r="AB260">
        <v>3203</v>
      </c>
      <c r="AC260" s="37">
        <f t="shared" ref="AC260:AC268" si="172">+AB260/X260</f>
        <v>2.9574980840435455E-2</v>
      </c>
      <c r="AD260" s="50">
        <f>+'Revenue mile elasticities'!M289</f>
        <v>1697195</v>
      </c>
      <c r="AE260" s="3">
        <f t="shared" si="140"/>
        <v>16971.95</v>
      </c>
      <c r="AF260" s="11">
        <f>+'Revenue mile elasticities'!P289</f>
        <v>1.2708265662903354E-3</v>
      </c>
      <c r="AG260" s="11">
        <f>+'Revenue mile elasticities'!Q289</f>
        <v>5.0194246552966613E-3</v>
      </c>
      <c r="AH260" s="11">
        <f>+'Revenue mile elasticities'!R289</f>
        <v>3.4867443696052526E-3</v>
      </c>
      <c r="AI260" s="11">
        <f>+'Revenue mile elasticities'!S289</f>
        <v>5.9440555128513102E-3</v>
      </c>
      <c r="AJ260" s="32">
        <f t="shared" si="141"/>
        <v>28043.613211557396</v>
      </c>
      <c r="AK260" s="33">
        <f t="shared" si="142"/>
        <v>1.2708265662903354E-5</v>
      </c>
      <c r="AL260" s="40">
        <f t="shared" si="143"/>
        <v>110764.76311680712</v>
      </c>
      <c r="AM260" s="33">
        <f t="shared" si="144"/>
        <v>5.0194246552966615E-5</v>
      </c>
      <c r="AN260" s="40">
        <f t="shared" si="145"/>
        <v>111680.42215845625</v>
      </c>
      <c r="AO260" s="41">
        <f t="shared" si="146"/>
        <v>3.4867443696052525E-5</v>
      </c>
      <c r="AP260" s="40">
        <f t="shared" si="147"/>
        <v>190388.09807662747</v>
      </c>
      <c r="AQ260" s="41">
        <f t="shared" si="148"/>
        <v>5.9440555128513104E-5</v>
      </c>
      <c r="AR260" s="53"/>
      <c r="AS260" s="53"/>
      <c r="BH260" t="s">
        <v>532</v>
      </c>
      <c r="BI260">
        <v>108301</v>
      </c>
      <c r="BJ260">
        <v>65773</v>
      </c>
      <c r="BK260" s="51">
        <v>33550.58</v>
      </c>
      <c r="BL260" s="32">
        <f t="shared" ref="BL260:BL268" si="173">BJ260*BK260</f>
        <v>2206722298.3400002</v>
      </c>
      <c r="BM260">
        <v>3203</v>
      </c>
      <c r="BN260" s="37">
        <f t="shared" ref="BN260:BN268" si="174">+BM260/BI260</f>
        <v>2.9574980840435455E-2</v>
      </c>
      <c r="BO260" s="50">
        <f t="shared" si="149"/>
        <v>1697195</v>
      </c>
      <c r="BP260" s="3">
        <f t="shared" si="150"/>
        <v>16971.95</v>
      </c>
      <c r="BQ260" s="11">
        <f>+'Rev mile pop elasticities'!P290</f>
        <v>5.49557009621333E-2</v>
      </c>
      <c r="BR260" s="11">
        <f>+'Rev mile pop elasticities'!Q290</f>
        <v>0.11272843753058605</v>
      </c>
      <c r="BS260" s="11">
        <f>+'Rev mile pop elasticities'!R290</f>
        <v>0.1507809845892466</v>
      </c>
      <c r="BT260" s="11">
        <f>+'Rev mile pop elasticities'!S290</f>
        <v>0.1334942023388519</v>
      </c>
      <c r="BU260" s="32">
        <f t="shared" si="151"/>
        <v>1212719.7073404456</v>
      </c>
      <c r="BV260" s="33">
        <f t="shared" si="152"/>
        <v>5.4955700962133302E-4</v>
      </c>
      <c r="BW260" s="40">
        <f t="shared" si="153"/>
        <v>2487603.56755772</v>
      </c>
      <c r="BX260" s="33">
        <f t="shared" si="154"/>
        <v>1.1272843753058605E-3</v>
      </c>
      <c r="BY260" s="40">
        <f t="shared" si="155"/>
        <v>4829514.9363935692</v>
      </c>
      <c r="BZ260" s="41">
        <f t="shared" si="156"/>
        <v>1.5078098458924662E-3</v>
      </c>
      <c r="CA260" s="40">
        <f t="shared" si="157"/>
        <v>4275819.300913427</v>
      </c>
      <c r="CB260" s="41">
        <f t="shared" si="158"/>
        <v>1.3349420233885192E-3</v>
      </c>
      <c r="CQ260" s="70">
        <f t="shared" si="159"/>
        <v>0.42636968378449208</v>
      </c>
      <c r="CR260" s="70">
        <f t="shared" si="160"/>
        <v>18.437956415861304</v>
      </c>
      <c r="CS260" s="70">
        <f t="shared" si="161"/>
        <v>18.864326099645798</v>
      </c>
      <c r="CT260" s="70">
        <f t="shared" si="162"/>
        <v>1.6840460845150309</v>
      </c>
      <c r="CU260" s="70">
        <f t="shared" si="163"/>
        <v>37.821044616449306</v>
      </c>
      <c r="CV260" s="70">
        <f t="shared" si="164"/>
        <v>39.505090700964338</v>
      </c>
      <c r="CW260" s="69">
        <f t="shared" si="165"/>
        <v>1.6979675878925433</v>
      </c>
      <c r="CX260" s="69">
        <f t="shared" si="166"/>
        <v>73.427013157276832</v>
      </c>
      <c r="CY260" s="70">
        <f t="shared" si="167"/>
        <v>75.124980745169381</v>
      </c>
      <c r="CZ260" s="69">
        <f t="shared" si="168"/>
        <v>2.8946239045904472</v>
      </c>
      <c r="DA260" s="69">
        <f t="shared" si="169"/>
        <v>65.008731560266781</v>
      </c>
      <c r="DB260" s="70">
        <f t="shared" si="170"/>
        <v>67.903355464857228</v>
      </c>
    </row>
    <row r="261" spans="23:106">
      <c r="W261" t="s">
        <v>533</v>
      </c>
      <c r="X261">
        <v>144986</v>
      </c>
      <c r="Y261">
        <v>84367</v>
      </c>
      <c r="Z261" s="51">
        <v>29806.62</v>
      </c>
      <c r="AA261" s="32">
        <f t="shared" si="171"/>
        <v>2514695109.54</v>
      </c>
      <c r="AB261">
        <v>4389</v>
      </c>
      <c r="AC261" s="37">
        <f t="shared" si="172"/>
        <v>3.027188832025161E-2</v>
      </c>
      <c r="AD261" s="50">
        <f>+'Revenue mile elasticities'!M290</f>
        <v>672019</v>
      </c>
      <c r="AE261" s="3">
        <f t="shared" ref="AE261:AE268" si="175">+AD261*$C$1</f>
        <v>6720.1900000000005</v>
      </c>
      <c r="AF261" s="11">
        <f>+'Revenue mile elasticities'!P290</f>
        <v>4.2668857995326547E-4</v>
      </c>
      <c r="AG261" s="11">
        <f>+'Revenue mile elasticities'!Q290</f>
        <v>1.6853056389927856E-3</v>
      </c>
      <c r="AH261" s="11">
        <f>+'Revenue mile elasticities'!R290</f>
        <v>1.170697908897046E-3</v>
      </c>
      <c r="AI261" s="11">
        <f>+'Revenue mile elasticities'!S290</f>
        <v>1.9957566777546146E-3</v>
      </c>
      <c r="AJ261" s="32">
        <f t="shared" ref="AJ261:AJ268" si="176">AA261*$C$1*AF261</f>
        <v>10729.916853050441</v>
      </c>
      <c r="AK261" s="33">
        <f t="shared" ref="AK261:AK268" si="177">AJ261/AA261</f>
        <v>4.2668857995326554E-6</v>
      </c>
      <c r="AL261" s="40">
        <f t="shared" ref="AL261:AL268" si="178">+AA261*$C$1*AG261</f>
        <v>42380.29848455343</v>
      </c>
      <c r="AM261" s="33">
        <f t="shared" ref="AM261:AM268" si="179">AL261/AA261</f>
        <v>1.6853056389927859E-5</v>
      </c>
      <c r="AN261" s="40">
        <f t="shared" ref="AN261:AN268" si="180">+AH261*$C$1*AC261*X261*1000000</f>
        <v>51381.931221491352</v>
      </c>
      <c r="AO261" s="41">
        <f t="shared" ref="AO261:AO268" si="181">+AN261/AB261/1000000</f>
        <v>1.1706979088970459E-5</v>
      </c>
      <c r="AP261" s="40">
        <f t="shared" ref="AP261:AP268" si="182">+AI261*AC261*X261*$C$1*1000000</f>
        <v>87593.760586650023</v>
      </c>
      <c r="AQ261" s="41">
        <f t="shared" ref="AQ261:AQ268" si="183">+AP261/AB261/1000000</f>
        <v>1.9957566777546146E-5</v>
      </c>
      <c r="AR261" s="53"/>
      <c r="AS261" s="53"/>
      <c r="BH261" t="s">
        <v>533</v>
      </c>
      <c r="BI261">
        <v>144986</v>
      </c>
      <c r="BJ261">
        <v>84367</v>
      </c>
      <c r="BK261" s="51">
        <v>29806.62</v>
      </c>
      <c r="BL261" s="32">
        <f t="shared" si="173"/>
        <v>2514695109.54</v>
      </c>
      <c r="BM261">
        <v>4389</v>
      </c>
      <c r="BN261" s="37">
        <f t="shared" si="174"/>
        <v>3.027188832025161E-2</v>
      </c>
      <c r="BO261" s="50">
        <f t="shared" ref="BO261:BO268" si="184">+AD261</f>
        <v>672019</v>
      </c>
      <c r="BP261" s="3">
        <f t="shared" ref="BP261:BP268" si="185">+BO261*$C$1</f>
        <v>6720.1900000000005</v>
      </c>
      <c r="BQ261" s="11">
        <f>+'Rev mile pop elasticities'!P291</f>
        <v>1.625432572510449E-2</v>
      </c>
      <c r="BR261" s="11">
        <f>+'Rev mile pop elasticities'!Q291</f>
        <v>3.3341850072420791E-2</v>
      </c>
      <c r="BS261" s="11">
        <f>+'Rev mile pop elasticities'!R291</f>
        <v>4.4596705960575501E-2</v>
      </c>
      <c r="BT261" s="11">
        <f>+'Rev mile pop elasticities'!S291</f>
        <v>3.948376982260357E-2</v>
      </c>
      <c r="BU261" s="32">
        <f t="shared" ref="BU261:BU268" si="186">BL261*$C$1*BQ261</f>
        <v>408746.73409790482</v>
      </c>
      <c r="BV261" s="33">
        <f t="shared" ref="BV261:BV268" si="187">BU261/BL261</f>
        <v>1.6254325725104492E-4</v>
      </c>
      <c r="BW261" s="40">
        <f t="shared" ref="BW261:BW268" si="188">+BL261*$C$1*BR261</f>
        <v>838445.8732013246</v>
      </c>
      <c r="BX261" s="33">
        <f t="shared" ref="BX261:BX268" si="189">BW261/BL261</f>
        <v>3.334185007242079E-4</v>
      </c>
      <c r="BY261" s="40">
        <f t="shared" ref="BY261:BY268" si="190">+BS261*$C$1*BN261*BI261*1000000</f>
        <v>1957349.4246096588</v>
      </c>
      <c r="BZ261" s="41">
        <f t="shared" ref="BZ261:BZ268" si="191">+BY261/BM261/1000000</f>
        <v>4.4596705960575503E-4</v>
      </c>
      <c r="CA261" s="40">
        <f t="shared" ref="CA261:CA268" si="192">+BT261*BN261*BI261*$C$1*1000000</f>
        <v>1732942.6575140709</v>
      </c>
      <c r="CB261" s="41">
        <f t="shared" ref="CB261:CB268" si="193">+CA261/BM261/1000000</f>
        <v>3.9483769822603573E-4</v>
      </c>
      <c r="CQ261" s="70">
        <f t="shared" ref="CQ261:CQ268" si="194">+AJ261/Y261</f>
        <v>0.12718144361006603</v>
      </c>
      <c r="CR261" s="70">
        <f t="shared" ref="CR261:CR268" si="195">+BU261/Y261</f>
        <v>4.8448651024441407</v>
      </c>
      <c r="CS261" s="70">
        <f t="shared" ref="CS261:CS268" si="196">+(CQ261+CR261)</f>
        <v>4.9720465460542069</v>
      </c>
      <c r="CT261" s="70">
        <f t="shared" ref="CT261:CT268" si="197">+AL261/Y261</f>
        <v>0.50233264765315144</v>
      </c>
      <c r="CU261" s="70">
        <f t="shared" ref="CU261:CU268" si="198">+BW261/Y261</f>
        <v>9.9380785520561901</v>
      </c>
      <c r="CV261" s="70">
        <f t="shared" ref="CV261:CV268" si="199">+(CT261+CU261)</f>
        <v>10.440411199709342</v>
      </c>
      <c r="CW261" s="69">
        <f t="shared" ref="CW261:CW268" si="200">+AN261/Y261</f>
        <v>0.60902878165030583</v>
      </c>
      <c r="CX261" s="69">
        <f t="shared" ref="CX261:CX268" si="201">+BY261/Y261</f>
        <v>23.200415145846822</v>
      </c>
      <c r="CY261" s="70">
        <f t="shared" ref="CY261:CY268" si="202">+(CW261+CX261)</f>
        <v>23.809443927497128</v>
      </c>
      <c r="CZ261" s="69">
        <f t="shared" ref="CZ261:CZ268" si="203">+AP261/Y261</f>
        <v>1.0382467147895507</v>
      </c>
      <c r="DA261" s="69">
        <f t="shared" ref="DA261:DA268" si="204">+CA261/Y261</f>
        <v>20.540527190893012</v>
      </c>
      <c r="DB261" s="70">
        <f t="shared" ref="DB261:DB268" si="205">+(CZ261+DA261)</f>
        <v>21.578773905682564</v>
      </c>
    </row>
    <row r="262" spans="23:106">
      <c r="W262" t="s">
        <v>534</v>
      </c>
      <c r="X262">
        <v>603205</v>
      </c>
      <c r="Y262">
        <v>397647</v>
      </c>
      <c r="Z262" s="51">
        <v>39363.57</v>
      </c>
      <c r="AA262" s="32">
        <f t="shared" si="171"/>
        <v>15652805519.789999</v>
      </c>
      <c r="AB262">
        <v>25799</v>
      </c>
      <c r="AC262" s="37">
        <f t="shared" si="172"/>
        <v>4.2769870939398713E-2</v>
      </c>
      <c r="AD262" s="50">
        <f>+'Revenue mile elasticities'!M291</f>
        <v>1597108</v>
      </c>
      <c r="AE262" s="3">
        <f t="shared" si="175"/>
        <v>15971.08</v>
      </c>
      <c r="AF262" s="11">
        <f>+'Revenue mile elasticities'!P291</f>
        <v>1.3415960153754503E-3</v>
      </c>
      <c r="AG262" s="11">
        <f>+'Revenue mile elasticities'!Q291</f>
        <v>5.2989450296751367E-3</v>
      </c>
      <c r="AH262" s="11">
        <f>+'Revenue mile elasticities'!R291</f>
        <v>3.6809132551817413E-3</v>
      </c>
      <c r="AI262" s="11">
        <f>+'Revenue mile elasticities'!S291</f>
        <v>6.2750664825100312E-3</v>
      </c>
      <c r="AJ262" s="32">
        <f t="shared" si="176"/>
        <v>209997.41514797119</v>
      </c>
      <c r="AK262" s="33">
        <f t="shared" si="177"/>
        <v>1.3415960153754504E-5</v>
      </c>
      <c r="AL262" s="40">
        <f t="shared" si="178"/>
        <v>829433.56009562768</v>
      </c>
      <c r="AM262" s="33">
        <f t="shared" si="179"/>
        <v>5.2989450296751374E-5</v>
      </c>
      <c r="AN262" s="40">
        <f t="shared" si="180"/>
        <v>949638.81070433755</v>
      </c>
      <c r="AO262" s="41">
        <f t="shared" si="181"/>
        <v>3.6809132551817422E-5</v>
      </c>
      <c r="AP262" s="40">
        <f t="shared" si="182"/>
        <v>1618904.4018227633</v>
      </c>
      <c r="AQ262" s="41">
        <f t="shared" si="183"/>
        <v>6.275066482510032E-5</v>
      </c>
      <c r="AR262" s="53"/>
      <c r="AS262" s="53"/>
      <c r="BH262" t="s">
        <v>534</v>
      </c>
      <c r="BI262">
        <v>603205</v>
      </c>
      <c r="BJ262">
        <v>397647</v>
      </c>
      <c r="BK262" s="51">
        <v>39363.57</v>
      </c>
      <c r="BL262" s="32">
        <f t="shared" si="173"/>
        <v>15652805519.789999</v>
      </c>
      <c r="BM262">
        <v>25799</v>
      </c>
      <c r="BN262" s="37">
        <f t="shared" si="174"/>
        <v>4.2769870939398713E-2</v>
      </c>
      <c r="BO262" s="50">
        <f t="shared" si="184"/>
        <v>1597108</v>
      </c>
      <c r="BP262" s="3">
        <f t="shared" si="185"/>
        <v>15971.08</v>
      </c>
      <c r="BQ262" s="11">
        <f>+'Rev mile pop elasticities'!P292</f>
        <v>9.2850196476488081E-3</v>
      </c>
      <c r="BR262" s="11">
        <f>+'Rev mile pop elasticities'!Q292</f>
        <v>1.904599047952189E-2</v>
      </c>
      <c r="BS262" s="11">
        <f>+'Rev mile pop elasticities'!R292</f>
        <v>2.547514415961406E-2</v>
      </c>
      <c r="BT262" s="11">
        <f>+'Rev mile pop elasticities'!S292</f>
        <v>2.2554462409960133E-2</v>
      </c>
      <c r="BU262" s="32">
        <f t="shared" si="186"/>
        <v>1453366.0679207586</v>
      </c>
      <c r="BV262" s="33">
        <f t="shared" si="187"/>
        <v>9.2850196476488081E-5</v>
      </c>
      <c r="BW262" s="40">
        <f t="shared" si="188"/>
        <v>2981231.8490772801</v>
      </c>
      <c r="BX262" s="33">
        <f t="shared" si="189"/>
        <v>1.9045990479521889E-4</v>
      </c>
      <c r="BY262" s="40">
        <f t="shared" si="190"/>
        <v>6572332.4417388318</v>
      </c>
      <c r="BZ262" s="41">
        <f t="shared" si="191"/>
        <v>2.5475144159614062E-4</v>
      </c>
      <c r="CA262" s="40">
        <f t="shared" si="192"/>
        <v>5818825.7571456144</v>
      </c>
      <c r="CB262" s="41">
        <f t="shared" si="193"/>
        <v>2.2554462409960131E-4</v>
      </c>
      <c r="CQ262" s="70">
        <f t="shared" si="194"/>
        <v>0.52810008662952612</v>
      </c>
      <c r="CR262" s="70">
        <f t="shared" si="195"/>
        <v>3.6549152085159919</v>
      </c>
      <c r="CS262" s="70">
        <f t="shared" si="196"/>
        <v>4.183015295145518</v>
      </c>
      <c r="CT262" s="70">
        <f t="shared" si="197"/>
        <v>2.0858539360176933</v>
      </c>
      <c r="CU262" s="70">
        <f t="shared" si="198"/>
        <v>7.4971817945999346</v>
      </c>
      <c r="CV262" s="70">
        <f t="shared" si="199"/>
        <v>9.5830357306176275</v>
      </c>
      <c r="CW262" s="69">
        <f t="shared" si="200"/>
        <v>2.3881452914377261</v>
      </c>
      <c r="CX262" s="69">
        <f t="shared" si="201"/>
        <v>16.528057402014429</v>
      </c>
      <c r="CY262" s="70">
        <f t="shared" si="202"/>
        <v>18.916202693452156</v>
      </c>
      <c r="CZ262" s="69">
        <f t="shared" si="203"/>
        <v>4.0712098967746853</v>
      </c>
      <c r="DA262" s="69">
        <f t="shared" si="204"/>
        <v>14.633143861630074</v>
      </c>
      <c r="DB262" s="70">
        <f t="shared" si="205"/>
        <v>18.704353758404761</v>
      </c>
    </row>
    <row r="263" spans="23:106">
      <c r="W263" t="s">
        <v>535</v>
      </c>
      <c r="X263">
        <v>116666</v>
      </c>
      <c r="Y263">
        <v>69086</v>
      </c>
      <c r="Z263" s="51">
        <v>29545.02</v>
      </c>
      <c r="AA263" s="32">
        <f t="shared" si="171"/>
        <v>2041147251.72</v>
      </c>
      <c r="AB263">
        <v>3241</v>
      </c>
      <c r="AC263" s="37">
        <f t="shared" si="172"/>
        <v>2.7780158743764251E-2</v>
      </c>
      <c r="AD263" s="50">
        <f>+'Revenue mile elasticities'!M292</f>
        <v>818180</v>
      </c>
      <c r="AE263" s="3">
        <f t="shared" si="175"/>
        <v>8181.8</v>
      </c>
      <c r="AF263" s="11">
        <f>+'Revenue mile elasticities'!P292</f>
        <v>4.0399316931200171E-4</v>
      </c>
      <c r="AG263" s="11">
        <f>+'Revenue mile elasticities'!Q292</f>
        <v>1.5956648439727549E-3</v>
      </c>
      <c r="AH263" s="11">
        <f>+'Revenue mile elasticities'!R292</f>
        <v>1.1084289121917736E-3</v>
      </c>
      <c r="AI263" s="11">
        <f>+'Revenue mile elasticities'!S292</f>
        <v>1.8896031047045782E-3</v>
      </c>
      <c r="AJ263" s="32">
        <f t="shared" si="176"/>
        <v>8246.0954725484498</v>
      </c>
      <c r="AK263" s="33">
        <f t="shared" si="177"/>
        <v>4.0399316931200175E-6</v>
      </c>
      <c r="AL263" s="40">
        <f t="shared" si="178"/>
        <v>32569.869109412113</v>
      </c>
      <c r="AM263" s="33">
        <f t="shared" si="179"/>
        <v>1.595664843972755E-5</v>
      </c>
      <c r="AN263" s="40">
        <f t="shared" si="180"/>
        <v>35924.181044135381</v>
      </c>
      <c r="AO263" s="41">
        <f t="shared" si="181"/>
        <v>1.1084289121917736E-5</v>
      </c>
      <c r="AP263" s="40">
        <f t="shared" si="182"/>
        <v>61242.036623475382</v>
      </c>
      <c r="AQ263" s="41">
        <f t="shared" si="183"/>
        <v>1.889603104704578E-5</v>
      </c>
      <c r="AR263" s="53"/>
      <c r="AS263" s="53"/>
      <c r="BH263" t="s">
        <v>535</v>
      </c>
      <c r="BI263">
        <v>116666</v>
      </c>
      <c r="BJ263">
        <v>69086</v>
      </c>
      <c r="BK263" s="51">
        <v>29545.02</v>
      </c>
      <c r="BL263" s="32">
        <f t="shared" si="173"/>
        <v>2041147251.72</v>
      </c>
      <c r="BM263">
        <v>3241</v>
      </c>
      <c r="BN263" s="37">
        <f t="shared" si="174"/>
        <v>2.7780158743764251E-2</v>
      </c>
      <c r="BO263" s="50">
        <f t="shared" si="184"/>
        <v>818180</v>
      </c>
      <c r="BP263" s="3">
        <f t="shared" si="185"/>
        <v>8181.8</v>
      </c>
      <c r="BQ263" s="11">
        <f>+'Rev mile pop elasticities'!P293</f>
        <v>2.4593368998679987E-2</v>
      </c>
      <c r="BR263" s="11">
        <f>+'Rev mile pop elasticities'!Q293</f>
        <v>5.0447396945125407E-2</v>
      </c>
      <c r="BS263" s="11">
        <f>+'Rev mile pop elasticities'!R293</f>
        <v>6.7476391476522707E-2</v>
      </c>
      <c r="BT263" s="11">
        <f>+'Rev mile pop elasticities'!S293</f>
        <v>5.9740338487648509E-2</v>
      </c>
      <c r="BU263" s="32">
        <f t="shared" si="186"/>
        <v>501986.87542191503</v>
      </c>
      <c r="BV263" s="33">
        <f t="shared" si="187"/>
        <v>2.4593368998679984E-4</v>
      </c>
      <c r="BW263" s="40">
        <f t="shared" si="188"/>
        <v>1029705.6563097065</v>
      </c>
      <c r="BX263" s="33">
        <f t="shared" si="189"/>
        <v>5.0447396945125405E-4</v>
      </c>
      <c r="BY263" s="40">
        <f t="shared" si="190"/>
        <v>2186909.8477541013</v>
      </c>
      <c r="BZ263" s="41">
        <f t="shared" si="191"/>
        <v>6.747639147652271E-4</v>
      </c>
      <c r="CA263" s="40">
        <f t="shared" si="192"/>
        <v>1936184.3703846883</v>
      </c>
      <c r="CB263" s="41">
        <f t="shared" si="193"/>
        <v>5.9740338487648511E-4</v>
      </c>
      <c r="CQ263" s="70">
        <f t="shared" si="194"/>
        <v>0.11935986267186477</v>
      </c>
      <c r="CR263" s="70">
        <f t="shared" si="195"/>
        <v>7.266115789333802</v>
      </c>
      <c r="CS263" s="70">
        <f t="shared" si="196"/>
        <v>7.3854756520056668</v>
      </c>
      <c r="CT263" s="70">
        <f t="shared" si="197"/>
        <v>0.47143949728471923</v>
      </c>
      <c r="CU263" s="70">
        <f t="shared" si="198"/>
        <v>14.904693516916691</v>
      </c>
      <c r="CV263" s="70">
        <f t="shared" si="199"/>
        <v>15.376133014201409</v>
      </c>
      <c r="CW263" s="69">
        <f t="shared" si="200"/>
        <v>0.51999219876871405</v>
      </c>
      <c r="CX263" s="69">
        <f t="shared" si="201"/>
        <v>31.654891696640437</v>
      </c>
      <c r="CY263" s="70">
        <f t="shared" si="202"/>
        <v>32.174883895409153</v>
      </c>
      <c r="CZ263" s="69">
        <f t="shared" si="203"/>
        <v>0.88646088387626121</v>
      </c>
      <c r="DA263" s="69">
        <f t="shared" si="204"/>
        <v>28.025712450926211</v>
      </c>
      <c r="DB263" s="70">
        <f t="shared" si="205"/>
        <v>28.912173334802471</v>
      </c>
    </row>
    <row r="264" spans="23:106">
      <c r="W264" t="s">
        <v>536</v>
      </c>
      <c r="X264">
        <v>234881</v>
      </c>
      <c r="Y264">
        <v>123495</v>
      </c>
      <c r="Z264" s="51">
        <v>32356.42</v>
      </c>
      <c r="AA264" s="32">
        <f t="shared" si="171"/>
        <v>3995856087.8999996</v>
      </c>
      <c r="AB264">
        <v>6407</v>
      </c>
      <c r="AC264" s="37">
        <f t="shared" si="172"/>
        <v>2.7277642721207761E-2</v>
      </c>
      <c r="AD264" s="50">
        <f>+'Revenue mile elasticities'!M293</f>
        <v>830972</v>
      </c>
      <c r="AE264" s="3">
        <f t="shared" si="175"/>
        <v>8309.7199999999993</v>
      </c>
      <c r="AF264" s="11">
        <f>+'Revenue mile elasticities'!P293</f>
        <v>7.4266753751923845E-4</v>
      </c>
      <c r="AG264" s="11">
        <f>+'Revenue mile elasticities'!Q293</f>
        <v>2.9333379136023442E-3</v>
      </c>
      <c r="AH264" s="11">
        <f>+'Revenue mile elasticities'!R293</f>
        <v>2.0376437852513401E-3</v>
      </c>
      <c r="AI264" s="11">
        <f>+'Revenue mile elasticities'!S293</f>
        <v>3.4736896345290919E-3</v>
      </c>
      <c r="AJ264" s="32">
        <f t="shared" si="176"/>
        <v>29675.926010819509</v>
      </c>
      <c r="AK264" s="33">
        <f t="shared" si="177"/>
        <v>7.4266753751923854E-6</v>
      </c>
      <c r="AL264" s="40">
        <f t="shared" si="178"/>
        <v>117211.96159935811</v>
      </c>
      <c r="AM264" s="33">
        <f t="shared" si="179"/>
        <v>2.9333379136023444E-5</v>
      </c>
      <c r="AN264" s="40">
        <f t="shared" si="180"/>
        <v>130551.83732105336</v>
      </c>
      <c r="AO264" s="41">
        <f t="shared" si="181"/>
        <v>2.0376437852513401E-5</v>
      </c>
      <c r="AP264" s="40">
        <f t="shared" si="182"/>
        <v>222559.2948842789</v>
      </c>
      <c r="AQ264" s="41">
        <f t="shared" si="183"/>
        <v>3.4736896345290913E-5</v>
      </c>
      <c r="AR264" s="53"/>
      <c r="AS264" s="53"/>
      <c r="BH264" t="s">
        <v>536</v>
      </c>
      <c r="BI264">
        <v>234881</v>
      </c>
      <c r="BJ264">
        <v>123495</v>
      </c>
      <c r="BK264" s="51">
        <v>32356.42</v>
      </c>
      <c r="BL264" s="32">
        <f t="shared" si="173"/>
        <v>3995856087.8999996</v>
      </c>
      <c r="BM264">
        <v>6407</v>
      </c>
      <c r="BN264" s="37">
        <f t="shared" si="174"/>
        <v>2.7277642721207761E-2</v>
      </c>
      <c r="BO264" s="50">
        <f t="shared" si="184"/>
        <v>830972</v>
      </c>
      <c r="BP264" s="3">
        <f t="shared" si="185"/>
        <v>8309.7199999999993</v>
      </c>
      <c r="BQ264" s="11">
        <f>+'Rev mile pop elasticities'!P294</f>
        <v>1.2406577071112604E-2</v>
      </c>
      <c r="BR264" s="11">
        <f>+'Rev mile pop elasticities'!Q294</f>
        <v>2.5449116722084806E-2</v>
      </c>
      <c r="BS264" s="11">
        <f>+'Rev mile pop elasticities'!R294</f>
        <v>3.4039706043485843E-2</v>
      </c>
      <c r="BT264" s="11">
        <f>+'Rev mile pop elasticities'!S294</f>
        <v>3.0137111907732005E-2</v>
      </c>
      <c r="BU264" s="32">
        <f t="shared" si="186"/>
        <v>495748.9651960585</v>
      </c>
      <c r="BV264" s="33">
        <f t="shared" si="187"/>
        <v>1.2406577071112605E-4</v>
      </c>
      <c r="BW264" s="40">
        <f t="shared" si="188"/>
        <v>1016910.0798562027</v>
      </c>
      <c r="BX264" s="33">
        <f t="shared" si="189"/>
        <v>2.5449116722084809E-4</v>
      </c>
      <c r="BY264" s="40">
        <f t="shared" si="190"/>
        <v>2180923.966206138</v>
      </c>
      <c r="BZ264" s="41">
        <f t="shared" si="191"/>
        <v>3.4039706043485844E-4</v>
      </c>
      <c r="CA264" s="40">
        <f t="shared" si="192"/>
        <v>1930884.7599283897</v>
      </c>
      <c r="CB264" s="41">
        <f t="shared" si="193"/>
        <v>3.0137111907732009E-4</v>
      </c>
      <c r="CQ264" s="70">
        <f t="shared" si="194"/>
        <v>0.24030062764338239</v>
      </c>
      <c r="CR264" s="70">
        <f t="shared" si="195"/>
        <v>4.0143241847528932</v>
      </c>
      <c r="CS264" s="70">
        <f t="shared" si="196"/>
        <v>4.2546248123962753</v>
      </c>
      <c r="CT264" s="70">
        <f t="shared" si="197"/>
        <v>0.94912313534441162</v>
      </c>
      <c r="CU264" s="70">
        <f t="shared" si="198"/>
        <v>8.2344230928879938</v>
      </c>
      <c r="CV264" s="70">
        <f t="shared" si="199"/>
        <v>9.1835462282324052</v>
      </c>
      <c r="CW264" s="69">
        <f t="shared" si="200"/>
        <v>1.0571426966359234</v>
      </c>
      <c r="CX264" s="69">
        <f t="shared" si="201"/>
        <v>17.66001835059021</v>
      </c>
      <c r="CY264" s="70">
        <f t="shared" si="202"/>
        <v>18.717161047226135</v>
      </c>
      <c r="CZ264" s="69">
        <f t="shared" si="203"/>
        <v>1.8021725161689048</v>
      </c>
      <c r="DA264" s="69">
        <f t="shared" si="204"/>
        <v>15.635327421582977</v>
      </c>
      <c r="DB264" s="70">
        <f t="shared" si="205"/>
        <v>17.43749993775188</v>
      </c>
    </row>
    <row r="265" spans="23:106">
      <c r="W265" t="s">
        <v>537</v>
      </c>
      <c r="X265">
        <v>425766</v>
      </c>
      <c r="Y265">
        <v>231178</v>
      </c>
      <c r="Z265" s="51">
        <v>36090.04</v>
      </c>
      <c r="AA265" s="32">
        <f t="shared" si="171"/>
        <v>8343223267.1199999</v>
      </c>
      <c r="AB265">
        <v>13623</v>
      </c>
      <c r="AC265" s="37">
        <f t="shared" si="172"/>
        <v>3.1996448753540678E-2</v>
      </c>
      <c r="AD265" s="50">
        <f>+'Revenue mile elasticities'!M294</f>
        <v>1358543</v>
      </c>
      <c r="AE265" s="3">
        <f t="shared" si="175"/>
        <v>13585.43</v>
      </c>
      <c r="AF265" s="11">
        <f>+'Revenue mile elasticities'!P294</f>
        <v>3.8703357239055114E-4</v>
      </c>
      <c r="AG265" s="11">
        <f>+'Revenue mile elasticities'!Q294</f>
        <v>1.5286789773018073E-3</v>
      </c>
      <c r="AH265" s="11">
        <f>+'Revenue mile elasticities'!R294</f>
        <v>1.0618971661256998E-3</v>
      </c>
      <c r="AI265" s="11">
        <f>+'Revenue mile elasticities'!S294</f>
        <v>1.8102777362784558E-3</v>
      </c>
      <c r="AJ265" s="32">
        <f t="shared" si="176"/>
        <v>32291.075063254193</v>
      </c>
      <c r="AK265" s="33">
        <f t="shared" si="177"/>
        <v>3.8703357239055114E-6</v>
      </c>
      <c r="AL265" s="40">
        <f t="shared" si="178"/>
        <v>127541.10011381646</v>
      </c>
      <c r="AM265" s="33">
        <f t="shared" si="179"/>
        <v>1.5286789773018074E-5</v>
      </c>
      <c r="AN265" s="40">
        <f t="shared" si="180"/>
        <v>144662.25094130411</v>
      </c>
      <c r="AO265" s="41">
        <f t="shared" si="181"/>
        <v>1.0618971661256999E-5</v>
      </c>
      <c r="AP265" s="40">
        <f t="shared" si="182"/>
        <v>246614.13601321407</v>
      </c>
      <c r="AQ265" s="41">
        <f t="shared" si="183"/>
        <v>1.810277736278456E-5</v>
      </c>
      <c r="AR265" s="53"/>
      <c r="AS265" s="53"/>
      <c r="BH265" t="s">
        <v>537</v>
      </c>
      <c r="BI265">
        <v>425766</v>
      </c>
      <c r="BJ265">
        <v>231178</v>
      </c>
      <c r="BK265" s="51">
        <v>36090.04</v>
      </c>
      <c r="BL265" s="32">
        <f t="shared" si="173"/>
        <v>8343223267.1199999</v>
      </c>
      <c r="BM265">
        <v>13623</v>
      </c>
      <c r="BN265" s="37">
        <f t="shared" si="174"/>
        <v>3.1996448753540678E-2</v>
      </c>
      <c r="BO265" s="50">
        <f t="shared" si="184"/>
        <v>1358543</v>
      </c>
      <c r="BP265" s="3">
        <f t="shared" si="185"/>
        <v>13585.43</v>
      </c>
      <c r="BQ265" s="11">
        <f>+'Rev mile pop elasticities'!P295</f>
        <v>1.1189634125928325E-2</v>
      </c>
      <c r="BR265" s="11">
        <f>+'Rev mile pop elasticities'!Q295</f>
        <v>2.2952850195177635E-2</v>
      </c>
      <c r="BS265" s="11">
        <f>+'Rev mile pop elasticities'!R295</f>
        <v>3.0700801211933314E-2</v>
      </c>
      <c r="BT265" s="11">
        <f>+'Rev mile pop elasticities'!S295</f>
        <v>2.7181006810078779E-2</v>
      </c>
      <c r="BU265" s="32">
        <f t="shared" si="186"/>
        <v>933576.1579000518</v>
      </c>
      <c r="BV265" s="33">
        <f t="shared" si="187"/>
        <v>1.1189634125928327E-4</v>
      </c>
      <c r="BW265" s="40">
        <f t="shared" si="188"/>
        <v>1915007.5379512589</v>
      </c>
      <c r="BX265" s="33">
        <f t="shared" si="189"/>
        <v>2.2952850195177637E-4</v>
      </c>
      <c r="BY265" s="40">
        <f t="shared" si="190"/>
        <v>4182370.1491016755</v>
      </c>
      <c r="BZ265" s="41">
        <f t="shared" si="191"/>
        <v>3.0700801211933315E-4</v>
      </c>
      <c r="CA265" s="40">
        <f t="shared" si="192"/>
        <v>3702868.557737032</v>
      </c>
      <c r="CB265" s="41">
        <f t="shared" si="193"/>
        <v>2.7181006810078775E-4</v>
      </c>
      <c r="CQ265" s="70">
        <f t="shared" si="194"/>
        <v>0.13968057108917886</v>
      </c>
      <c r="CR265" s="70">
        <f t="shared" si="195"/>
        <v>4.0383434319011835</v>
      </c>
      <c r="CS265" s="70">
        <f t="shared" si="196"/>
        <v>4.1780240029903624</v>
      </c>
      <c r="CT265" s="70">
        <f t="shared" si="197"/>
        <v>0.5517008543798132</v>
      </c>
      <c r="CU265" s="70">
        <f t="shared" si="198"/>
        <v>8.2836928165796877</v>
      </c>
      <c r="CV265" s="70">
        <f t="shared" si="199"/>
        <v>8.8353936709595011</v>
      </c>
      <c r="CW265" s="69">
        <f t="shared" si="200"/>
        <v>0.62576132219027814</v>
      </c>
      <c r="CX265" s="69">
        <f t="shared" si="201"/>
        <v>18.091557800057426</v>
      </c>
      <c r="CY265" s="70">
        <f t="shared" si="202"/>
        <v>18.717319122247705</v>
      </c>
      <c r="CZ265" s="69">
        <f t="shared" si="203"/>
        <v>1.0667716478783191</v>
      </c>
      <c r="DA265" s="69">
        <f t="shared" si="204"/>
        <v>16.017391610521035</v>
      </c>
      <c r="DB265" s="70">
        <f t="shared" si="205"/>
        <v>17.084163258399354</v>
      </c>
    </row>
    <row r="266" spans="23:106">
      <c r="W266" t="s">
        <v>538</v>
      </c>
      <c r="X266">
        <v>566425</v>
      </c>
      <c r="Y266">
        <v>299345</v>
      </c>
      <c r="Z266" s="51">
        <v>32130.92</v>
      </c>
      <c r="AA266" s="32">
        <f t="shared" si="171"/>
        <v>9618230247.3999996</v>
      </c>
      <c r="AB266">
        <v>15159</v>
      </c>
      <c r="AC266" s="37">
        <f t="shared" si="172"/>
        <v>2.6762589928057554E-2</v>
      </c>
      <c r="AD266" s="50">
        <f>+'Revenue mile elasticities'!M295</f>
        <v>690687</v>
      </c>
      <c r="AE266" s="3">
        <f t="shared" si="175"/>
        <v>6906.87</v>
      </c>
      <c r="AF266" s="11">
        <f>+'Revenue mile elasticities'!P295</f>
        <v>7.2214484886213919E-4</v>
      </c>
      <c r="AG266" s="11">
        <f>+'Revenue mile elasticities'!Q295</f>
        <v>2.8522787886431271E-3</v>
      </c>
      <c r="AH266" s="11">
        <f>+'Revenue mile elasticities'!R295</f>
        <v>1.9813360474195876E-3</v>
      </c>
      <c r="AI266" s="11">
        <f>+'Revenue mile elasticities'!S295</f>
        <v>3.3776985654984399E-3</v>
      </c>
      <c r="AJ266" s="32">
        <f t="shared" si="176"/>
        <v>69457.55428329928</v>
      </c>
      <c r="AK266" s="33">
        <f t="shared" si="177"/>
        <v>7.2214484886213916E-6</v>
      </c>
      <c r="AL266" s="40">
        <f t="shared" si="178"/>
        <v>274338.74118944752</v>
      </c>
      <c r="AM266" s="33">
        <f t="shared" si="179"/>
        <v>2.8522787886431267E-5</v>
      </c>
      <c r="AN266" s="40">
        <f t="shared" si="180"/>
        <v>300350.7314283353</v>
      </c>
      <c r="AO266" s="41">
        <f t="shared" si="181"/>
        <v>1.9813360474195878E-5</v>
      </c>
      <c r="AP266" s="40">
        <f t="shared" si="182"/>
        <v>512025.32554390846</v>
      </c>
      <c r="AQ266" s="41">
        <f t="shared" si="183"/>
        <v>3.3776985654984392E-5</v>
      </c>
      <c r="AR266" s="53"/>
      <c r="AS266" s="53"/>
      <c r="BH266" t="s">
        <v>538</v>
      </c>
      <c r="BI266">
        <v>566425</v>
      </c>
      <c r="BJ266">
        <v>299345</v>
      </c>
      <c r="BK266" s="51">
        <v>32130.92</v>
      </c>
      <c r="BL266" s="32">
        <f t="shared" si="173"/>
        <v>9618230247.3999996</v>
      </c>
      <c r="BM266">
        <v>15159</v>
      </c>
      <c r="BN266" s="37">
        <f t="shared" si="174"/>
        <v>2.6762589928057554E-2</v>
      </c>
      <c r="BO266" s="50">
        <f t="shared" si="184"/>
        <v>690687</v>
      </c>
      <c r="BP266" s="3">
        <f t="shared" si="185"/>
        <v>6906.87</v>
      </c>
      <c r="BQ266" s="11">
        <f>+'Rev mile pop elasticities'!P296</f>
        <v>4.2761442121022194E-3</v>
      </c>
      <c r="BR266" s="11">
        <f>+'Rev mile pop elasticities'!Q296</f>
        <v>8.7714840725603566E-3</v>
      </c>
      <c r="BS266" s="11">
        <f>+'Rev mile pop elasticities'!R296</f>
        <v>1.1732381231760602E-2</v>
      </c>
      <c r="BT266" s="11">
        <f>+'Rev mile pop elasticities'!S296</f>
        <v>1.0387283770137265E-2</v>
      </c>
      <c r="BU266" s="32">
        <f t="shared" si="186"/>
        <v>411289.39603086002</v>
      </c>
      <c r="BV266" s="33">
        <f t="shared" si="187"/>
        <v>4.2761442121022192E-5</v>
      </c>
      <c r="BW266" s="40">
        <f t="shared" si="188"/>
        <v>843661.53421287355</v>
      </c>
      <c r="BX266" s="33">
        <f t="shared" si="189"/>
        <v>8.7714840725603563E-5</v>
      </c>
      <c r="BY266" s="40">
        <f t="shared" si="190"/>
        <v>1778511.6709225897</v>
      </c>
      <c r="BZ266" s="41">
        <f t="shared" si="191"/>
        <v>1.1732381231760603E-4</v>
      </c>
      <c r="CA266" s="40">
        <f t="shared" si="192"/>
        <v>1574608.3467151078</v>
      </c>
      <c r="CB266" s="41">
        <f t="shared" si="193"/>
        <v>1.0387283770137264E-4</v>
      </c>
      <c r="CQ266" s="70">
        <f t="shared" si="194"/>
        <v>0.23203178367201482</v>
      </c>
      <c r="CR266" s="70">
        <f t="shared" si="195"/>
        <v>1.3739644758751943</v>
      </c>
      <c r="CS266" s="70">
        <f t="shared" si="196"/>
        <v>1.6059962595472093</v>
      </c>
      <c r="CT266" s="70">
        <f t="shared" si="197"/>
        <v>0.91646341575589207</v>
      </c>
      <c r="CU266" s="70">
        <f t="shared" si="198"/>
        <v>2.8183585301671101</v>
      </c>
      <c r="CV266" s="70">
        <f t="shared" si="199"/>
        <v>3.7348219459230023</v>
      </c>
      <c r="CW266" s="69">
        <f t="shared" si="200"/>
        <v>1.0033597736001447</v>
      </c>
      <c r="CX266" s="69">
        <f t="shared" si="201"/>
        <v>5.9413441711823802</v>
      </c>
      <c r="CY266" s="70">
        <f t="shared" si="202"/>
        <v>6.9447039447825247</v>
      </c>
      <c r="CZ266" s="69">
        <f t="shared" si="203"/>
        <v>1.7104856454723094</v>
      </c>
      <c r="DA266" s="69">
        <f t="shared" si="204"/>
        <v>5.2601792136668655</v>
      </c>
      <c r="DB266" s="70">
        <f t="shared" si="205"/>
        <v>6.9706648591391751</v>
      </c>
    </row>
    <row r="267" spans="23:106">
      <c r="W267" t="s">
        <v>539</v>
      </c>
      <c r="X267">
        <v>164992</v>
      </c>
      <c r="Y267">
        <v>71368</v>
      </c>
      <c r="Z267" s="51">
        <v>32633.46</v>
      </c>
      <c r="AA267" s="32">
        <f t="shared" si="171"/>
        <v>2328984773.2799997</v>
      </c>
      <c r="AB267">
        <v>3212</v>
      </c>
      <c r="AC267" s="37">
        <f t="shared" si="172"/>
        <v>1.9467610550814585E-2</v>
      </c>
      <c r="AD267" s="50">
        <f>+'Revenue mile elasticities'!M296</f>
        <v>818525</v>
      </c>
      <c r="AE267" s="3">
        <f t="shared" si="175"/>
        <v>8185.25</v>
      </c>
      <c r="AF267" s="11">
        <f>+'Revenue mile elasticities'!P296</f>
        <v>9.1988429756436176E-4</v>
      </c>
      <c r="AG267" s="11">
        <f>+'Revenue mile elasticities'!Q296</f>
        <v>3.6332966635196492E-3</v>
      </c>
      <c r="AH267" s="11">
        <f>+'Revenue mile elasticities'!R296</f>
        <v>2.52387027490583E-3</v>
      </c>
      <c r="AI267" s="11">
        <f>+'Revenue mile elasticities'!S296</f>
        <v>4.302588154168006E-3</v>
      </c>
      <c r="AJ267" s="32">
        <f t="shared" si="176"/>
        <v>21423.965222067669</v>
      </c>
      <c r="AK267" s="33">
        <f t="shared" si="177"/>
        <v>9.1988429756436185E-6</v>
      </c>
      <c r="AL267" s="40">
        <f t="shared" si="178"/>
        <v>84618.926061462902</v>
      </c>
      <c r="AM267" s="33">
        <f t="shared" si="179"/>
        <v>3.6332966635196492E-5</v>
      </c>
      <c r="AN267" s="40">
        <f t="shared" si="180"/>
        <v>81066.713229975256</v>
      </c>
      <c r="AO267" s="41">
        <f t="shared" si="181"/>
        <v>2.5238702749058298E-5</v>
      </c>
      <c r="AP267" s="40">
        <f t="shared" si="182"/>
        <v>138199.13151187636</v>
      </c>
      <c r="AQ267" s="41">
        <f t="shared" si="183"/>
        <v>4.3025881541680062E-5</v>
      </c>
      <c r="AR267" s="53"/>
      <c r="AS267" s="53"/>
      <c r="BH267" t="s">
        <v>539</v>
      </c>
      <c r="BI267">
        <v>164992</v>
      </c>
      <c r="BJ267">
        <v>71368</v>
      </c>
      <c r="BK267" s="51">
        <v>32633.46</v>
      </c>
      <c r="BL267" s="32">
        <f t="shared" si="173"/>
        <v>2328984773.2799997</v>
      </c>
      <c r="BM267">
        <v>3212</v>
      </c>
      <c r="BN267" s="37">
        <f t="shared" si="174"/>
        <v>1.9467610550814585E-2</v>
      </c>
      <c r="BO267" s="50">
        <f t="shared" si="184"/>
        <v>818525</v>
      </c>
      <c r="BP267" s="3">
        <f t="shared" si="185"/>
        <v>8185.25</v>
      </c>
      <c r="BQ267" s="11">
        <f>+'Rev mile pop elasticities'!P297</f>
        <v>1.7397327388600656E-2</v>
      </c>
      <c r="BR267" s="11">
        <f>+'Rev mile pop elasticities'!Q297</f>
        <v>3.5686443797275015E-2</v>
      </c>
      <c r="BS267" s="11">
        <f>+'Rev mile pop elasticities'!R297</f>
        <v>4.7732739405546926E-2</v>
      </c>
      <c r="BT267" s="11">
        <f>+'Rev mile pop elasticities'!S297</f>
        <v>4.2260262391509894E-2</v>
      </c>
      <c r="BU267" s="32">
        <f t="shared" si="186"/>
        <v>405181.10583818035</v>
      </c>
      <c r="BV267" s="33">
        <f t="shared" si="187"/>
        <v>1.7397327388600658E-4</v>
      </c>
      <c r="BW267" s="40">
        <f t="shared" si="188"/>
        <v>831131.8421636601</v>
      </c>
      <c r="BX267" s="33">
        <f t="shared" si="189"/>
        <v>3.5686443797275017E-4</v>
      </c>
      <c r="BY267" s="40">
        <f t="shared" si="190"/>
        <v>1533175.5897061673</v>
      </c>
      <c r="BZ267" s="41">
        <f t="shared" si="191"/>
        <v>4.7732739405546929E-4</v>
      </c>
      <c r="CA267" s="40">
        <f t="shared" si="192"/>
        <v>1357399.6280152977</v>
      </c>
      <c r="CB267" s="41">
        <f t="shared" si="193"/>
        <v>4.226026239150989E-4</v>
      </c>
      <c r="CQ267" s="70">
        <f t="shared" si="194"/>
        <v>0.30019007429194694</v>
      </c>
      <c r="CR267" s="70">
        <f t="shared" si="195"/>
        <v>5.6773498744280397</v>
      </c>
      <c r="CS267" s="70">
        <f t="shared" si="196"/>
        <v>5.9775399487199863</v>
      </c>
      <c r="CT267" s="70">
        <f t="shared" si="197"/>
        <v>1.1856704133710192</v>
      </c>
      <c r="CU267" s="70">
        <f t="shared" si="198"/>
        <v>11.645721362006222</v>
      </c>
      <c r="CV267" s="70">
        <f t="shared" si="199"/>
        <v>12.831391775377242</v>
      </c>
      <c r="CW267" s="69">
        <f t="shared" si="200"/>
        <v>1.1358972260673588</v>
      </c>
      <c r="CX267" s="69">
        <f t="shared" si="201"/>
        <v>21.482675564765263</v>
      </c>
      <c r="CY267" s="70">
        <f t="shared" si="202"/>
        <v>22.618572790832623</v>
      </c>
      <c r="CZ267" s="69">
        <f t="shared" si="203"/>
        <v>1.9364299337500892</v>
      </c>
      <c r="DA267" s="69">
        <f t="shared" si="204"/>
        <v>19.019723517757225</v>
      </c>
      <c r="DB267" s="70">
        <f t="shared" si="205"/>
        <v>20.956153451507312</v>
      </c>
    </row>
    <row r="268" spans="23:106">
      <c r="W268" t="s">
        <v>540</v>
      </c>
      <c r="X268">
        <v>193299</v>
      </c>
      <c r="Y268">
        <v>82583</v>
      </c>
      <c r="Z268" s="51">
        <v>28079.439999999999</v>
      </c>
      <c r="AA268" s="32">
        <f t="shared" si="171"/>
        <v>2318884393.52</v>
      </c>
      <c r="AB268">
        <v>3546</v>
      </c>
      <c r="AC268" s="37">
        <f t="shared" si="172"/>
        <v>1.8344637064858071E-2</v>
      </c>
      <c r="AD268" s="50">
        <f>+'Revenue mile elasticities'!M297</f>
        <v>544762</v>
      </c>
      <c r="AE268" s="3">
        <f t="shared" si="175"/>
        <v>5447.62</v>
      </c>
      <c r="AF268" s="11">
        <f>+'Revenue mile elasticities'!P297</f>
        <v>5.9678223083166045E-4</v>
      </c>
      <c r="AG268" s="11">
        <f>+'Revenue mile elasticities'!Q297</f>
        <v>2.3571300150134109E-3</v>
      </c>
      <c r="AH268" s="11">
        <f>+'Revenue mile elasticities'!R297</f>
        <v>1.6373808499352417E-3</v>
      </c>
      <c r="AI268" s="11">
        <f>+'Revenue mile elasticities'!S297</f>
        <v>2.7913381756737763E-3</v>
      </c>
      <c r="AJ268" s="32">
        <f t="shared" si="176"/>
        <v>13838.690014055877</v>
      </c>
      <c r="AK268" s="33">
        <f t="shared" si="177"/>
        <v>5.9678223083166056E-6</v>
      </c>
      <c r="AL268" s="40">
        <f t="shared" si="178"/>
        <v>54659.120053121624</v>
      </c>
      <c r="AM268" s="33">
        <f t="shared" si="179"/>
        <v>2.3571300150134112E-5</v>
      </c>
      <c r="AN268" s="40">
        <f t="shared" si="180"/>
        <v>58061.524938703682</v>
      </c>
      <c r="AO268" s="41">
        <f t="shared" si="181"/>
        <v>1.6373808499352422E-5</v>
      </c>
      <c r="AP268" s="40">
        <f t="shared" si="182"/>
        <v>98980.851709392111</v>
      </c>
      <c r="AQ268" s="41">
        <f t="shared" si="183"/>
        <v>2.7913381756737762E-5</v>
      </c>
      <c r="AR268" s="53"/>
      <c r="AS268" s="53"/>
      <c r="BH268" t="s">
        <v>540</v>
      </c>
      <c r="BI268">
        <v>193299</v>
      </c>
      <c r="BJ268">
        <v>82583</v>
      </c>
      <c r="BK268" s="51">
        <v>28079.439999999999</v>
      </c>
      <c r="BL268" s="32">
        <f t="shared" si="173"/>
        <v>2318884393.52</v>
      </c>
      <c r="BM268">
        <v>3546</v>
      </c>
      <c r="BN268" s="37">
        <f t="shared" si="174"/>
        <v>1.8344637064858071E-2</v>
      </c>
      <c r="BO268" s="50">
        <f t="shared" si="184"/>
        <v>544762</v>
      </c>
      <c r="BP268" s="3">
        <f t="shared" si="185"/>
        <v>5447.62</v>
      </c>
      <c r="BQ268" s="11">
        <f>+'Rev mile pop elasticities'!P298</f>
        <v>9.8830427308987633E-3</v>
      </c>
      <c r="BR268" s="11">
        <f>+'Rev mile pop elasticities'!Q298</f>
        <v>2.0272691378641381E-2</v>
      </c>
      <c r="BS268" s="11">
        <f>+'Rev mile pop elasticities'!R298</f>
        <v>2.7115929514379276E-2</v>
      </c>
      <c r="BT268" s="11">
        <f>+'Rev mile pop elasticities'!S298</f>
        <v>2.4007134527338481E-2</v>
      </c>
      <c r="BU268" s="32">
        <f t="shared" si="186"/>
        <v>229176.33549172425</v>
      </c>
      <c r="BV268" s="33">
        <f t="shared" si="187"/>
        <v>9.8830427308987647E-5</v>
      </c>
      <c r="BW268" s="40">
        <f t="shared" si="188"/>
        <v>470100.27652578958</v>
      </c>
      <c r="BX268" s="33">
        <f t="shared" si="189"/>
        <v>2.0272691378641383E-4</v>
      </c>
      <c r="BY268" s="40">
        <f t="shared" si="190"/>
        <v>961530.86057988915</v>
      </c>
      <c r="BZ268" s="41">
        <f t="shared" si="191"/>
        <v>2.7115929514379274E-4</v>
      </c>
      <c r="CA268" s="40">
        <f t="shared" si="192"/>
        <v>851292.9903394226</v>
      </c>
      <c r="CB268" s="41">
        <f t="shared" si="193"/>
        <v>2.4007134527338482E-4</v>
      </c>
      <c r="CQ268" s="70">
        <f t="shared" si="194"/>
        <v>0.16757310843703763</v>
      </c>
      <c r="CR268" s="70">
        <f t="shared" si="195"/>
        <v>2.7751030537970798</v>
      </c>
      <c r="CS268" s="70">
        <f t="shared" si="196"/>
        <v>2.9426761622341173</v>
      </c>
      <c r="CT268" s="70">
        <f t="shared" si="197"/>
        <v>0.66186890828768175</v>
      </c>
      <c r="CU268" s="70">
        <f t="shared" si="198"/>
        <v>5.6924582120507798</v>
      </c>
      <c r="CV268" s="70">
        <f t="shared" si="199"/>
        <v>6.3543271203384615</v>
      </c>
      <c r="CW268" s="69">
        <f t="shared" si="200"/>
        <v>0.70306873011035786</v>
      </c>
      <c r="CX268" s="69">
        <f t="shared" si="201"/>
        <v>11.643205751545587</v>
      </c>
      <c r="CY268" s="70">
        <f t="shared" si="202"/>
        <v>12.346274481655945</v>
      </c>
      <c r="CZ268" s="69">
        <f t="shared" si="203"/>
        <v>1.1985620734217952</v>
      </c>
      <c r="DA268" s="69">
        <f t="shared" si="204"/>
        <v>10.308332106358725</v>
      </c>
      <c r="DB268" s="70">
        <f t="shared" si="205"/>
        <v>11.50689417978052</v>
      </c>
    </row>
    <row r="269" spans="23:106">
      <c r="CQ269" s="74"/>
      <c r="CR269" s="74"/>
      <c r="CS269" s="74"/>
      <c r="CT269" s="74"/>
      <c r="CU269" s="74"/>
      <c r="CV269" s="74"/>
      <c r="CW269" s="75"/>
      <c r="CX269" s="75"/>
      <c r="CY269" s="74"/>
      <c r="CZ269" s="75"/>
      <c r="DA269" s="75"/>
      <c r="DB269" s="74"/>
    </row>
    <row r="270" spans="23:106">
      <c r="CQ270" s="74"/>
      <c r="CR270" s="74"/>
      <c r="CS270" s="74"/>
      <c r="CT270" s="74"/>
      <c r="CU270" s="74"/>
      <c r="CV270" s="74"/>
      <c r="CW270" s="75"/>
      <c r="CX270" s="75"/>
      <c r="CY270" s="74"/>
      <c r="CZ270" s="75"/>
      <c r="DA270" s="75"/>
      <c r="DB270" s="74"/>
    </row>
    <row r="271" spans="23:106">
      <c r="CQ271" s="74"/>
      <c r="CR271" s="74"/>
      <c r="CS271" s="74"/>
      <c r="CT271" s="74"/>
      <c r="CU271" s="74"/>
      <c r="CV271" s="74"/>
      <c r="CW271" s="75"/>
      <c r="CX271" s="75"/>
      <c r="CY271" s="74"/>
      <c r="CZ271" s="75"/>
      <c r="DA271" s="75"/>
      <c r="DB271" s="74"/>
    </row>
    <row r="272" spans="23:106">
      <c r="CQ272" s="74"/>
      <c r="CR272" s="74"/>
      <c r="CS272" s="74"/>
      <c r="CT272" s="74"/>
      <c r="CU272" s="74"/>
      <c r="CV272" s="74"/>
      <c r="CW272" s="75"/>
      <c r="CX272" s="75"/>
      <c r="CY272" s="74"/>
      <c r="CZ272" s="75"/>
      <c r="DA272" s="75"/>
      <c r="DB272" s="74"/>
    </row>
    <row r="273" spans="95:106">
      <c r="CQ273" s="74"/>
      <c r="CR273" s="74"/>
      <c r="CS273" s="74"/>
      <c r="CT273" s="74"/>
      <c r="CU273" s="74"/>
      <c r="CV273" s="74"/>
      <c r="CW273" s="75"/>
      <c r="CX273" s="75"/>
      <c r="CY273" s="74"/>
      <c r="CZ273" s="75"/>
      <c r="DA273" s="75"/>
      <c r="DB273" s="74"/>
    </row>
    <row r="274" spans="95:106">
      <c r="CQ274" s="74"/>
      <c r="CR274" s="74"/>
      <c r="CS274" s="74"/>
      <c r="CT274" s="74"/>
      <c r="CU274" s="74"/>
      <c r="CV274" s="74"/>
      <c r="CW274" s="75"/>
      <c r="CX274" s="75"/>
      <c r="CY274" s="74"/>
      <c r="CZ274" s="75"/>
      <c r="DA274" s="75"/>
      <c r="DB274" s="74"/>
    </row>
    <row r="275" spans="95:106">
      <c r="CQ275" s="74"/>
      <c r="CR275" s="74"/>
      <c r="CS275" s="74"/>
      <c r="CT275" s="74"/>
      <c r="CU275" s="74"/>
      <c r="CV275" s="74"/>
      <c r="CW275" s="75"/>
      <c r="CX275" s="75"/>
      <c r="CY275" s="74"/>
      <c r="CZ275" s="75"/>
      <c r="DA275" s="75"/>
      <c r="DB275" s="74"/>
    </row>
    <row r="276" spans="95:106">
      <c r="CQ276" s="74"/>
      <c r="CR276" s="74"/>
      <c r="CS276" s="74"/>
      <c r="CT276" s="74"/>
      <c r="CU276" s="74"/>
      <c r="CV276" s="74"/>
      <c r="CW276" s="75"/>
      <c r="CX276" s="75"/>
      <c r="CY276" s="74"/>
      <c r="CZ276" s="75"/>
      <c r="DA276" s="75"/>
      <c r="DB276" s="74"/>
    </row>
    <row r="277" spans="95:106">
      <c r="CQ277" s="74"/>
      <c r="CR277" s="74"/>
      <c r="CS277" s="74"/>
      <c r="CT277" s="74"/>
      <c r="CU277" s="74"/>
      <c r="CV277" s="74"/>
      <c r="CW277" s="75"/>
      <c r="CX277" s="75"/>
      <c r="CY277" s="74"/>
      <c r="CZ277" s="75"/>
      <c r="DA277" s="75"/>
      <c r="DB277" s="74"/>
    </row>
    <row r="278" spans="95:106">
      <c r="CQ278" s="74"/>
      <c r="CR278" s="74"/>
      <c r="CS278" s="74"/>
      <c r="CT278" s="74"/>
      <c r="CU278" s="74"/>
      <c r="CV278" s="74"/>
      <c r="CW278" s="75"/>
      <c r="CX278" s="75"/>
      <c r="CY278" s="74"/>
      <c r="CZ278" s="75"/>
      <c r="DA278" s="75"/>
      <c r="DB278" s="74"/>
    </row>
    <row r="279" spans="95:106">
      <c r="CQ279" s="74"/>
      <c r="CR279" s="74"/>
      <c r="CS279" s="74"/>
      <c r="CT279" s="74"/>
      <c r="CU279" s="74"/>
      <c r="CV279" s="74"/>
      <c r="CW279" s="75"/>
      <c r="CX279" s="75"/>
      <c r="CY279" s="74"/>
      <c r="CZ279" s="75"/>
      <c r="DA279" s="75"/>
      <c r="DB279" s="74"/>
    </row>
    <row r="280" spans="95:106">
      <c r="CQ280" s="74"/>
      <c r="CR280" s="74"/>
      <c r="CS280" s="74"/>
      <c r="CT280" s="74"/>
      <c r="CU280" s="74"/>
      <c r="CV280" s="74"/>
      <c r="CW280" s="75"/>
      <c r="CX280" s="75"/>
      <c r="CY280" s="74"/>
      <c r="CZ280" s="75"/>
      <c r="DA280" s="75"/>
      <c r="DB280" s="74"/>
    </row>
    <row r="281" spans="95:106">
      <c r="CQ281" s="74"/>
      <c r="CR281" s="74"/>
      <c r="CS281" s="74"/>
      <c r="CT281" s="74"/>
      <c r="CU281" s="74"/>
      <c r="CV281" s="74"/>
      <c r="CW281" s="75"/>
      <c r="CX281" s="75"/>
      <c r="CY281" s="74"/>
      <c r="CZ281" s="75"/>
      <c r="DA281" s="75"/>
      <c r="DB281" s="74"/>
    </row>
    <row r="282" spans="95:106">
      <c r="CQ282" s="74"/>
      <c r="CR282" s="74"/>
      <c r="CS282" s="74"/>
      <c r="CT282" s="74"/>
      <c r="CU282" s="74"/>
      <c r="CV282" s="74"/>
      <c r="CW282" s="75"/>
      <c r="CX282" s="75"/>
      <c r="CY282" s="74"/>
      <c r="CZ282" s="75"/>
      <c r="DA282" s="75"/>
      <c r="DB282" s="74"/>
    </row>
    <row r="283" spans="95:106">
      <c r="CQ283" s="74"/>
      <c r="CR283" s="74"/>
      <c r="CS283" s="74"/>
      <c r="CT283" s="74"/>
      <c r="CU283" s="74"/>
      <c r="CV283" s="74"/>
      <c r="CW283" s="75"/>
      <c r="CX283" s="75"/>
      <c r="CY283" s="74"/>
      <c r="CZ283" s="75"/>
      <c r="DA283" s="75"/>
      <c r="DB283" s="74"/>
    </row>
    <row r="284" spans="95:106">
      <c r="CQ284" s="74"/>
      <c r="CR284" s="74"/>
      <c r="CS284" s="74"/>
      <c r="CT284" s="74"/>
      <c r="CU284" s="74"/>
      <c r="CV284" s="74"/>
      <c r="CW284" s="75"/>
      <c r="CX284" s="75"/>
      <c r="CY284" s="74"/>
      <c r="CZ284" s="75"/>
      <c r="DA284" s="75"/>
      <c r="DB284" s="74"/>
    </row>
    <row r="285" spans="95:106">
      <c r="CQ285" s="74"/>
      <c r="CR285" s="74"/>
      <c r="CS285" s="74"/>
      <c r="CT285" s="74"/>
      <c r="CU285" s="74"/>
      <c r="CV285" s="74"/>
      <c r="CW285" s="75"/>
      <c r="CX285" s="75"/>
      <c r="CY285" s="74"/>
      <c r="CZ285" s="75"/>
      <c r="DA285" s="75"/>
      <c r="DB285" s="74"/>
    </row>
    <row r="286" spans="95:106">
      <c r="CQ286" s="74"/>
      <c r="CR286" s="74"/>
      <c r="CS286" s="74"/>
      <c r="CT286" s="74"/>
      <c r="CU286" s="74"/>
      <c r="CV286" s="74"/>
      <c r="CW286" s="75"/>
      <c r="CX286" s="75"/>
      <c r="CY286" s="74"/>
      <c r="CZ286" s="75"/>
      <c r="DA286" s="75"/>
      <c r="DB286" s="74"/>
    </row>
    <row r="287" spans="95:106">
      <c r="CQ287" s="74"/>
      <c r="CR287" s="74"/>
      <c r="CS287" s="74"/>
      <c r="CT287" s="74"/>
      <c r="CU287" s="74"/>
      <c r="CV287" s="74"/>
      <c r="CW287" s="75"/>
      <c r="CX287" s="75"/>
      <c r="CY287" s="74"/>
      <c r="CZ287" s="75"/>
      <c r="DA287" s="75"/>
      <c r="DB287" s="74"/>
    </row>
    <row r="288" spans="95:106">
      <c r="CQ288" s="74"/>
      <c r="CR288" s="74"/>
      <c r="CS288" s="74"/>
      <c r="CT288" s="74"/>
      <c r="CU288" s="74"/>
      <c r="CV288" s="74"/>
      <c r="CW288" s="75"/>
      <c r="CX288" s="75"/>
      <c r="CY288" s="74"/>
      <c r="CZ288" s="75"/>
      <c r="DA288" s="75"/>
      <c r="DB288" s="74"/>
    </row>
    <row r="289" spans="95:106">
      <c r="CQ289" s="74"/>
      <c r="CR289" s="74"/>
      <c r="CS289" s="74"/>
      <c r="CT289" s="74"/>
      <c r="CU289" s="74"/>
      <c r="CV289" s="74"/>
      <c r="CW289" s="75"/>
      <c r="CX289" s="75"/>
      <c r="CY289" s="74"/>
      <c r="CZ289" s="75"/>
      <c r="DA289" s="75"/>
      <c r="DB289" s="74"/>
    </row>
    <row r="290" spans="95:106">
      <c r="CQ290" s="74"/>
      <c r="CR290" s="74"/>
      <c r="CS290" s="74"/>
      <c r="CT290" s="74"/>
      <c r="CU290" s="74"/>
      <c r="CV290" s="74"/>
      <c r="CW290" s="75"/>
      <c r="CX290" s="75"/>
      <c r="CY290" s="74"/>
      <c r="CZ290" s="75"/>
      <c r="DA290" s="75"/>
      <c r="DB290" s="74"/>
    </row>
    <row r="291" spans="95:106">
      <c r="CQ291" s="74"/>
      <c r="CR291" s="74"/>
      <c r="CS291" s="74"/>
      <c r="CT291" s="74"/>
      <c r="CU291" s="74"/>
      <c r="CV291" s="74"/>
      <c r="CW291" s="75"/>
      <c r="CX291" s="75"/>
      <c r="CY291" s="74"/>
      <c r="CZ291" s="75"/>
      <c r="DA291" s="75"/>
      <c r="DB291" s="74"/>
    </row>
    <row r="292" spans="95:106">
      <c r="CQ292" s="74"/>
      <c r="CR292" s="74"/>
      <c r="CS292" s="74"/>
      <c r="CT292" s="74"/>
      <c r="CU292" s="74"/>
      <c r="CV292" s="74"/>
      <c r="CW292" s="75"/>
      <c r="CX292" s="75"/>
      <c r="CY292" s="74"/>
      <c r="CZ292" s="75"/>
      <c r="DA292" s="75"/>
      <c r="DB292" s="74"/>
    </row>
    <row r="293" spans="95:106">
      <c r="CQ293" s="74"/>
      <c r="CR293" s="74"/>
      <c r="CS293" s="74"/>
      <c r="CT293" s="74"/>
      <c r="CU293" s="74"/>
      <c r="CV293" s="74"/>
      <c r="CW293" s="75"/>
      <c r="CX293" s="75"/>
      <c r="CY293" s="74"/>
      <c r="CZ293" s="75"/>
      <c r="DA293" s="75"/>
      <c r="DB293" s="74"/>
    </row>
    <row r="294" spans="95:106">
      <c r="CQ294" s="74"/>
      <c r="CR294" s="74"/>
      <c r="CS294" s="74"/>
      <c r="CT294" s="74"/>
      <c r="CU294" s="74"/>
      <c r="CV294" s="74"/>
      <c r="CW294" s="75"/>
      <c r="CX294" s="75"/>
      <c r="CY294" s="74"/>
      <c r="CZ294" s="75"/>
      <c r="DA294" s="75"/>
      <c r="DB294" s="74"/>
    </row>
    <row r="295" spans="95:106">
      <c r="CQ295" s="74"/>
      <c r="CR295" s="74"/>
      <c r="CS295" s="74"/>
      <c r="CT295" s="74"/>
      <c r="CU295" s="74"/>
      <c r="CV295" s="74"/>
      <c r="CW295" s="75"/>
      <c r="CX295" s="75"/>
      <c r="CY295" s="74"/>
      <c r="CZ295" s="75"/>
      <c r="DA295" s="75"/>
      <c r="DB295" s="74"/>
    </row>
    <row r="296" spans="95:106">
      <c r="CQ296" s="74"/>
      <c r="CR296" s="74"/>
      <c r="CS296" s="74"/>
      <c r="CT296" s="74"/>
      <c r="CU296" s="74"/>
      <c r="CV296" s="74"/>
      <c r="CW296" s="75"/>
      <c r="CX296" s="75"/>
      <c r="CY296" s="74"/>
      <c r="CZ296" s="75"/>
      <c r="DA296" s="75"/>
      <c r="DB296" s="74"/>
    </row>
    <row r="297" spans="95:106">
      <c r="CQ297" s="74"/>
      <c r="CR297" s="74"/>
      <c r="CS297" s="74"/>
      <c r="CT297" s="74"/>
      <c r="CU297" s="74"/>
      <c r="CV297" s="74"/>
      <c r="CW297" s="75"/>
      <c r="CX297" s="75"/>
      <c r="CY297" s="74"/>
      <c r="CZ297" s="75"/>
      <c r="DA297" s="75"/>
      <c r="DB297" s="74"/>
    </row>
    <row r="298" spans="95:106">
      <c r="CQ298" s="74"/>
      <c r="CR298" s="74"/>
      <c r="CS298" s="74"/>
      <c r="CT298" s="74"/>
      <c r="CU298" s="74"/>
      <c r="CV298" s="74"/>
      <c r="CW298" s="75"/>
      <c r="CX298" s="75"/>
      <c r="CY298" s="74"/>
      <c r="CZ298" s="75"/>
      <c r="DA298" s="75"/>
      <c r="DB298" s="74"/>
    </row>
    <row r="299" spans="95:106">
      <c r="CQ299" s="74"/>
      <c r="CR299" s="74"/>
      <c r="CS299" s="74"/>
      <c r="CT299" s="74"/>
      <c r="CU299" s="74"/>
      <c r="CV299" s="74"/>
      <c r="CW299" s="75"/>
      <c r="CX299" s="75"/>
      <c r="CY299" s="74"/>
      <c r="CZ299" s="75"/>
      <c r="DA299" s="75"/>
      <c r="DB299" s="74"/>
    </row>
    <row r="300" spans="95:106">
      <c r="CQ300" s="74"/>
      <c r="CR300" s="74"/>
      <c r="CS300" s="74"/>
      <c r="CT300" s="74"/>
      <c r="CU300" s="74"/>
      <c r="CV300" s="74"/>
      <c r="CW300" s="75"/>
      <c r="CX300" s="75"/>
      <c r="CY300" s="74"/>
      <c r="CZ300" s="75"/>
      <c r="DA300" s="75"/>
      <c r="DB300" s="74"/>
    </row>
    <row r="301" spans="95:106">
      <c r="CQ301" s="74"/>
      <c r="CR301" s="74"/>
      <c r="CS301" s="74"/>
      <c r="CT301" s="74"/>
      <c r="CU301" s="74"/>
      <c r="CV301" s="74"/>
      <c r="CW301" s="75"/>
      <c r="CX301" s="75"/>
      <c r="CY301" s="74"/>
      <c r="CZ301" s="75"/>
      <c r="DA301" s="75"/>
      <c r="DB301" s="74"/>
    </row>
    <row r="302" spans="95:106">
      <c r="CQ302" s="74"/>
      <c r="CR302" s="74"/>
      <c r="CS302" s="74"/>
      <c r="CT302" s="74"/>
      <c r="CU302" s="74"/>
      <c r="CV302" s="74"/>
      <c r="CW302" s="75"/>
      <c r="CX302" s="75"/>
      <c r="CY302" s="74"/>
      <c r="CZ302" s="75"/>
      <c r="DA302" s="75"/>
      <c r="DB302" s="74"/>
    </row>
    <row r="303" spans="95:106">
      <c r="CQ303" s="74"/>
      <c r="CR303" s="74"/>
      <c r="CS303" s="74"/>
      <c r="CT303" s="74"/>
      <c r="CU303" s="74"/>
      <c r="CV303" s="74"/>
      <c r="CW303" s="75"/>
      <c r="CX303" s="75"/>
      <c r="CY303" s="74"/>
      <c r="CZ303" s="75"/>
      <c r="DA303" s="75"/>
      <c r="DB303" s="74"/>
    </row>
    <row r="304" spans="95:106">
      <c r="CQ304" s="74"/>
      <c r="CR304" s="74"/>
      <c r="CS304" s="74"/>
      <c r="CT304" s="74"/>
      <c r="CU304" s="74"/>
      <c r="CV304" s="74"/>
      <c r="CW304" s="75"/>
      <c r="CX304" s="75"/>
      <c r="CY304" s="74"/>
      <c r="CZ304" s="75"/>
      <c r="DA304" s="75"/>
      <c r="DB304" s="74"/>
    </row>
    <row r="305" spans="95:106">
      <c r="CQ305" s="74"/>
      <c r="CR305" s="74"/>
      <c r="CS305" s="74"/>
      <c r="CT305" s="74"/>
      <c r="CU305" s="74"/>
      <c r="CV305" s="74"/>
      <c r="CW305" s="75"/>
      <c r="CX305" s="75"/>
      <c r="CY305" s="74"/>
      <c r="CZ305" s="75"/>
      <c r="DA305" s="75"/>
      <c r="DB305" s="74"/>
    </row>
    <row r="306" spans="95:106">
      <c r="CQ306" s="74"/>
      <c r="CR306" s="74"/>
      <c r="CS306" s="74"/>
      <c r="CT306" s="74"/>
      <c r="CU306" s="74"/>
      <c r="CV306" s="74"/>
      <c r="CW306" s="75"/>
      <c r="CX306" s="75"/>
      <c r="CY306" s="74"/>
      <c r="CZ306" s="75"/>
      <c r="DA306" s="75"/>
      <c r="DB306" s="74"/>
    </row>
    <row r="307" spans="95:106">
      <c r="CQ307" s="74"/>
      <c r="CR307" s="74"/>
      <c r="CS307" s="74"/>
      <c r="CT307" s="74"/>
      <c r="CU307" s="74"/>
      <c r="CV307" s="74"/>
      <c r="CW307" s="75"/>
      <c r="CX307" s="75"/>
      <c r="CY307" s="74"/>
      <c r="CZ307" s="75"/>
      <c r="DA307" s="75"/>
      <c r="DB307" s="74"/>
    </row>
    <row r="308" spans="95:106">
      <c r="CQ308" s="74"/>
      <c r="CR308" s="74"/>
      <c r="CS308" s="74"/>
      <c r="CT308" s="74"/>
      <c r="CU308" s="74"/>
      <c r="CV308" s="74"/>
      <c r="CW308" s="75"/>
      <c r="CX308" s="75"/>
      <c r="CY308" s="74"/>
      <c r="CZ308" s="75"/>
      <c r="DA308" s="75"/>
      <c r="DB308" s="74"/>
    </row>
    <row r="309" spans="95:106">
      <c r="CQ309" s="74"/>
      <c r="CR309" s="74"/>
      <c r="CS309" s="74"/>
      <c r="CT309" s="74"/>
      <c r="CU309" s="74"/>
      <c r="CV309" s="74"/>
      <c r="CW309" s="75"/>
      <c r="CX309" s="75"/>
      <c r="CY309" s="74"/>
      <c r="CZ309" s="75"/>
      <c r="DA309" s="75"/>
      <c r="DB309" s="74"/>
    </row>
    <row r="310" spans="95:106">
      <c r="CQ310" s="74"/>
      <c r="CR310" s="74"/>
      <c r="CS310" s="74"/>
      <c r="CT310" s="74"/>
      <c r="CU310" s="74"/>
      <c r="CV310" s="74"/>
      <c r="CW310" s="75"/>
      <c r="CX310" s="75"/>
      <c r="CY310" s="74"/>
      <c r="CZ310" s="75"/>
      <c r="DA310" s="75"/>
      <c r="DB310" s="74"/>
    </row>
    <row r="311" spans="95:106">
      <c r="CQ311" s="74"/>
      <c r="CR311" s="74"/>
      <c r="CS311" s="74"/>
      <c r="CT311" s="74"/>
      <c r="CU311" s="74"/>
      <c r="CV311" s="74"/>
      <c r="CW311" s="75"/>
      <c r="CX311" s="75"/>
      <c r="CY311" s="74"/>
      <c r="CZ311" s="75"/>
      <c r="DA311" s="75"/>
      <c r="DB311" s="74"/>
    </row>
    <row r="312" spans="95:106">
      <c r="CQ312" s="74"/>
      <c r="CR312" s="74"/>
      <c r="CS312" s="74"/>
      <c r="CT312" s="74"/>
      <c r="CU312" s="74"/>
      <c r="CV312" s="74"/>
      <c r="CW312" s="75"/>
      <c r="CX312" s="75"/>
      <c r="CY312" s="74"/>
      <c r="CZ312" s="75"/>
      <c r="DA312" s="75"/>
      <c r="DB312" s="74"/>
    </row>
    <row r="313" spans="95:106">
      <c r="CQ313" s="74"/>
      <c r="CR313" s="74"/>
      <c r="CS313" s="74"/>
      <c r="CT313" s="74"/>
      <c r="CU313" s="74"/>
      <c r="CV313" s="74"/>
      <c r="CW313" s="75"/>
      <c r="CX313" s="75"/>
      <c r="CY313" s="74"/>
      <c r="CZ313" s="75"/>
      <c r="DA313" s="75"/>
      <c r="DB313" s="74"/>
    </row>
    <row r="314" spans="95:106">
      <c r="CQ314" s="74"/>
      <c r="CR314" s="74"/>
      <c r="CS314" s="74"/>
      <c r="CT314" s="74"/>
      <c r="CU314" s="74"/>
      <c r="CV314" s="74"/>
      <c r="CW314" s="75"/>
      <c r="CX314" s="75"/>
      <c r="CY314" s="74"/>
      <c r="CZ314" s="75"/>
      <c r="DA314" s="75"/>
      <c r="DB314" s="74"/>
    </row>
    <row r="315" spans="95:106">
      <c r="CQ315" s="74"/>
      <c r="CR315" s="74"/>
      <c r="CS315" s="74"/>
      <c r="CT315" s="74"/>
      <c r="CU315" s="74"/>
      <c r="CV315" s="74"/>
      <c r="CW315" s="75"/>
      <c r="CX315" s="75"/>
      <c r="CY315" s="74"/>
      <c r="CZ315" s="75"/>
      <c r="DA315" s="75"/>
      <c r="DB315" s="74"/>
    </row>
    <row r="316" spans="95:106">
      <c r="CQ316" s="74"/>
      <c r="CR316" s="74"/>
      <c r="CS316" s="74"/>
      <c r="CT316" s="74"/>
      <c r="CU316" s="74"/>
      <c r="CV316" s="74"/>
      <c r="CW316" s="75"/>
      <c r="CX316" s="75"/>
      <c r="CY316" s="74"/>
      <c r="CZ316" s="75"/>
      <c r="DA316" s="75"/>
      <c r="DB316" s="74"/>
    </row>
    <row r="317" spans="95:106">
      <c r="CQ317" s="74"/>
      <c r="CR317" s="74"/>
      <c r="CS317" s="74"/>
      <c r="CT317" s="74"/>
      <c r="CU317" s="74"/>
      <c r="CV317" s="74"/>
      <c r="CW317" s="75"/>
      <c r="CX317" s="75"/>
      <c r="CY317" s="74"/>
      <c r="CZ317" s="75"/>
      <c r="DA317" s="75"/>
      <c r="DB317" s="74"/>
    </row>
    <row r="318" spans="95:106">
      <c r="CQ318" s="74"/>
      <c r="CR318" s="74"/>
      <c r="CS318" s="74"/>
      <c r="CT318" s="74"/>
      <c r="CU318" s="74"/>
      <c r="CV318" s="74"/>
      <c r="CW318" s="75"/>
      <c r="CX318" s="75"/>
      <c r="CY318" s="74"/>
      <c r="CZ318" s="75"/>
      <c r="DA318" s="75"/>
      <c r="DB318" s="74"/>
    </row>
    <row r="319" spans="95:106">
      <c r="CQ319" s="74"/>
      <c r="CR319" s="74"/>
      <c r="CS319" s="74"/>
      <c r="CT319" s="74"/>
      <c r="CU319" s="74"/>
      <c r="CV319" s="74"/>
      <c r="CW319" s="75"/>
      <c r="CX319" s="75"/>
      <c r="CY319" s="74"/>
      <c r="CZ319" s="75"/>
      <c r="DA319" s="75"/>
      <c r="DB319" s="74"/>
    </row>
    <row r="320" spans="95:106">
      <c r="CQ320" s="74"/>
      <c r="CR320" s="74"/>
      <c r="CS320" s="74"/>
      <c r="CT320" s="74"/>
      <c r="CU320" s="74"/>
      <c r="CV320" s="74"/>
      <c r="CW320" s="75"/>
      <c r="CX320" s="75"/>
      <c r="CY320" s="74"/>
      <c r="CZ320" s="75"/>
      <c r="DA320" s="75"/>
      <c r="DB320" s="74"/>
    </row>
    <row r="321" spans="95:106">
      <c r="CQ321" s="74"/>
      <c r="CR321" s="74"/>
      <c r="CS321" s="74"/>
      <c r="CT321" s="74"/>
      <c r="CU321" s="74"/>
      <c r="CV321" s="74"/>
      <c r="CW321" s="75"/>
      <c r="CX321" s="75"/>
      <c r="CY321" s="74"/>
      <c r="CZ321" s="75"/>
      <c r="DA321" s="75"/>
      <c r="DB321" s="74"/>
    </row>
    <row r="322" spans="95:106">
      <c r="CQ322" s="74"/>
      <c r="CR322" s="74"/>
      <c r="CS322" s="74"/>
      <c r="CT322" s="74"/>
      <c r="CU322" s="74"/>
      <c r="CV322" s="74"/>
      <c r="CW322" s="75"/>
      <c r="CX322" s="75"/>
      <c r="CY322" s="74"/>
      <c r="CZ322" s="75"/>
      <c r="DA322" s="75"/>
      <c r="DB322" s="74"/>
    </row>
    <row r="323" spans="95:106">
      <c r="CQ323" s="74"/>
      <c r="CR323" s="74"/>
      <c r="CS323" s="74"/>
      <c r="CT323" s="74"/>
      <c r="CU323" s="74"/>
      <c r="CV323" s="74"/>
      <c r="CW323" s="75"/>
      <c r="CX323" s="75"/>
      <c r="CY323" s="74"/>
      <c r="CZ323" s="75"/>
      <c r="DA323" s="75"/>
      <c r="DB323" s="74"/>
    </row>
    <row r="324" spans="95:106">
      <c r="CQ324" s="74"/>
      <c r="CR324" s="74"/>
      <c r="CS324" s="74"/>
      <c r="CT324" s="74"/>
      <c r="CU324" s="74"/>
      <c r="CV324" s="74"/>
      <c r="CW324" s="75"/>
      <c r="CX324" s="75"/>
      <c r="CY324" s="74"/>
      <c r="CZ324" s="75"/>
      <c r="DA324" s="75"/>
      <c r="DB324" s="74"/>
    </row>
    <row r="325" spans="95:106">
      <c r="CQ325" s="74"/>
      <c r="CR325" s="74"/>
      <c r="CS325" s="74"/>
      <c r="CT325" s="74"/>
      <c r="CU325" s="74"/>
      <c r="CV325" s="74"/>
      <c r="CW325" s="75"/>
      <c r="CX325" s="75"/>
      <c r="CY325" s="74"/>
      <c r="CZ325" s="75"/>
      <c r="DA325" s="75"/>
      <c r="DB325" s="74"/>
    </row>
    <row r="326" spans="95:106">
      <c r="CQ326" s="74"/>
      <c r="CR326" s="74"/>
      <c r="CS326" s="74"/>
      <c r="CT326" s="74"/>
      <c r="CU326" s="74"/>
      <c r="CV326" s="74"/>
      <c r="CW326" s="75"/>
      <c r="CX326" s="75"/>
      <c r="CY326" s="74"/>
      <c r="CZ326" s="75"/>
      <c r="DA326" s="75"/>
      <c r="DB326" s="74"/>
    </row>
    <row r="327" spans="95:106">
      <c r="CQ327" s="74"/>
      <c r="CR327" s="74"/>
      <c r="CS327" s="74"/>
      <c r="CT327" s="74"/>
      <c r="CU327" s="74"/>
      <c r="CV327" s="74"/>
      <c r="CW327" s="75"/>
      <c r="CX327" s="75"/>
      <c r="CY327" s="74"/>
      <c r="CZ327" s="75"/>
      <c r="DA327" s="75"/>
      <c r="DB327" s="74"/>
    </row>
    <row r="328" spans="95:106">
      <c r="CQ328" s="74"/>
      <c r="CR328" s="74"/>
      <c r="CS328" s="74"/>
      <c r="CT328" s="74"/>
      <c r="CU328" s="74"/>
      <c r="CV328" s="74"/>
      <c r="CW328" s="75"/>
      <c r="CX328" s="75"/>
      <c r="CY328" s="74"/>
      <c r="CZ328" s="75"/>
      <c r="DA328" s="75"/>
      <c r="DB328" s="74"/>
    </row>
    <row r="329" spans="95:106">
      <c r="CQ329" s="74"/>
      <c r="CR329" s="74"/>
      <c r="CS329" s="74"/>
      <c r="CT329" s="74"/>
      <c r="CU329" s="74"/>
      <c r="CV329" s="74"/>
      <c r="CW329" s="75"/>
      <c r="CX329" s="75"/>
      <c r="CY329" s="74"/>
      <c r="CZ329" s="75"/>
      <c r="DA329" s="75"/>
      <c r="DB329" s="74"/>
    </row>
    <row r="330" spans="95:106">
      <c r="CQ330" s="74"/>
      <c r="CR330" s="74"/>
      <c r="CS330" s="74"/>
      <c r="CT330" s="74"/>
      <c r="CU330" s="74"/>
      <c r="CV330" s="74"/>
      <c r="CW330" s="75"/>
      <c r="CX330" s="75"/>
      <c r="CY330" s="74"/>
      <c r="CZ330" s="75"/>
      <c r="DA330" s="75"/>
      <c r="DB330" s="74"/>
    </row>
    <row r="331" spans="95:106">
      <c r="CQ331" s="74"/>
      <c r="CR331" s="74"/>
      <c r="CS331" s="74"/>
      <c r="CT331" s="74"/>
      <c r="CU331" s="74"/>
      <c r="CV331" s="74"/>
      <c r="CW331" s="75"/>
      <c r="CX331" s="75"/>
      <c r="CY331" s="74"/>
      <c r="CZ331" s="75"/>
      <c r="DA331" s="75"/>
      <c r="DB331" s="74"/>
    </row>
    <row r="332" spans="95:106">
      <c r="CQ332" s="74"/>
      <c r="CR332" s="74"/>
      <c r="CS332" s="74"/>
      <c r="CT332" s="74"/>
      <c r="CU332" s="74"/>
      <c r="CV332" s="74"/>
      <c r="CW332" s="75"/>
      <c r="CX332" s="75"/>
      <c r="CY332" s="74"/>
      <c r="CZ332" s="75"/>
      <c r="DA332" s="75"/>
      <c r="DB332" s="74"/>
    </row>
    <row r="333" spans="95:106">
      <c r="CQ333" s="74"/>
      <c r="CR333" s="74"/>
      <c r="CS333" s="74"/>
      <c r="CT333" s="74"/>
      <c r="CU333" s="74"/>
      <c r="CV333" s="74"/>
      <c r="CW333" s="75"/>
      <c r="CX333" s="75"/>
      <c r="CY333" s="74"/>
      <c r="CZ333" s="75"/>
      <c r="DA333" s="75"/>
      <c r="DB333" s="74"/>
    </row>
    <row r="334" spans="95:106">
      <c r="CQ334" s="74"/>
      <c r="CR334" s="74"/>
      <c r="CS334" s="74"/>
      <c r="CT334" s="74"/>
      <c r="CU334" s="74"/>
      <c r="CV334" s="74"/>
      <c r="CW334" s="75"/>
      <c r="CX334" s="75"/>
      <c r="CY334" s="74"/>
      <c r="CZ334" s="75"/>
      <c r="DA334" s="75"/>
      <c r="DB334" s="74"/>
    </row>
    <row r="335" spans="95:106">
      <c r="CQ335" s="74"/>
      <c r="CR335" s="74"/>
      <c r="CS335" s="74"/>
      <c r="CT335" s="74"/>
      <c r="CU335" s="74"/>
      <c r="CV335" s="74"/>
      <c r="CW335" s="75"/>
      <c r="CX335" s="75"/>
      <c r="CY335" s="74"/>
      <c r="CZ335" s="75"/>
      <c r="DA335" s="75"/>
      <c r="DB335" s="74"/>
    </row>
    <row r="336" spans="95:106">
      <c r="CQ336" s="74"/>
      <c r="CR336" s="74"/>
      <c r="CS336" s="74"/>
      <c r="CT336" s="74"/>
      <c r="CU336" s="74"/>
      <c r="CV336" s="74"/>
      <c r="CW336" s="75"/>
      <c r="CX336" s="75"/>
      <c r="CY336" s="74"/>
      <c r="CZ336" s="75"/>
      <c r="DA336" s="75"/>
      <c r="DB336" s="74"/>
    </row>
    <row r="337" spans="95:106">
      <c r="CQ337" s="74"/>
      <c r="CR337" s="74"/>
      <c r="CS337" s="74"/>
      <c r="CT337" s="74"/>
      <c r="CU337" s="74"/>
      <c r="CV337" s="74"/>
      <c r="CW337" s="75"/>
      <c r="CX337" s="75"/>
      <c r="CY337" s="74"/>
      <c r="CZ337" s="75"/>
      <c r="DA337" s="75"/>
      <c r="DB337" s="74"/>
    </row>
    <row r="338" spans="95:106">
      <c r="CQ338" s="74"/>
      <c r="CR338" s="74"/>
      <c r="CS338" s="74"/>
      <c r="CT338" s="74"/>
      <c r="CU338" s="74"/>
      <c r="CV338" s="74"/>
      <c r="CW338" s="75"/>
      <c r="CX338" s="75"/>
      <c r="CY338" s="74"/>
      <c r="CZ338" s="75"/>
      <c r="DA338" s="75"/>
      <c r="DB338" s="74"/>
    </row>
    <row r="339" spans="95:106">
      <c r="CQ339" s="74"/>
      <c r="CR339" s="74"/>
      <c r="CS339" s="74"/>
      <c r="CT339" s="74"/>
      <c r="CU339" s="74"/>
      <c r="CV339" s="74"/>
      <c r="CW339" s="75"/>
      <c r="CX339" s="75"/>
      <c r="CY339" s="74"/>
      <c r="CZ339" s="75"/>
      <c r="DA339" s="75"/>
      <c r="DB339" s="74"/>
    </row>
    <row r="340" spans="95:106">
      <c r="CQ340" s="74"/>
      <c r="CR340" s="74"/>
      <c r="CS340" s="74"/>
      <c r="CT340" s="74"/>
      <c r="CU340" s="74"/>
      <c r="CV340" s="74"/>
      <c r="CW340" s="75"/>
      <c r="CX340" s="75"/>
      <c r="CY340" s="74"/>
      <c r="CZ340" s="75"/>
      <c r="DA340" s="75"/>
      <c r="DB340" s="74"/>
    </row>
    <row r="341" spans="95:106">
      <c r="CQ341" s="74"/>
      <c r="CR341" s="74"/>
      <c r="CS341" s="74"/>
      <c r="CT341" s="74"/>
      <c r="CU341" s="74"/>
      <c r="CV341" s="74"/>
      <c r="CW341" s="75"/>
      <c r="CX341" s="75"/>
      <c r="CY341" s="74"/>
      <c r="CZ341" s="75"/>
      <c r="DA341" s="75"/>
      <c r="DB341" s="74"/>
    </row>
    <row r="342" spans="95:106">
      <c r="CQ342" s="74"/>
      <c r="CR342" s="74"/>
      <c r="CS342" s="74"/>
      <c r="CT342" s="74"/>
      <c r="CU342" s="74"/>
      <c r="CV342" s="74"/>
      <c r="CW342" s="75"/>
      <c r="CX342" s="75"/>
      <c r="CY342" s="74"/>
      <c r="CZ342" s="75"/>
      <c r="DA342" s="75"/>
      <c r="DB342" s="74"/>
    </row>
    <row r="343" spans="95:106">
      <c r="CQ343" s="74"/>
      <c r="CR343" s="74"/>
      <c r="CS343" s="74"/>
      <c r="CT343" s="74"/>
      <c r="CU343" s="74"/>
      <c r="CV343" s="74"/>
      <c r="CW343" s="75"/>
      <c r="CX343" s="75"/>
      <c r="CY343" s="74"/>
      <c r="CZ343" s="75"/>
      <c r="DA343" s="75"/>
      <c r="DB343" s="74"/>
    </row>
    <row r="344" spans="95:106">
      <c r="CQ344" s="74"/>
      <c r="CR344" s="74"/>
      <c r="CS344" s="74"/>
      <c r="CT344" s="74"/>
      <c r="CU344" s="74"/>
      <c r="CV344" s="74"/>
      <c r="CW344" s="75"/>
      <c r="CX344" s="75"/>
      <c r="CY344" s="74"/>
      <c r="CZ344" s="75"/>
      <c r="DA344" s="75"/>
      <c r="DB344" s="74"/>
    </row>
    <row r="345" spans="95:106">
      <c r="CQ345" s="74"/>
      <c r="CR345" s="74"/>
      <c r="CS345" s="74"/>
      <c r="CT345" s="74"/>
      <c r="CU345" s="74"/>
      <c r="CV345" s="74"/>
      <c r="CW345" s="75"/>
      <c r="CX345" s="75"/>
      <c r="CY345" s="74"/>
      <c r="CZ345" s="75"/>
      <c r="DA345" s="75"/>
      <c r="DB345" s="74"/>
    </row>
    <row r="346" spans="95:106">
      <c r="CQ346" s="74"/>
      <c r="CR346" s="74"/>
      <c r="CS346" s="74"/>
      <c r="CT346" s="74"/>
      <c r="CU346" s="74"/>
      <c r="CV346" s="74"/>
      <c r="CW346" s="75"/>
      <c r="CX346" s="75"/>
      <c r="CY346" s="74"/>
      <c r="CZ346" s="75"/>
      <c r="DA346" s="75"/>
      <c r="DB346" s="74"/>
    </row>
    <row r="347" spans="95:106">
      <c r="CQ347" s="74"/>
      <c r="CR347" s="74"/>
      <c r="CS347" s="74"/>
      <c r="CT347" s="74"/>
      <c r="CU347" s="74"/>
      <c r="CV347" s="74"/>
      <c r="CW347" s="75"/>
      <c r="CX347" s="75"/>
      <c r="CY347" s="74"/>
      <c r="CZ347" s="75"/>
      <c r="DA347" s="75"/>
      <c r="DB347" s="74"/>
    </row>
    <row r="348" spans="95:106">
      <c r="CQ348" s="74"/>
      <c r="CR348" s="74"/>
      <c r="CS348" s="74"/>
      <c r="CT348" s="74"/>
      <c r="CU348" s="74"/>
      <c r="CV348" s="74"/>
      <c r="CW348" s="75"/>
      <c r="CX348" s="75"/>
      <c r="CY348" s="74"/>
      <c r="CZ348" s="75"/>
      <c r="DA348" s="75"/>
      <c r="DB348" s="74"/>
    </row>
    <row r="349" spans="95:106">
      <c r="CQ349" s="74"/>
      <c r="CR349" s="74"/>
      <c r="CS349" s="74"/>
      <c r="CT349" s="74"/>
      <c r="CU349" s="74"/>
      <c r="CV349" s="74"/>
      <c r="CW349" s="75"/>
      <c r="CX349" s="75"/>
      <c r="CY349" s="74"/>
      <c r="CZ349" s="75"/>
      <c r="DA349" s="75"/>
      <c r="DB349" s="74"/>
    </row>
    <row r="350" spans="95:106">
      <c r="CQ350" s="74"/>
      <c r="CR350" s="74"/>
      <c r="CS350" s="74"/>
      <c r="CT350" s="74"/>
      <c r="CU350" s="74"/>
      <c r="CV350" s="74"/>
      <c r="CW350" s="75"/>
      <c r="CX350" s="75"/>
      <c r="CY350" s="74"/>
      <c r="CZ350" s="75"/>
      <c r="DA350" s="75"/>
      <c r="DB350" s="74"/>
    </row>
    <row r="351" spans="95:106">
      <c r="CQ351" s="74"/>
      <c r="CR351" s="74"/>
      <c r="CS351" s="74"/>
      <c r="CT351" s="74"/>
      <c r="CU351" s="74"/>
      <c r="CV351" s="74"/>
      <c r="CW351" s="75"/>
      <c r="CX351" s="75"/>
      <c r="CY351" s="74"/>
      <c r="CZ351" s="75"/>
      <c r="DA351" s="75"/>
      <c r="DB351" s="74"/>
    </row>
    <row r="352" spans="95:106">
      <c r="CQ352" s="74"/>
      <c r="CR352" s="74"/>
      <c r="CS352" s="74"/>
      <c r="CT352" s="74"/>
      <c r="CU352" s="74"/>
      <c r="CV352" s="74"/>
      <c r="CW352" s="75"/>
      <c r="CX352" s="75"/>
      <c r="CY352" s="74"/>
      <c r="CZ352" s="75"/>
      <c r="DA352" s="75"/>
      <c r="DB352" s="74"/>
    </row>
    <row r="353" spans="95:106">
      <c r="CQ353" s="74"/>
      <c r="CR353" s="74"/>
      <c r="CS353" s="74"/>
      <c r="CT353" s="74"/>
      <c r="CU353" s="74"/>
      <c r="CV353" s="74"/>
      <c r="CW353" s="75"/>
      <c r="CX353" s="75"/>
      <c r="CY353" s="74"/>
      <c r="CZ353" s="75"/>
      <c r="DA353" s="75"/>
      <c r="DB353" s="74"/>
    </row>
    <row r="354" spans="95:106">
      <c r="CQ354" s="74"/>
      <c r="CR354" s="74"/>
      <c r="CS354" s="74"/>
      <c r="CT354" s="74"/>
      <c r="CU354" s="74"/>
      <c r="CV354" s="74"/>
      <c r="CW354" s="75"/>
      <c r="CX354" s="75"/>
      <c r="CY354" s="74"/>
      <c r="CZ354" s="75"/>
      <c r="DA354" s="75"/>
      <c r="DB354" s="74"/>
    </row>
    <row r="355" spans="95:106">
      <c r="CQ355" s="74"/>
      <c r="CR355" s="74"/>
      <c r="CS355" s="74"/>
      <c r="CT355" s="74"/>
      <c r="CU355" s="74"/>
      <c r="CV355" s="74"/>
      <c r="CW355" s="75"/>
      <c r="CX355" s="75"/>
      <c r="CY355" s="74"/>
      <c r="CZ355" s="75"/>
      <c r="DA355" s="75"/>
      <c r="DB355" s="74"/>
    </row>
    <row r="356" spans="95:106">
      <c r="CQ356" s="74"/>
      <c r="CR356" s="74"/>
      <c r="CS356" s="74"/>
      <c r="CT356" s="74"/>
      <c r="CU356" s="74"/>
      <c r="CV356" s="74"/>
      <c r="CW356" s="75"/>
      <c r="CX356" s="75"/>
      <c r="CY356" s="74"/>
      <c r="CZ356" s="75"/>
      <c r="DA356" s="75"/>
      <c r="DB356" s="74"/>
    </row>
    <row r="357" spans="95:106">
      <c r="CQ357" s="74"/>
      <c r="CR357" s="74"/>
      <c r="CS357" s="74"/>
      <c r="CT357" s="74"/>
      <c r="CU357" s="74"/>
      <c r="CV357" s="74"/>
      <c r="CW357" s="75"/>
      <c r="CX357" s="75"/>
      <c r="CY357" s="74"/>
      <c r="CZ357" s="75"/>
      <c r="DA357" s="75"/>
      <c r="DB357" s="74"/>
    </row>
    <row r="358" spans="95:106">
      <c r="CQ358" s="74"/>
      <c r="CR358" s="74"/>
      <c r="CS358" s="74"/>
      <c r="CT358" s="74"/>
      <c r="CU358" s="74"/>
      <c r="CV358" s="74"/>
      <c r="CW358" s="75"/>
      <c r="CX358" s="75"/>
      <c r="CY358" s="74"/>
      <c r="CZ358" s="75"/>
      <c r="DA358" s="75"/>
      <c r="DB358" s="74"/>
    </row>
    <row r="359" spans="95:106">
      <c r="CQ359" s="74"/>
      <c r="CR359" s="74"/>
      <c r="CS359" s="74"/>
      <c r="CT359" s="74"/>
      <c r="CU359" s="74"/>
      <c r="CV359" s="74"/>
      <c r="CW359" s="75"/>
      <c r="CX359" s="75"/>
      <c r="CY359" s="74"/>
      <c r="CZ359" s="75"/>
      <c r="DA359" s="75"/>
      <c r="DB359" s="74"/>
    </row>
    <row r="360" spans="95:106">
      <c r="CQ360" s="74"/>
      <c r="CR360" s="74"/>
      <c r="CS360" s="74"/>
      <c r="CT360" s="74"/>
      <c r="CU360" s="74"/>
      <c r="CV360" s="74"/>
      <c r="CW360" s="75"/>
      <c r="CX360" s="75"/>
      <c r="CY360" s="74"/>
      <c r="CZ360" s="75"/>
      <c r="DA360" s="75"/>
      <c r="DB360" s="74"/>
    </row>
    <row r="361" spans="95:106">
      <c r="CQ361" s="74"/>
      <c r="CR361" s="74"/>
      <c r="CS361" s="74"/>
      <c r="CT361" s="74"/>
      <c r="CU361" s="74"/>
      <c r="CV361" s="74"/>
      <c r="CW361" s="75"/>
      <c r="CX361" s="75"/>
      <c r="CY361" s="74"/>
      <c r="CZ361" s="75"/>
      <c r="DA361" s="75"/>
      <c r="DB361" s="74"/>
    </row>
    <row r="362" spans="95:106">
      <c r="CQ362" s="74"/>
      <c r="CR362" s="74"/>
      <c r="CS362" s="74"/>
      <c r="CT362" s="74"/>
      <c r="CU362" s="74"/>
      <c r="CV362" s="74"/>
      <c r="CW362" s="75"/>
      <c r="CX362" s="75"/>
      <c r="CY362" s="74"/>
      <c r="CZ362" s="75"/>
      <c r="DA362" s="75"/>
      <c r="DB362" s="74"/>
    </row>
    <row r="363" spans="95:106">
      <c r="CQ363" s="74"/>
      <c r="CR363" s="74"/>
      <c r="CS363" s="74"/>
      <c r="CT363" s="74"/>
      <c r="CU363" s="74"/>
      <c r="CV363" s="74"/>
      <c r="CW363" s="75"/>
      <c r="CX363" s="75"/>
      <c r="CY363" s="74"/>
      <c r="CZ363" s="75"/>
      <c r="DA363" s="75"/>
      <c r="DB363" s="74"/>
    </row>
    <row r="364" spans="95:106">
      <c r="CQ364" s="74"/>
      <c r="CR364" s="74"/>
      <c r="CS364" s="74"/>
      <c r="CT364" s="74"/>
      <c r="CU364" s="74"/>
      <c r="CV364" s="74"/>
      <c r="CW364" s="75"/>
      <c r="CX364" s="75"/>
      <c r="CY364" s="74"/>
      <c r="CZ364" s="75"/>
      <c r="DA364" s="75"/>
      <c r="DB364" s="74"/>
    </row>
    <row r="365" spans="95:106">
      <c r="CQ365" s="74"/>
      <c r="CR365" s="74"/>
      <c r="CS365" s="74"/>
      <c r="CT365" s="74"/>
      <c r="CU365" s="74"/>
      <c r="CV365" s="74"/>
      <c r="CW365" s="75"/>
      <c r="CX365" s="75"/>
      <c r="CY365" s="74"/>
      <c r="CZ365" s="75"/>
      <c r="DA365" s="75"/>
      <c r="DB365" s="74"/>
    </row>
    <row r="366" spans="95:106">
      <c r="CQ366" s="74"/>
      <c r="CR366" s="74"/>
      <c r="CS366" s="74"/>
      <c r="CT366" s="74"/>
      <c r="CU366" s="74"/>
      <c r="CV366" s="74"/>
      <c r="CW366" s="75"/>
      <c r="CX366" s="75"/>
      <c r="CY366" s="74"/>
      <c r="CZ366" s="75"/>
      <c r="DA366" s="75"/>
      <c r="DB366" s="74"/>
    </row>
    <row r="367" spans="95:106">
      <c r="CQ367" s="74"/>
      <c r="CR367" s="74"/>
      <c r="CS367" s="74"/>
      <c r="CT367" s="74"/>
      <c r="CU367" s="74"/>
      <c r="CV367" s="74"/>
      <c r="CW367" s="75"/>
      <c r="CX367" s="75"/>
      <c r="CY367" s="74"/>
      <c r="CZ367" s="75"/>
      <c r="DA367" s="75"/>
      <c r="DB367" s="74"/>
    </row>
    <row r="368" spans="95:106">
      <c r="CQ368" s="74"/>
      <c r="CR368" s="74"/>
      <c r="CS368" s="74"/>
      <c r="CT368" s="74"/>
      <c r="CU368" s="74"/>
      <c r="CV368" s="74"/>
      <c r="CW368" s="75"/>
      <c r="CX368" s="75"/>
      <c r="CY368" s="74"/>
      <c r="CZ368" s="75"/>
      <c r="DA368" s="75"/>
      <c r="DB368" s="74"/>
    </row>
    <row r="369" spans="95:106">
      <c r="CQ369" s="74"/>
      <c r="CR369" s="74"/>
      <c r="CS369" s="74"/>
      <c r="CT369" s="74"/>
      <c r="CU369" s="74"/>
      <c r="CV369" s="74"/>
      <c r="CW369" s="75"/>
      <c r="CX369" s="75"/>
      <c r="CY369" s="74"/>
      <c r="CZ369" s="75"/>
      <c r="DA369" s="75"/>
      <c r="DB369" s="74"/>
    </row>
    <row r="370" spans="95:106">
      <c r="CQ370" s="74"/>
      <c r="CR370" s="74"/>
      <c r="CS370" s="74"/>
      <c r="CT370" s="74"/>
      <c r="CU370" s="74"/>
      <c r="CV370" s="74"/>
      <c r="CW370" s="75"/>
      <c r="CX370" s="75"/>
      <c r="CY370" s="74"/>
      <c r="CZ370" s="75"/>
      <c r="DA370" s="75"/>
      <c r="DB370" s="74"/>
    </row>
    <row r="371" spans="95:106">
      <c r="CQ371" s="74"/>
      <c r="CR371" s="74"/>
      <c r="CS371" s="74"/>
      <c r="CT371" s="74"/>
      <c r="CU371" s="74"/>
      <c r="CV371" s="74"/>
      <c r="CW371" s="75"/>
      <c r="CX371" s="75"/>
      <c r="CY371" s="74"/>
      <c r="CZ371" s="75"/>
      <c r="DA371" s="75"/>
      <c r="DB371" s="74"/>
    </row>
    <row r="372" spans="95:106">
      <c r="CQ372" s="74"/>
      <c r="CR372" s="74"/>
      <c r="CS372" s="74"/>
      <c r="CT372" s="74"/>
      <c r="CU372" s="74"/>
      <c r="CV372" s="74"/>
      <c r="CW372" s="75"/>
      <c r="CX372" s="75"/>
      <c r="CY372" s="74"/>
      <c r="CZ372" s="75"/>
      <c r="DA372" s="75"/>
      <c r="DB372" s="74"/>
    </row>
    <row r="373" spans="95:106">
      <c r="CQ373" s="74"/>
      <c r="CR373" s="74"/>
      <c r="CS373" s="74"/>
      <c r="CT373" s="74"/>
      <c r="CU373" s="74"/>
      <c r="CV373" s="74"/>
      <c r="CW373" s="75"/>
      <c r="CX373" s="75"/>
      <c r="CY373" s="74"/>
      <c r="CZ373" s="75"/>
      <c r="DA373" s="75"/>
      <c r="DB373" s="74"/>
    </row>
    <row r="374" spans="95:106">
      <c r="CQ374" s="74"/>
      <c r="CR374" s="74"/>
      <c r="CS374" s="74"/>
      <c r="CT374" s="74"/>
      <c r="CU374" s="74"/>
      <c r="CV374" s="74"/>
      <c r="CW374" s="75"/>
      <c r="CX374" s="75"/>
      <c r="CY374" s="74"/>
      <c r="CZ374" s="75"/>
      <c r="DA374" s="75"/>
      <c r="DB374" s="74"/>
    </row>
    <row r="375" spans="95:106">
      <c r="CQ375" s="74"/>
      <c r="CR375" s="74"/>
      <c r="CS375" s="74"/>
      <c r="CT375" s="74"/>
      <c r="CU375" s="74"/>
      <c r="CV375" s="74"/>
      <c r="CW375" s="75"/>
      <c r="CX375" s="75"/>
      <c r="CY375" s="74"/>
      <c r="CZ375" s="75"/>
      <c r="DA375" s="75"/>
      <c r="DB375" s="74"/>
    </row>
    <row r="376" spans="95:106">
      <c r="CQ376" s="74"/>
      <c r="CR376" s="74"/>
      <c r="CS376" s="74"/>
      <c r="CT376" s="74"/>
      <c r="CU376" s="74"/>
      <c r="CV376" s="74"/>
      <c r="CW376" s="75"/>
      <c r="CX376" s="75"/>
      <c r="CY376" s="74"/>
      <c r="CZ376" s="75"/>
      <c r="DA376" s="75"/>
      <c r="DB376" s="74"/>
    </row>
    <row r="377" spans="95:106">
      <c r="CQ377" s="74"/>
      <c r="CR377" s="74"/>
      <c r="CS377" s="74"/>
      <c r="CT377" s="74"/>
      <c r="CU377" s="74"/>
      <c r="CV377" s="74"/>
      <c r="CW377" s="75"/>
      <c r="CX377" s="75"/>
      <c r="CY377" s="74"/>
      <c r="CZ377" s="75"/>
      <c r="DA377" s="75"/>
      <c r="DB377" s="74"/>
    </row>
    <row r="378" spans="95:106">
      <c r="CQ378" s="74"/>
      <c r="CR378" s="74"/>
      <c r="CS378" s="74"/>
      <c r="CT378" s="74"/>
      <c r="CU378" s="74"/>
      <c r="CV378" s="74"/>
      <c r="CW378" s="75"/>
      <c r="CX378" s="75"/>
      <c r="CY378" s="74"/>
      <c r="CZ378" s="75"/>
      <c r="DA378" s="75"/>
      <c r="DB378" s="74"/>
    </row>
    <row r="379" spans="95:106">
      <c r="CQ379" s="74"/>
      <c r="CR379" s="74"/>
      <c r="CS379" s="74"/>
      <c r="CT379" s="74"/>
      <c r="CU379" s="74"/>
      <c r="CV379" s="74"/>
      <c r="CW379" s="75"/>
      <c r="CX379" s="75"/>
      <c r="CY379" s="74"/>
      <c r="CZ379" s="75"/>
      <c r="DA379" s="75"/>
      <c r="DB379" s="74"/>
    </row>
    <row r="380" spans="95:106">
      <c r="CQ380" s="74"/>
      <c r="CR380" s="74"/>
      <c r="CS380" s="74"/>
      <c r="CT380" s="74"/>
      <c r="CU380" s="74"/>
      <c r="CV380" s="74"/>
      <c r="CW380" s="75"/>
      <c r="CX380" s="75"/>
      <c r="CY380" s="74"/>
      <c r="CZ380" s="75"/>
      <c r="DA380" s="75"/>
      <c r="DB380" s="74"/>
    </row>
    <row r="381" spans="95:106">
      <c r="CQ381" s="74"/>
      <c r="CR381" s="74"/>
      <c r="CS381" s="74"/>
      <c r="CT381" s="74"/>
      <c r="CU381" s="74"/>
      <c r="CV381" s="74"/>
      <c r="CW381" s="75"/>
      <c r="CX381" s="75"/>
      <c r="CY381" s="74"/>
      <c r="CZ381" s="75"/>
      <c r="DA381" s="75"/>
      <c r="DB381" s="74"/>
    </row>
    <row r="382" spans="95:106">
      <c r="CQ382" s="74"/>
      <c r="CR382" s="74"/>
      <c r="CS382" s="74"/>
      <c r="CT382" s="74"/>
      <c r="CU382" s="74"/>
      <c r="CV382" s="74"/>
      <c r="CW382" s="75"/>
      <c r="CX382" s="75"/>
      <c r="CY382" s="74"/>
      <c r="CZ382" s="75"/>
      <c r="DA382" s="75"/>
      <c r="DB382" s="74"/>
    </row>
    <row r="383" spans="95:106">
      <c r="CQ383" s="74"/>
      <c r="CR383" s="74"/>
      <c r="CS383" s="74"/>
      <c r="CT383" s="74"/>
      <c r="CU383" s="74"/>
      <c r="CV383" s="74"/>
      <c r="CW383" s="75"/>
      <c r="CX383" s="75"/>
      <c r="CY383" s="74"/>
      <c r="CZ383" s="75"/>
      <c r="DA383" s="75"/>
      <c r="DB383" s="74"/>
    </row>
    <row r="384" spans="95:106">
      <c r="CQ384" s="74"/>
      <c r="CR384" s="74"/>
      <c r="CS384" s="74"/>
      <c r="CT384" s="74"/>
      <c r="CU384" s="74"/>
      <c r="CV384" s="74"/>
      <c r="CW384" s="75"/>
      <c r="CX384" s="75"/>
      <c r="CY384" s="74"/>
      <c r="CZ384" s="75"/>
      <c r="DA384" s="75"/>
      <c r="DB384" s="74"/>
    </row>
    <row r="385" spans="95:106">
      <c r="CQ385" s="74"/>
      <c r="CR385" s="74"/>
      <c r="CS385" s="74"/>
      <c r="CT385" s="74"/>
      <c r="CU385" s="74"/>
      <c r="CV385" s="74"/>
      <c r="CW385" s="75"/>
      <c r="CX385" s="75"/>
      <c r="CY385" s="74"/>
      <c r="CZ385" s="75"/>
      <c r="DA385" s="75"/>
      <c r="DB385" s="74"/>
    </row>
    <row r="386" spans="95:106">
      <c r="CQ386" s="74"/>
      <c r="CR386" s="74"/>
      <c r="CS386" s="74"/>
      <c r="CT386" s="74"/>
      <c r="CU386" s="74"/>
      <c r="CV386" s="74"/>
      <c r="CW386" s="75"/>
      <c r="CX386" s="75"/>
      <c r="CY386" s="74"/>
      <c r="CZ386" s="75"/>
      <c r="DA386" s="75"/>
      <c r="DB386" s="74"/>
    </row>
    <row r="387" spans="95:106">
      <c r="CQ387" s="74"/>
      <c r="CR387" s="74"/>
      <c r="CS387" s="74"/>
      <c r="CT387" s="74"/>
      <c r="CU387" s="74"/>
      <c r="CV387" s="74"/>
      <c r="CW387" s="75"/>
      <c r="CX387" s="75"/>
      <c r="CY387" s="74"/>
      <c r="CZ387" s="75"/>
      <c r="DA387" s="75"/>
      <c r="DB387" s="74"/>
    </row>
    <row r="388" spans="95:106">
      <c r="CQ388" s="74"/>
      <c r="CR388" s="74"/>
      <c r="CS388" s="74"/>
      <c r="CT388" s="74"/>
      <c r="CU388" s="74"/>
      <c r="CV388" s="74"/>
      <c r="CW388" s="75"/>
      <c r="CX388" s="75"/>
      <c r="CY388" s="74"/>
      <c r="CZ388" s="75"/>
      <c r="DA388" s="75"/>
      <c r="DB388" s="74"/>
    </row>
    <row r="389" spans="95:106">
      <c r="CQ389" s="74"/>
      <c r="CR389" s="74"/>
      <c r="CS389" s="74"/>
      <c r="CT389" s="74"/>
      <c r="CU389" s="74"/>
      <c r="CV389" s="74"/>
      <c r="CW389" s="75"/>
      <c r="CX389" s="75"/>
      <c r="CY389" s="74"/>
      <c r="CZ389" s="75"/>
      <c r="DA389" s="75"/>
      <c r="DB389" s="74"/>
    </row>
    <row r="390" spans="95:106">
      <c r="CQ390" s="74"/>
      <c r="CR390" s="74"/>
      <c r="CS390" s="74"/>
      <c r="CT390" s="74"/>
      <c r="CU390" s="74"/>
      <c r="CV390" s="74"/>
      <c r="CW390" s="75"/>
      <c r="CX390" s="75"/>
      <c r="CY390" s="74"/>
      <c r="CZ390" s="75"/>
      <c r="DA390" s="75"/>
      <c r="DB390" s="74"/>
    </row>
    <row r="391" spans="95:106">
      <c r="CQ391" s="74"/>
      <c r="CR391" s="74"/>
      <c r="CS391" s="74"/>
      <c r="CT391" s="74"/>
      <c r="CU391" s="74"/>
      <c r="CV391" s="74"/>
      <c r="CW391" s="75"/>
      <c r="CX391" s="75"/>
      <c r="CY391" s="74"/>
      <c r="CZ391" s="75"/>
      <c r="DA391" s="75"/>
      <c r="DB391" s="74"/>
    </row>
    <row r="392" spans="95:106">
      <c r="CQ392" s="74"/>
      <c r="CR392" s="74"/>
      <c r="CS392" s="74"/>
      <c r="CT392" s="74"/>
      <c r="CU392" s="74"/>
      <c r="CV392" s="74"/>
      <c r="CW392" s="75"/>
      <c r="CX392" s="75"/>
      <c r="CY392" s="74"/>
      <c r="CZ392" s="75"/>
      <c r="DA392" s="75"/>
      <c r="DB392" s="74"/>
    </row>
    <row r="393" spans="95:106">
      <c r="CQ393" s="74"/>
      <c r="CR393" s="74"/>
      <c r="CS393" s="74"/>
      <c r="CT393" s="74"/>
      <c r="CU393" s="74"/>
      <c r="CV393" s="74"/>
      <c r="CW393" s="75"/>
      <c r="CX393" s="75"/>
      <c r="CY393" s="74"/>
      <c r="CZ393" s="75"/>
      <c r="DA393" s="75"/>
      <c r="DB393" s="74"/>
    </row>
    <row r="394" spans="95:106">
      <c r="CQ394" s="74"/>
      <c r="CR394" s="74"/>
      <c r="CS394" s="74"/>
      <c r="CT394" s="74"/>
      <c r="CU394" s="74"/>
      <c r="CV394" s="74"/>
      <c r="CW394" s="75"/>
      <c r="CX394" s="75"/>
      <c r="CY394" s="74"/>
      <c r="CZ394" s="75"/>
      <c r="DA394" s="75"/>
      <c r="DB394" s="74"/>
    </row>
    <row r="395" spans="95:106">
      <c r="CQ395" s="74"/>
      <c r="CR395" s="74"/>
      <c r="CS395" s="74"/>
      <c r="CT395" s="74"/>
      <c r="CU395" s="74"/>
      <c r="CV395" s="74"/>
      <c r="CW395" s="75"/>
      <c r="CX395" s="75"/>
      <c r="CY395" s="74"/>
      <c r="CZ395" s="75"/>
      <c r="DA395" s="75"/>
      <c r="DB395" s="74"/>
    </row>
    <row r="396" spans="95:106">
      <c r="CQ396" s="74"/>
      <c r="CR396" s="74"/>
      <c r="CS396" s="74"/>
      <c r="CT396" s="74"/>
      <c r="CU396" s="74"/>
      <c r="CV396" s="74"/>
      <c r="CW396" s="75"/>
      <c r="CX396" s="75"/>
      <c r="CY396" s="74"/>
      <c r="CZ396" s="75"/>
      <c r="DA396" s="75"/>
      <c r="DB396" s="74"/>
    </row>
    <row r="397" spans="95:106">
      <c r="CQ397" s="74"/>
      <c r="CR397" s="74"/>
      <c r="CS397" s="74"/>
      <c r="CT397" s="74"/>
      <c r="CU397" s="74"/>
      <c r="CV397" s="74"/>
      <c r="CW397" s="75"/>
      <c r="CX397" s="75"/>
      <c r="CY397" s="74"/>
      <c r="CZ397" s="75"/>
      <c r="DA397" s="75"/>
      <c r="DB397" s="74"/>
    </row>
    <row r="398" spans="95:106">
      <c r="CQ398" s="74"/>
      <c r="CR398" s="74"/>
      <c r="CS398" s="74"/>
      <c r="CT398" s="74"/>
      <c r="CU398" s="74"/>
      <c r="CV398" s="74"/>
      <c r="CW398" s="75"/>
      <c r="CX398" s="75"/>
      <c r="CY398" s="74"/>
      <c r="CZ398" s="75"/>
      <c r="DA398" s="75"/>
      <c r="DB398" s="74"/>
    </row>
    <row r="399" spans="95:106">
      <c r="CQ399" s="74"/>
      <c r="CR399" s="74"/>
      <c r="CS399" s="74"/>
      <c r="CT399" s="74"/>
      <c r="CU399" s="74"/>
      <c r="CV399" s="74"/>
      <c r="CW399" s="75"/>
      <c r="CX399" s="75"/>
      <c r="CY399" s="74"/>
      <c r="CZ399" s="75"/>
      <c r="DA399" s="75"/>
      <c r="DB399" s="74"/>
    </row>
    <row r="400" spans="95:106">
      <c r="CQ400" s="74"/>
      <c r="CR400" s="74"/>
      <c r="CS400" s="74"/>
      <c r="CT400" s="74"/>
      <c r="CU400" s="74"/>
      <c r="CV400" s="74"/>
      <c r="CW400" s="75"/>
      <c r="CX400" s="75"/>
      <c r="CY400" s="74"/>
      <c r="CZ400" s="75"/>
      <c r="DA400" s="75"/>
      <c r="DB400" s="74"/>
    </row>
    <row r="401" spans="95:106">
      <c r="CQ401" s="74"/>
      <c r="CR401" s="74"/>
      <c r="CS401" s="74"/>
      <c r="CT401" s="74"/>
      <c r="CU401" s="74"/>
      <c r="CV401" s="74"/>
      <c r="CW401" s="75"/>
      <c r="CX401" s="75"/>
      <c r="CY401" s="74"/>
      <c r="CZ401" s="75"/>
      <c r="DA401" s="75"/>
      <c r="DB401" s="74"/>
    </row>
    <row r="402" spans="95:106">
      <c r="CQ402" s="52"/>
      <c r="CR402" s="52"/>
      <c r="CS402" s="52"/>
      <c r="CT402" s="52"/>
      <c r="CU402" s="52"/>
      <c r="CV402" s="52"/>
      <c r="CW402" s="52"/>
      <c r="CX402" s="52"/>
      <c r="CY402" s="52"/>
      <c r="CZ402" s="52"/>
      <c r="DA402" s="52"/>
      <c r="DB402" s="52"/>
    </row>
    <row r="403" spans="95:106">
      <c r="CQ403" s="52"/>
      <c r="CR403" s="52"/>
      <c r="CS403" s="52"/>
      <c r="CT403" s="52"/>
      <c r="CU403" s="52"/>
      <c r="CV403" s="52"/>
      <c r="CW403" s="52"/>
      <c r="CX403" s="52"/>
      <c r="CY403" s="52"/>
      <c r="CZ403" s="52"/>
      <c r="DA403" s="52"/>
      <c r="DB403" s="52"/>
    </row>
    <row r="404" spans="95:106">
      <c r="CQ404" s="52"/>
      <c r="CR404" s="52"/>
      <c r="CS404" s="52"/>
      <c r="CT404" s="52"/>
      <c r="CU404" s="52"/>
      <c r="CV404" s="52"/>
      <c r="CW404" s="52"/>
      <c r="CX404" s="52"/>
      <c r="CY404" s="52"/>
      <c r="CZ404" s="52"/>
      <c r="DA404" s="52"/>
      <c r="DB404" s="52"/>
    </row>
    <row r="405" spans="95:106">
      <c r="CQ405" s="52"/>
      <c r="CR405" s="52"/>
      <c r="CS405" s="52"/>
      <c r="CT405" s="52"/>
      <c r="CU405" s="52"/>
      <c r="CV405" s="52"/>
      <c r="CW405" s="52"/>
      <c r="CX405" s="52"/>
      <c r="CY405" s="52"/>
      <c r="CZ405" s="52"/>
      <c r="DA405" s="52"/>
      <c r="DB405" s="52"/>
    </row>
    <row r="406" spans="95:106">
      <c r="CQ406" s="52"/>
      <c r="CR406" s="52"/>
      <c r="CS406" s="52"/>
      <c r="CT406" s="52"/>
      <c r="CU406" s="52"/>
      <c r="CV406" s="52"/>
      <c r="CW406" s="52"/>
      <c r="CX406" s="52"/>
      <c r="CY406" s="52"/>
      <c r="CZ406" s="52"/>
      <c r="DA406" s="52"/>
      <c r="DB406" s="52"/>
    </row>
    <row r="407" spans="95:106">
      <c r="CQ407" s="52"/>
      <c r="CR407" s="52"/>
      <c r="CS407" s="52"/>
      <c r="CT407" s="52"/>
      <c r="CU407" s="52"/>
      <c r="CV407" s="52"/>
      <c r="CW407" s="52"/>
      <c r="CX407" s="52"/>
      <c r="CY407" s="52"/>
      <c r="CZ407" s="52"/>
      <c r="DA407" s="52"/>
      <c r="DB407" s="52"/>
    </row>
    <row r="408" spans="95:106">
      <c r="CQ408" s="52"/>
      <c r="CR408" s="52"/>
      <c r="CS408" s="52"/>
      <c r="CT408" s="52"/>
      <c r="CU408" s="52"/>
      <c r="CV408" s="52"/>
      <c r="CW408" s="52"/>
      <c r="CX408" s="52"/>
      <c r="CY408" s="52"/>
      <c r="CZ408" s="52"/>
      <c r="DA408" s="52"/>
      <c r="DB408" s="52"/>
    </row>
    <row r="409" spans="95:106">
      <c r="CQ409" s="52"/>
      <c r="CR409" s="52"/>
      <c r="CS409" s="52"/>
      <c r="CT409" s="52"/>
      <c r="CU409" s="52"/>
      <c r="CV409" s="52"/>
      <c r="CW409" s="52"/>
      <c r="CX409" s="52"/>
      <c r="CY409" s="52"/>
      <c r="CZ409" s="52"/>
      <c r="DA409" s="52"/>
      <c r="DB409" s="52"/>
    </row>
    <row r="410" spans="95:106">
      <c r="CQ410" s="52"/>
      <c r="CR410" s="52"/>
      <c r="CS410" s="52"/>
      <c r="CT410" s="52"/>
      <c r="CU410" s="52"/>
      <c r="CV410" s="52"/>
      <c r="CW410" s="52"/>
      <c r="CX410" s="52"/>
      <c r="CY410" s="52"/>
      <c r="CZ410" s="52"/>
      <c r="DA410" s="52"/>
      <c r="DB410" s="52"/>
    </row>
    <row r="411" spans="95:106">
      <c r="CQ411" s="52"/>
      <c r="CR411" s="52"/>
      <c r="CS411" s="52"/>
      <c r="CT411" s="52"/>
      <c r="CU411" s="52"/>
      <c r="CV411" s="52"/>
      <c r="CW411" s="52"/>
      <c r="CX411" s="52"/>
      <c r="CY411" s="52"/>
      <c r="CZ411" s="52"/>
      <c r="DA411" s="52"/>
      <c r="DB411" s="52"/>
    </row>
    <row r="412" spans="95:106">
      <c r="CQ412" s="52"/>
      <c r="CR412" s="52"/>
      <c r="CS412" s="52"/>
      <c r="CT412" s="52"/>
      <c r="CU412" s="52"/>
      <c r="CV412" s="52"/>
      <c r="CW412" s="52"/>
      <c r="CX412" s="52"/>
      <c r="CY412" s="52"/>
      <c r="CZ412" s="52"/>
      <c r="DA412" s="52"/>
      <c r="DB412" s="52"/>
    </row>
    <row r="413" spans="95:106">
      <c r="CQ413" s="52"/>
      <c r="CR413" s="52"/>
      <c r="CS413" s="52"/>
      <c r="CT413" s="52"/>
      <c r="CU413" s="52"/>
      <c r="CV413" s="52"/>
      <c r="CW413" s="52"/>
      <c r="CX413" s="52"/>
      <c r="CY413" s="52"/>
      <c r="CZ413" s="52"/>
      <c r="DA413" s="52"/>
      <c r="DB413" s="52"/>
    </row>
    <row r="414" spans="95:106">
      <c r="CQ414" s="52"/>
      <c r="CR414" s="52"/>
      <c r="CS414" s="52"/>
      <c r="CT414" s="52"/>
      <c r="CU414" s="52"/>
      <c r="CV414" s="52"/>
      <c r="CW414" s="52"/>
      <c r="CX414" s="52"/>
      <c r="CY414" s="52"/>
      <c r="CZ414" s="52"/>
      <c r="DA414" s="52"/>
      <c r="DB414" s="52"/>
    </row>
    <row r="415" spans="95:106">
      <c r="CQ415" s="52"/>
      <c r="CR415" s="52"/>
      <c r="CS415" s="52"/>
      <c r="CT415" s="52"/>
      <c r="CU415" s="52"/>
      <c r="CV415" s="52"/>
      <c r="CW415" s="52"/>
      <c r="CX415" s="52"/>
      <c r="CY415" s="52"/>
      <c r="CZ415" s="52"/>
      <c r="DA415" s="52"/>
      <c r="DB415" s="52"/>
    </row>
    <row r="416" spans="95:106">
      <c r="CQ416" s="52"/>
      <c r="CR416" s="52"/>
      <c r="CS416" s="52"/>
      <c r="CT416" s="52"/>
      <c r="CU416" s="52"/>
      <c r="CV416" s="52"/>
      <c r="CW416" s="52"/>
      <c r="CX416" s="52"/>
      <c r="CY416" s="52"/>
      <c r="CZ416" s="52"/>
      <c r="DA416" s="52"/>
      <c r="DB416" s="52"/>
    </row>
    <row r="417" spans="95:106">
      <c r="CQ417" s="52"/>
      <c r="CR417" s="52"/>
      <c r="CS417" s="52"/>
      <c r="CT417" s="52"/>
      <c r="CU417" s="52"/>
      <c r="CV417" s="52"/>
      <c r="CW417" s="52"/>
      <c r="CX417" s="52"/>
      <c r="CY417" s="52"/>
      <c r="CZ417" s="52"/>
      <c r="DA417" s="52"/>
      <c r="DB417" s="52"/>
    </row>
    <row r="418" spans="95:106">
      <c r="CQ418" s="52"/>
      <c r="CR418" s="52"/>
      <c r="CS418" s="52"/>
      <c r="CT418" s="52"/>
      <c r="CU418" s="52"/>
      <c r="CV418" s="52"/>
      <c r="CW418" s="52"/>
      <c r="CX418" s="52"/>
      <c r="CY418" s="52"/>
      <c r="CZ418" s="52"/>
      <c r="DA418" s="52"/>
      <c r="DB418" s="52"/>
    </row>
    <row r="419" spans="95:106">
      <c r="CQ419" s="52"/>
      <c r="CR419" s="52"/>
      <c r="CS419" s="52"/>
      <c r="CT419" s="52"/>
      <c r="CU419" s="52"/>
      <c r="CV419" s="52"/>
      <c r="CW419" s="52"/>
      <c r="CX419" s="52"/>
      <c r="CY419" s="52"/>
      <c r="CZ419" s="52"/>
      <c r="DA419" s="52"/>
      <c r="DB419" s="52"/>
    </row>
    <row r="420" spans="95:106">
      <c r="CQ420" s="52"/>
      <c r="CR420" s="52"/>
      <c r="CS420" s="52"/>
      <c r="CT420" s="52"/>
      <c r="CU420" s="52"/>
      <c r="CV420" s="52"/>
      <c r="CW420" s="52"/>
      <c r="CX420" s="52"/>
      <c r="CY420" s="52"/>
      <c r="CZ420" s="52"/>
      <c r="DA420" s="52"/>
      <c r="DB420" s="52"/>
    </row>
    <row r="421" spans="95:106">
      <c r="CQ421" s="52"/>
      <c r="CR421" s="52"/>
      <c r="CS421" s="52"/>
      <c r="CT421" s="52"/>
      <c r="CU421" s="52"/>
      <c r="CV421" s="52"/>
      <c r="CW421" s="52"/>
      <c r="CX421" s="52"/>
      <c r="CY421" s="52"/>
      <c r="CZ421" s="52"/>
      <c r="DA421" s="52"/>
      <c r="DB421" s="52"/>
    </row>
    <row r="422" spans="95:106">
      <c r="CQ422" s="52"/>
      <c r="CR422" s="52"/>
      <c r="CS422" s="52"/>
      <c r="CT422" s="52"/>
      <c r="CU422" s="52"/>
      <c r="CV422" s="52"/>
      <c r="CW422" s="52"/>
      <c r="CX422" s="52"/>
      <c r="CY422" s="52"/>
      <c r="CZ422" s="52"/>
      <c r="DA422" s="52"/>
      <c r="DB422" s="52"/>
    </row>
    <row r="423" spans="95:106">
      <c r="CQ423" s="52"/>
      <c r="CR423" s="52"/>
      <c r="CS423" s="52"/>
      <c r="CT423" s="52"/>
      <c r="CU423" s="52"/>
      <c r="CV423" s="52"/>
      <c r="CW423" s="52"/>
      <c r="CX423" s="52"/>
      <c r="CY423" s="52"/>
      <c r="CZ423" s="52"/>
      <c r="DA423" s="52"/>
      <c r="DB423" s="52"/>
    </row>
    <row r="424" spans="95:106">
      <c r="CQ424" s="52"/>
      <c r="CR424" s="52"/>
      <c r="CS424" s="52"/>
      <c r="CT424" s="52"/>
      <c r="CU424" s="52"/>
      <c r="CV424" s="52"/>
      <c r="CW424" s="52"/>
      <c r="CX424" s="52"/>
      <c r="CY424" s="52"/>
      <c r="CZ424" s="52"/>
      <c r="DA424" s="52"/>
      <c r="DB424" s="52"/>
    </row>
    <row r="425" spans="95:106">
      <c r="CQ425" s="52"/>
      <c r="CR425" s="52"/>
      <c r="CS425" s="52"/>
      <c r="CT425" s="52"/>
      <c r="CU425" s="52"/>
      <c r="CV425" s="52"/>
      <c r="CW425" s="52"/>
      <c r="CX425" s="52"/>
      <c r="CY425" s="52"/>
      <c r="CZ425" s="52"/>
      <c r="DA425" s="52"/>
      <c r="DB425" s="52"/>
    </row>
    <row r="426" spans="95:106">
      <c r="CQ426" s="52"/>
      <c r="CR426" s="52"/>
      <c r="CS426" s="52"/>
      <c r="CT426" s="52"/>
      <c r="CU426" s="52"/>
      <c r="CV426" s="52"/>
      <c r="CW426" s="52"/>
      <c r="CX426" s="52"/>
      <c r="CY426" s="52"/>
      <c r="CZ426" s="52"/>
      <c r="DA426" s="52"/>
      <c r="DB426" s="52"/>
    </row>
    <row r="427" spans="95:106">
      <c r="CQ427" s="52"/>
      <c r="CR427" s="52"/>
      <c r="CS427" s="52"/>
      <c r="CT427" s="52"/>
      <c r="CU427" s="52"/>
      <c r="CV427" s="52"/>
      <c r="CW427" s="52"/>
      <c r="CX427" s="52"/>
      <c r="CY427" s="52"/>
      <c r="CZ427" s="52"/>
      <c r="DA427" s="52"/>
      <c r="DB427" s="52"/>
    </row>
    <row r="428" spans="95:106">
      <c r="CQ428" s="52"/>
      <c r="CR428" s="52"/>
      <c r="CS428" s="52"/>
      <c r="CT428" s="52"/>
      <c r="CU428" s="52"/>
      <c r="CV428" s="52"/>
      <c r="CW428" s="52"/>
      <c r="CX428" s="52"/>
      <c r="CY428" s="52"/>
      <c r="CZ428" s="52"/>
      <c r="DA428" s="52"/>
      <c r="DB428" s="52"/>
    </row>
    <row r="429" spans="95:106">
      <c r="CQ429" s="52"/>
      <c r="CR429" s="52"/>
      <c r="CS429" s="52"/>
      <c r="CT429" s="52"/>
      <c r="CU429" s="52"/>
      <c r="CV429" s="52"/>
      <c r="CW429" s="52"/>
      <c r="CX429" s="52"/>
      <c r="CY429" s="52"/>
      <c r="CZ429" s="52"/>
      <c r="DA429" s="52"/>
      <c r="DB429" s="52"/>
    </row>
    <row r="430" spans="95:106">
      <c r="CQ430" s="52"/>
      <c r="CR430" s="52"/>
      <c r="CS430" s="52"/>
      <c r="CT430" s="52"/>
      <c r="CU430" s="52"/>
      <c r="CV430" s="52"/>
      <c r="CW430" s="52"/>
      <c r="CX430" s="52"/>
      <c r="CY430" s="52"/>
      <c r="CZ430" s="52"/>
      <c r="DA430" s="52"/>
      <c r="DB430" s="52"/>
    </row>
    <row r="431" spans="95:106">
      <c r="CQ431" s="52"/>
      <c r="CR431" s="52"/>
      <c r="CS431" s="52"/>
      <c r="CT431" s="52"/>
      <c r="CU431" s="52"/>
      <c r="CV431" s="52"/>
      <c r="CW431" s="52"/>
      <c r="CX431" s="52"/>
      <c r="CY431" s="52"/>
      <c r="CZ431" s="52"/>
      <c r="DA431" s="52"/>
      <c r="DB431" s="52"/>
    </row>
    <row r="432" spans="95:106">
      <c r="CQ432" s="52"/>
      <c r="CR432" s="52"/>
      <c r="CS432" s="52"/>
      <c r="CT432" s="52"/>
      <c r="CU432" s="52"/>
      <c r="CV432" s="52"/>
      <c r="CW432" s="52"/>
      <c r="CX432" s="52"/>
      <c r="CY432" s="52"/>
      <c r="CZ432" s="52"/>
      <c r="DA432" s="52"/>
      <c r="DB432" s="52"/>
    </row>
    <row r="433" spans="95:106">
      <c r="CQ433" s="52"/>
      <c r="CR433" s="52"/>
      <c r="CS433" s="52"/>
      <c r="CT433" s="52"/>
      <c r="CU433" s="52"/>
      <c r="CV433" s="52"/>
      <c r="CW433" s="52"/>
      <c r="CX433" s="52"/>
      <c r="CY433" s="52"/>
      <c r="CZ433" s="52"/>
      <c r="DA433" s="52"/>
      <c r="DB433" s="52"/>
    </row>
    <row r="434" spans="95:106">
      <c r="CQ434" s="52"/>
      <c r="CR434" s="52"/>
      <c r="CS434" s="52"/>
      <c r="CT434" s="52"/>
      <c r="CU434" s="52"/>
      <c r="CV434" s="52"/>
      <c r="CW434" s="52"/>
      <c r="CX434" s="52"/>
      <c r="CY434" s="52"/>
      <c r="CZ434" s="52"/>
      <c r="DA434" s="52"/>
      <c r="DB434" s="52"/>
    </row>
    <row r="435" spans="95:106">
      <c r="CQ435" s="52"/>
      <c r="CR435" s="52"/>
      <c r="CS435" s="52"/>
      <c r="CT435" s="52"/>
      <c r="CU435" s="52"/>
      <c r="CV435" s="52"/>
      <c r="CW435" s="52"/>
      <c r="CX435" s="52"/>
      <c r="CY435" s="52"/>
      <c r="CZ435" s="52"/>
      <c r="DA435" s="52"/>
      <c r="DB435" s="52"/>
    </row>
    <row r="436" spans="95:106">
      <c r="CQ436" s="52"/>
      <c r="CR436" s="52"/>
      <c r="CS436" s="52"/>
      <c r="CT436" s="52"/>
      <c r="CU436" s="52"/>
      <c r="CV436" s="52"/>
      <c r="CW436" s="52"/>
      <c r="CX436" s="52"/>
      <c r="CY436" s="52"/>
      <c r="CZ436" s="52"/>
      <c r="DA436" s="52"/>
      <c r="DB436" s="52"/>
    </row>
    <row r="437" spans="95:106">
      <c r="CQ437" s="52"/>
      <c r="CR437" s="52"/>
      <c r="CS437" s="52"/>
      <c r="CT437" s="52"/>
      <c r="CU437" s="52"/>
      <c r="CV437" s="52"/>
      <c r="CW437" s="52"/>
      <c r="CX437" s="52"/>
      <c r="CY437" s="52"/>
      <c r="CZ437" s="52"/>
      <c r="DA437" s="52"/>
      <c r="DB437" s="52"/>
    </row>
    <row r="438" spans="95:106">
      <c r="CQ438" s="52"/>
      <c r="CR438" s="52"/>
      <c r="CS438" s="52"/>
      <c r="CT438" s="52"/>
      <c r="CU438" s="52"/>
      <c r="CV438" s="52"/>
      <c r="CW438" s="52"/>
      <c r="CX438" s="52"/>
      <c r="CY438" s="52"/>
      <c r="CZ438" s="52"/>
      <c r="DA438" s="52"/>
      <c r="DB438" s="52"/>
    </row>
    <row r="439" spans="95:106">
      <c r="CQ439" s="52"/>
      <c r="CR439" s="52"/>
      <c r="CS439" s="52"/>
      <c r="CT439" s="52"/>
      <c r="CU439" s="52"/>
      <c r="CV439" s="52"/>
      <c r="CW439" s="52"/>
      <c r="CX439" s="52"/>
      <c r="CY439" s="52"/>
      <c r="CZ439" s="52"/>
      <c r="DA439" s="52"/>
      <c r="DB439" s="52"/>
    </row>
    <row r="440" spans="95:106">
      <c r="CQ440" s="52"/>
      <c r="CR440" s="52"/>
      <c r="CS440" s="52"/>
      <c r="CT440" s="52"/>
      <c r="CU440" s="52"/>
      <c r="CV440" s="52"/>
      <c r="CW440" s="52"/>
      <c r="CX440" s="52"/>
      <c r="CY440" s="52"/>
      <c r="CZ440" s="52"/>
      <c r="DA440" s="52"/>
      <c r="DB440" s="52"/>
    </row>
    <row r="441" spans="95:106">
      <c r="CQ441" s="52"/>
      <c r="CR441" s="52"/>
      <c r="CS441" s="52"/>
      <c r="CT441" s="52"/>
      <c r="CU441" s="52"/>
      <c r="CV441" s="52"/>
      <c r="CW441" s="52"/>
      <c r="CX441" s="52"/>
      <c r="CY441" s="52"/>
      <c r="CZ441" s="52"/>
      <c r="DA441" s="52"/>
      <c r="DB441" s="52"/>
    </row>
    <row r="442" spans="95:106">
      <c r="CQ442" s="52"/>
      <c r="CR442" s="52"/>
      <c r="CS442" s="52"/>
      <c r="CT442" s="52"/>
      <c r="CU442" s="52"/>
      <c r="CV442" s="52"/>
      <c r="CW442" s="52"/>
      <c r="CX442" s="52"/>
      <c r="CY442" s="52"/>
      <c r="CZ442" s="52"/>
      <c r="DA442" s="52"/>
      <c r="DB442" s="52"/>
    </row>
    <row r="443" spans="95:106">
      <c r="CQ443" s="52"/>
      <c r="CR443" s="52"/>
      <c r="CS443" s="52"/>
      <c r="CT443" s="52"/>
      <c r="CU443" s="52"/>
      <c r="CV443" s="52"/>
      <c r="CW443" s="52"/>
      <c r="CX443" s="52"/>
      <c r="CY443" s="52"/>
      <c r="CZ443" s="52"/>
      <c r="DA443" s="52"/>
      <c r="DB443" s="52"/>
    </row>
    <row r="444" spans="95:106">
      <c r="CQ444" s="52"/>
      <c r="CR444" s="52"/>
      <c r="CS444" s="52"/>
      <c r="CT444" s="52"/>
      <c r="CU444" s="52"/>
      <c r="CV444" s="52"/>
      <c r="CW444" s="52"/>
      <c r="CX444" s="52"/>
      <c r="CY444" s="52"/>
      <c r="CZ444" s="52"/>
      <c r="DA444" s="52"/>
      <c r="DB444" s="52"/>
    </row>
    <row r="445" spans="95:106">
      <c r="CQ445" s="52"/>
      <c r="CR445" s="52"/>
      <c r="CS445" s="52"/>
      <c r="CT445" s="52"/>
      <c r="CU445" s="52"/>
      <c r="CV445" s="52"/>
      <c r="CW445" s="52"/>
      <c r="CX445" s="52"/>
      <c r="CY445" s="52"/>
      <c r="CZ445" s="52"/>
      <c r="DA445" s="52"/>
      <c r="DB445" s="52"/>
    </row>
    <row r="446" spans="95:106">
      <c r="CQ446" s="52"/>
      <c r="CR446" s="52"/>
      <c r="CS446" s="52"/>
      <c r="CT446" s="52"/>
      <c r="CU446" s="52"/>
      <c r="CV446" s="52"/>
      <c r="CW446" s="52"/>
      <c r="CX446" s="52"/>
      <c r="CY446" s="52"/>
      <c r="CZ446" s="52"/>
      <c r="DA446" s="52"/>
      <c r="DB446" s="52"/>
    </row>
    <row r="447" spans="95:106">
      <c r="CQ447" s="52"/>
      <c r="CR447" s="52"/>
      <c r="CS447" s="52"/>
      <c r="CT447" s="52"/>
      <c r="CU447" s="52"/>
      <c r="CV447" s="52"/>
      <c r="CW447" s="52"/>
      <c r="CX447" s="52"/>
      <c r="CY447" s="52"/>
      <c r="CZ447" s="52"/>
      <c r="DA447" s="52"/>
      <c r="DB447" s="52"/>
    </row>
    <row r="448" spans="95:106">
      <c r="CQ448" s="52"/>
      <c r="CR448" s="52"/>
      <c r="CS448" s="52"/>
      <c r="CT448" s="52"/>
      <c r="CU448" s="52"/>
      <c r="CV448" s="52"/>
      <c r="CW448" s="52"/>
      <c r="CX448" s="52"/>
      <c r="CY448" s="52"/>
      <c r="CZ448" s="52"/>
      <c r="DA448" s="52"/>
      <c r="DB448" s="52"/>
    </row>
    <row r="449" spans="95:106">
      <c r="CQ449" s="52"/>
      <c r="CR449" s="52"/>
      <c r="CS449" s="52"/>
      <c r="CT449" s="52"/>
      <c r="CU449" s="52"/>
      <c r="CV449" s="52"/>
      <c r="CW449" s="52"/>
      <c r="CX449" s="52"/>
      <c r="CY449" s="52"/>
      <c r="CZ449" s="52"/>
      <c r="DA449" s="52"/>
      <c r="DB449" s="52"/>
    </row>
    <row r="450" spans="95:106">
      <c r="CQ450" s="52"/>
      <c r="CR450" s="52"/>
      <c r="CS450" s="52"/>
      <c r="CT450" s="52"/>
      <c r="CU450" s="52"/>
      <c r="CV450" s="52"/>
      <c r="CW450" s="52"/>
      <c r="CX450" s="52"/>
      <c r="CY450" s="52"/>
      <c r="CZ450" s="52"/>
      <c r="DA450" s="52"/>
      <c r="DB450" s="52"/>
    </row>
    <row r="451" spans="95:106">
      <c r="CQ451" s="52"/>
      <c r="CR451" s="52"/>
      <c r="CS451" s="52"/>
      <c r="CT451" s="52"/>
      <c r="CU451" s="52"/>
      <c r="CV451" s="52"/>
      <c r="CW451" s="52"/>
      <c r="CX451" s="52"/>
      <c r="CY451" s="52"/>
      <c r="CZ451" s="52"/>
      <c r="DA451" s="52"/>
      <c r="DB451" s="52"/>
    </row>
    <row r="452" spans="95:106">
      <c r="CQ452" s="52"/>
      <c r="CR452" s="52"/>
      <c r="CS452" s="52"/>
      <c r="CT452" s="52"/>
      <c r="CU452" s="52"/>
      <c r="CV452" s="52"/>
      <c r="CW452" s="52"/>
      <c r="CX452" s="52"/>
      <c r="CY452" s="52"/>
      <c r="CZ452" s="52"/>
      <c r="DA452" s="52"/>
      <c r="DB452" s="52"/>
    </row>
    <row r="453" spans="95:106">
      <c r="CQ453" s="52"/>
      <c r="CR453" s="52"/>
      <c r="CS453" s="52"/>
      <c r="CT453" s="52"/>
      <c r="CU453" s="52"/>
      <c r="CV453" s="52"/>
      <c r="CW453" s="52"/>
      <c r="CX453" s="52"/>
      <c r="CY453" s="52"/>
      <c r="CZ453" s="52"/>
      <c r="DA453" s="52"/>
      <c r="DB453" s="52"/>
    </row>
    <row r="454" spans="95:106">
      <c r="CQ454" s="52"/>
      <c r="CR454" s="52"/>
      <c r="CS454" s="52"/>
      <c r="CT454" s="52"/>
      <c r="CU454" s="52"/>
      <c r="CV454" s="52"/>
      <c r="CW454" s="52"/>
      <c r="CX454" s="52"/>
      <c r="CY454" s="52"/>
      <c r="CZ454" s="52"/>
      <c r="DA454" s="52"/>
      <c r="DB454" s="52"/>
    </row>
    <row r="455" spans="95:106">
      <c r="CQ455" s="52"/>
      <c r="CR455" s="52"/>
      <c r="CS455" s="52"/>
      <c r="CT455" s="52"/>
      <c r="CU455" s="52"/>
      <c r="CV455" s="52"/>
      <c r="CW455" s="52"/>
      <c r="CX455" s="52"/>
      <c r="CY455" s="52"/>
      <c r="CZ455" s="52"/>
      <c r="DA455" s="52"/>
      <c r="DB455" s="52"/>
    </row>
  </sheetData>
  <mergeCells count="7">
    <mergeCell ref="CQ2:CV2"/>
    <mergeCell ref="CW2:DB2"/>
    <mergeCell ref="AF2:AI2"/>
    <mergeCell ref="AU2:AX2"/>
    <mergeCell ref="BQ2:BT2"/>
    <mergeCell ref="CD2:CI2"/>
    <mergeCell ref="CJ2:CO2"/>
  </mergeCells>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dimension ref="A1:I35"/>
  <sheetViews>
    <sheetView workbookViewId="0"/>
  </sheetViews>
  <sheetFormatPr defaultColWidth="17.140625" defaultRowHeight="15"/>
  <sheetData>
    <row r="1" spans="1:9">
      <c r="A1" t="s">
        <v>918</v>
      </c>
    </row>
    <row r="2" spans="1:9">
      <c r="A2" t="s">
        <v>4</v>
      </c>
      <c r="B2" t="s">
        <v>754</v>
      </c>
      <c r="C2" t="s">
        <v>755</v>
      </c>
      <c r="D2" t="s">
        <v>756</v>
      </c>
      <c r="E2" t="s">
        <v>757</v>
      </c>
      <c r="F2" t="s">
        <v>116</v>
      </c>
      <c r="G2" t="s">
        <v>117</v>
      </c>
      <c r="H2" t="s">
        <v>118</v>
      </c>
      <c r="I2" t="s">
        <v>119</v>
      </c>
    </row>
    <row r="3" spans="1:9">
      <c r="A3" t="s">
        <v>4</v>
      </c>
      <c r="B3" t="s">
        <v>124</v>
      </c>
      <c r="C3" t="s">
        <v>124</v>
      </c>
      <c r="D3" t="s">
        <v>124</v>
      </c>
      <c r="E3" t="s">
        <v>124</v>
      </c>
      <c r="F3" t="s">
        <v>130</v>
      </c>
      <c r="G3" t="s">
        <v>130</v>
      </c>
      <c r="H3" t="s">
        <v>130</v>
      </c>
      <c r="I3" t="s">
        <v>130</v>
      </c>
    </row>
    <row r="4" spans="1:9">
      <c r="B4" t="s">
        <v>1</v>
      </c>
      <c r="C4" t="s">
        <v>1</v>
      </c>
      <c r="D4" t="s">
        <v>2</v>
      </c>
      <c r="E4" t="s">
        <v>2</v>
      </c>
      <c r="F4" t="s">
        <v>1</v>
      </c>
      <c r="G4" t="s">
        <v>1</v>
      </c>
      <c r="H4" t="s">
        <v>2</v>
      </c>
      <c r="I4" t="s">
        <v>2</v>
      </c>
    </row>
    <row r="5" spans="1:9">
      <c r="A5" t="s">
        <v>866</v>
      </c>
      <c r="B5" t="s">
        <v>867</v>
      </c>
      <c r="C5" t="s">
        <v>4</v>
      </c>
      <c r="D5" t="s">
        <v>868</v>
      </c>
      <c r="E5" t="s">
        <v>4</v>
      </c>
      <c r="F5" t="s">
        <v>919</v>
      </c>
      <c r="G5" t="s">
        <v>4</v>
      </c>
      <c r="H5" t="s">
        <v>920</v>
      </c>
      <c r="I5" t="s">
        <v>4</v>
      </c>
    </row>
    <row r="6" spans="1:9">
      <c r="A6" t="s">
        <v>4</v>
      </c>
      <c r="B6" t="s">
        <v>869</v>
      </c>
      <c r="C6" t="s">
        <v>4</v>
      </c>
      <c r="D6" t="s">
        <v>870</v>
      </c>
      <c r="E6" t="s">
        <v>4</v>
      </c>
      <c r="F6" t="s">
        <v>921</v>
      </c>
      <c r="G6" t="s">
        <v>4</v>
      </c>
      <c r="H6" t="s">
        <v>922</v>
      </c>
      <c r="I6" t="s">
        <v>4</v>
      </c>
    </row>
    <row r="8" spans="1:9">
      <c r="A8" t="s">
        <v>871</v>
      </c>
      <c r="B8" t="s">
        <v>4</v>
      </c>
      <c r="C8" t="s">
        <v>872</v>
      </c>
      <c r="D8" t="s">
        <v>4</v>
      </c>
      <c r="E8" t="s">
        <v>873</v>
      </c>
      <c r="F8" t="s">
        <v>4</v>
      </c>
      <c r="G8" t="s">
        <v>923</v>
      </c>
      <c r="H8" t="s">
        <v>4</v>
      </c>
      <c r="I8" t="s">
        <v>924</v>
      </c>
    </row>
    <row r="9" spans="1:9">
      <c r="A9" t="s">
        <v>4</v>
      </c>
      <c r="B9" t="s">
        <v>4</v>
      </c>
      <c r="C9" t="s">
        <v>874</v>
      </c>
      <c r="D9" t="s">
        <v>4</v>
      </c>
      <c r="E9" t="s">
        <v>875</v>
      </c>
      <c r="F9" t="s">
        <v>4</v>
      </c>
      <c r="G9" t="s">
        <v>925</v>
      </c>
      <c r="H9" t="s">
        <v>4</v>
      </c>
      <c r="I9" t="s">
        <v>926</v>
      </c>
    </row>
    <row r="11" spans="1:9">
      <c r="A11" t="s">
        <v>876</v>
      </c>
      <c r="B11" t="s">
        <v>877</v>
      </c>
      <c r="C11" t="s">
        <v>4</v>
      </c>
      <c r="D11" t="s">
        <v>878</v>
      </c>
      <c r="E11" t="s">
        <v>4</v>
      </c>
      <c r="F11" t="s">
        <v>927</v>
      </c>
      <c r="G11" t="s">
        <v>4</v>
      </c>
      <c r="H11" t="s">
        <v>928</v>
      </c>
      <c r="I11" t="s">
        <v>4</v>
      </c>
    </row>
    <row r="12" spans="1:9">
      <c r="A12" t="s">
        <v>4</v>
      </c>
      <c r="B12" t="s">
        <v>879</v>
      </c>
      <c r="C12" t="s">
        <v>4</v>
      </c>
      <c r="D12" t="s">
        <v>880</v>
      </c>
      <c r="E12" t="s">
        <v>4</v>
      </c>
      <c r="F12" t="s">
        <v>126</v>
      </c>
      <c r="G12" t="s">
        <v>4</v>
      </c>
      <c r="H12" t="s">
        <v>929</v>
      </c>
      <c r="I12" t="s">
        <v>4</v>
      </c>
    </row>
    <row r="14" spans="1:9">
      <c r="A14" t="s">
        <v>881</v>
      </c>
      <c r="B14" t="s">
        <v>4</v>
      </c>
      <c r="C14" t="s">
        <v>882</v>
      </c>
      <c r="D14" t="s">
        <v>4</v>
      </c>
      <c r="E14" t="s">
        <v>883</v>
      </c>
      <c r="F14" t="s">
        <v>4</v>
      </c>
      <c r="G14" t="s">
        <v>930</v>
      </c>
      <c r="H14" t="s">
        <v>4</v>
      </c>
      <c r="I14" t="s">
        <v>931</v>
      </c>
    </row>
    <row r="15" spans="1:9">
      <c r="A15" t="s">
        <v>4</v>
      </c>
      <c r="B15" t="s">
        <v>4</v>
      </c>
      <c r="C15" t="s">
        <v>879</v>
      </c>
      <c r="D15" t="s">
        <v>4</v>
      </c>
      <c r="E15" t="s">
        <v>884</v>
      </c>
      <c r="F15" t="s">
        <v>4</v>
      </c>
      <c r="G15" t="s">
        <v>162</v>
      </c>
      <c r="H15" t="s">
        <v>4</v>
      </c>
      <c r="I15" t="s">
        <v>932</v>
      </c>
    </row>
    <row r="17" spans="1:9">
      <c r="A17" t="s">
        <v>619</v>
      </c>
      <c r="B17" t="s">
        <v>885</v>
      </c>
      <c r="C17" t="s">
        <v>4</v>
      </c>
      <c r="D17" t="s">
        <v>886</v>
      </c>
      <c r="E17" t="s">
        <v>4</v>
      </c>
      <c r="F17" t="s">
        <v>933</v>
      </c>
      <c r="G17" t="s">
        <v>4</v>
      </c>
      <c r="H17" t="s">
        <v>934</v>
      </c>
      <c r="I17" t="s">
        <v>4</v>
      </c>
    </row>
    <row r="18" spans="1:9">
      <c r="A18" t="s">
        <v>4</v>
      </c>
      <c r="B18" t="s">
        <v>887</v>
      </c>
      <c r="C18" t="s">
        <v>4</v>
      </c>
      <c r="D18" t="s">
        <v>888</v>
      </c>
      <c r="E18" t="s">
        <v>4</v>
      </c>
      <c r="F18" t="s">
        <v>935</v>
      </c>
      <c r="G18" t="s">
        <v>4</v>
      </c>
      <c r="H18" t="s">
        <v>936</v>
      </c>
      <c r="I18" t="s">
        <v>4</v>
      </c>
    </row>
    <row r="20" spans="1:9">
      <c r="A20" t="s">
        <v>628</v>
      </c>
      <c r="B20" t="s">
        <v>4</v>
      </c>
      <c r="C20" t="s">
        <v>889</v>
      </c>
      <c r="D20" t="s">
        <v>4</v>
      </c>
      <c r="E20" t="s">
        <v>890</v>
      </c>
      <c r="F20" t="s">
        <v>4</v>
      </c>
      <c r="G20" t="s">
        <v>937</v>
      </c>
      <c r="H20" t="s">
        <v>4</v>
      </c>
      <c r="I20" t="s">
        <v>938</v>
      </c>
    </row>
    <row r="21" spans="1:9">
      <c r="A21" t="s">
        <v>4</v>
      </c>
      <c r="B21" t="s">
        <v>4</v>
      </c>
      <c r="C21" t="s">
        <v>891</v>
      </c>
      <c r="D21" t="s">
        <v>4</v>
      </c>
      <c r="E21" t="s">
        <v>892</v>
      </c>
      <c r="F21" t="s">
        <v>4</v>
      </c>
      <c r="G21" t="s">
        <v>939</v>
      </c>
      <c r="H21" t="s">
        <v>4</v>
      </c>
      <c r="I21" t="s">
        <v>940</v>
      </c>
    </row>
    <row r="23" spans="1:9">
      <c r="A23" t="s">
        <v>130</v>
      </c>
      <c r="B23" t="s">
        <v>893</v>
      </c>
      <c r="C23" t="s">
        <v>894</v>
      </c>
      <c r="D23" t="s">
        <v>895</v>
      </c>
      <c r="E23" t="s">
        <v>896</v>
      </c>
      <c r="F23" t="s">
        <v>4</v>
      </c>
      <c r="G23" t="s">
        <v>4</v>
      </c>
      <c r="H23" t="s">
        <v>4</v>
      </c>
      <c r="I23" t="s">
        <v>4</v>
      </c>
    </row>
    <row r="24" spans="1:9">
      <c r="A24" t="s">
        <v>4</v>
      </c>
      <c r="B24" t="s">
        <v>897</v>
      </c>
      <c r="C24" t="s">
        <v>31</v>
      </c>
      <c r="D24" t="s">
        <v>898</v>
      </c>
      <c r="E24" t="s">
        <v>899</v>
      </c>
      <c r="F24" t="s">
        <v>4</v>
      </c>
      <c r="G24" t="s">
        <v>4</v>
      </c>
      <c r="H24" t="s">
        <v>4</v>
      </c>
      <c r="I24" t="s">
        <v>4</v>
      </c>
    </row>
    <row r="26" spans="1:9">
      <c r="A26" t="s">
        <v>131</v>
      </c>
      <c r="B26" t="s">
        <v>900</v>
      </c>
      <c r="C26" t="s">
        <v>901</v>
      </c>
      <c r="D26" t="s">
        <v>902</v>
      </c>
      <c r="E26" t="s">
        <v>903</v>
      </c>
      <c r="F26" t="s">
        <v>941</v>
      </c>
      <c r="G26" t="s">
        <v>942</v>
      </c>
      <c r="H26" t="s">
        <v>943</v>
      </c>
      <c r="I26" t="s">
        <v>944</v>
      </c>
    </row>
    <row r="27" spans="1:9">
      <c r="A27" t="s">
        <v>4</v>
      </c>
      <c r="B27" t="s">
        <v>904</v>
      </c>
      <c r="C27" t="s">
        <v>905</v>
      </c>
      <c r="D27" t="s">
        <v>906</v>
      </c>
      <c r="E27" t="s">
        <v>907</v>
      </c>
      <c r="F27" t="s">
        <v>945</v>
      </c>
      <c r="G27" t="s">
        <v>946</v>
      </c>
      <c r="H27" t="s">
        <v>947</v>
      </c>
      <c r="I27" t="s">
        <v>948</v>
      </c>
    </row>
    <row r="29" spans="1:9">
      <c r="A29" t="s">
        <v>132</v>
      </c>
      <c r="B29" t="s">
        <v>908</v>
      </c>
      <c r="C29" t="s">
        <v>908</v>
      </c>
      <c r="D29" t="s">
        <v>908</v>
      </c>
      <c r="E29" t="s">
        <v>908</v>
      </c>
      <c r="F29" t="s">
        <v>949</v>
      </c>
      <c r="G29" t="s">
        <v>949</v>
      </c>
      <c r="H29" t="s">
        <v>949</v>
      </c>
      <c r="I29" t="s">
        <v>949</v>
      </c>
    </row>
    <row r="30" spans="1:9">
      <c r="A30" t="s">
        <v>136</v>
      </c>
      <c r="B30" t="s">
        <v>909</v>
      </c>
      <c r="C30" t="s">
        <v>910</v>
      </c>
      <c r="D30" t="s">
        <v>911</v>
      </c>
      <c r="E30" t="s">
        <v>912</v>
      </c>
      <c r="F30" t="s">
        <v>950</v>
      </c>
      <c r="G30" t="s">
        <v>951</v>
      </c>
      <c r="H30" t="s">
        <v>952</v>
      </c>
      <c r="I30" t="s">
        <v>953</v>
      </c>
    </row>
    <row r="31" spans="1:9">
      <c r="A31" t="s">
        <v>137</v>
      </c>
      <c r="B31" t="s">
        <v>4</v>
      </c>
      <c r="C31" t="s">
        <v>4</v>
      </c>
      <c r="D31" t="s">
        <v>913</v>
      </c>
      <c r="E31" t="s">
        <v>914</v>
      </c>
      <c r="F31" t="s">
        <v>4</v>
      </c>
      <c r="G31" t="s">
        <v>4</v>
      </c>
      <c r="H31" t="s">
        <v>954</v>
      </c>
      <c r="I31" t="s">
        <v>955</v>
      </c>
    </row>
    <row r="32" spans="1:9">
      <c r="A32" t="s">
        <v>138</v>
      </c>
      <c r="B32" t="s">
        <v>4</v>
      </c>
      <c r="C32" t="s">
        <v>4</v>
      </c>
      <c r="D32" t="s">
        <v>915</v>
      </c>
      <c r="E32" t="s">
        <v>77</v>
      </c>
      <c r="F32" t="s">
        <v>4</v>
      </c>
      <c r="G32" t="s">
        <v>4</v>
      </c>
      <c r="H32" t="s">
        <v>956</v>
      </c>
      <c r="I32" t="s">
        <v>957</v>
      </c>
    </row>
    <row r="33" spans="1:9">
      <c r="A33" t="s">
        <v>139</v>
      </c>
      <c r="B33" t="s">
        <v>4</v>
      </c>
      <c r="C33" t="s">
        <v>4</v>
      </c>
      <c r="D33" t="s">
        <v>916</v>
      </c>
      <c r="E33" t="s">
        <v>917</v>
      </c>
      <c r="F33" t="s">
        <v>4</v>
      </c>
      <c r="G33" t="s">
        <v>4</v>
      </c>
      <c r="H33" t="s">
        <v>958</v>
      </c>
      <c r="I33" t="s">
        <v>959</v>
      </c>
    </row>
    <row r="35" spans="1:9">
      <c r="A35" t="s">
        <v>140</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dimension ref="A1:P56"/>
  <sheetViews>
    <sheetView zoomScale="106" zoomScaleNormal="106" workbookViewId="0">
      <selection activeCell="B2" sqref="B2"/>
    </sheetView>
  </sheetViews>
  <sheetFormatPr defaultRowHeight="15"/>
  <cols>
    <col min="1" max="1" width="1.7109375" customWidth="1"/>
    <col min="2" max="2" width="37.140625" customWidth="1"/>
    <col min="3" max="8" width="13.85546875" customWidth="1"/>
    <col min="9" max="9" width="14.42578125" customWidth="1"/>
    <col min="10" max="10" width="13.85546875" customWidth="1"/>
    <col min="11" max="11" width="14.7109375" bestFit="1" customWidth="1"/>
    <col min="12" max="12" width="13.7109375" bestFit="1" customWidth="1"/>
    <col min="13" max="13" width="14.7109375" customWidth="1"/>
    <col min="14" max="14" width="14.28515625" bestFit="1" customWidth="1"/>
    <col min="15" max="15" width="10.85546875" hidden="1" customWidth="1"/>
    <col min="16" max="16" width="14.28515625" hidden="1" customWidth="1"/>
  </cols>
  <sheetData>
    <row r="1" spans="2:14">
      <c r="B1" s="30" t="s">
        <v>1436</v>
      </c>
    </row>
    <row r="2" spans="2:14">
      <c r="B2" s="145" t="s">
        <v>1447</v>
      </c>
    </row>
    <row r="4" spans="2:14">
      <c r="B4" s="211" t="s">
        <v>1407</v>
      </c>
      <c r="C4" s="212"/>
      <c r="D4" s="212"/>
      <c r="E4" s="212"/>
      <c r="F4" s="213"/>
      <c r="H4" s="208" t="s">
        <v>1426</v>
      </c>
      <c r="I4" s="209"/>
      <c r="J4" s="209"/>
      <c r="K4" s="209"/>
      <c r="L4" s="209"/>
      <c r="M4" s="210"/>
    </row>
    <row r="5" spans="2:14" ht="15" customHeight="1">
      <c r="B5" s="100"/>
      <c r="C5" s="105"/>
      <c r="D5" s="95"/>
      <c r="E5" s="98" t="s">
        <v>1388</v>
      </c>
      <c r="F5" s="96"/>
      <c r="H5" s="200" t="s">
        <v>1378</v>
      </c>
      <c r="I5" s="201"/>
      <c r="J5" s="202" t="s">
        <v>1374</v>
      </c>
      <c r="K5" s="203"/>
      <c r="L5" s="204" t="s">
        <v>1379</v>
      </c>
      <c r="M5" s="205"/>
    </row>
    <row r="6" spans="2:14">
      <c r="B6" s="100"/>
      <c r="C6" s="105"/>
      <c r="D6" s="95"/>
      <c r="E6" s="97" t="s">
        <v>1277</v>
      </c>
      <c r="F6" s="122"/>
      <c r="H6" s="124" t="s">
        <v>1376</v>
      </c>
      <c r="I6" s="130" t="s">
        <v>1375</v>
      </c>
      <c r="J6" s="131" t="s">
        <v>1376</v>
      </c>
      <c r="K6" s="134" t="s">
        <v>1375</v>
      </c>
      <c r="L6" s="133" t="s">
        <v>1376</v>
      </c>
      <c r="M6" s="127" t="s">
        <v>1375</v>
      </c>
    </row>
    <row r="7" spans="2:14">
      <c r="B7" s="100"/>
      <c r="C7" s="105"/>
      <c r="D7" s="95"/>
      <c r="E7" s="97" t="s">
        <v>1392</v>
      </c>
      <c r="F7" s="99"/>
      <c r="H7" s="137">
        <f>MIN(K35:K42)+MIN(K43:K48)</f>
        <v>0</v>
      </c>
      <c r="I7" s="138">
        <f>MAX(K35:K42)+MAX(K43:K48)</f>
        <v>0</v>
      </c>
      <c r="J7" s="139">
        <f>MIN(N35:N42)+MIN(N43:N48)</f>
        <v>0</v>
      </c>
      <c r="K7" s="140">
        <f>MAX(N35:N42)+MAX(N43:N48)</f>
        <v>0</v>
      </c>
      <c r="L7" s="141">
        <f>MIN($H7:$K7)</f>
        <v>0</v>
      </c>
      <c r="M7" s="142">
        <f>MAX(H7:K7)</f>
        <v>0</v>
      </c>
    </row>
    <row r="8" spans="2:14">
      <c r="B8" s="100"/>
      <c r="C8" s="72"/>
      <c r="D8" s="95"/>
      <c r="E8" s="97" t="s">
        <v>1387</v>
      </c>
      <c r="F8" s="123"/>
      <c r="H8" s="125"/>
      <c r="I8" s="136"/>
      <c r="J8" s="125"/>
      <c r="K8" s="123"/>
      <c r="L8" s="126"/>
      <c r="M8" s="123"/>
    </row>
    <row r="9" spans="2:14" ht="15" customHeight="1">
      <c r="B9" s="101"/>
      <c r="C9" s="106"/>
      <c r="D9" s="95"/>
      <c r="E9" s="95"/>
      <c r="F9" s="96"/>
      <c r="H9" s="200" t="s">
        <v>1406</v>
      </c>
      <c r="I9" s="214"/>
      <c r="J9" s="202" t="s">
        <v>1260</v>
      </c>
      <c r="K9" s="203"/>
      <c r="L9" s="215" t="s">
        <v>1435</v>
      </c>
      <c r="M9" s="216"/>
    </row>
    <row r="10" spans="2:14" ht="16.149999999999999" customHeight="1">
      <c r="B10" s="102" t="s">
        <v>1405</v>
      </c>
      <c r="C10" s="198" t="s">
        <v>327</v>
      </c>
      <c r="D10" s="199"/>
      <c r="E10" s="199"/>
      <c r="F10" s="96"/>
      <c r="H10" s="129">
        <f>+H7/Workers</f>
        <v>0</v>
      </c>
      <c r="I10" s="128">
        <f>+I7/Workers</f>
        <v>0</v>
      </c>
      <c r="J10" s="132">
        <f>+J7/Population</f>
        <v>0</v>
      </c>
      <c r="K10" s="135">
        <f>+K7/Population</f>
        <v>0</v>
      </c>
      <c r="L10" s="206">
        <f>MEDIAN(K35,K37,K39,K41,N35,N37,N39,N41)+MEDIAN(K43, K45, K47, N43, N45, N47)</f>
        <v>0</v>
      </c>
      <c r="M10" s="207"/>
    </row>
    <row r="11" spans="2:14" ht="17.25">
      <c r="B11" s="102" t="s">
        <v>1441</v>
      </c>
      <c r="C11" s="120">
        <v>0</v>
      </c>
      <c r="D11" s="119" t="s">
        <v>1396</v>
      </c>
      <c r="E11" s="118"/>
      <c r="F11" s="108"/>
      <c r="H11" s="125"/>
      <c r="I11" s="126"/>
      <c r="J11" s="125"/>
      <c r="K11" s="126"/>
      <c r="L11" s="125"/>
      <c r="M11" s="123"/>
    </row>
    <row r="12" spans="2:14" ht="17.25">
      <c r="B12" s="102" t="s">
        <v>1442</v>
      </c>
      <c r="C12" s="121">
        <v>0</v>
      </c>
      <c r="D12" s="119" t="s">
        <v>1439</v>
      </c>
      <c r="E12" s="118"/>
      <c r="F12" s="108"/>
      <c r="H12" s="200" t="s">
        <v>1435</v>
      </c>
      <c r="I12" s="214"/>
      <c r="J12" s="202" t="s">
        <v>1435</v>
      </c>
      <c r="K12" s="203"/>
      <c r="L12" s="125"/>
      <c r="M12" s="123"/>
    </row>
    <row r="13" spans="2:14" ht="17.25">
      <c r="B13" s="102" t="s">
        <v>1443</v>
      </c>
      <c r="C13" s="121">
        <v>0</v>
      </c>
      <c r="D13" s="119" t="s">
        <v>1397</v>
      </c>
      <c r="E13" s="118"/>
      <c r="F13" s="108"/>
      <c r="H13" s="217">
        <f>MEDIAN(K35:K42)+MEDIAN(K43:K48)</f>
        <v>0</v>
      </c>
      <c r="I13" s="218"/>
      <c r="J13" s="229">
        <f>MEDIAN(N35:N42)+MEDIAN(N43:N48)</f>
        <v>0</v>
      </c>
      <c r="K13" s="230"/>
      <c r="L13" s="125"/>
      <c r="M13" s="123"/>
    </row>
    <row r="14" spans="2:14">
      <c r="B14" s="100"/>
      <c r="C14" s="105"/>
      <c r="D14" s="107"/>
      <c r="E14" s="105"/>
      <c r="F14" s="108"/>
      <c r="H14" s="143"/>
      <c r="I14" s="143"/>
      <c r="J14" s="143"/>
      <c r="K14" s="143"/>
      <c r="L14" s="143"/>
      <c r="M14" s="143"/>
      <c r="N14" s="72"/>
    </row>
    <row r="15" spans="2:14">
      <c r="B15" s="100" t="s">
        <v>1263</v>
      </c>
      <c r="C15" s="110">
        <f>SUMIF('MSA data'!$B$2:$B$342,MSAName,'MSA data'!V2:V342)</f>
        <v>4260236</v>
      </c>
      <c r="D15" s="114"/>
      <c r="E15" s="114"/>
      <c r="F15" s="108"/>
      <c r="H15" s="144"/>
      <c r="I15" s="144"/>
      <c r="J15" s="144"/>
      <c r="K15" s="144"/>
      <c r="L15" s="144"/>
      <c r="M15" s="144"/>
      <c r="N15" s="72"/>
    </row>
    <row r="16" spans="2:14">
      <c r="B16" s="100" t="s">
        <v>1286</v>
      </c>
      <c r="C16" s="110">
        <f>SUMIF('MSA data'!$B$2:$B$342,MSAName,'MSA data'!D2:D342)</f>
        <v>2849527</v>
      </c>
      <c r="D16" s="114"/>
      <c r="E16" s="114"/>
      <c r="F16" s="108"/>
      <c r="H16" s="144"/>
      <c r="I16" s="144"/>
      <c r="J16" s="144"/>
      <c r="K16" s="144"/>
      <c r="L16" s="144"/>
      <c r="M16" s="144"/>
      <c r="N16" s="72"/>
    </row>
    <row r="17" spans="1:8">
      <c r="B17" s="100" t="s">
        <v>1367</v>
      </c>
      <c r="C17" s="111">
        <f>SUMIF('MSA data'!$B$2:$B$342,MSAName,'MSA data'!C2:C342)</f>
        <v>61146.07</v>
      </c>
      <c r="D17" s="115"/>
      <c r="E17" s="115"/>
      <c r="F17" s="108"/>
    </row>
    <row r="18" spans="1:8">
      <c r="B18" s="103" t="s">
        <v>1401</v>
      </c>
      <c r="C18" s="111">
        <f>Wage*Workers/1000000</f>
        <v>174237.37740889</v>
      </c>
      <c r="D18" s="115"/>
      <c r="E18" s="115"/>
      <c r="F18" s="108"/>
    </row>
    <row r="19" spans="1:8">
      <c r="B19" s="100" t="s">
        <v>1260</v>
      </c>
      <c r="C19" s="111">
        <f>SUMIF('MSA data'!$B$2:$B$342,MSAName,'MSA data'!F2:F342)*1000000</f>
        <v>66430.600000000006</v>
      </c>
      <c r="D19" s="115"/>
      <c r="E19" s="115"/>
      <c r="F19" s="108"/>
    </row>
    <row r="20" spans="1:8">
      <c r="B20" s="103" t="s">
        <v>1400</v>
      </c>
      <c r="C20" s="111">
        <f>GDPpercap*Population/1000000</f>
        <v>283010.03362160001</v>
      </c>
      <c r="D20" s="115"/>
      <c r="E20" s="115"/>
      <c r="F20" s="108"/>
    </row>
    <row r="21" spans="1:8">
      <c r="B21" s="100" t="s">
        <v>1287</v>
      </c>
      <c r="C21" s="112">
        <f>SUMIF('MSA data'!$B$2:$B$342,MSAName,'MSA data'!T2:T342)</f>
        <v>186.5</v>
      </c>
      <c r="D21" s="116"/>
      <c r="E21" s="116"/>
      <c r="F21" s="108"/>
    </row>
    <row r="22" spans="1:8">
      <c r="B22" s="100" t="s">
        <v>1403</v>
      </c>
      <c r="C22" s="110">
        <f>SUMIF('MSA data'!$B$2:$B$342,$C$10,'MSA data'!R2:R342)</f>
        <v>4110.7539999999999</v>
      </c>
      <c r="D22" s="114"/>
      <c r="E22" s="114"/>
      <c r="F22" s="108"/>
    </row>
    <row r="23" spans="1:8">
      <c r="B23" s="100" t="s">
        <v>1344</v>
      </c>
      <c r="C23" s="110">
        <f>SUMIF('MSA data'!$B$2:$B$342,MSAName,'MSA data'!I2:I342)</f>
        <v>798.38900000000001</v>
      </c>
      <c r="D23" s="114"/>
      <c r="E23" s="114"/>
      <c r="F23" s="108"/>
    </row>
    <row r="24" spans="1:8">
      <c r="B24" s="104" t="s">
        <v>1402</v>
      </c>
      <c r="C24" s="113">
        <f>SUMIF('MSA data'!$B$2:$B$342,MSAName,'MSA data'!BD2:BD342)</f>
        <v>2473.0819999999999</v>
      </c>
      <c r="D24" s="117"/>
      <c r="E24" s="117"/>
      <c r="F24" s="109"/>
    </row>
    <row r="25" spans="1:8">
      <c r="A25" s="52"/>
      <c r="B25" s="144"/>
      <c r="C25" s="193"/>
      <c r="D25" s="193"/>
      <c r="E25" s="193"/>
      <c r="F25" s="144"/>
      <c r="G25" s="52"/>
    </row>
    <row r="26" spans="1:8">
      <c r="A26" s="52"/>
      <c r="B26" s="144" t="s">
        <v>1432</v>
      </c>
      <c r="C26" s="193"/>
      <c r="D26" s="193"/>
      <c r="E26" s="193"/>
      <c r="F26" s="144"/>
      <c r="G26" s="52"/>
    </row>
    <row r="27" spans="1:8">
      <c r="A27" s="52"/>
      <c r="B27" s="144" t="s">
        <v>1444</v>
      </c>
      <c r="C27" s="193"/>
      <c r="D27" s="193"/>
      <c r="E27" s="193"/>
      <c r="F27" s="144"/>
      <c r="G27" s="52"/>
    </row>
    <row r="28" spans="1:8">
      <c r="A28" s="52"/>
      <c r="B28" s="144" t="s">
        <v>1440</v>
      </c>
      <c r="C28" s="193"/>
      <c r="D28" s="193"/>
      <c r="E28" s="193"/>
      <c r="F28" s="144"/>
      <c r="G28" s="52"/>
    </row>
    <row r="29" spans="1:8">
      <c r="A29" s="52"/>
      <c r="B29" s="144" t="str">
        <f>"3. The number of physical seats installed on any newly acquired vehicles"</f>
        <v>3. The number of physical seats installed on any newly acquired vehicles</v>
      </c>
      <c r="C29" s="193"/>
      <c r="D29" s="193"/>
      <c r="E29" s="193"/>
      <c r="F29" s="144"/>
      <c r="G29" s="52"/>
    </row>
    <row r="30" spans="1:8">
      <c r="A30" s="52"/>
      <c r="B30" s="144"/>
      <c r="C30" s="193"/>
      <c r="D30" s="193"/>
      <c r="E30" s="193"/>
      <c r="F30" s="144"/>
      <c r="G30" s="52"/>
    </row>
    <row r="31" spans="1:8">
      <c r="A31" s="52"/>
      <c r="B31" s="144"/>
      <c r="C31" s="193"/>
      <c r="D31" s="193"/>
      <c r="E31" s="193"/>
      <c r="F31" s="144"/>
      <c r="G31" s="52"/>
    </row>
    <row r="32" spans="1:8">
      <c r="A32" s="52"/>
      <c r="B32" s="52"/>
      <c r="C32" s="194"/>
      <c r="D32" s="194"/>
      <c r="E32" s="194"/>
      <c r="F32" s="194"/>
      <c r="G32" s="52"/>
      <c r="H32" s="89"/>
    </row>
    <row r="33" spans="2:16" s="149" customFormat="1">
      <c r="B33" s="146" t="s">
        <v>1380</v>
      </c>
      <c r="C33" s="147"/>
      <c r="D33" s="147"/>
      <c r="E33" s="147"/>
      <c r="F33" s="147"/>
      <c r="G33" s="147"/>
      <c r="H33" s="147"/>
      <c r="I33" s="147"/>
      <c r="J33" s="147"/>
      <c r="K33" s="147"/>
      <c r="L33" s="147"/>
      <c r="M33" s="147"/>
      <c r="N33" s="148"/>
      <c r="O33" s="147"/>
      <c r="P33" s="148"/>
    </row>
    <row r="34" spans="2:16" s="149" customFormat="1" ht="30">
      <c r="B34" s="150"/>
      <c r="C34" s="151" t="s">
        <v>1437</v>
      </c>
      <c r="D34" s="151" t="s">
        <v>1438</v>
      </c>
      <c r="E34" s="151" t="s">
        <v>1366</v>
      </c>
      <c r="F34" s="151" t="s">
        <v>1365</v>
      </c>
      <c r="G34" s="151" t="s">
        <v>572</v>
      </c>
      <c r="H34" s="151" t="s">
        <v>1425</v>
      </c>
      <c r="I34" s="152" t="s">
        <v>1368</v>
      </c>
      <c r="J34" s="151" t="s">
        <v>1369</v>
      </c>
      <c r="K34" s="153" t="s">
        <v>1370</v>
      </c>
      <c r="L34" s="151" t="s">
        <v>1371</v>
      </c>
      <c r="M34" s="151" t="s">
        <v>1372</v>
      </c>
      <c r="N34" s="154" t="s">
        <v>1373</v>
      </c>
      <c r="O34" s="151" t="s">
        <v>1428</v>
      </c>
      <c r="P34" s="151" t="s">
        <v>1429</v>
      </c>
    </row>
    <row r="35" spans="2:16" s="149" customFormat="1" ht="30">
      <c r="B35" s="155" t="s">
        <v>1417</v>
      </c>
      <c r="C35" s="156" t="str">
        <f>NYCinc!B5</f>
        <v>1.806</v>
      </c>
      <c r="D35" s="156" t="str">
        <f>NYCexc!B5</f>
        <v>0.556</v>
      </c>
      <c r="E35" s="219">
        <f t="shared" ref="E35:E41" si="0">EmpDen</f>
        <v>4110.7539999999999</v>
      </c>
      <c r="F35" s="221">
        <f>NewTrackMileage*C35</f>
        <v>0</v>
      </c>
      <c r="G35" s="223">
        <f>F35/E35</f>
        <v>0</v>
      </c>
      <c r="H35" s="225">
        <f>MIN(0.05*NewTrackMileage,G35)</f>
        <v>0</v>
      </c>
      <c r="I35" s="227" t="str">
        <f>EDWageOLS</f>
        <v>0.0554</v>
      </c>
      <c r="J35" s="242">
        <f t="shared" ref="J35:J47" si="1">$H35*I35</f>
        <v>0</v>
      </c>
      <c r="K35" s="244">
        <f>J35*Wage*Workers</f>
        <v>0</v>
      </c>
      <c r="L35" s="246" t="str">
        <f>EDgdpOLS</f>
        <v>0.152</v>
      </c>
      <c r="M35" s="242">
        <f t="shared" ref="M35:M47" si="2">$H35*L35</f>
        <v>0</v>
      </c>
      <c r="N35" s="231">
        <f>M35*GDPpercap*Population</f>
        <v>0</v>
      </c>
      <c r="O35" s="157" t="s">
        <v>196</v>
      </c>
      <c r="P35" s="157">
        <f t="shared" ref="P35:P48" si="3">C35/O35-1</f>
        <v>-0.12963855421686754</v>
      </c>
    </row>
    <row r="36" spans="2:16" s="149" customFormat="1" ht="30">
      <c r="B36" s="158" t="s">
        <v>1418</v>
      </c>
      <c r="C36" s="159" t="str">
        <f>NYCinc!C5</f>
        <v>5.983</v>
      </c>
      <c r="D36" s="159" t="str">
        <f>NYCexc!C5</f>
        <v>6.483</v>
      </c>
      <c r="E36" s="220"/>
      <c r="F36" s="222"/>
      <c r="G36" s="224"/>
      <c r="H36" s="226"/>
      <c r="I36" s="228"/>
      <c r="J36" s="243"/>
      <c r="K36" s="245"/>
      <c r="L36" s="247"/>
      <c r="M36" s="243"/>
      <c r="N36" s="232"/>
      <c r="O36" s="160" t="s">
        <v>197</v>
      </c>
      <c r="P36" s="157">
        <f t="shared" si="3"/>
        <v>3.8590604026844666E-3</v>
      </c>
    </row>
    <row r="37" spans="2:16" s="149" customFormat="1" ht="30">
      <c r="B37" s="155" t="s">
        <v>1419</v>
      </c>
      <c r="C37" s="161" t="str">
        <f>NYCinc!D41</f>
        <v>0.0000503</v>
      </c>
      <c r="D37" s="161" t="str">
        <f>NYCexc!D41</f>
        <v>0.0000397</v>
      </c>
      <c r="E37" s="233">
        <f t="shared" si="0"/>
        <v>4110.7539999999999</v>
      </c>
      <c r="F37" s="234">
        <f>C37*NewRRevMi</f>
        <v>0</v>
      </c>
      <c r="G37" s="235">
        <f t="shared" ref="G37:G47" si="4">F37/E37</f>
        <v>0</v>
      </c>
      <c r="H37" s="236">
        <f>MIN(0.05*(NewRRevMi/54605),F37/E37)</f>
        <v>0</v>
      </c>
      <c r="I37" s="237" t="str">
        <f>EDWageOLS</f>
        <v>0.0554</v>
      </c>
      <c r="J37" s="238">
        <f t="shared" si="1"/>
        <v>0</v>
      </c>
      <c r="K37" s="239">
        <f t="shared" ref="K37:K41" si="5">J37*Wage*Workers</f>
        <v>0</v>
      </c>
      <c r="L37" s="240" t="str">
        <f>EDgdpOLS</f>
        <v>0.152</v>
      </c>
      <c r="M37" s="238">
        <f t="shared" si="2"/>
        <v>0</v>
      </c>
      <c r="N37" s="241">
        <f t="shared" ref="N37:N41" si="6">M37*GDPpercap*Population</f>
        <v>0</v>
      </c>
      <c r="O37" s="162" t="s">
        <v>1430</v>
      </c>
      <c r="P37" s="157">
        <f t="shared" si="3"/>
        <v>-3.9603960396039639E-3</v>
      </c>
    </row>
    <row r="38" spans="2:16" s="149" customFormat="1" ht="30">
      <c r="B38" s="158" t="s">
        <v>1420</v>
      </c>
      <c r="C38" s="163" t="str">
        <f>NYCinc!E41</f>
        <v>0.0000831</v>
      </c>
      <c r="D38" s="163" t="str">
        <f>NYCexc!E41</f>
        <v>0.000167</v>
      </c>
      <c r="E38" s="233"/>
      <c r="F38" s="234"/>
      <c r="G38" s="235"/>
      <c r="H38" s="236"/>
      <c r="I38" s="237"/>
      <c r="J38" s="238"/>
      <c r="K38" s="239"/>
      <c r="L38" s="240"/>
      <c r="M38" s="238"/>
      <c r="N38" s="241"/>
      <c r="O38" s="162" t="s">
        <v>1431</v>
      </c>
      <c r="P38" s="157">
        <f t="shared" si="3"/>
        <v>-7.1684587813620748E-3</v>
      </c>
    </row>
    <row r="39" spans="2:16" s="149" customFormat="1" ht="30">
      <c r="B39" s="155" t="s">
        <v>1421</v>
      </c>
      <c r="C39" s="161" t="str">
        <f>NYCinc!F47</f>
        <v>41410.0</v>
      </c>
      <c r="D39" s="161" t="str">
        <f>NYCexc!F47</f>
        <v>26945.4</v>
      </c>
      <c r="E39" s="220">
        <f t="shared" si="0"/>
        <v>4110.7539999999999</v>
      </c>
      <c r="F39" s="222">
        <f>C39*(NewRSeatCap/Population)</f>
        <v>0</v>
      </c>
      <c r="G39" s="224">
        <f t="shared" si="4"/>
        <v>0</v>
      </c>
      <c r="H39" s="226">
        <f>MIN(0.05*(NewRSeatCap/163),F39/E39)</f>
        <v>0</v>
      </c>
      <c r="I39" s="228" t="str">
        <f>EDWageOLS</f>
        <v>0.0554</v>
      </c>
      <c r="J39" s="243">
        <f t="shared" si="1"/>
        <v>0</v>
      </c>
      <c r="K39" s="245">
        <f t="shared" si="5"/>
        <v>0</v>
      </c>
      <c r="L39" s="247" t="str">
        <f>EDgdpOLS</f>
        <v>0.152</v>
      </c>
      <c r="M39" s="243">
        <f t="shared" si="2"/>
        <v>0</v>
      </c>
      <c r="N39" s="232">
        <f t="shared" si="6"/>
        <v>0</v>
      </c>
      <c r="O39" s="162" t="s">
        <v>872</v>
      </c>
      <c r="P39" s="157">
        <f t="shared" si="3"/>
        <v>-0.3906907074815118</v>
      </c>
    </row>
    <row r="40" spans="2:16" s="149" customFormat="1" ht="30">
      <c r="B40" s="158" t="s">
        <v>1422</v>
      </c>
      <c r="C40" s="163" t="str">
        <f>NYCinc!G47</f>
        <v>129861.3</v>
      </c>
      <c r="D40" s="163" t="str">
        <f>NYCexc!G47</f>
        <v>88230.2</v>
      </c>
      <c r="E40" s="220"/>
      <c r="F40" s="222"/>
      <c r="G40" s="224"/>
      <c r="H40" s="226"/>
      <c r="I40" s="228"/>
      <c r="J40" s="243"/>
      <c r="K40" s="245"/>
      <c r="L40" s="247"/>
      <c r="M40" s="243"/>
      <c r="N40" s="232"/>
      <c r="O40" s="162" t="s">
        <v>873</v>
      </c>
      <c r="P40" s="157">
        <f t="shared" si="3"/>
        <v>-0.20756848123897798</v>
      </c>
    </row>
    <row r="41" spans="2:16" s="149" customFormat="1" ht="30">
      <c r="B41" s="164" t="s">
        <v>1423</v>
      </c>
      <c r="C41" s="165" t="str">
        <f>NYCinc!H56</f>
        <v>9931.3</v>
      </c>
      <c r="D41" s="165" t="str">
        <f>NYCexc!H56</f>
        <v>5039.5</v>
      </c>
      <c r="E41" s="233">
        <f t="shared" si="0"/>
        <v>4110.7539999999999</v>
      </c>
      <c r="F41" s="234">
        <f>NewTrackMileage/MSAArea*C41</f>
        <v>0</v>
      </c>
      <c r="G41" s="235">
        <f t="shared" si="4"/>
        <v>0</v>
      </c>
      <c r="H41" s="236">
        <f>MIN(0.05*NewTrackMileage,G41)</f>
        <v>0</v>
      </c>
      <c r="I41" s="237" t="str">
        <f>EDWageOLS</f>
        <v>0.0554</v>
      </c>
      <c r="J41" s="238">
        <f t="shared" si="1"/>
        <v>0</v>
      </c>
      <c r="K41" s="239">
        <f t="shared" si="5"/>
        <v>0</v>
      </c>
      <c r="L41" s="240" t="str">
        <f>EDgdpOLS</f>
        <v>0.152</v>
      </c>
      <c r="M41" s="238">
        <f t="shared" si="2"/>
        <v>0</v>
      </c>
      <c r="N41" s="241">
        <f t="shared" si="6"/>
        <v>0</v>
      </c>
      <c r="O41" s="166" t="s">
        <v>146</v>
      </c>
      <c r="P41" s="157">
        <f t="shared" si="3"/>
        <v>-0.15232291159876754</v>
      </c>
    </row>
    <row r="42" spans="2:16" s="149" customFormat="1" ht="30">
      <c r="B42" s="167" t="s">
        <v>1424</v>
      </c>
      <c r="C42" s="168" t="str">
        <f>NYCinc!I56</f>
        <v>46120.0</v>
      </c>
      <c r="D42" s="168" t="str">
        <f>NYCexc!I56</f>
        <v>52554.7</v>
      </c>
      <c r="E42" s="233"/>
      <c r="F42" s="234"/>
      <c r="G42" s="235"/>
      <c r="H42" s="236"/>
      <c r="I42" s="237"/>
      <c r="J42" s="238"/>
      <c r="K42" s="239"/>
      <c r="L42" s="240"/>
      <c r="M42" s="238"/>
      <c r="N42" s="241"/>
      <c r="O42" s="166" t="s">
        <v>147</v>
      </c>
      <c r="P42" s="157">
        <f t="shared" si="3"/>
        <v>4.7339186200193506E-2</v>
      </c>
    </row>
    <row r="43" spans="2:16" s="149" customFormat="1" ht="30">
      <c r="B43" s="164" t="s">
        <v>1408</v>
      </c>
      <c r="C43" s="165" t="str">
        <f>NYCinc!J59</f>
        <v>22718912.2</v>
      </c>
      <c r="D43" s="165" t="str">
        <f>NYCexc!J59</f>
        <v>15854133.2</v>
      </c>
      <c r="E43" s="220">
        <f t="shared" ref="E43" si="7">Population</f>
        <v>4260236</v>
      </c>
      <c r="F43" s="248">
        <f>NewTrackMileage/UZAArea*D43</f>
        <v>0</v>
      </c>
      <c r="G43" s="224">
        <f t="shared" si="4"/>
        <v>0</v>
      </c>
      <c r="H43" s="226">
        <f>MIN(0.05*NewTrackMileage,G43)</f>
        <v>0</v>
      </c>
      <c r="I43" s="228" t="str">
        <f>PopWageOLS</f>
        <v>0.0420</v>
      </c>
      <c r="J43" s="243">
        <f t="shared" si="1"/>
        <v>0</v>
      </c>
      <c r="K43" s="245">
        <f t="shared" ref="K43:K47" si="8">J43*Wage*Workers</f>
        <v>0</v>
      </c>
      <c r="L43" s="247" t="str">
        <f>PopGDPols</f>
        <v>0.0610</v>
      </c>
      <c r="M43" s="243">
        <f t="shared" si="2"/>
        <v>0</v>
      </c>
      <c r="N43" s="232">
        <f t="shared" ref="N43" si="9">M43*GDPpercap*Population</f>
        <v>0</v>
      </c>
      <c r="O43" s="166" t="s">
        <v>646</v>
      </c>
      <c r="P43" s="157">
        <f t="shared" si="3"/>
        <v>-7.936901842588906E-2</v>
      </c>
    </row>
    <row r="44" spans="2:16" s="149" customFormat="1">
      <c r="B44" s="167" t="s">
        <v>1409</v>
      </c>
      <c r="C44" s="168" t="str">
        <f>NYCinc!K59</f>
        <v>50652398.2</v>
      </c>
      <c r="D44" s="168" t="str">
        <f>NYCexc!K59</f>
        <v>41952921.7</v>
      </c>
      <c r="E44" s="220"/>
      <c r="F44" s="248"/>
      <c r="G44" s="224"/>
      <c r="H44" s="226"/>
      <c r="I44" s="228"/>
      <c r="J44" s="243"/>
      <c r="K44" s="245"/>
      <c r="L44" s="247"/>
      <c r="M44" s="243"/>
      <c r="N44" s="232"/>
      <c r="O44" s="166" t="s">
        <v>647</v>
      </c>
      <c r="P44" s="157">
        <f t="shared" si="3"/>
        <v>9.7522425655086842E-2</v>
      </c>
    </row>
    <row r="45" spans="2:16" s="149" customFormat="1">
      <c r="B45" s="164" t="s">
        <v>1410</v>
      </c>
      <c r="C45" s="165" t="str">
        <f>NYCinc!L65</f>
        <v>7.16411e+10</v>
      </c>
      <c r="D45" s="165" t="str">
        <f>NYCexc!L65</f>
        <v>5.27010e+10</v>
      </c>
      <c r="E45" s="233">
        <f>Population</f>
        <v>4260236</v>
      </c>
      <c r="F45" s="249">
        <f>NewTrackMileage/Population*D45</f>
        <v>0</v>
      </c>
      <c r="G45" s="235">
        <f t="shared" si="4"/>
        <v>0</v>
      </c>
      <c r="H45" s="236">
        <f>MIN(0.05*NewTrackMileage,G45)</f>
        <v>0</v>
      </c>
      <c r="I45" s="237" t="str">
        <f>PopWageOLS</f>
        <v>0.0420</v>
      </c>
      <c r="J45" s="238">
        <f t="shared" si="1"/>
        <v>0</v>
      </c>
      <c r="K45" s="239">
        <f t="shared" si="8"/>
        <v>0</v>
      </c>
      <c r="L45" s="240" t="str">
        <f>PopGDPols</f>
        <v>0.0610</v>
      </c>
      <c r="M45" s="238">
        <f t="shared" si="2"/>
        <v>0</v>
      </c>
      <c r="N45" s="241">
        <f>M45*GDPpercap*Population</f>
        <v>0</v>
      </c>
      <c r="O45" s="166" t="s">
        <v>611</v>
      </c>
      <c r="P45" s="157">
        <f t="shared" si="3"/>
        <v>-0.10031847533699867</v>
      </c>
    </row>
    <row r="46" spans="2:16" s="149" customFormat="1">
      <c r="B46" s="167" t="s">
        <v>1411</v>
      </c>
      <c r="C46" s="168" t="str">
        <f>NYCinc!M65</f>
        <v>1.92112e+11</v>
      </c>
      <c r="D46" s="168" t="str">
        <f>NYCexc!M65</f>
        <v>1.10493e+11</v>
      </c>
      <c r="E46" s="233"/>
      <c r="F46" s="249"/>
      <c r="G46" s="235"/>
      <c r="H46" s="236"/>
      <c r="I46" s="237"/>
      <c r="J46" s="238"/>
      <c r="K46" s="239"/>
      <c r="L46" s="240"/>
      <c r="M46" s="238"/>
      <c r="N46" s="241"/>
      <c r="O46" s="166" t="s">
        <v>612</v>
      </c>
      <c r="P46" s="157">
        <f t="shared" si="3"/>
        <v>9.8215867970799842E-2</v>
      </c>
    </row>
    <row r="47" spans="2:16" s="149" customFormat="1">
      <c r="B47" s="155" t="s">
        <v>1412</v>
      </c>
      <c r="C47" s="161" t="str">
        <f>NYCinc!N41</f>
        <v>0.264</v>
      </c>
      <c r="D47" s="161" t="str">
        <f>NYCexc!N41</f>
        <v>0.377</v>
      </c>
      <c r="E47" s="220">
        <f>Population</f>
        <v>4260236</v>
      </c>
      <c r="F47" s="220">
        <f>C47*NewRRevMi</f>
        <v>0</v>
      </c>
      <c r="G47" s="224">
        <f t="shared" si="4"/>
        <v>0</v>
      </c>
      <c r="H47" s="226">
        <f>MIN(0.05*(NewRRevMi/54605),F47/E47)</f>
        <v>0</v>
      </c>
      <c r="I47" s="228" t="str">
        <f>PopWageOLS</f>
        <v>0.0420</v>
      </c>
      <c r="J47" s="243">
        <f t="shared" si="1"/>
        <v>0</v>
      </c>
      <c r="K47" s="245">
        <f t="shared" si="8"/>
        <v>0</v>
      </c>
      <c r="L47" s="247" t="str">
        <f>PopGDPols</f>
        <v>0.0610</v>
      </c>
      <c r="M47" s="243">
        <f t="shared" si="2"/>
        <v>0</v>
      </c>
      <c r="N47" s="232">
        <f>M47*GDPpercap*Population</f>
        <v>0</v>
      </c>
      <c r="O47" s="162" t="s">
        <v>789</v>
      </c>
      <c r="P47" s="157">
        <f t="shared" si="3"/>
        <v>-0.1258278145695364</v>
      </c>
    </row>
    <row r="48" spans="2:16" s="149" customFormat="1">
      <c r="B48" s="169" t="s">
        <v>1413</v>
      </c>
      <c r="C48" s="170" t="str">
        <f>NYCinc!O41</f>
        <v>0.287</v>
      </c>
      <c r="D48" s="170" t="str">
        <f>NYCexc!O41</f>
        <v>0.479</v>
      </c>
      <c r="E48" s="250"/>
      <c r="F48" s="250"/>
      <c r="G48" s="251"/>
      <c r="H48" s="252"/>
      <c r="I48" s="253"/>
      <c r="J48" s="254"/>
      <c r="K48" s="255"/>
      <c r="L48" s="256"/>
      <c r="M48" s="254"/>
      <c r="N48" s="257"/>
      <c r="O48" s="162" t="s">
        <v>790</v>
      </c>
      <c r="P48" s="157">
        <f t="shared" si="3"/>
        <v>-0.10869565217391308</v>
      </c>
    </row>
    <row r="49" spans="2:14" s="149" customFormat="1">
      <c r="B49" s="147"/>
      <c r="C49" s="171"/>
      <c r="D49" s="171"/>
      <c r="E49" s="171"/>
      <c r="F49" s="171"/>
      <c r="G49" s="171"/>
      <c r="H49" s="171"/>
      <c r="I49" s="171"/>
      <c r="J49" s="171"/>
      <c r="K49" s="171"/>
      <c r="L49" s="171"/>
      <c r="M49" s="171"/>
      <c r="N49" s="172"/>
    </row>
    <row r="50" spans="2:14" s="149" customFormat="1">
      <c r="B50" s="173" t="s">
        <v>1345</v>
      </c>
      <c r="C50" s="171"/>
      <c r="D50" s="174"/>
      <c r="E50" s="174"/>
      <c r="F50" s="171"/>
      <c r="G50" s="171"/>
      <c r="H50" s="171"/>
      <c r="I50" s="171"/>
      <c r="J50" s="171"/>
      <c r="K50" s="171"/>
      <c r="L50" s="171"/>
      <c r="M50" s="171"/>
      <c r="N50" s="172"/>
    </row>
    <row r="51" spans="2:14" s="149" customFormat="1">
      <c r="B51" s="175" t="s">
        <v>1291</v>
      </c>
      <c r="C51" s="175" t="s">
        <v>1290</v>
      </c>
      <c r="D51" s="176" t="s">
        <v>1292</v>
      </c>
      <c r="E51" s="176" t="s">
        <v>1293</v>
      </c>
      <c r="F51" s="175" t="s">
        <v>1432</v>
      </c>
      <c r="G51" s="177"/>
      <c r="H51" s="177"/>
      <c r="I51" s="177"/>
      <c r="J51" s="177"/>
      <c r="K51" s="177"/>
      <c r="L51" s="177"/>
      <c r="M51" s="177"/>
      <c r="N51" s="172"/>
    </row>
    <row r="52" spans="2:14" s="149" customFormat="1" ht="60">
      <c r="B52" s="150" t="s">
        <v>1414</v>
      </c>
      <c r="C52" s="178" t="s">
        <v>1427</v>
      </c>
      <c r="D52" s="159" t="str">
        <f>Agglomeration!B5</f>
        <v>0.0554</v>
      </c>
      <c r="E52" s="159" t="str">
        <f>Agglomeration!F5</f>
        <v>0.114</v>
      </c>
      <c r="F52" s="179" t="s">
        <v>1433</v>
      </c>
      <c r="G52" s="180"/>
      <c r="H52" s="180"/>
      <c r="I52" s="180"/>
      <c r="J52" s="171"/>
      <c r="K52" s="171"/>
      <c r="L52" s="171"/>
      <c r="M52" s="171"/>
      <c r="N52" s="172"/>
    </row>
    <row r="53" spans="2:14" s="149" customFormat="1" ht="60">
      <c r="B53" s="181" t="s">
        <v>1416</v>
      </c>
      <c r="C53" s="182" t="s">
        <v>1427</v>
      </c>
      <c r="D53" s="183" t="str">
        <f>Agglomeration!D5</f>
        <v>0.152</v>
      </c>
      <c r="E53" s="183" t="str">
        <f>Agglomeration!H5</f>
        <v>0.135</v>
      </c>
      <c r="F53" s="184" t="s">
        <v>1433</v>
      </c>
      <c r="G53" s="180"/>
      <c r="H53" s="180"/>
      <c r="I53" s="180"/>
      <c r="J53" s="171"/>
      <c r="K53" s="171"/>
      <c r="L53" s="171"/>
      <c r="M53" s="171"/>
      <c r="N53" s="172"/>
    </row>
    <row r="54" spans="2:14" s="149" customFormat="1" ht="30">
      <c r="B54" s="150" t="s">
        <v>1414</v>
      </c>
      <c r="C54" s="178" t="s">
        <v>1415</v>
      </c>
      <c r="D54" s="159" t="str">
        <f>Agglomeration!B14</f>
        <v>0.0420</v>
      </c>
      <c r="E54" s="159" t="str">
        <f>Agglomeration!F14</f>
        <v>0.0344</v>
      </c>
      <c r="F54" s="185" t="s">
        <v>1434</v>
      </c>
      <c r="G54" s="180"/>
      <c r="H54" s="180"/>
      <c r="I54" s="180"/>
      <c r="J54" s="171"/>
      <c r="K54" s="171"/>
      <c r="L54" s="171"/>
      <c r="M54" s="171"/>
      <c r="N54" s="172"/>
    </row>
    <row r="55" spans="2:14" s="149" customFormat="1" ht="30">
      <c r="B55" s="186" t="s">
        <v>1416</v>
      </c>
      <c r="C55" s="187" t="s">
        <v>1415</v>
      </c>
      <c r="D55" s="188" t="str">
        <f>Agglomeration!D14</f>
        <v>0.0610</v>
      </c>
      <c r="E55" s="188" t="str">
        <f>Agglomeration!H14</f>
        <v>0.0633</v>
      </c>
      <c r="F55" s="189" t="s">
        <v>1434</v>
      </c>
      <c r="G55" s="190"/>
      <c r="H55" s="190"/>
      <c r="I55" s="190"/>
      <c r="J55" s="191"/>
      <c r="K55" s="191"/>
      <c r="L55" s="191"/>
      <c r="M55" s="191"/>
      <c r="N55" s="192"/>
    </row>
    <row r="56" spans="2:14" s="149" customFormat="1"/>
  </sheetData>
  <mergeCells count="84">
    <mergeCell ref="J47:J48"/>
    <mergeCell ref="K47:K48"/>
    <mergeCell ref="L47:L48"/>
    <mergeCell ref="M47:M48"/>
    <mergeCell ref="N47:N48"/>
    <mergeCell ref="E47:E48"/>
    <mergeCell ref="F47:F48"/>
    <mergeCell ref="G47:G48"/>
    <mergeCell ref="H47:H48"/>
    <mergeCell ref="I47:I48"/>
    <mergeCell ref="J45:J46"/>
    <mergeCell ref="K45:K46"/>
    <mergeCell ref="L45:L46"/>
    <mergeCell ref="M45:M46"/>
    <mergeCell ref="N45:N46"/>
    <mergeCell ref="E45:E46"/>
    <mergeCell ref="F45:F46"/>
    <mergeCell ref="G45:G46"/>
    <mergeCell ref="H45:H46"/>
    <mergeCell ref="I45:I46"/>
    <mergeCell ref="J43:J44"/>
    <mergeCell ref="K43:K44"/>
    <mergeCell ref="L43:L44"/>
    <mergeCell ref="M43:M44"/>
    <mergeCell ref="N43:N44"/>
    <mergeCell ref="E43:E44"/>
    <mergeCell ref="F43:F44"/>
    <mergeCell ref="G43:G44"/>
    <mergeCell ref="H43:H44"/>
    <mergeCell ref="I43:I44"/>
    <mergeCell ref="J41:J42"/>
    <mergeCell ref="K41:K42"/>
    <mergeCell ref="L41:L42"/>
    <mergeCell ref="M41:M42"/>
    <mergeCell ref="N41:N42"/>
    <mergeCell ref="E41:E42"/>
    <mergeCell ref="F41:F42"/>
    <mergeCell ref="G41:G42"/>
    <mergeCell ref="H41:H42"/>
    <mergeCell ref="I41:I42"/>
    <mergeCell ref="J39:J40"/>
    <mergeCell ref="K39:K40"/>
    <mergeCell ref="L39:L40"/>
    <mergeCell ref="M39:M40"/>
    <mergeCell ref="N39:N40"/>
    <mergeCell ref="E39:E40"/>
    <mergeCell ref="F39:F40"/>
    <mergeCell ref="G39:G40"/>
    <mergeCell ref="H39:H40"/>
    <mergeCell ref="I39:I40"/>
    <mergeCell ref="N35:N36"/>
    <mergeCell ref="E37:E38"/>
    <mergeCell ref="F37:F38"/>
    <mergeCell ref="G37:G38"/>
    <mergeCell ref="H37:H38"/>
    <mergeCell ref="I37:I38"/>
    <mergeCell ref="J37:J38"/>
    <mergeCell ref="K37:K38"/>
    <mergeCell ref="L37:L38"/>
    <mergeCell ref="M37:M38"/>
    <mergeCell ref="N37:N38"/>
    <mergeCell ref="J35:J36"/>
    <mergeCell ref="K35:K36"/>
    <mergeCell ref="L35:L36"/>
    <mergeCell ref="M35:M36"/>
    <mergeCell ref="H12:I12"/>
    <mergeCell ref="J12:K12"/>
    <mergeCell ref="H13:I13"/>
    <mergeCell ref="E35:E36"/>
    <mergeCell ref="F35:F36"/>
    <mergeCell ref="G35:G36"/>
    <mergeCell ref="H35:H36"/>
    <mergeCell ref="I35:I36"/>
    <mergeCell ref="J13:K13"/>
    <mergeCell ref="H4:M4"/>
    <mergeCell ref="B4:F4"/>
    <mergeCell ref="H9:I9"/>
    <mergeCell ref="J9:K9"/>
    <mergeCell ref="L9:M9"/>
    <mergeCell ref="C10:E10"/>
    <mergeCell ref="H5:I5"/>
    <mergeCell ref="J5:K5"/>
    <mergeCell ref="L5:M5"/>
    <mergeCell ref="L10:M10"/>
  </mergeCells>
  <pageMargins left="0.7" right="0.7" top="0.75" bottom="0.75" header="0.3" footer="0.3"/>
  <pageSetup orientation="portrait" verticalDpi="1200" r:id="rId1"/>
  <legacyDrawing r:id="rId2"/>
  <extLst xmlns:x14="http://schemas.microsoft.com/office/spreadsheetml/2009/9/main">
    <ext uri="{CCE6A557-97BC-4b89-ADB6-D9C93CAAB3DF}">
      <x14:dataValidations xmlns:xm="http://schemas.microsoft.com/office/excel/2006/main" count="1">
        <x14:dataValidation type="list" allowBlank="1" showInputMessage="1" showErrorMessage="1">
          <x14:formula1>
            <xm:f>'MSA data'!$B$2:$B$342</xm:f>
          </x14:formula1>
          <xm:sqref>C10</xm:sqref>
        </x14:dataValidation>
      </x14:dataValidations>
    </ext>
  </extLst>
</worksheet>
</file>

<file path=xl/worksheets/sheet20.xml><?xml version="1.0" encoding="utf-8"?>
<worksheet xmlns="http://schemas.openxmlformats.org/spreadsheetml/2006/main" xmlns:r="http://schemas.openxmlformats.org/officeDocument/2006/relationships">
  <dimension ref="A1:AJ367"/>
  <sheetViews>
    <sheetView topLeftCell="A28" workbookViewId="0"/>
  </sheetViews>
  <sheetFormatPr defaultRowHeight="15"/>
  <cols>
    <col min="1" max="1" width="35.140625" customWidth="1"/>
    <col min="2" max="2" width="16" customWidth="1"/>
    <col min="3" max="3" width="16.28515625" customWidth="1"/>
    <col min="4" max="4" width="14" customWidth="1"/>
    <col min="5" max="5" width="14.42578125" customWidth="1"/>
    <col min="6" max="6" width="13.42578125" customWidth="1"/>
    <col min="7" max="7" width="10.85546875" customWidth="1"/>
    <col min="8" max="8" width="10.7109375" customWidth="1"/>
    <col min="9" max="9" width="15.5703125" customWidth="1"/>
    <col min="10" max="10" width="13.85546875" customWidth="1"/>
    <col min="11" max="11" width="16" customWidth="1"/>
    <col min="12" max="12" width="13.85546875" customWidth="1"/>
    <col min="13" max="13" width="15.7109375" customWidth="1"/>
    <col min="14" max="14" width="13.85546875" customWidth="1"/>
    <col min="16" max="21" width="16.5703125" customWidth="1"/>
    <col min="23" max="29" width="15.5703125" customWidth="1"/>
    <col min="30" max="30" width="18.42578125" customWidth="1"/>
    <col min="31" max="35" width="15.5703125" customWidth="1"/>
  </cols>
  <sheetData>
    <row r="1" spans="1:13">
      <c r="A1" s="27" t="s">
        <v>960</v>
      </c>
      <c r="B1" s="28"/>
      <c r="C1" s="28"/>
      <c r="D1" s="3"/>
      <c r="E1" s="3"/>
    </row>
    <row r="2" spans="1:13">
      <c r="A2" s="15"/>
      <c r="B2" s="3"/>
      <c r="C2" s="4"/>
      <c r="D2" s="3"/>
      <c r="E2" s="3"/>
    </row>
    <row r="3" spans="1:13">
      <c r="A3" s="15" t="s">
        <v>542</v>
      </c>
      <c r="B3" s="3"/>
      <c r="C3" s="4"/>
      <c r="D3" s="3"/>
      <c r="E3" s="3"/>
    </row>
    <row r="4" spans="1:13">
      <c r="A4" s="6" t="s">
        <v>268</v>
      </c>
      <c r="B4" s="3">
        <v>1698.6</v>
      </c>
      <c r="D4" s="3"/>
      <c r="E4" s="3"/>
    </row>
    <row r="5" spans="1:13">
      <c r="A5" s="3" t="s">
        <v>964</v>
      </c>
      <c r="B5" s="3">
        <v>5.909E-4</v>
      </c>
      <c r="D5" s="26" t="s">
        <v>963</v>
      </c>
      <c r="E5" s="3"/>
    </row>
    <row r="6" spans="1:13">
      <c r="A6" s="3" t="s">
        <v>965</v>
      </c>
      <c r="B6" s="3">
        <v>5.8422999999999999E-3</v>
      </c>
      <c r="D6" s="3"/>
      <c r="E6" s="3"/>
    </row>
    <row r="7" spans="1:13">
      <c r="A7" s="6" t="s">
        <v>740</v>
      </c>
      <c r="B7" s="3">
        <f>699416.2</f>
        <v>699416.2</v>
      </c>
      <c r="D7" s="3"/>
      <c r="E7" s="3"/>
    </row>
    <row r="8" spans="1:13">
      <c r="B8" s="3"/>
      <c r="D8" s="3"/>
      <c r="E8" s="3"/>
    </row>
    <row r="9" spans="1:13">
      <c r="A9" s="3"/>
      <c r="B9" s="3"/>
      <c r="D9" s="3"/>
      <c r="E9" s="3"/>
    </row>
    <row r="10" spans="1:13">
      <c r="B10" t="str">
        <f>"lnwage"</f>
        <v>lnwage</v>
      </c>
      <c r="C10" t="str">
        <f>"lngdppc00"</f>
        <v>lngdppc00</v>
      </c>
      <c r="D10" t="str">
        <f>"lnwage"</f>
        <v>lnwage</v>
      </c>
      <c r="E10" t="str">
        <f>"lngdppc00"</f>
        <v>lngdppc00</v>
      </c>
    </row>
    <row r="11" spans="1:13">
      <c r="A11" s="5" t="s">
        <v>267</v>
      </c>
      <c r="B11" t="s">
        <v>1</v>
      </c>
      <c r="C11" t="s">
        <v>1</v>
      </c>
      <c r="D11" t="s">
        <v>2</v>
      </c>
      <c r="E11" t="s">
        <v>2</v>
      </c>
    </row>
    <row r="12" spans="1:13">
      <c r="A12" t="s">
        <v>541</v>
      </c>
      <c r="B12" s="20" t="str">
        <f>+'Productivity model estimates'!B9</f>
        <v>0.0554</v>
      </c>
      <c r="C12" s="20" t="str">
        <f>+'Productivity model estimates'!D9</f>
        <v>0.152</v>
      </c>
      <c r="D12" s="20" t="str">
        <f>+'Productivity model estimates'!F9</f>
        <v>0.114</v>
      </c>
      <c r="E12" s="20" t="str">
        <f>+'Productivity model estimates'!H9</f>
        <v>0.135</v>
      </c>
    </row>
    <row r="13" spans="1:13">
      <c r="A13" s="3"/>
      <c r="B13" s="3"/>
      <c r="C13" s="3"/>
      <c r="D13" s="3"/>
      <c r="E13" s="3"/>
    </row>
    <row r="14" spans="1:13">
      <c r="A14" s="3"/>
      <c r="B14" t="s">
        <v>544</v>
      </c>
      <c r="C14" t="s">
        <v>544</v>
      </c>
      <c r="E14" t="s">
        <v>130</v>
      </c>
      <c r="F14" t="s">
        <v>130</v>
      </c>
    </row>
    <row r="15" spans="1:13">
      <c r="A15" s="3"/>
      <c r="B15" s="261" t="s">
        <v>1012</v>
      </c>
      <c r="C15" s="261"/>
      <c r="D15" s="48"/>
      <c r="E15" s="261" t="s">
        <v>1012</v>
      </c>
      <c r="F15" s="261"/>
    </row>
    <row r="16" spans="1:13">
      <c r="A16" s="5" t="s">
        <v>961</v>
      </c>
      <c r="B16" t="s">
        <v>1</v>
      </c>
      <c r="C16" t="s">
        <v>2</v>
      </c>
      <c r="E16" t="s">
        <v>1</v>
      </c>
      <c r="F16" t="s">
        <v>2</v>
      </c>
      <c r="I16" t="s">
        <v>1262</v>
      </c>
      <c r="K16" t="s">
        <v>1263</v>
      </c>
      <c r="M16" t="s">
        <v>1264</v>
      </c>
    </row>
    <row r="17" spans="1:35">
      <c r="A17" s="3" t="s">
        <v>543</v>
      </c>
      <c r="B17" s="18" t="str">
        <f>+'Seat capacity per capita'!C8</f>
        <v>67962.2</v>
      </c>
      <c r="C17" s="18" t="str">
        <f>+'Seat capacity per capita'!E8</f>
        <v>163877.0</v>
      </c>
      <c r="D17" s="20"/>
      <c r="E17" s="20" t="str">
        <f>+'Seat capacity per capita'!G8</f>
        <v>365090868.3</v>
      </c>
      <c r="F17" t="str">
        <f>+'Seat capacity per capita'!I8</f>
        <v>483977568.9</v>
      </c>
      <c r="H17" s="3"/>
      <c r="I17" s="3" t="s">
        <v>1254</v>
      </c>
      <c r="J17" s="3"/>
      <c r="K17" s="3" t="s">
        <v>1254</v>
      </c>
      <c r="L17" s="3"/>
      <c r="M17" s="3" t="s">
        <v>1254</v>
      </c>
      <c r="O17" s="3"/>
    </row>
    <row r="18" spans="1:35">
      <c r="A18" s="3" t="s">
        <v>966</v>
      </c>
      <c r="B18" s="21">
        <f>+$B$5/$B$4*B17</f>
        <v>2.3642331319910514E-2</v>
      </c>
      <c r="C18" s="21">
        <f t="shared" ref="C18" si="0">+$B$5/$B$4*C17</f>
        <v>5.7008665548098435E-2</v>
      </c>
      <c r="D18" s="21"/>
      <c r="E18" s="21">
        <f>+$B$5/$B$7*E17</f>
        <v>0.30844609272486112</v>
      </c>
      <c r="F18" s="21">
        <f>+$B$5/$B$7*F17</f>
        <v>0.4088872197455678</v>
      </c>
      <c r="H18" s="16"/>
      <c r="I18" s="3" t="s">
        <v>1</v>
      </c>
      <c r="J18" s="3" t="s">
        <v>2</v>
      </c>
      <c r="K18" s="3" t="s">
        <v>1</v>
      </c>
      <c r="L18" s="3" t="s">
        <v>2</v>
      </c>
      <c r="M18" s="3" t="s">
        <v>1</v>
      </c>
      <c r="N18" s="3" t="s">
        <v>2</v>
      </c>
    </row>
    <row r="19" spans="1:35">
      <c r="A19" s="3" t="s">
        <v>549</v>
      </c>
      <c r="B19" s="22">
        <f>+B18*$B$12</f>
        <v>1.3097851551230424E-3</v>
      </c>
      <c r="C19" s="22">
        <f>+C18*$D$12</f>
        <v>6.4989878724832214E-3</v>
      </c>
      <c r="D19" s="22"/>
      <c r="E19" s="22">
        <f>+E18*$B$12</f>
        <v>1.7087913536957305E-2</v>
      </c>
      <c r="F19" s="22">
        <f>+F18*$D$12</f>
        <v>4.6613143050994732E-2</v>
      </c>
      <c r="H19" s="3" t="s">
        <v>1259</v>
      </c>
      <c r="I19" s="34">
        <f>+'all wage calcs'!$D$2*B19*0.01</f>
        <v>0.57503520327662172</v>
      </c>
      <c r="J19" s="34">
        <f>+'all wage calcs'!$D$2*C19*0.01</f>
        <v>2.8532517701306648</v>
      </c>
      <c r="K19" s="34">
        <f>+'all wage calcs'!$D$2*E19*0.01</f>
        <v>7.5021096367323699</v>
      </c>
      <c r="L19" s="34">
        <f>+'all wage calcs'!$D$2*F19*0.01</f>
        <v>20.464576258823907</v>
      </c>
      <c r="M19" s="34">
        <f>+I19+K19</f>
        <v>8.0771448400089909</v>
      </c>
      <c r="N19" s="34">
        <f t="shared" ref="N19:N20" si="1">+J19+L19</f>
        <v>23.317828028954573</v>
      </c>
    </row>
    <row r="20" spans="1:35">
      <c r="A20" s="3" t="s">
        <v>550</v>
      </c>
      <c r="B20" s="22">
        <f>+B18*$C$12</f>
        <v>3.5936343606263982E-3</v>
      </c>
      <c r="C20" s="22">
        <f>+C18*$E$12</f>
        <v>7.696169848993289E-3</v>
      </c>
      <c r="D20" s="22"/>
      <c r="E20" s="22">
        <f>+E18*$C$12</f>
        <v>4.6883806094178887E-2</v>
      </c>
      <c r="F20" s="22">
        <f>+F18*$E$12</f>
        <v>5.5199774665651659E-2</v>
      </c>
      <c r="H20" s="3" t="s">
        <v>1260</v>
      </c>
      <c r="I20" s="34">
        <f>+'all wage calcs'!$D$2*B20*0.01</f>
        <v>1.5777139151271931</v>
      </c>
      <c r="J20" s="34">
        <f>+'all wage calcs'!$D$2*C20*0.01</f>
        <v>3.3788507804178924</v>
      </c>
      <c r="K20" s="34">
        <f>+'all wage calcs'!$D$2*E20*0.01</f>
        <v>20.583405501503975</v>
      </c>
      <c r="L20" s="34">
        <f>+'all wage calcs'!$D$2*F20*0.01</f>
        <v>24.234366622291468</v>
      </c>
      <c r="M20" s="34">
        <f t="shared" ref="M20" si="2">+I20+K20</f>
        <v>22.16111941663117</v>
      </c>
      <c r="N20" s="34">
        <f t="shared" si="1"/>
        <v>27.61321740270936</v>
      </c>
    </row>
    <row r="21" spans="1:35">
      <c r="A21" s="3"/>
      <c r="D21" s="22"/>
      <c r="E21" s="22"/>
      <c r="F21" s="22"/>
      <c r="H21" s="3"/>
      <c r="I21" s="3"/>
      <c r="J21" s="3"/>
      <c r="K21" s="3"/>
      <c r="L21" s="3"/>
    </row>
    <row r="22" spans="1:35">
      <c r="A22" s="3"/>
      <c r="B22" t="s">
        <v>544</v>
      </c>
      <c r="C22" t="s">
        <v>544</v>
      </c>
      <c r="D22" s="3"/>
      <c r="E22" t="s">
        <v>130</v>
      </c>
      <c r="F22" t="s">
        <v>130</v>
      </c>
      <c r="H22" s="3"/>
      <c r="I22" s="3"/>
      <c r="J22" s="3"/>
      <c r="K22" s="3"/>
      <c r="L22" s="3"/>
    </row>
    <row r="23" spans="1:35">
      <c r="B23" s="3" t="s">
        <v>1013</v>
      </c>
      <c r="E23" s="3" t="s">
        <v>1013</v>
      </c>
      <c r="H23" s="3"/>
      <c r="I23" s="3"/>
      <c r="J23" s="3"/>
      <c r="K23" s="3"/>
      <c r="L23" s="3"/>
    </row>
    <row r="24" spans="1:35">
      <c r="A24" s="5" t="s">
        <v>962</v>
      </c>
      <c r="B24" t="s">
        <v>1</v>
      </c>
      <c r="C24" t="s">
        <v>2</v>
      </c>
      <c r="E24" t="s">
        <v>1</v>
      </c>
      <c r="F24" t="s">
        <v>2</v>
      </c>
      <c r="H24" s="3"/>
      <c r="I24" s="3"/>
      <c r="J24" s="3"/>
      <c r="K24" s="3"/>
      <c r="L24" s="3"/>
    </row>
    <row r="25" spans="1:35">
      <c r="A25" s="3" t="s">
        <v>543</v>
      </c>
      <c r="B25" s="20" t="str">
        <f>+'Seat capacity per capita'!C14</f>
        <v>62478.1</v>
      </c>
      <c r="C25" s="20" t="str">
        <f>+'Seat capacity per capita'!E14</f>
        <v>57544.7</v>
      </c>
      <c r="D25" s="3"/>
      <c r="E25" s="20" t="str">
        <f>+'Seat capacity per capita'!G14</f>
        <v>38320955.8</v>
      </c>
      <c r="F25" s="18" t="str">
        <f>+'Seat capacity per capita'!I14</f>
        <v>14881035.0</v>
      </c>
      <c r="H25" s="3"/>
      <c r="I25" s="3"/>
      <c r="J25" s="3"/>
      <c r="K25" s="3"/>
      <c r="L25" s="3"/>
    </row>
    <row r="26" spans="1:35">
      <c r="A26" s="3" t="s">
        <v>967</v>
      </c>
      <c r="B26" s="21">
        <f>+$B$6/$B$4*B25</f>
        <v>0.21489214861062053</v>
      </c>
      <c r="C26" s="21">
        <f>+$B$6/$B$4*C25</f>
        <v>0.19792382009301779</v>
      </c>
      <c r="D26" s="3"/>
      <c r="E26" s="21">
        <f>+$B$6/$B$7*E25</f>
        <v>0.32009913420698571</v>
      </c>
      <c r="F26" s="21">
        <f>+$B$6/$B$7*F25</f>
        <v>0.1243029126012523</v>
      </c>
    </row>
    <row r="27" spans="1:35">
      <c r="A27" s="3" t="s">
        <v>549</v>
      </c>
      <c r="B27" s="23">
        <f>+B26*B12</f>
        <v>1.1905025033028377E-2</v>
      </c>
      <c r="C27" s="23">
        <f>+C26*D12</f>
        <v>2.256331549060403E-2</v>
      </c>
      <c r="D27" s="3"/>
      <c r="E27" s="22">
        <f>+E26*$B$12</f>
        <v>1.7733492035067008E-2</v>
      </c>
      <c r="F27" s="22">
        <f>+F26*$D$12</f>
        <v>1.4170532036542763E-2</v>
      </c>
      <c r="H27" s="3" t="s">
        <v>1259</v>
      </c>
      <c r="I27" s="34">
        <f>+'all wage calcs'!$D$2*B27*0.01</f>
        <v>5.226665200093553</v>
      </c>
      <c r="J27" s="34">
        <f>+'all wage calcs'!$D$2*C27*0.01</f>
        <v>9.905976303812345</v>
      </c>
      <c r="K27" s="34">
        <f>+'all wage calcs'!$D$2*E27*0.01</f>
        <v>7.7855380764574003</v>
      </c>
      <c r="L27" s="34">
        <f>+'all wage calcs'!$D$2*F27*0.01</f>
        <v>6.2212911318312845</v>
      </c>
      <c r="M27" s="34">
        <f>+I27+K27</f>
        <v>13.012203276550952</v>
      </c>
      <c r="N27" s="34">
        <f t="shared" ref="N27:N28" si="3">+J27+L27</f>
        <v>16.127267435643631</v>
      </c>
    </row>
    <row r="28" spans="1:35">
      <c r="A28" s="3" t="s">
        <v>550</v>
      </c>
      <c r="B28" s="23">
        <f>+B26*C12</f>
        <v>3.2663606588814321E-2</v>
      </c>
      <c r="C28" s="23">
        <f>+C26*E12</f>
        <v>2.6719715712557403E-2</v>
      </c>
      <c r="D28" s="3"/>
      <c r="E28" s="22">
        <f>+E26*$C$12</f>
        <v>4.8655068399461827E-2</v>
      </c>
      <c r="F28" s="22">
        <f>+F26*$E$12</f>
        <v>1.6780893201169062E-2</v>
      </c>
      <c r="H28" s="3" t="s">
        <v>1260</v>
      </c>
      <c r="I28" s="34">
        <f>+'all wage calcs'!$D$2*B28*0.01</f>
        <v>14.340308852242243</v>
      </c>
      <c r="J28" s="34">
        <f>+'all wage calcs'!$D$2*C28*0.01</f>
        <v>11.730761412409356</v>
      </c>
      <c r="K28" s="34">
        <f>+'all wage calcs'!$D$2*E28*0.01</f>
        <v>21.361043097861458</v>
      </c>
      <c r="L28" s="34">
        <f>+'all wage calcs'!$D$2*F28*0.01</f>
        <v>7.3673184455896799</v>
      </c>
      <c r="M28" s="34">
        <f t="shared" ref="M28" si="4">+I28+K28</f>
        <v>35.7013519501037</v>
      </c>
      <c r="N28" s="34">
        <f t="shared" si="3"/>
        <v>19.098079857999036</v>
      </c>
    </row>
    <row r="31" spans="1:35" ht="31.9" customHeight="1">
      <c r="I31" s="3"/>
      <c r="K31" s="269"/>
      <c r="L31" s="269"/>
      <c r="M31" s="269"/>
      <c r="N31" s="269"/>
      <c r="P31" s="3"/>
      <c r="R31" s="269"/>
      <c r="S31" s="269"/>
      <c r="T31" s="269"/>
      <c r="U31" s="269"/>
    </row>
    <row r="32" spans="1:35" ht="76.900000000000006" customHeight="1">
      <c r="I32" s="47" t="s">
        <v>1014</v>
      </c>
      <c r="J32" s="48"/>
      <c r="K32" s="58" t="s">
        <v>1015</v>
      </c>
      <c r="L32" s="59"/>
      <c r="M32" s="60" t="s">
        <v>1016</v>
      </c>
      <c r="N32" s="60"/>
      <c r="P32" s="47" t="s">
        <v>1018</v>
      </c>
      <c r="Q32" s="48"/>
      <c r="R32" s="58" t="s">
        <v>1017</v>
      </c>
      <c r="S32" s="59"/>
      <c r="T32" s="60" t="s">
        <v>1019</v>
      </c>
      <c r="U32" s="60"/>
      <c r="W32" s="47" t="s">
        <v>1020</v>
      </c>
      <c r="X32" s="48"/>
      <c r="Y32" s="58" t="s">
        <v>1015</v>
      </c>
      <c r="Z32" s="59"/>
      <c r="AA32" s="60" t="s">
        <v>1016</v>
      </c>
      <c r="AB32" s="60"/>
      <c r="AD32" s="47" t="s">
        <v>1021</v>
      </c>
      <c r="AE32" s="48"/>
      <c r="AF32" s="58" t="s">
        <v>1017</v>
      </c>
      <c r="AG32" s="59"/>
      <c r="AH32" s="60" t="s">
        <v>1019</v>
      </c>
      <c r="AI32" s="60"/>
    </row>
    <row r="33" spans="1:36" ht="49.9" customHeight="1">
      <c r="A33" t="s">
        <v>274</v>
      </c>
      <c r="B33" s="49" t="s">
        <v>965</v>
      </c>
      <c r="C33" s="49" t="s">
        <v>964</v>
      </c>
      <c r="D33" s="10" t="s">
        <v>583</v>
      </c>
      <c r="E33" s="49" t="s">
        <v>130</v>
      </c>
      <c r="F33" s="10" t="s">
        <v>564</v>
      </c>
      <c r="G33" s="49" t="s">
        <v>275</v>
      </c>
      <c r="H33" s="49" t="s">
        <v>563</v>
      </c>
      <c r="I33" s="17" t="s">
        <v>1</v>
      </c>
      <c r="J33" s="18" t="s">
        <v>2</v>
      </c>
      <c r="K33" s="17" t="s">
        <v>1</v>
      </c>
      <c r="L33" s="18" t="s">
        <v>2</v>
      </c>
      <c r="M33" s="17" t="s">
        <v>1</v>
      </c>
      <c r="N33" s="18" t="s">
        <v>2</v>
      </c>
      <c r="P33" s="17" t="s">
        <v>1</v>
      </c>
      <c r="Q33" s="18" t="s">
        <v>2</v>
      </c>
      <c r="R33" s="17" t="s">
        <v>1</v>
      </c>
      <c r="S33" s="18" t="s">
        <v>2</v>
      </c>
      <c r="T33" s="17" t="s">
        <v>1</v>
      </c>
      <c r="U33" s="18" t="s">
        <v>2</v>
      </c>
      <c r="W33" s="17" t="s">
        <v>1</v>
      </c>
      <c r="X33" s="18" t="s">
        <v>2</v>
      </c>
      <c r="Y33" s="17" t="s">
        <v>1</v>
      </c>
      <c r="Z33" s="18" t="s">
        <v>2</v>
      </c>
      <c r="AA33" s="17" t="s">
        <v>1</v>
      </c>
      <c r="AB33" s="18" t="s">
        <v>2</v>
      </c>
      <c r="AD33" s="17" t="s">
        <v>1</v>
      </c>
      <c r="AE33" s="18" t="s">
        <v>2</v>
      </c>
      <c r="AF33" s="17" t="s">
        <v>1</v>
      </c>
      <c r="AG33" s="18" t="s">
        <v>2</v>
      </c>
      <c r="AH33" s="17" t="s">
        <v>1</v>
      </c>
      <c r="AI33" s="18" t="s">
        <v>2</v>
      </c>
    </row>
    <row r="34" spans="1:36">
      <c r="A34" t="s">
        <v>279</v>
      </c>
      <c r="B34">
        <v>3.6037E-3</v>
      </c>
      <c r="C34">
        <v>0</v>
      </c>
      <c r="D34">
        <v>4396</v>
      </c>
      <c r="E34">
        <v>159059</v>
      </c>
      <c r="F34">
        <v>30197.81</v>
      </c>
      <c r="G34">
        <v>926.17930000000001</v>
      </c>
      <c r="H34">
        <v>101226</v>
      </c>
      <c r="I34">
        <f>+$B$17*C34/G34</f>
        <v>0</v>
      </c>
      <c r="J34">
        <f>+$C$17*C34/G34</f>
        <v>0</v>
      </c>
      <c r="K34">
        <f>+I34*$B$12</f>
        <v>0</v>
      </c>
      <c r="L34">
        <f>+J34*$D$12</f>
        <v>0</v>
      </c>
      <c r="M34">
        <f>+I34*$C$12</f>
        <v>0</v>
      </c>
      <c r="N34">
        <f>+J34*$E$12</f>
        <v>0</v>
      </c>
      <c r="P34" s="11">
        <f>+$B$25*B34/G34</f>
        <v>0.24309799298040885</v>
      </c>
      <c r="Q34" s="11">
        <f>+B34/G34*$C$25</f>
        <v>0.22390247265297333</v>
      </c>
      <c r="R34" s="11">
        <f>+P34*$B$12</f>
        <v>1.346762881111465E-2</v>
      </c>
      <c r="S34" s="11">
        <f>+Q34*$D$12</f>
        <v>2.5524881882438961E-2</v>
      </c>
      <c r="T34" s="11">
        <f>+P34*$C$12</f>
        <v>3.6950894933022144E-2</v>
      </c>
      <c r="U34" s="11">
        <f>+Q34*$E$12</f>
        <v>3.0226833808151402E-2</v>
      </c>
      <c r="W34">
        <f>+$E$17*C34/E34</f>
        <v>0</v>
      </c>
      <c r="X34">
        <f>+$F$17*C34/E34</f>
        <v>0</v>
      </c>
      <c r="Y34">
        <f>+W34*$B$12</f>
        <v>0</v>
      </c>
      <c r="Z34">
        <f>+X34*$D$12</f>
        <v>0</v>
      </c>
      <c r="AA34">
        <f>+W34*$C$12</f>
        <v>0</v>
      </c>
      <c r="AB34">
        <f>+X34*$E$12</f>
        <v>0</v>
      </c>
      <c r="AD34" s="11">
        <f>+$E$25*B34/E34</f>
        <v>0.86821386036917114</v>
      </c>
      <c r="AE34" s="11">
        <f>+B34/E34*$F$25</f>
        <v>0.33715027649802903</v>
      </c>
      <c r="AF34" s="11">
        <f>+AD34*$B$12</f>
        <v>4.8099047864452078E-2</v>
      </c>
      <c r="AG34" s="11">
        <f>+AE34*$D$12</f>
        <v>3.8435131520775309E-2</v>
      </c>
      <c r="AH34" s="11">
        <f>+AD34*$C$12</f>
        <v>0.13196850677611402</v>
      </c>
      <c r="AI34" s="11">
        <f>+AE34*$E$12</f>
        <v>4.5515287327233922E-2</v>
      </c>
      <c r="AJ34" s="11"/>
    </row>
    <row r="35" spans="1:36">
      <c r="A35" t="s">
        <v>968</v>
      </c>
      <c r="B35">
        <v>7.2912999999999997E-3</v>
      </c>
      <c r="C35">
        <v>0</v>
      </c>
      <c r="D35">
        <v>24951</v>
      </c>
      <c r="E35">
        <v>699954</v>
      </c>
      <c r="F35">
        <v>38704.769999999997</v>
      </c>
      <c r="G35">
        <v>1725.472</v>
      </c>
      <c r="H35">
        <v>424392</v>
      </c>
      <c r="I35">
        <f t="shared" ref="I35:I98" si="5">+$B$17*C35/G35</f>
        <v>0</v>
      </c>
      <c r="J35">
        <f t="shared" ref="J35:J98" si="6">+$C$17*C35/G35</f>
        <v>0</v>
      </c>
      <c r="K35">
        <f t="shared" ref="K35:K98" si="7">+I35*$B$12</f>
        <v>0</v>
      </c>
      <c r="L35">
        <f t="shared" ref="L35:L98" si="8">+J35*$D$12</f>
        <v>0</v>
      </c>
      <c r="M35">
        <f t="shared" ref="M35:M98" si="9">+I35*$C$12</f>
        <v>0</v>
      </c>
      <c r="N35">
        <f t="shared" ref="N35:N98" si="10">+J35*$E$12</f>
        <v>0</v>
      </c>
      <c r="P35" s="11">
        <f t="shared" ref="P35:P98" si="11">+$B$25*B35/G35</f>
        <v>0.2640127284186588</v>
      </c>
      <c r="Q35" s="11">
        <f t="shared" ref="Q35:Q98" si="12">+B35/G35*$C$25</f>
        <v>0.24316573732288904</v>
      </c>
      <c r="R35" s="11">
        <f t="shared" ref="R35:R98" si="13">+P35*$B$12</f>
        <v>1.4626305154393697E-2</v>
      </c>
      <c r="S35" s="11">
        <f t="shared" ref="S35:S98" si="14">+Q35*$D$12</f>
        <v>2.7720894054809351E-2</v>
      </c>
      <c r="T35" s="11">
        <f t="shared" ref="T35:T98" si="15">+P35*$C$12</f>
        <v>4.0129934719636134E-2</v>
      </c>
      <c r="U35" s="11">
        <f t="shared" ref="U35:U98" si="16">+Q35*$E$12</f>
        <v>3.2827374538590026E-2</v>
      </c>
      <c r="W35">
        <f t="shared" ref="W35:W98" si="17">+$E$17*C35/E35</f>
        <v>0</v>
      </c>
      <c r="X35">
        <f t="shared" ref="X35:X98" si="18">+$F$17*C35/E35</f>
        <v>0</v>
      </c>
      <c r="Y35">
        <f t="shared" ref="Y35:Y98" si="19">+W35*$B$12</f>
        <v>0</v>
      </c>
      <c r="Z35">
        <f t="shared" ref="Z35:Z98" si="20">+X35*$D$12</f>
        <v>0</v>
      </c>
      <c r="AA35">
        <f t="shared" ref="AA35:AA98" si="21">+W35*$C$12</f>
        <v>0</v>
      </c>
      <c r="AB35">
        <f t="shared" ref="AB35:AB98" si="22">+X35*$E$12</f>
        <v>0</v>
      </c>
      <c r="AD35" s="11">
        <f t="shared" ref="AD35:AD98" si="23">+$E$25*B35/E35</f>
        <v>0.39918278204644869</v>
      </c>
      <c r="AE35" s="11">
        <f t="shared" ref="AE35:AE98" si="24">+B35/E35*$F$25</f>
        <v>0.155013173002083</v>
      </c>
      <c r="AF35" s="11">
        <f t="shared" ref="AF35:AF98" si="25">+AD35*$B$12</f>
        <v>2.2114726125373258E-2</v>
      </c>
      <c r="AG35" s="11">
        <f t="shared" ref="AG35:AG98" si="26">+AE35*$D$12</f>
        <v>1.7671501722237463E-2</v>
      </c>
      <c r="AH35" s="11">
        <f t="shared" ref="AH35:AH98" si="27">+AD35*$C$12</f>
        <v>6.0675782871060201E-2</v>
      </c>
      <c r="AI35" s="11">
        <f t="shared" ref="AI35:AI98" si="28">+AE35*$E$12</f>
        <v>2.0926778355281207E-2</v>
      </c>
      <c r="AJ35" s="11"/>
    </row>
    <row r="36" spans="1:36">
      <c r="A36" t="s">
        <v>281</v>
      </c>
      <c r="B36">
        <v>2.8720999999999998E-3</v>
      </c>
      <c r="C36">
        <v>0</v>
      </c>
      <c r="D36">
        <v>3698</v>
      </c>
      <c r="E36">
        <v>164488</v>
      </c>
      <c r="F36">
        <v>29913.37</v>
      </c>
      <c r="G36">
        <v>757.42729999999995</v>
      </c>
      <c r="H36">
        <v>82255</v>
      </c>
      <c r="I36">
        <f t="shared" si="5"/>
        <v>0</v>
      </c>
      <c r="J36">
        <f t="shared" si="6"/>
        <v>0</v>
      </c>
      <c r="K36">
        <f t="shared" si="7"/>
        <v>0</v>
      </c>
      <c r="L36">
        <f t="shared" si="8"/>
        <v>0</v>
      </c>
      <c r="M36">
        <f t="shared" si="9"/>
        <v>0</v>
      </c>
      <c r="N36">
        <f t="shared" si="10"/>
        <v>0</v>
      </c>
      <c r="P36" s="11">
        <f t="shared" si="11"/>
        <v>0.2369116494876802</v>
      </c>
      <c r="Q36" s="11">
        <f t="shared" si="12"/>
        <v>0.21820461563769883</v>
      </c>
      <c r="R36" s="11">
        <f t="shared" si="13"/>
        <v>1.3124905381617483E-2</v>
      </c>
      <c r="S36" s="11">
        <f t="shared" si="14"/>
        <v>2.4875326182697666E-2</v>
      </c>
      <c r="T36" s="11">
        <f t="shared" si="15"/>
        <v>3.6010570722127391E-2</v>
      </c>
      <c r="U36" s="11">
        <f t="shared" si="16"/>
        <v>2.9457623111089345E-2</v>
      </c>
      <c r="W36">
        <f t="shared" si="17"/>
        <v>0</v>
      </c>
      <c r="X36">
        <f t="shared" si="18"/>
        <v>0</v>
      </c>
      <c r="Y36">
        <f t="shared" si="19"/>
        <v>0</v>
      </c>
      <c r="Z36">
        <f t="shared" si="20"/>
        <v>0</v>
      </c>
      <c r="AA36">
        <f t="shared" si="21"/>
        <v>0</v>
      </c>
      <c r="AB36">
        <f t="shared" si="22"/>
        <v>0</v>
      </c>
      <c r="AD36" s="11">
        <f t="shared" si="23"/>
        <v>0.66911639240053977</v>
      </c>
      <c r="AE36" s="11">
        <f t="shared" si="24"/>
        <v>0.25983549330954231</v>
      </c>
      <c r="AF36" s="11">
        <f t="shared" si="25"/>
        <v>3.7069048138989903E-2</v>
      </c>
      <c r="AG36" s="11">
        <f t="shared" si="26"/>
        <v>2.9621246237287825E-2</v>
      </c>
      <c r="AH36" s="11">
        <f t="shared" si="27"/>
        <v>0.10170569164488204</v>
      </c>
      <c r="AI36" s="11">
        <f t="shared" si="28"/>
        <v>3.5077791596788213E-2</v>
      </c>
      <c r="AJ36" s="11"/>
    </row>
    <row r="37" spans="1:36">
      <c r="A37" t="s">
        <v>283</v>
      </c>
      <c r="B37">
        <v>9.1383000000000002E-3</v>
      </c>
      <c r="C37">
        <v>0</v>
      </c>
      <c r="D37">
        <v>31218</v>
      </c>
      <c r="E37">
        <v>854301</v>
      </c>
      <c r="F37">
        <v>39400.06</v>
      </c>
      <c r="G37">
        <v>3641.2629999999999</v>
      </c>
      <c r="H37">
        <v>554009</v>
      </c>
      <c r="I37">
        <f t="shared" si="5"/>
        <v>0</v>
      </c>
      <c r="J37">
        <f t="shared" si="6"/>
        <v>0</v>
      </c>
      <c r="K37">
        <f t="shared" si="7"/>
        <v>0</v>
      </c>
      <c r="L37">
        <f t="shared" si="8"/>
        <v>0</v>
      </c>
      <c r="M37">
        <f t="shared" si="9"/>
        <v>0</v>
      </c>
      <c r="N37">
        <f t="shared" si="10"/>
        <v>0</v>
      </c>
      <c r="P37" s="11">
        <f t="shared" si="11"/>
        <v>0.15679823765270456</v>
      </c>
      <c r="Q37" s="11">
        <f t="shared" si="12"/>
        <v>0.14441712450048239</v>
      </c>
      <c r="R37" s="11">
        <f t="shared" si="13"/>
        <v>8.6866223659598334E-3</v>
      </c>
      <c r="S37" s="11">
        <f t="shared" si="14"/>
        <v>1.6463552193054991E-2</v>
      </c>
      <c r="T37" s="11">
        <f t="shared" si="15"/>
        <v>2.3833332123211093E-2</v>
      </c>
      <c r="U37" s="11">
        <f t="shared" si="16"/>
        <v>1.9496311807565125E-2</v>
      </c>
      <c r="W37">
        <f t="shared" si="17"/>
        <v>0</v>
      </c>
      <c r="X37">
        <f t="shared" si="18"/>
        <v>0</v>
      </c>
      <c r="Y37">
        <f t="shared" si="19"/>
        <v>0</v>
      </c>
      <c r="Z37">
        <f t="shared" si="20"/>
        <v>0</v>
      </c>
      <c r="AA37">
        <f t="shared" si="21"/>
        <v>0</v>
      </c>
      <c r="AB37">
        <f t="shared" si="22"/>
        <v>0</v>
      </c>
      <c r="AD37" s="11">
        <f t="shared" si="23"/>
        <v>0.40991218597091655</v>
      </c>
      <c r="AE37" s="11">
        <f t="shared" si="24"/>
        <v>0.1591796827353591</v>
      </c>
      <c r="AF37" s="11">
        <f t="shared" si="25"/>
        <v>2.2709135102788776E-2</v>
      </c>
      <c r="AG37" s="11">
        <f t="shared" si="26"/>
        <v>1.8146483831830939E-2</v>
      </c>
      <c r="AH37" s="11">
        <f t="shared" si="27"/>
        <v>6.2306652267579317E-2</v>
      </c>
      <c r="AI37" s="11">
        <f t="shared" si="28"/>
        <v>2.1489257169273478E-2</v>
      </c>
      <c r="AJ37" s="11"/>
    </row>
    <row r="38" spans="1:36">
      <c r="A38" t="s">
        <v>278</v>
      </c>
      <c r="B38">
        <v>6.8589000000000002E-3</v>
      </c>
      <c r="C38">
        <v>0</v>
      </c>
      <c r="D38">
        <v>28740</v>
      </c>
      <c r="E38">
        <v>846582</v>
      </c>
      <c r="F38">
        <v>35760.019999999997</v>
      </c>
      <c r="G38">
        <v>2119.08</v>
      </c>
      <c r="H38">
        <v>512994</v>
      </c>
      <c r="I38">
        <f t="shared" si="5"/>
        <v>0</v>
      </c>
      <c r="J38">
        <f t="shared" si="6"/>
        <v>0</v>
      </c>
      <c r="K38">
        <f t="shared" si="7"/>
        <v>0</v>
      </c>
      <c r="L38">
        <f t="shared" si="8"/>
        <v>0</v>
      </c>
      <c r="M38">
        <f t="shared" si="9"/>
        <v>0</v>
      </c>
      <c r="N38">
        <f t="shared" si="10"/>
        <v>0</v>
      </c>
      <c r="P38" s="11">
        <f t="shared" si="11"/>
        <v>0.20222504109802369</v>
      </c>
      <c r="Q38" s="11">
        <f t="shared" si="12"/>
        <v>0.1862569335891047</v>
      </c>
      <c r="R38" s="11">
        <f t="shared" si="13"/>
        <v>1.1203267276830513E-2</v>
      </c>
      <c r="S38" s="11">
        <f t="shared" si="14"/>
        <v>2.1233290429157937E-2</v>
      </c>
      <c r="T38" s="11">
        <f t="shared" si="15"/>
        <v>3.0738206246899602E-2</v>
      </c>
      <c r="U38" s="11">
        <f t="shared" si="16"/>
        <v>2.5144686034529136E-2</v>
      </c>
      <c r="W38">
        <f t="shared" si="17"/>
        <v>0</v>
      </c>
      <c r="X38">
        <f t="shared" si="18"/>
        <v>0</v>
      </c>
      <c r="Y38">
        <f t="shared" si="19"/>
        <v>0</v>
      </c>
      <c r="Z38">
        <f t="shared" si="20"/>
        <v>0</v>
      </c>
      <c r="AA38">
        <f t="shared" si="21"/>
        <v>0</v>
      </c>
      <c r="AB38">
        <f t="shared" si="22"/>
        <v>0</v>
      </c>
      <c r="AD38" s="11">
        <f t="shared" si="23"/>
        <v>0.31047152400667627</v>
      </c>
      <c r="AE38" s="11">
        <f t="shared" si="24"/>
        <v>0.1205642583488664</v>
      </c>
      <c r="AF38" s="11">
        <f t="shared" si="25"/>
        <v>1.7200122429969864E-2</v>
      </c>
      <c r="AG38" s="11">
        <f t="shared" si="26"/>
        <v>1.374432545177077E-2</v>
      </c>
      <c r="AH38" s="11">
        <f t="shared" si="27"/>
        <v>4.7191671649014791E-2</v>
      </c>
      <c r="AI38" s="11">
        <f t="shared" si="28"/>
        <v>1.6276174877096965E-2</v>
      </c>
      <c r="AJ38" s="11"/>
    </row>
    <row r="39" spans="1:36">
      <c r="A39" t="s">
        <v>286</v>
      </c>
      <c r="B39">
        <v>3.0514000000000001E-3</v>
      </c>
      <c r="C39">
        <v>0</v>
      </c>
      <c r="D39">
        <v>4087</v>
      </c>
      <c r="E39">
        <v>153451</v>
      </c>
      <c r="F39">
        <v>30911.47</v>
      </c>
      <c r="G39">
        <v>1243.1369999999999</v>
      </c>
      <c r="H39">
        <v>85873</v>
      </c>
      <c r="I39">
        <f t="shared" si="5"/>
        <v>0</v>
      </c>
      <c r="J39">
        <f t="shared" si="6"/>
        <v>0</v>
      </c>
      <c r="K39">
        <f t="shared" si="7"/>
        <v>0</v>
      </c>
      <c r="L39">
        <f t="shared" si="8"/>
        <v>0</v>
      </c>
      <c r="M39">
        <f t="shared" si="9"/>
        <v>0</v>
      </c>
      <c r="N39">
        <f t="shared" si="10"/>
        <v>0</v>
      </c>
      <c r="P39" s="11">
        <f t="shared" si="11"/>
        <v>0.15335853919559952</v>
      </c>
      <c r="Q39" s="11">
        <f t="shared" si="12"/>
        <v>0.14124903174790873</v>
      </c>
      <c r="R39" s="11">
        <f t="shared" si="13"/>
        <v>8.4960630714362127E-3</v>
      </c>
      <c r="S39" s="11">
        <f t="shared" si="14"/>
        <v>1.6102389619261595E-2</v>
      </c>
      <c r="T39" s="11">
        <f t="shared" si="15"/>
        <v>2.3310497957731127E-2</v>
      </c>
      <c r="U39" s="11">
        <f t="shared" si="16"/>
        <v>1.9068619285967679E-2</v>
      </c>
      <c r="W39">
        <f t="shared" si="17"/>
        <v>0</v>
      </c>
      <c r="X39">
        <f t="shared" si="18"/>
        <v>0</v>
      </c>
      <c r="Y39">
        <f t="shared" si="19"/>
        <v>0</v>
      </c>
      <c r="Z39">
        <f t="shared" si="20"/>
        <v>0</v>
      </c>
      <c r="AA39">
        <f t="shared" si="21"/>
        <v>0</v>
      </c>
      <c r="AB39">
        <f t="shared" si="22"/>
        <v>0</v>
      </c>
      <c r="AD39" s="11">
        <f t="shared" si="23"/>
        <v>0.76201891501599861</v>
      </c>
      <c r="AE39" s="11">
        <f t="shared" si="24"/>
        <v>0.2959119862301321</v>
      </c>
      <c r="AF39" s="11">
        <f t="shared" si="25"/>
        <v>4.2215847891886323E-2</v>
      </c>
      <c r="AG39" s="11">
        <f t="shared" si="26"/>
        <v>3.373396643023506E-2</v>
      </c>
      <c r="AH39" s="11">
        <f t="shared" si="27"/>
        <v>0.11582687508243178</v>
      </c>
      <c r="AI39" s="11">
        <f t="shared" si="28"/>
        <v>3.9948118141067836E-2</v>
      </c>
      <c r="AJ39" s="11"/>
    </row>
    <row r="40" spans="1:36">
      <c r="A40" t="s">
        <v>288</v>
      </c>
      <c r="B40">
        <v>3.7387000000000002E-3</v>
      </c>
      <c r="C40">
        <v>0</v>
      </c>
      <c r="D40">
        <v>27041</v>
      </c>
      <c r="E40">
        <v>811669</v>
      </c>
      <c r="F40">
        <v>41078.980000000003</v>
      </c>
      <c r="G40">
        <v>2332.174</v>
      </c>
      <c r="H40">
        <v>434311</v>
      </c>
      <c r="I40">
        <f t="shared" si="5"/>
        <v>0</v>
      </c>
      <c r="J40">
        <f t="shared" si="6"/>
        <v>0</v>
      </c>
      <c r="K40">
        <f t="shared" si="7"/>
        <v>0</v>
      </c>
      <c r="L40">
        <f t="shared" si="8"/>
        <v>0</v>
      </c>
      <c r="M40">
        <f t="shared" si="9"/>
        <v>0</v>
      </c>
      <c r="N40">
        <f t="shared" si="10"/>
        <v>0</v>
      </c>
      <c r="P40" s="11">
        <f t="shared" si="11"/>
        <v>0.10015842405841074</v>
      </c>
      <c r="Q40" s="11">
        <f t="shared" si="12"/>
        <v>9.2249707736215228E-2</v>
      </c>
      <c r="R40" s="11">
        <f t="shared" si="13"/>
        <v>5.5487766928359553E-3</v>
      </c>
      <c r="S40" s="11">
        <f t="shared" si="14"/>
        <v>1.0516466681928537E-2</v>
      </c>
      <c r="T40" s="11">
        <f t="shared" si="15"/>
        <v>1.5224080456878434E-2</v>
      </c>
      <c r="U40" s="11">
        <f t="shared" si="16"/>
        <v>1.2453710544389056E-2</v>
      </c>
      <c r="W40">
        <f t="shared" si="17"/>
        <v>0</v>
      </c>
      <c r="X40">
        <f t="shared" si="18"/>
        <v>0</v>
      </c>
      <c r="Y40">
        <f t="shared" si="19"/>
        <v>0</v>
      </c>
      <c r="Z40">
        <f t="shared" si="20"/>
        <v>0</v>
      </c>
      <c r="AA40">
        <f t="shared" si="21"/>
        <v>0</v>
      </c>
      <c r="AB40">
        <f t="shared" si="22"/>
        <v>0</v>
      </c>
      <c r="AD40" s="11">
        <f t="shared" si="23"/>
        <v>0.17651352638755452</v>
      </c>
      <c r="AE40" s="11">
        <f t="shared" si="24"/>
        <v>6.8544844702089158E-2</v>
      </c>
      <c r="AF40" s="11">
        <f t="shared" si="25"/>
        <v>9.7788493618705206E-3</v>
      </c>
      <c r="AG40" s="11">
        <f t="shared" si="26"/>
        <v>7.8141122960381643E-3</v>
      </c>
      <c r="AH40" s="11">
        <f t="shared" si="27"/>
        <v>2.6830056010908286E-2</v>
      </c>
      <c r="AI40" s="11">
        <f t="shared" si="28"/>
        <v>9.2535540347820373E-3</v>
      </c>
      <c r="AJ40" s="11"/>
    </row>
    <row r="41" spans="1:36">
      <c r="A41" t="s">
        <v>290</v>
      </c>
      <c r="B41">
        <v>8.9612000000000008E-3</v>
      </c>
      <c r="C41">
        <v>0</v>
      </c>
      <c r="D41">
        <v>3686</v>
      </c>
      <c r="E41">
        <v>125923</v>
      </c>
      <c r="F41">
        <v>30581.5</v>
      </c>
      <c r="G41">
        <v>2469.8020000000001</v>
      </c>
      <c r="H41">
        <v>75556</v>
      </c>
      <c r="I41">
        <f t="shared" si="5"/>
        <v>0</v>
      </c>
      <c r="J41">
        <f t="shared" si="6"/>
        <v>0</v>
      </c>
      <c r="K41">
        <f t="shared" si="7"/>
        <v>0</v>
      </c>
      <c r="L41">
        <f t="shared" si="8"/>
        <v>0</v>
      </c>
      <c r="M41">
        <f t="shared" si="9"/>
        <v>0</v>
      </c>
      <c r="N41">
        <f t="shared" si="10"/>
        <v>0</v>
      </c>
      <c r="P41" s="11">
        <f t="shared" si="11"/>
        <v>0.2266897304804191</v>
      </c>
      <c r="Q41" s="11">
        <f t="shared" si="12"/>
        <v>0.20878984049733543</v>
      </c>
      <c r="R41" s="11">
        <f t="shared" si="13"/>
        <v>1.2558611068615218E-2</v>
      </c>
      <c r="S41" s="11">
        <f t="shared" si="14"/>
        <v>2.3802041816696238E-2</v>
      </c>
      <c r="T41" s="11">
        <f t="shared" si="15"/>
        <v>3.4456839033023705E-2</v>
      </c>
      <c r="U41" s="11">
        <f t="shared" si="16"/>
        <v>2.8186628467140283E-2</v>
      </c>
      <c r="W41">
        <f t="shared" si="17"/>
        <v>0</v>
      </c>
      <c r="X41">
        <f t="shared" si="18"/>
        <v>0</v>
      </c>
      <c r="Y41">
        <f t="shared" si="19"/>
        <v>0</v>
      </c>
      <c r="Z41">
        <f t="shared" si="20"/>
        <v>0</v>
      </c>
      <c r="AA41">
        <f t="shared" si="21"/>
        <v>0</v>
      </c>
      <c r="AB41">
        <f t="shared" si="22"/>
        <v>0</v>
      </c>
      <c r="AD41" s="11">
        <f t="shared" si="23"/>
        <v>2.727077254472654</v>
      </c>
      <c r="AE41" s="11">
        <f t="shared" si="24"/>
        <v>1.0589958215893842</v>
      </c>
      <c r="AF41" s="11">
        <f t="shared" si="25"/>
        <v>0.15108007989778502</v>
      </c>
      <c r="AG41" s="11">
        <f t="shared" si="26"/>
        <v>0.1207255236611898</v>
      </c>
      <c r="AH41" s="11">
        <f t="shared" si="27"/>
        <v>0.41451574267984342</v>
      </c>
      <c r="AI41" s="11">
        <f t="shared" si="28"/>
        <v>0.14296443591456687</v>
      </c>
      <c r="AJ41" s="11"/>
    </row>
    <row r="42" spans="1:36">
      <c r="A42" t="s">
        <v>292</v>
      </c>
      <c r="B42">
        <v>1.9062E-3</v>
      </c>
      <c r="C42">
        <v>0</v>
      </c>
      <c r="D42">
        <v>8584</v>
      </c>
      <c r="E42">
        <v>243682</v>
      </c>
      <c r="F42">
        <v>34160.629999999997</v>
      </c>
      <c r="G42">
        <v>1137.7270000000001</v>
      </c>
      <c r="H42">
        <v>158038</v>
      </c>
      <c r="I42">
        <f t="shared" si="5"/>
        <v>0</v>
      </c>
      <c r="J42">
        <f t="shared" si="6"/>
        <v>0</v>
      </c>
      <c r="K42">
        <f t="shared" si="7"/>
        <v>0</v>
      </c>
      <c r="L42">
        <f t="shared" si="8"/>
        <v>0</v>
      </c>
      <c r="M42">
        <f t="shared" si="9"/>
        <v>0</v>
      </c>
      <c r="N42">
        <f t="shared" si="10"/>
        <v>0</v>
      </c>
      <c r="P42" s="11">
        <f t="shared" si="11"/>
        <v>0.10467867442716926</v>
      </c>
      <c r="Q42" s="11">
        <f t="shared" si="12"/>
        <v>9.641302978658324E-2</v>
      </c>
      <c r="R42" s="11">
        <f t="shared" si="13"/>
        <v>5.7991985632651769E-3</v>
      </c>
      <c r="S42" s="11">
        <f t="shared" si="14"/>
        <v>1.0991085395670491E-2</v>
      </c>
      <c r="T42" s="11">
        <f t="shared" si="15"/>
        <v>1.5911158512929728E-2</v>
      </c>
      <c r="U42" s="11">
        <f t="shared" si="16"/>
        <v>1.3015759021188738E-2</v>
      </c>
      <c r="W42">
        <f t="shared" si="17"/>
        <v>0</v>
      </c>
      <c r="X42">
        <f t="shared" si="18"/>
        <v>0</v>
      </c>
      <c r="Y42">
        <f t="shared" si="19"/>
        <v>0</v>
      </c>
      <c r="Z42">
        <f t="shared" si="20"/>
        <v>0</v>
      </c>
      <c r="AA42">
        <f t="shared" si="21"/>
        <v>0</v>
      </c>
      <c r="AB42">
        <f t="shared" si="22"/>
        <v>0</v>
      </c>
      <c r="AD42" s="11">
        <f t="shared" si="23"/>
        <v>0.29976529224957116</v>
      </c>
      <c r="AE42" s="11">
        <f t="shared" si="24"/>
        <v>0.11640674697761837</v>
      </c>
      <c r="AF42" s="11">
        <f t="shared" si="25"/>
        <v>1.6606997190626242E-2</v>
      </c>
      <c r="AG42" s="11">
        <f t="shared" si="26"/>
        <v>1.3270369155448495E-2</v>
      </c>
      <c r="AH42" s="11">
        <f t="shared" si="27"/>
        <v>4.5564324421934817E-2</v>
      </c>
      <c r="AI42" s="11">
        <f t="shared" si="28"/>
        <v>1.5714910841978482E-2</v>
      </c>
      <c r="AJ42" s="11"/>
    </row>
    <row r="43" spans="1:36">
      <c r="A43" t="s">
        <v>294</v>
      </c>
      <c r="B43">
        <v>2.5694600000000001E-2</v>
      </c>
      <c r="C43">
        <v>0</v>
      </c>
      <c r="D43">
        <v>2630</v>
      </c>
      <c r="E43">
        <v>86219</v>
      </c>
      <c r="F43">
        <v>30557.7</v>
      </c>
      <c r="G43">
        <v>1548.825</v>
      </c>
      <c r="H43">
        <v>57218</v>
      </c>
      <c r="I43">
        <f t="shared" si="5"/>
        <v>0</v>
      </c>
      <c r="J43">
        <f t="shared" si="6"/>
        <v>0</v>
      </c>
      <c r="K43">
        <f t="shared" si="7"/>
        <v>0</v>
      </c>
      <c r="L43">
        <f t="shared" si="8"/>
        <v>0</v>
      </c>
      <c r="M43">
        <f t="shared" si="9"/>
        <v>0</v>
      </c>
      <c r="N43">
        <f t="shared" si="10"/>
        <v>0</v>
      </c>
      <c r="P43" s="11">
        <f t="shared" si="11"/>
        <v>1.0364952710990589</v>
      </c>
      <c r="Q43" s="11">
        <f t="shared" si="12"/>
        <v>0.95465146070085383</v>
      </c>
      <c r="R43" s="11">
        <f t="shared" si="13"/>
        <v>5.7421838018887859E-2</v>
      </c>
      <c r="S43" s="11">
        <f t="shared" si="14"/>
        <v>0.10883026651989734</v>
      </c>
      <c r="T43" s="11">
        <f t="shared" si="15"/>
        <v>0.15754728120705697</v>
      </c>
      <c r="U43" s="11">
        <f t="shared" si="16"/>
        <v>0.12887794719461529</v>
      </c>
      <c r="W43">
        <f t="shared" si="17"/>
        <v>0</v>
      </c>
      <c r="X43">
        <f t="shared" si="18"/>
        <v>0</v>
      </c>
      <c r="Y43">
        <f t="shared" si="19"/>
        <v>0</v>
      </c>
      <c r="Z43">
        <f t="shared" si="20"/>
        <v>0</v>
      </c>
      <c r="AA43">
        <f t="shared" si="21"/>
        <v>0</v>
      </c>
      <c r="AB43">
        <f t="shared" si="22"/>
        <v>0</v>
      </c>
      <c r="AD43" s="11">
        <f t="shared" si="23"/>
        <v>11.42023951679653</v>
      </c>
      <c r="AE43" s="11">
        <f t="shared" si="24"/>
        <v>4.4347793631450143</v>
      </c>
      <c r="AF43" s="11">
        <f t="shared" si="25"/>
        <v>0.6326812692305277</v>
      </c>
      <c r="AG43" s="11">
        <f t="shared" si="26"/>
        <v>0.50556484739853169</v>
      </c>
      <c r="AH43" s="11">
        <f t="shared" si="27"/>
        <v>1.7358764065530725</v>
      </c>
      <c r="AI43" s="11">
        <f t="shared" si="28"/>
        <v>0.59869521402457693</v>
      </c>
      <c r="AJ43" s="11"/>
    </row>
    <row r="44" spans="1:36">
      <c r="A44" t="s">
        <v>296</v>
      </c>
      <c r="B44">
        <v>5.7494E-3</v>
      </c>
      <c r="C44">
        <v>0</v>
      </c>
      <c r="D44">
        <v>22202</v>
      </c>
      <c r="E44">
        <v>365790</v>
      </c>
      <c r="F44">
        <v>52499.14</v>
      </c>
      <c r="G44">
        <v>1364.231</v>
      </c>
      <c r="H44">
        <v>236261</v>
      </c>
      <c r="I44">
        <f t="shared" si="5"/>
        <v>0</v>
      </c>
      <c r="J44">
        <f t="shared" si="6"/>
        <v>0</v>
      </c>
      <c r="K44">
        <f t="shared" si="7"/>
        <v>0</v>
      </c>
      <c r="L44">
        <f t="shared" si="8"/>
        <v>0</v>
      </c>
      <c r="M44">
        <f t="shared" si="9"/>
        <v>0</v>
      </c>
      <c r="N44">
        <f t="shared" si="10"/>
        <v>0</v>
      </c>
      <c r="P44" s="11">
        <f t="shared" si="11"/>
        <v>0.2633070118916811</v>
      </c>
      <c r="Q44" s="11">
        <f t="shared" si="12"/>
        <v>0.24251574563252118</v>
      </c>
      <c r="R44" s="11">
        <f t="shared" si="13"/>
        <v>1.4587208458799131E-2</v>
      </c>
      <c r="S44" s="11">
        <f t="shared" si="14"/>
        <v>2.7646795002107417E-2</v>
      </c>
      <c r="T44" s="11">
        <f t="shared" si="15"/>
        <v>4.0022665807535523E-2</v>
      </c>
      <c r="U44" s="11">
        <f t="shared" si="16"/>
        <v>3.2739625660390362E-2</v>
      </c>
      <c r="W44">
        <f t="shared" si="17"/>
        <v>0</v>
      </c>
      <c r="X44">
        <f t="shared" si="18"/>
        <v>0</v>
      </c>
      <c r="Y44">
        <f t="shared" si="19"/>
        <v>0</v>
      </c>
      <c r="Z44">
        <f t="shared" si="20"/>
        <v>0</v>
      </c>
      <c r="AA44">
        <f t="shared" si="21"/>
        <v>0</v>
      </c>
      <c r="AB44">
        <f t="shared" si="22"/>
        <v>0</v>
      </c>
      <c r="AD44" s="11">
        <f t="shared" si="23"/>
        <v>0.6023196459075425</v>
      </c>
      <c r="AE44" s="11">
        <f t="shared" si="24"/>
        <v>0.23389655985401461</v>
      </c>
      <c r="AF44" s="11">
        <f t="shared" si="25"/>
        <v>3.3368508383277852E-2</v>
      </c>
      <c r="AG44" s="11">
        <f t="shared" si="26"/>
        <v>2.6664207823357666E-2</v>
      </c>
      <c r="AH44" s="11">
        <f t="shared" si="27"/>
        <v>9.1552586177946454E-2</v>
      </c>
      <c r="AI44" s="11">
        <f t="shared" si="28"/>
        <v>3.1576035580291976E-2</v>
      </c>
      <c r="AJ44" s="11"/>
    </row>
    <row r="45" spans="1:36">
      <c r="A45" t="s">
        <v>298</v>
      </c>
      <c r="B45">
        <v>2.9103000000000002E-3</v>
      </c>
      <c r="C45">
        <v>0</v>
      </c>
      <c r="D45">
        <v>2823</v>
      </c>
      <c r="E45">
        <v>131253</v>
      </c>
      <c r="F45">
        <v>29337.73</v>
      </c>
      <c r="G45">
        <v>590.27369999999996</v>
      </c>
      <c r="H45">
        <v>53469</v>
      </c>
      <c r="I45">
        <f t="shared" si="5"/>
        <v>0</v>
      </c>
      <c r="J45">
        <f t="shared" si="6"/>
        <v>0</v>
      </c>
      <c r="K45">
        <f t="shared" si="7"/>
        <v>0</v>
      </c>
      <c r="L45">
        <f t="shared" si="8"/>
        <v>0</v>
      </c>
      <c r="M45">
        <f t="shared" si="9"/>
        <v>0</v>
      </c>
      <c r="N45">
        <f t="shared" si="10"/>
        <v>0</v>
      </c>
      <c r="P45" s="11">
        <f t="shared" si="11"/>
        <v>0.30804356424824625</v>
      </c>
      <c r="Q45" s="11">
        <f t="shared" si="12"/>
        <v>0.28371980728600987</v>
      </c>
      <c r="R45" s="11">
        <f t="shared" si="13"/>
        <v>1.7065613459352841E-2</v>
      </c>
      <c r="S45" s="11">
        <f t="shared" si="14"/>
        <v>3.2344058030605125E-2</v>
      </c>
      <c r="T45" s="11">
        <f t="shared" si="15"/>
        <v>4.682262176573343E-2</v>
      </c>
      <c r="U45" s="11">
        <f t="shared" si="16"/>
        <v>3.8302173983611333E-2</v>
      </c>
      <c r="W45">
        <f t="shared" si="17"/>
        <v>0</v>
      </c>
      <c r="X45">
        <f t="shared" si="18"/>
        <v>0</v>
      </c>
      <c r="Y45">
        <f t="shared" si="19"/>
        <v>0</v>
      </c>
      <c r="Z45">
        <f t="shared" si="20"/>
        <v>0</v>
      </c>
      <c r="AA45">
        <f t="shared" si="21"/>
        <v>0</v>
      </c>
      <c r="AB45">
        <f t="shared" si="22"/>
        <v>0</v>
      </c>
      <c r="AD45" s="11">
        <f t="shared" si="23"/>
        <v>0.84969850338460839</v>
      </c>
      <c r="AE45" s="11">
        <f t="shared" si="24"/>
        <v>0.32996027641653908</v>
      </c>
      <c r="AF45" s="11">
        <f t="shared" si="25"/>
        <v>4.70732970875073E-2</v>
      </c>
      <c r="AG45" s="11">
        <f t="shared" si="26"/>
        <v>3.7615471511485456E-2</v>
      </c>
      <c r="AH45" s="11">
        <f t="shared" si="27"/>
        <v>0.12915417251446049</v>
      </c>
      <c r="AI45" s="11">
        <f t="shared" si="28"/>
        <v>4.4544637316232781E-2</v>
      </c>
      <c r="AJ45" s="11"/>
    </row>
    <row r="46" spans="1:36">
      <c r="A46" t="s">
        <v>300</v>
      </c>
      <c r="B46">
        <v>1.13166E-2</v>
      </c>
      <c r="C46">
        <v>0</v>
      </c>
      <c r="D46">
        <v>13279</v>
      </c>
      <c r="E46">
        <v>344767</v>
      </c>
      <c r="F46">
        <v>49048.7</v>
      </c>
      <c r="G46">
        <v>3474.2750000000001</v>
      </c>
      <c r="H46">
        <v>240701</v>
      </c>
      <c r="I46">
        <f t="shared" si="5"/>
        <v>0</v>
      </c>
      <c r="J46">
        <f t="shared" si="6"/>
        <v>0</v>
      </c>
      <c r="K46">
        <f t="shared" si="7"/>
        <v>0</v>
      </c>
      <c r="L46">
        <f t="shared" si="8"/>
        <v>0</v>
      </c>
      <c r="M46">
        <f t="shared" si="9"/>
        <v>0</v>
      </c>
      <c r="N46">
        <f t="shared" si="10"/>
        <v>0</v>
      </c>
      <c r="P46" s="11">
        <f t="shared" si="11"/>
        <v>0.20350711053673065</v>
      </c>
      <c r="Q46" s="11">
        <f t="shared" si="12"/>
        <v>0.18743776817321597</v>
      </c>
      <c r="R46" s="11">
        <f t="shared" si="13"/>
        <v>1.1274293923734878E-2</v>
      </c>
      <c r="S46" s="11">
        <f t="shared" si="14"/>
        <v>2.1367905571746622E-2</v>
      </c>
      <c r="T46" s="11">
        <f t="shared" si="15"/>
        <v>3.0933080801583059E-2</v>
      </c>
      <c r="U46" s="11">
        <f t="shared" si="16"/>
        <v>2.5304098703384157E-2</v>
      </c>
      <c r="W46">
        <f t="shared" si="17"/>
        <v>0</v>
      </c>
      <c r="X46">
        <f t="shared" si="18"/>
        <v>0</v>
      </c>
      <c r="Y46">
        <f t="shared" si="19"/>
        <v>0</v>
      </c>
      <c r="Z46">
        <f t="shared" si="20"/>
        <v>0</v>
      </c>
      <c r="AA46">
        <f t="shared" si="21"/>
        <v>0</v>
      </c>
      <c r="AB46">
        <f t="shared" si="22"/>
        <v>0</v>
      </c>
      <c r="AD46" s="11">
        <f t="shared" si="23"/>
        <v>1.2578434954803677</v>
      </c>
      <c r="AE46" s="11">
        <f t="shared" si="24"/>
        <v>0.48845371129197401</v>
      </c>
      <c r="AF46" s="11">
        <f t="shared" si="25"/>
        <v>6.9684529649612373E-2</v>
      </c>
      <c r="AG46" s="11">
        <f t="shared" si="26"/>
        <v>5.5683723087285038E-2</v>
      </c>
      <c r="AH46" s="11">
        <f t="shared" si="27"/>
        <v>0.19119221131301589</v>
      </c>
      <c r="AI46" s="11">
        <f t="shared" si="28"/>
        <v>6.5941251024416503E-2</v>
      </c>
      <c r="AJ46" s="11"/>
    </row>
    <row r="47" spans="1:36">
      <c r="A47" t="s">
        <v>969</v>
      </c>
      <c r="B47">
        <v>1.9945000000000002E-3</v>
      </c>
      <c r="C47">
        <v>0</v>
      </c>
      <c r="D47">
        <v>2815</v>
      </c>
      <c r="E47">
        <v>113422</v>
      </c>
      <c r="F47">
        <v>29444.720000000001</v>
      </c>
      <c r="G47">
        <v>653.15139999999997</v>
      </c>
      <c r="H47">
        <v>66665</v>
      </c>
      <c r="I47">
        <f t="shared" si="5"/>
        <v>0</v>
      </c>
      <c r="J47">
        <f t="shared" si="6"/>
        <v>0</v>
      </c>
      <c r="K47">
        <f t="shared" si="7"/>
        <v>0</v>
      </c>
      <c r="L47">
        <f t="shared" si="8"/>
        <v>0</v>
      </c>
      <c r="M47">
        <f t="shared" si="9"/>
        <v>0</v>
      </c>
      <c r="N47">
        <f t="shared" si="10"/>
        <v>0</v>
      </c>
      <c r="P47" s="11">
        <f t="shared" si="11"/>
        <v>0.19078665444183388</v>
      </c>
      <c r="Q47" s="11">
        <f t="shared" si="12"/>
        <v>0.17572174560140269</v>
      </c>
      <c r="R47" s="11">
        <f t="shared" si="13"/>
        <v>1.0569580656077597E-2</v>
      </c>
      <c r="S47" s="11">
        <f t="shared" si="14"/>
        <v>2.0032278998559909E-2</v>
      </c>
      <c r="T47" s="11">
        <f t="shared" si="15"/>
        <v>2.8999571475158747E-2</v>
      </c>
      <c r="U47" s="11">
        <f t="shared" si="16"/>
        <v>2.3722435656189363E-2</v>
      </c>
      <c r="W47">
        <f t="shared" si="17"/>
        <v>0</v>
      </c>
      <c r="X47">
        <f t="shared" si="18"/>
        <v>0</v>
      </c>
      <c r="Y47">
        <f t="shared" si="19"/>
        <v>0</v>
      </c>
      <c r="Z47">
        <f t="shared" si="20"/>
        <v>0</v>
      </c>
      <c r="AA47">
        <f t="shared" si="21"/>
        <v>0</v>
      </c>
      <c r="AB47">
        <f t="shared" si="22"/>
        <v>0</v>
      </c>
      <c r="AD47" s="11">
        <f t="shared" si="23"/>
        <v>0.67386526725943818</v>
      </c>
      <c r="AE47" s="11">
        <f t="shared" si="24"/>
        <v>0.26167960631535331</v>
      </c>
      <c r="AF47" s="11">
        <f t="shared" si="25"/>
        <v>3.7332135806172874E-2</v>
      </c>
      <c r="AG47" s="11">
        <f t="shared" si="26"/>
        <v>2.9831475119950279E-2</v>
      </c>
      <c r="AH47" s="11">
        <f t="shared" si="27"/>
        <v>0.1024275206234346</v>
      </c>
      <c r="AI47" s="11">
        <f t="shared" si="28"/>
        <v>3.5326746852572699E-2</v>
      </c>
      <c r="AJ47" s="11"/>
    </row>
    <row r="48" spans="1:36">
      <c r="A48" t="s">
        <v>302</v>
      </c>
      <c r="B48">
        <v>5.2017000000000001E-3</v>
      </c>
      <c r="C48">
        <v>0</v>
      </c>
      <c r="D48">
        <v>8555</v>
      </c>
      <c r="E48">
        <v>219780</v>
      </c>
      <c r="F48">
        <v>37370.67</v>
      </c>
      <c r="G48">
        <v>2531.6329999999998</v>
      </c>
      <c r="H48">
        <v>151240</v>
      </c>
      <c r="I48">
        <f t="shared" si="5"/>
        <v>0</v>
      </c>
      <c r="J48">
        <f t="shared" si="6"/>
        <v>0</v>
      </c>
      <c r="K48">
        <f t="shared" si="7"/>
        <v>0</v>
      </c>
      <c r="L48">
        <f t="shared" si="8"/>
        <v>0</v>
      </c>
      <c r="M48">
        <f t="shared" si="9"/>
        <v>0</v>
      </c>
      <c r="N48">
        <f t="shared" si="10"/>
        <v>0</v>
      </c>
      <c r="P48" s="11">
        <f t="shared" si="11"/>
        <v>0.12837260881415277</v>
      </c>
      <c r="Q48" s="11">
        <f t="shared" si="12"/>
        <v>0.11823604210799908</v>
      </c>
      <c r="R48" s="11">
        <f t="shared" si="13"/>
        <v>7.111842528304063E-3</v>
      </c>
      <c r="S48" s="11">
        <f t="shared" si="14"/>
        <v>1.3478908800311896E-2</v>
      </c>
      <c r="T48" s="11">
        <f t="shared" si="15"/>
        <v>1.9512636539751219E-2</v>
      </c>
      <c r="U48" s="11">
        <f t="shared" si="16"/>
        <v>1.5961865684579878E-2</v>
      </c>
      <c r="W48">
        <f t="shared" si="17"/>
        <v>0</v>
      </c>
      <c r="X48">
        <f t="shared" si="18"/>
        <v>0</v>
      </c>
      <c r="Y48">
        <f t="shared" si="19"/>
        <v>0</v>
      </c>
      <c r="Z48">
        <f t="shared" si="20"/>
        <v>0</v>
      </c>
      <c r="AA48">
        <f t="shared" si="21"/>
        <v>0</v>
      </c>
      <c r="AB48">
        <f t="shared" si="22"/>
        <v>0</v>
      </c>
      <c r="AD48" s="11">
        <f t="shared" si="23"/>
        <v>0.9069711337922467</v>
      </c>
      <c r="AE48" s="11">
        <f t="shared" si="24"/>
        <v>0.35220074510647009</v>
      </c>
      <c r="AF48" s="11">
        <f t="shared" si="25"/>
        <v>5.0246200812090462E-2</v>
      </c>
      <c r="AG48" s="11">
        <f t="shared" si="26"/>
        <v>4.0150884942137595E-2</v>
      </c>
      <c r="AH48" s="11">
        <f t="shared" si="27"/>
        <v>0.13785961233642149</v>
      </c>
      <c r="AI48" s="11">
        <f t="shared" si="28"/>
        <v>4.7547100589373469E-2</v>
      </c>
      <c r="AJ48" s="11"/>
    </row>
    <row r="49" spans="1:36">
      <c r="A49" t="s">
        <v>304</v>
      </c>
      <c r="B49">
        <v>5.0238000000000001E-3</v>
      </c>
      <c r="C49">
        <v>0</v>
      </c>
      <c r="D49">
        <v>4556</v>
      </c>
      <c r="E49">
        <v>189926</v>
      </c>
      <c r="F49">
        <v>30693.91</v>
      </c>
      <c r="G49">
        <v>903.04</v>
      </c>
      <c r="H49">
        <v>115868</v>
      </c>
      <c r="I49">
        <f t="shared" si="5"/>
        <v>0</v>
      </c>
      <c r="J49">
        <f t="shared" si="6"/>
        <v>0</v>
      </c>
      <c r="K49">
        <f t="shared" si="7"/>
        <v>0</v>
      </c>
      <c r="L49">
        <f t="shared" si="8"/>
        <v>0</v>
      </c>
      <c r="M49">
        <f t="shared" si="9"/>
        <v>0</v>
      </c>
      <c r="N49">
        <f t="shared" si="10"/>
        <v>0</v>
      </c>
      <c r="P49" s="11">
        <f t="shared" si="11"/>
        <v>0.34757871055545714</v>
      </c>
      <c r="Q49" s="11">
        <f t="shared" si="12"/>
        <v>0.32013317666991498</v>
      </c>
      <c r="R49" s="11">
        <f t="shared" si="13"/>
        <v>1.9255860564772326E-2</v>
      </c>
      <c r="S49" s="11">
        <f t="shared" si="14"/>
        <v>3.6495182140370307E-2</v>
      </c>
      <c r="T49" s="11">
        <f t="shared" si="15"/>
        <v>5.2831964004429487E-2</v>
      </c>
      <c r="U49" s="11">
        <f t="shared" si="16"/>
        <v>4.3217978850438522E-2</v>
      </c>
      <c r="W49">
        <f t="shared" si="17"/>
        <v>0</v>
      </c>
      <c r="X49">
        <f t="shared" si="18"/>
        <v>0</v>
      </c>
      <c r="Y49">
        <f t="shared" si="19"/>
        <v>0</v>
      </c>
      <c r="Z49">
        <f t="shared" si="20"/>
        <v>0</v>
      </c>
      <c r="AA49">
        <f t="shared" si="21"/>
        <v>0</v>
      </c>
      <c r="AB49">
        <f t="shared" si="22"/>
        <v>0</v>
      </c>
      <c r="AD49" s="11">
        <f t="shared" si="23"/>
        <v>1.013641195771195</v>
      </c>
      <c r="AE49" s="11">
        <f t="shared" si="24"/>
        <v>0.39362353565599234</v>
      </c>
      <c r="AF49" s="11">
        <f t="shared" si="25"/>
        <v>5.6155722245724203E-2</v>
      </c>
      <c r="AG49" s="11">
        <f t="shared" si="26"/>
        <v>4.4873083064783131E-2</v>
      </c>
      <c r="AH49" s="11">
        <f t="shared" si="27"/>
        <v>0.15407346175722164</v>
      </c>
      <c r="AI49" s="11">
        <f t="shared" si="28"/>
        <v>5.3139177313558966E-2</v>
      </c>
      <c r="AJ49" s="11"/>
    </row>
    <row r="50" spans="1:36">
      <c r="A50" t="s">
        <v>280</v>
      </c>
      <c r="B50">
        <v>6.9099000000000001E-3</v>
      </c>
      <c r="C50">
        <v>3.5412999999999998E-3</v>
      </c>
      <c r="D50">
        <v>244325</v>
      </c>
      <c r="E50">
        <v>5385586</v>
      </c>
      <c r="F50">
        <v>44729.85</v>
      </c>
      <c r="G50">
        <v>2583.3389999999999</v>
      </c>
      <c r="H50">
        <v>3235326</v>
      </c>
      <c r="I50">
        <f t="shared" si="5"/>
        <v>9.3164133263191548E-2</v>
      </c>
      <c r="J50">
        <f t="shared" si="6"/>
        <v>0.2246463279112807</v>
      </c>
      <c r="K50">
        <f t="shared" si="7"/>
        <v>5.1612929827808112E-3</v>
      </c>
      <c r="L50">
        <f t="shared" si="8"/>
        <v>2.5609681381886001E-2</v>
      </c>
      <c r="M50">
        <f t="shared" si="9"/>
        <v>1.4160948256005114E-2</v>
      </c>
      <c r="N50">
        <f t="shared" si="10"/>
        <v>3.0327254268022897E-2</v>
      </c>
      <c r="P50" s="11">
        <f t="shared" si="11"/>
        <v>0.16711605530284643</v>
      </c>
      <c r="Q50" s="11">
        <f t="shared" si="12"/>
        <v>0.15392022592853666</v>
      </c>
      <c r="R50" s="11">
        <f t="shared" si="13"/>
        <v>9.2582294637776914E-3</v>
      </c>
      <c r="S50" s="11">
        <f t="shared" si="14"/>
        <v>1.754690575585318E-2</v>
      </c>
      <c r="T50" s="11">
        <f t="shared" si="15"/>
        <v>2.5401640406032655E-2</v>
      </c>
      <c r="U50" s="11">
        <f t="shared" si="16"/>
        <v>2.077923050035245E-2</v>
      </c>
      <c r="W50">
        <f t="shared" si="17"/>
        <v>0.24006603773680152</v>
      </c>
      <c r="X50">
        <f t="shared" si="18"/>
        <v>0.31824016267599659</v>
      </c>
      <c r="Y50">
        <f t="shared" si="19"/>
        <v>1.3299658490618803E-2</v>
      </c>
      <c r="Z50">
        <f t="shared" si="20"/>
        <v>3.6279378545063613E-2</v>
      </c>
      <c r="AA50">
        <f t="shared" si="21"/>
        <v>3.6490037735993831E-2</v>
      </c>
      <c r="AB50">
        <f t="shared" si="22"/>
        <v>4.2962421961259545E-2</v>
      </c>
      <c r="AD50" s="11">
        <f t="shared" si="23"/>
        <v>4.916716072910543E-2</v>
      </c>
      <c r="AE50" s="11">
        <f t="shared" si="24"/>
        <v>1.9092901635309512E-2</v>
      </c>
      <c r="AF50" s="11">
        <f t="shared" si="25"/>
        <v>2.7238607043924409E-3</v>
      </c>
      <c r="AG50" s="11">
        <f t="shared" si="26"/>
        <v>2.1765907864252847E-3</v>
      </c>
      <c r="AH50" s="11">
        <f t="shared" si="27"/>
        <v>7.4734084308240249E-3</v>
      </c>
      <c r="AI50" s="11">
        <f t="shared" si="28"/>
        <v>2.5775417207667844E-3</v>
      </c>
      <c r="AJ50" s="11"/>
    </row>
    <row r="51" spans="1:36">
      <c r="A51" t="s">
        <v>307</v>
      </c>
      <c r="B51">
        <v>1.9497E-3</v>
      </c>
      <c r="C51">
        <v>0</v>
      </c>
      <c r="D51">
        <v>2552</v>
      </c>
      <c r="E51">
        <v>133105</v>
      </c>
      <c r="F51">
        <v>26619.3</v>
      </c>
      <c r="G51">
        <v>826.48789999999997</v>
      </c>
      <c r="H51">
        <v>68995</v>
      </c>
      <c r="I51">
        <f t="shared" si="5"/>
        <v>0</v>
      </c>
      <c r="J51">
        <f t="shared" si="6"/>
        <v>0</v>
      </c>
      <c r="K51">
        <f t="shared" si="7"/>
        <v>0</v>
      </c>
      <c r="L51">
        <f t="shared" si="8"/>
        <v>0</v>
      </c>
      <c r="M51">
        <f t="shared" si="9"/>
        <v>0</v>
      </c>
      <c r="N51">
        <f t="shared" si="10"/>
        <v>0</v>
      </c>
      <c r="P51" s="11">
        <f t="shared" si="11"/>
        <v>0.14738697513901899</v>
      </c>
      <c r="Q51" s="11">
        <f t="shared" si="12"/>
        <v>0.13574899474027385</v>
      </c>
      <c r="R51" s="11">
        <f t="shared" si="13"/>
        <v>8.1652384227016515E-3</v>
      </c>
      <c r="S51" s="11">
        <f t="shared" si="14"/>
        <v>1.547538540039122E-2</v>
      </c>
      <c r="T51" s="11">
        <f t="shared" si="15"/>
        <v>2.2402820221130888E-2</v>
      </c>
      <c r="U51" s="11">
        <f t="shared" si="16"/>
        <v>1.8326114289936971E-2</v>
      </c>
      <c r="W51">
        <f t="shared" si="17"/>
        <v>0</v>
      </c>
      <c r="X51">
        <f t="shared" si="18"/>
        <v>0</v>
      </c>
      <c r="Y51">
        <f t="shared" si="19"/>
        <v>0</v>
      </c>
      <c r="Z51">
        <f t="shared" si="20"/>
        <v>0</v>
      </c>
      <c r="AA51">
        <f t="shared" si="21"/>
        <v>0</v>
      </c>
      <c r="AB51">
        <f t="shared" si="22"/>
        <v>0</v>
      </c>
      <c r="AD51" s="11">
        <f t="shared" si="23"/>
        <v>0.56131901523804506</v>
      </c>
      <c r="AE51" s="11">
        <f t="shared" si="24"/>
        <v>0.21797493662522069</v>
      </c>
      <c r="AF51" s="11">
        <f t="shared" si="25"/>
        <v>3.1097073444187696E-2</v>
      </c>
      <c r="AG51" s="11">
        <f t="shared" si="26"/>
        <v>2.4849142775275158E-2</v>
      </c>
      <c r="AH51" s="11">
        <f t="shared" si="27"/>
        <v>8.5320490316182843E-2</v>
      </c>
      <c r="AI51" s="11">
        <f t="shared" si="28"/>
        <v>2.9426616444404793E-2</v>
      </c>
      <c r="AJ51" s="11"/>
    </row>
    <row r="52" spans="1:36">
      <c r="A52" t="s">
        <v>309</v>
      </c>
      <c r="B52">
        <v>1.3477000000000001E-3</v>
      </c>
      <c r="C52">
        <v>0</v>
      </c>
      <c r="D52">
        <v>13429</v>
      </c>
      <c r="E52">
        <v>534612</v>
      </c>
      <c r="F52">
        <v>34759.18</v>
      </c>
      <c r="G52">
        <v>717.59699999999998</v>
      </c>
      <c r="H52">
        <v>306044</v>
      </c>
      <c r="I52">
        <f t="shared" si="5"/>
        <v>0</v>
      </c>
      <c r="J52">
        <f t="shared" si="6"/>
        <v>0</v>
      </c>
      <c r="K52">
        <f t="shared" si="7"/>
        <v>0</v>
      </c>
      <c r="L52">
        <f t="shared" si="8"/>
        <v>0</v>
      </c>
      <c r="M52">
        <f t="shared" si="9"/>
        <v>0</v>
      </c>
      <c r="N52">
        <f t="shared" si="10"/>
        <v>0</v>
      </c>
      <c r="P52" s="11">
        <f t="shared" si="11"/>
        <v>0.11733847183028916</v>
      </c>
      <c r="Q52" s="11">
        <f t="shared" si="12"/>
        <v>0.10807318340238323</v>
      </c>
      <c r="R52" s="11">
        <f t="shared" si="13"/>
        <v>6.5005513393980186E-3</v>
      </c>
      <c r="S52" s="11">
        <f t="shared" si="14"/>
        <v>1.2320342907871689E-2</v>
      </c>
      <c r="T52" s="11">
        <f t="shared" si="15"/>
        <v>1.7835447718203952E-2</v>
      </c>
      <c r="U52" s="11">
        <f t="shared" si="16"/>
        <v>1.4589879759321737E-2</v>
      </c>
      <c r="W52">
        <f t="shared" si="17"/>
        <v>0</v>
      </c>
      <c r="X52">
        <f t="shared" si="18"/>
        <v>0</v>
      </c>
      <c r="Y52">
        <f t="shared" si="19"/>
        <v>0</v>
      </c>
      <c r="Z52">
        <f t="shared" si="20"/>
        <v>0</v>
      </c>
      <c r="AA52">
        <f t="shared" si="21"/>
        <v>0</v>
      </c>
      <c r="AB52">
        <f t="shared" si="22"/>
        <v>0</v>
      </c>
      <c r="AD52" s="11">
        <f t="shared" si="23"/>
        <v>9.6603054423881243E-2</v>
      </c>
      <c r="AE52" s="11">
        <f t="shared" si="24"/>
        <v>3.7513506747884451E-2</v>
      </c>
      <c r="AF52" s="11">
        <f t="shared" si="25"/>
        <v>5.3518092150830207E-3</v>
      </c>
      <c r="AG52" s="11">
        <f t="shared" si="26"/>
        <v>4.2765397692588279E-3</v>
      </c>
      <c r="AH52" s="11">
        <f t="shared" si="27"/>
        <v>1.4683664272429949E-2</v>
      </c>
      <c r="AI52" s="11">
        <f t="shared" si="28"/>
        <v>5.0643234109644013E-3</v>
      </c>
      <c r="AJ52" s="11"/>
    </row>
    <row r="53" spans="1:36">
      <c r="A53" t="s">
        <v>970</v>
      </c>
      <c r="B53">
        <v>8.2965000000000001E-3</v>
      </c>
      <c r="C53">
        <v>0</v>
      </c>
      <c r="D53">
        <v>69128</v>
      </c>
      <c r="E53">
        <v>1654100</v>
      </c>
      <c r="F53">
        <v>44621.43</v>
      </c>
      <c r="G53">
        <v>2327.9270000000001</v>
      </c>
      <c r="H53">
        <v>1064064</v>
      </c>
      <c r="I53">
        <f t="shared" si="5"/>
        <v>0</v>
      </c>
      <c r="J53">
        <f t="shared" si="6"/>
        <v>0</v>
      </c>
      <c r="K53">
        <f t="shared" si="7"/>
        <v>0</v>
      </c>
      <c r="L53">
        <f t="shared" si="8"/>
        <v>0</v>
      </c>
      <c r="M53">
        <f t="shared" si="9"/>
        <v>0</v>
      </c>
      <c r="N53">
        <f t="shared" si="10"/>
        <v>0</v>
      </c>
      <c r="P53" s="11">
        <f t="shared" si="11"/>
        <v>0.22266572648111385</v>
      </c>
      <c r="Q53" s="11">
        <f t="shared" si="12"/>
        <v>0.20508358017669795</v>
      </c>
      <c r="R53" s="11">
        <f t="shared" si="13"/>
        <v>1.2335681247053707E-2</v>
      </c>
      <c r="S53" s="11">
        <f t="shared" si="14"/>
        <v>2.3379528140143567E-2</v>
      </c>
      <c r="T53" s="11">
        <f t="shared" si="15"/>
        <v>3.3845190425129304E-2</v>
      </c>
      <c r="U53" s="11">
        <f t="shared" si="16"/>
        <v>2.7686283323854224E-2</v>
      </c>
      <c r="W53">
        <f t="shared" si="17"/>
        <v>0</v>
      </c>
      <c r="X53">
        <f t="shared" si="18"/>
        <v>0</v>
      </c>
      <c r="Y53">
        <f t="shared" si="19"/>
        <v>0</v>
      </c>
      <c r="Z53">
        <f t="shared" si="20"/>
        <v>0</v>
      </c>
      <c r="AA53">
        <f t="shared" si="21"/>
        <v>0</v>
      </c>
      <c r="AB53">
        <f t="shared" si="22"/>
        <v>0</v>
      </c>
      <c r="AD53" s="11">
        <f t="shared" si="23"/>
        <v>0.19220712761906777</v>
      </c>
      <c r="AE53" s="11">
        <f t="shared" si="24"/>
        <v>7.4639082810894139E-2</v>
      </c>
      <c r="AF53" s="11">
        <f t="shared" si="25"/>
        <v>1.0648274870096354E-2</v>
      </c>
      <c r="AG53" s="11">
        <f t="shared" si="26"/>
        <v>8.5088554404419321E-3</v>
      </c>
      <c r="AH53" s="11">
        <f t="shared" si="27"/>
        <v>2.9215483398098301E-2</v>
      </c>
      <c r="AI53" s="11">
        <f t="shared" si="28"/>
        <v>1.0076276179470709E-2</v>
      </c>
      <c r="AJ53" s="11"/>
    </row>
    <row r="54" spans="1:36">
      <c r="A54" t="s">
        <v>311</v>
      </c>
      <c r="B54">
        <v>3.8245000000000002E-3</v>
      </c>
      <c r="C54">
        <v>0</v>
      </c>
      <c r="D54">
        <v>22985</v>
      </c>
      <c r="E54">
        <v>797145</v>
      </c>
      <c r="F54">
        <v>37829.410000000003</v>
      </c>
      <c r="G54">
        <v>1638.9159999999999</v>
      </c>
      <c r="H54">
        <v>370844</v>
      </c>
      <c r="I54">
        <f t="shared" si="5"/>
        <v>0</v>
      </c>
      <c r="J54">
        <f t="shared" si="6"/>
        <v>0</v>
      </c>
      <c r="K54">
        <f t="shared" si="7"/>
        <v>0</v>
      </c>
      <c r="L54">
        <f t="shared" si="8"/>
        <v>0</v>
      </c>
      <c r="M54">
        <f t="shared" si="9"/>
        <v>0</v>
      </c>
      <c r="N54">
        <f t="shared" si="10"/>
        <v>0</v>
      </c>
      <c r="P54" s="11">
        <f t="shared" si="11"/>
        <v>0.14579605876689228</v>
      </c>
      <c r="Q54" s="11">
        <f t="shared" si="12"/>
        <v>0.13428370041539653</v>
      </c>
      <c r="R54" s="11">
        <f t="shared" si="13"/>
        <v>8.0771016556858317E-3</v>
      </c>
      <c r="S54" s="11">
        <f t="shared" si="14"/>
        <v>1.5308341847355205E-2</v>
      </c>
      <c r="T54" s="11">
        <f t="shared" si="15"/>
        <v>2.2161000932567627E-2</v>
      </c>
      <c r="U54" s="11">
        <f t="shared" si="16"/>
        <v>1.8128299556078531E-2</v>
      </c>
      <c r="W54">
        <f t="shared" si="17"/>
        <v>0</v>
      </c>
      <c r="X54">
        <f t="shared" si="18"/>
        <v>0</v>
      </c>
      <c r="Y54">
        <f t="shared" si="19"/>
        <v>0</v>
      </c>
      <c r="Z54">
        <f t="shared" si="20"/>
        <v>0</v>
      </c>
      <c r="AA54">
        <f t="shared" si="21"/>
        <v>0</v>
      </c>
      <c r="AB54">
        <f t="shared" si="22"/>
        <v>0</v>
      </c>
      <c r="AD54" s="11">
        <f t="shared" si="23"/>
        <v>0.18385424917311152</v>
      </c>
      <c r="AE54" s="11">
        <f t="shared" si="24"/>
        <v>7.1395440424891335E-2</v>
      </c>
      <c r="AF54" s="11">
        <f t="shared" si="25"/>
        <v>1.0185525404190378E-2</v>
      </c>
      <c r="AG54" s="11">
        <f t="shared" si="26"/>
        <v>8.1390802084376126E-3</v>
      </c>
      <c r="AH54" s="11">
        <f t="shared" si="27"/>
        <v>2.7945845874312952E-2</v>
      </c>
      <c r="AI54" s="11">
        <f t="shared" si="28"/>
        <v>9.63838445736033E-3</v>
      </c>
      <c r="AJ54" s="11"/>
    </row>
    <row r="55" spans="1:36">
      <c r="A55" t="s">
        <v>282</v>
      </c>
      <c r="B55">
        <v>1.54778E-2</v>
      </c>
      <c r="C55">
        <v>1.00573E-2</v>
      </c>
      <c r="D55">
        <v>108896</v>
      </c>
      <c r="E55">
        <v>2677712</v>
      </c>
      <c r="F55">
        <v>44573.68</v>
      </c>
      <c r="G55">
        <v>3706.4470000000001</v>
      </c>
      <c r="H55">
        <v>1711130</v>
      </c>
      <c r="I55">
        <f t="shared" si="5"/>
        <v>0.1844127904864146</v>
      </c>
      <c r="J55">
        <f t="shared" si="6"/>
        <v>0.44467387557410099</v>
      </c>
      <c r="K55">
        <f t="shared" si="7"/>
        <v>1.0216468592947368E-2</v>
      </c>
      <c r="L55">
        <f t="shared" si="8"/>
        <v>5.0692821815447514E-2</v>
      </c>
      <c r="M55">
        <f t="shared" si="9"/>
        <v>2.8030744153935017E-2</v>
      </c>
      <c r="N55">
        <f t="shared" si="10"/>
        <v>6.003097320250364E-2</v>
      </c>
      <c r="P55" s="11">
        <f t="shared" si="11"/>
        <v>0.26090310644668596</v>
      </c>
      <c r="Q55" s="11">
        <f t="shared" si="12"/>
        <v>0.24030165753348151</v>
      </c>
      <c r="R55" s="11">
        <f t="shared" si="13"/>
        <v>1.4454032097146402E-2</v>
      </c>
      <c r="S55" s="11">
        <f t="shared" si="14"/>
        <v>2.7394388958816893E-2</v>
      </c>
      <c r="T55" s="11">
        <f t="shared" si="15"/>
        <v>3.9657272179896265E-2</v>
      </c>
      <c r="U55" s="11">
        <f t="shared" si="16"/>
        <v>3.2440723767020008E-2</v>
      </c>
      <c r="W55">
        <f t="shared" si="17"/>
        <v>1.37125590420239</v>
      </c>
      <c r="X55">
        <f t="shared" si="18"/>
        <v>1.8177860814374247</v>
      </c>
      <c r="Y55">
        <f t="shared" si="19"/>
        <v>7.5967577092812405E-2</v>
      </c>
      <c r="Z55">
        <f t="shared" si="20"/>
        <v>0.20722761328386644</v>
      </c>
      <c r="AA55">
        <f t="shared" si="21"/>
        <v>0.20843089743876328</v>
      </c>
      <c r="AB55">
        <f t="shared" si="22"/>
        <v>0.24540112099405234</v>
      </c>
      <c r="AD55" s="11">
        <f t="shared" si="23"/>
        <v>0.22150406379821277</v>
      </c>
      <c r="AE55" s="11">
        <f t="shared" si="24"/>
        <v>8.6015853655284816E-2</v>
      </c>
      <c r="AF55" s="11">
        <f t="shared" si="25"/>
        <v>1.2271325134420988E-2</v>
      </c>
      <c r="AG55" s="11">
        <f t="shared" si="26"/>
        <v>9.8058073167024695E-3</v>
      </c>
      <c r="AH55" s="11">
        <f t="shared" si="27"/>
        <v>3.3668617697328339E-2</v>
      </c>
      <c r="AI55" s="11">
        <f t="shared" si="28"/>
        <v>1.1612140243463451E-2</v>
      </c>
      <c r="AJ55" s="11"/>
    </row>
    <row r="56" spans="1:36">
      <c r="A56" t="s">
        <v>314</v>
      </c>
      <c r="B56">
        <v>3.4453999999999999E-3</v>
      </c>
      <c r="C56">
        <v>0</v>
      </c>
      <c r="D56">
        <v>4449</v>
      </c>
      <c r="E56">
        <v>149268</v>
      </c>
      <c r="F56">
        <v>32412.02</v>
      </c>
      <c r="G56">
        <v>1603.3030000000001</v>
      </c>
      <c r="H56">
        <v>95667</v>
      </c>
      <c r="I56">
        <f t="shared" si="5"/>
        <v>0</v>
      </c>
      <c r="J56">
        <f t="shared" si="6"/>
        <v>0</v>
      </c>
      <c r="K56">
        <f t="shared" si="7"/>
        <v>0</v>
      </c>
      <c r="L56">
        <f t="shared" si="8"/>
        <v>0</v>
      </c>
      <c r="M56">
        <f t="shared" si="9"/>
        <v>0</v>
      </c>
      <c r="N56">
        <f t="shared" si="10"/>
        <v>0</v>
      </c>
      <c r="P56" s="11">
        <f t="shared" si="11"/>
        <v>0.13426161227166666</v>
      </c>
      <c r="Q56" s="11">
        <f t="shared" si="12"/>
        <v>0.12366003767223037</v>
      </c>
      <c r="R56" s="11">
        <f t="shared" si="13"/>
        <v>7.4380933198503326E-3</v>
      </c>
      <c r="S56" s="11">
        <f t="shared" si="14"/>
        <v>1.4097244294634263E-2</v>
      </c>
      <c r="T56" s="11">
        <f t="shared" si="15"/>
        <v>2.0407765065293331E-2</v>
      </c>
      <c r="U56" s="11">
        <f t="shared" si="16"/>
        <v>1.6694105085751101E-2</v>
      </c>
      <c r="W56">
        <f t="shared" si="17"/>
        <v>0</v>
      </c>
      <c r="X56">
        <f t="shared" si="18"/>
        <v>0</v>
      </c>
      <c r="Y56">
        <f t="shared" si="19"/>
        <v>0</v>
      </c>
      <c r="Z56">
        <f t="shared" si="20"/>
        <v>0</v>
      </c>
      <c r="AA56">
        <f t="shared" si="21"/>
        <v>0</v>
      </c>
      <c r="AB56">
        <f t="shared" si="22"/>
        <v>0</v>
      </c>
      <c r="AD56" s="11">
        <f t="shared" si="23"/>
        <v>0.88452328103357714</v>
      </c>
      <c r="AE56" s="11">
        <f t="shared" si="24"/>
        <v>0.34348365348902649</v>
      </c>
      <c r="AF56" s="11">
        <f t="shared" si="25"/>
        <v>4.9002589769260169E-2</v>
      </c>
      <c r="AG56" s="11">
        <f t="shared" si="26"/>
        <v>3.9157136497749018E-2</v>
      </c>
      <c r="AH56" s="11">
        <f t="shared" si="27"/>
        <v>0.13444753871710372</v>
      </c>
      <c r="AI56" s="11">
        <f t="shared" si="28"/>
        <v>4.6370293221018578E-2</v>
      </c>
      <c r="AJ56" s="11"/>
    </row>
    <row r="57" spans="1:36">
      <c r="A57" t="s">
        <v>316</v>
      </c>
      <c r="B57">
        <v>3.0089000000000001E-3</v>
      </c>
      <c r="C57">
        <v>0</v>
      </c>
      <c r="D57">
        <v>34223</v>
      </c>
      <c r="E57">
        <v>779340</v>
      </c>
      <c r="F57">
        <v>38533.21</v>
      </c>
      <c r="G57">
        <v>1816.59</v>
      </c>
      <c r="H57">
        <v>483553</v>
      </c>
      <c r="I57">
        <f t="shared" si="5"/>
        <v>0</v>
      </c>
      <c r="J57">
        <f t="shared" si="6"/>
        <v>0</v>
      </c>
      <c r="K57">
        <f t="shared" si="7"/>
        <v>0</v>
      </c>
      <c r="L57">
        <f t="shared" si="8"/>
        <v>0</v>
      </c>
      <c r="M57">
        <f t="shared" si="9"/>
        <v>0</v>
      </c>
      <c r="N57">
        <f t="shared" si="10"/>
        <v>0</v>
      </c>
      <c r="P57" s="11">
        <f t="shared" si="11"/>
        <v>0.1034852966767405</v>
      </c>
      <c r="Q57" s="11">
        <f t="shared" si="12"/>
        <v>9.5313883611601966E-2</v>
      </c>
      <c r="R57" s="11">
        <f t="shared" si="13"/>
        <v>5.7330854358914234E-3</v>
      </c>
      <c r="S57" s="11">
        <f t="shared" si="14"/>
        <v>1.0865782731722624E-2</v>
      </c>
      <c r="T57" s="11">
        <f t="shared" si="15"/>
        <v>1.5729765094864557E-2</v>
      </c>
      <c r="U57" s="11">
        <f t="shared" si="16"/>
        <v>1.2867374287566267E-2</v>
      </c>
      <c r="W57">
        <f t="shared" si="17"/>
        <v>0</v>
      </c>
      <c r="X57">
        <f t="shared" si="18"/>
        <v>0</v>
      </c>
      <c r="Y57">
        <f t="shared" si="19"/>
        <v>0</v>
      </c>
      <c r="Z57">
        <f t="shared" si="20"/>
        <v>0</v>
      </c>
      <c r="AA57">
        <f t="shared" si="21"/>
        <v>0</v>
      </c>
      <c r="AB57">
        <f t="shared" si="22"/>
        <v>0</v>
      </c>
      <c r="AD57" s="11">
        <f t="shared" si="23"/>
        <v>0.1479507325514153</v>
      </c>
      <c r="AE57" s="11">
        <f t="shared" si="24"/>
        <v>5.7453160637847417E-2</v>
      </c>
      <c r="AF57" s="11">
        <f t="shared" si="25"/>
        <v>8.1964705833484069E-3</v>
      </c>
      <c r="AG57" s="11">
        <f t="shared" si="26"/>
        <v>6.5496603127146056E-3</v>
      </c>
      <c r="AH57" s="11">
        <f t="shared" si="27"/>
        <v>2.2488511347815127E-2</v>
      </c>
      <c r="AI57" s="11">
        <f t="shared" si="28"/>
        <v>7.756176686109402E-3</v>
      </c>
      <c r="AJ57" s="11"/>
    </row>
    <row r="58" spans="1:36">
      <c r="A58" t="s">
        <v>318</v>
      </c>
      <c r="B58">
        <v>5.2088999999999998E-3</v>
      </c>
      <c r="C58">
        <v>0</v>
      </c>
      <c r="D58">
        <v>4179</v>
      </c>
      <c r="E58">
        <v>136404</v>
      </c>
      <c r="F58">
        <v>39451.65</v>
      </c>
      <c r="G58">
        <v>1062.7919999999999</v>
      </c>
      <c r="H58">
        <v>68614</v>
      </c>
      <c r="I58">
        <f t="shared" si="5"/>
        <v>0</v>
      </c>
      <c r="J58">
        <f t="shared" si="6"/>
        <v>0</v>
      </c>
      <c r="K58">
        <f t="shared" si="7"/>
        <v>0</v>
      </c>
      <c r="L58">
        <f t="shared" si="8"/>
        <v>0</v>
      </c>
      <c r="M58">
        <f t="shared" si="9"/>
        <v>0</v>
      </c>
      <c r="N58">
        <f t="shared" si="10"/>
        <v>0</v>
      </c>
      <c r="P58" s="11">
        <f t="shared" si="11"/>
        <v>0.30621436281981801</v>
      </c>
      <c r="Q58" s="11">
        <f t="shared" si="12"/>
        <v>0.2820350433857236</v>
      </c>
      <c r="R58" s="11">
        <f t="shared" si="13"/>
        <v>1.6964275700217916E-2</v>
      </c>
      <c r="S58" s="11">
        <f t="shared" si="14"/>
        <v>3.2151994945972491E-2</v>
      </c>
      <c r="T58" s="11">
        <f t="shared" si="15"/>
        <v>4.6544583148612338E-2</v>
      </c>
      <c r="U58" s="11">
        <f t="shared" si="16"/>
        <v>3.8074730857072692E-2</v>
      </c>
      <c r="W58">
        <f t="shared" si="17"/>
        <v>0</v>
      </c>
      <c r="X58">
        <f t="shared" si="18"/>
        <v>0</v>
      </c>
      <c r="Y58">
        <f t="shared" si="19"/>
        <v>0</v>
      </c>
      <c r="Z58">
        <f t="shared" si="20"/>
        <v>0</v>
      </c>
      <c r="AA58">
        <f t="shared" si="21"/>
        <v>0</v>
      </c>
      <c r="AB58">
        <f t="shared" si="22"/>
        <v>0</v>
      </c>
      <c r="AD58" s="11">
        <f t="shared" si="23"/>
        <v>1.4633737036056127</v>
      </c>
      <c r="AE58" s="11">
        <f t="shared" si="24"/>
        <v>0.56826649666798623</v>
      </c>
      <c r="AF58" s="11">
        <f t="shared" si="25"/>
        <v>8.1070903179750936E-2</v>
      </c>
      <c r="AG58" s="11">
        <f t="shared" si="26"/>
        <v>6.4782380620150432E-2</v>
      </c>
      <c r="AH58" s="11">
        <f t="shared" si="27"/>
        <v>0.22243280294805312</v>
      </c>
      <c r="AI58" s="11">
        <f t="shared" si="28"/>
        <v>7.6715977050178144E-2</v>
      </c>
      <c r="AJ58" s="11"/>
    </row>
    <row r="59" spans="1:36">
      <c r="A59" t="s">
        <v>320</v>
      </c>
      <c r="B59">
        <v>1.1446100000000001E-2</v>
      </c>
      <c r="C59">
        <v>0</v>
      </c>
      <c r="D59">
        <v>2449</v>
      </c>
      <c r="E59">
        <v>107597</v>
      </c>
      <c r="F59">
        <v>36092.14</v>
      </c>
      <c r="G59">
        <v>1293.6859999999999</v>
      </c>
      <c r="H59">
        <v>50175</v>
      </c>
      <c r="I59">
        <f t="shared" si="5"/>
        <v>0</v>
      </c>
      <c r="J59">
        <f t="shared" si="6"/>
        <v>0</v>
      </c>
      <c r="K59">
        <f t="shared" si="7"/>
        <v>0</v>
      </c>
      <c r="L59">
        <f t="shared" si="8"/>
        <v>0</v>
      </c>
      <c r="M59">
        <f t="shared" si="9"/>
        <v>0</v>
      </c>
      <c r="N59">
        <f t="shared" si="10"/>
        <v>0</v>
      </c>
      <c r="P59" s="11">
        <f t="shared" si="11"/>
        <v>0.55278528206226241</v>
      </c>
      <c r="Q59" s="11">
        <f t="shared" si="12"/>
        <v>0.50913621285999844</v>
      </c>
      <c r="R59" s="11">
        <f t="shared" si="13"/>
        <v>3.0624304626249335E-2</v>
      </c>
      <c r="S59" s="11">
        <f t="shared" si="14"/>
        <v>5.8041528266039824E-2</v>
      </c>
      <c r="T59" s="11">
        <f t="shared" si="15"/>
        <v>8.4023362873463889E-2</v>
      </c>
      <c r="U59" s="11">
        <f t="shared" si="16"/>
        <v>6.8733388736099799E-2</v>
      </c>
      <c r="W59">
        <f t="shared" si="17"/>
        <v>0</v>
      </c>
      <c r="X59">
        <f t="shared" si="18"/>
        <v>0</v>
      </c>
      <c r="Y59">
        <f t="shared" si="19"/>
        <v>0</v>
      </c>
      <c r="Z59">
        <f t="shared" si="20"/>
        <v>0</v>
      </c>
      <c r="AA59">
        <f t="shared" si="21"/>
        <v>0</v>
      </c>
      <c r="AB59">
        <f t="shared" si="22"/>
        <v>0</v>
      </c>
      <c r="AD59" s="11">
        <f t="shared" si="23"/>
        <v>4.0765587533330851</v>
      </c>
      <c r="AE59" s="11">
        <f t="shared" si="24"/>
        <v>1.5830349797252712</v>
      </c>
      <c r="AF59" s="11">
        <f t="shared" si="25"/>
        <v>0.2258413549346529</v>
      </c>
      <c r="AG59" s="11">
        <f t="shared" si="26"/>
        <v>0.18046598768868091</v>
      </c>
      <c r="AH59" s="11">
        <f t="shared" si="27"/>
        <v>0.61963693050662894</v>
      </c>
      <c r="AI59" s="11">
        <f t="shared" si="28"/>
        <v>0.21370972226291163</v>
      </c>
      <c r="AJ59" s="11"/>
    </row>
    <row r="60" spans="1:36">
      <c r="A60" t="s">
        <v>322</v>
      </c>
      <c r="B60">
        <v>2.5444E-3</v>
      </c>
      <c r="C60">
        <v>0</v>
      </c>
      <c r="D60">
        <v>13646</v>
      </c>
      <c r="E60">
        <v>377477</v>
      </c>
      <c r="F60">
        <v>41429.879999999997</v>
      </c>
      <c r="G60">
        <v>1111.5070000000001</v>
      </c>
      <c r="H60">
        <v>214052</v>
      </c>
      <c r="I60">
        <f t="shared" si="5"/>
        <v>0</v>
      </c>
      <c r="J60">
        <f t="shared" si="6"/>
        <v>0</v>
      </c>
      <c r="K60">
        <f t="shared" si="7"/>
        <v>0</v>
      </c>
      <c r="L60">
        <f t="shared" si="8"/>
        <v>0</v>
      </c>
      <c r="M60">
        <f t="shared" si="9"/>
        <v>0</v>
      </c>
      <c r="N60">
        <f t="shared" si="10"/>
        <v>0</v>
      </c>
      <c r="P60" s="11">
        <f t="shared" si="11"/>
        <v>0.14302139135426048</v>
      </c>
      <c r="Q60" s="11">
        <f t="shared" si="12"/>
        <v>0.13172812648053497</v>
      </c>
      <c r="R60" s="11">
        <f t="shared" si="13"/>
        <v>7.9233850810260294E-3</v>
      </c>
      <c r="S60" s="11">
        <f t="shared" si="14"/>
        <v>1.5017006418780987E-2</v>
      </c>
      <c r="T60" s="11">
        <f t="shared" si="15"/>
        <v>2.1739251485847592E-2</v>
      </c>
      <c r="U60" s="11">
        <f t="shared" si="16"/>
        <v>1.7783297074872223E-2</v>
      </c>
      <c r="W60">
        <f t="shared" si="17"/>
        <v>0</v>
      </c>
      <c r="X60">
        <f t="shared" si="18"/>
        <v>0</v>
      </c>
      <c r="Y60">
        <f t="shared" si="19"/>
        <v>0</v>
      </c>
      <c r="Z60">
        <f t="shared" si="20"/>
        <v>0</v>
      </c>
      <c r="AA60">
        <f t="shared" si="21"/>
        <v>0</v>
      </c>
      <c r="AB60">
        <f t="shared" si="22"/>
        <v>0</v>
      </c>
      <c r="AD60" s="11">
        <f t="shared" si="23"/>
        <v>0.25830405544581525</v>
      </c>
      <c r="AE60" s="11">
        <f t="shared" si="24"/>
        <v>0.10030625827268946</v>
      </c>
      <c r="AF60" s="11">
        <f t="shared" si="25"/>
        <v>1.4310044671698165E-2</v>
      </c>
      <c r="AG60" s="11">
        <f t="shared" si="26"/>
        <v>1.14349134430866E-2</v>
      </c>
      <c r="AH60" s="11">
        <f t="shared" si="27"/>
        <v>3.9262216427763917E-2</v>
      </c>
      <c r="AI60" s="11">
        <f t="shared" si="28"/>
        <v>1.3541344866813078E-2</v>
      </c>
      <c r="AJ60" s="11"/>
    </row>
    <row r="61" spans="1:36">
      <c r="A61" t="s">
        <v>324</v>
      </c>
      <c r="B61">
        <v>1.0604499999999999E-2</v>
      </c>
      <c r="C61">
        <v>0</v>
      </c>
      <c r="D61">
        <v>6442</v>
      </c>
      <c r="E61">
        <v>196960</v>
      </c>
      <c r="F61">
        <v>35949.519999999997</v>
      </c>
      <c r="G61">
        <v>1664.125</v>
      </c>
      <c r="H61">
        <v>116172</v>
      </c>
      <c r="I61">
        <f t="shared" si="5"/>
        <v>0</v>
      </c>
      <c r="J61">
        <f t="shared" si="6"/>
        <v>0</v>
      </c>
      <c r="K61">
        <f t="shared" si="7"/>
        <v>0</v>
      </c>
      <c r="L61">
        <f t="shared" si="8"/>
        <v>0</v>
      </c>
      <c r="M61">
        <f t="shared" si="9"/>
        <v>0</v>
      </c>
      <c r="N61">
        <f t="shared" si="10"/>
        <v>0</v>
      </c>
      <c r="P61" s="11">
        <f t="shared" si="11"/>
        <v>0.39813656513182599</v>
      </c>
      <c r="Q61" s="11">
        <f t="shared" si="12"/>
        <v>0.36669887847968147</v>
      </c>
      <c r="R61" s="11">
        <f t="shared" si="13"/>
        <v>2.2056765708303158E-2</v>
      </c>
      <c r="S61" s="11">
        <f t="shared" si="14"/>
        <v>4.1803672146683686E-2</v>
      </c>
      <c r="T61" s="11">
        <f t="shared" si="15"/>
        <v>6.0516757900037549E-2</v>
      </c>
      <c r="U61" s="11">
        <f t="shared" si="16"/>
        <v>4.9504348594757004E-2</v>
      </c>
      <c r="W61">
        <f t="shared" si="17"/>
        <v>0</v>
      </c>
      <c r="X61">
        <f t="shared" si="18"/>
        <v>0</v>
      </c>
      <c r="Y61">
        <f t="shared" si="19"/>
        <v>0</v>
      </c>
      <c r="Z61">
        <f t="shared" si="20"/>
        <v>0</v>
      </c>
      <c r="AA61">
        <f t="shared" si="21"/>
        <v>0</v>
      </c>
      <c r="AB61">
        <f t="shared" si="22"/>
        <v>0</v>
      </c>
      <c r="AD61" s="11">
        <f t="shared" si="23"/>
        <v>2.0632340362566</v>
      </c>
      <c r="AE61" s="11">
        <f t="shared" si="24"/>
        <v>0.80120804050314776</v>
      </c>
      <c r="AF61" s="11">
        <f t="shared" si="25"/>
        <v>0.11430316560861563</v>
      </c>
      <c r="AG61" s="11">
        <f t="shared" si="26"/>
        <v>9.1337716617358844E-2</v>
      </c>
      <c r="AH61" s="11">
        <f t="shared" si="27"/>
        <v>0.31361157351100316</v>
      </c>
      <c r="AI61" s="11">
        <f t="shared" si="28"/>
        <v>0.10816308546792495</v>
      </c>
      <c r="AJ61" s="11"/>
    </row>
    <row r="62" spans="1:36">
      <c r="A62" t="s">
        <v>326</v>
      </c>
      <c r="B62">
        <v>1.6297E-3</v>
      </c>
      <c r="C62">
        <v>0</v>
      </c>
      <c r="D62">
        <v>5636</v>
      </c>
      <c r="E62">
        <v>157730</v>
      </c>
      <c r="F62">
        <v>32447.22</v>
      </c>
      <c r="G62">
        <v>1372.212</v>
      </c>
      <c r="H62">
        <v>101177</v>
      </c>
      <c r="I62">
        <f t="shared" si="5"/>
        <v>0</v>
      </c>
      <c r="J62">
        <f t="shared" si="6"/>
        <v>0</v>
      </c>
      <c r="K62">
        <f t="shared" si="7"/>
        <v>0</v>
      </c>
      <c r="L62">
        <f t="shared" si="8"/>
        <v>0</v>
      </c>
      <c r="M62">
        <f t="shared" si="9"/>
        <v>0</v>
      </c>
      <c r="N62">
        <f t="shared" si="10"/>
        <v>0</v>
      </c>
      <c r="P62" s="11">
        <f t="shared" si="11"/>
        <v>7.4201770258531488E-2</v>
      </c>
      <c r="Q62" s="11">
        <f t="shared" si="12"/>
        <v>6.8342645006748221E-2</v>
      </c>
      <c r="R62" s="11">
        <f t="shared" si="13"/>
        <v>4.1107780723226442E-3</v>
      </c>
      <c r="S62" s="11">
        <f t="shared" si="14"/>
        <v>7.7910615307692976E-3</v>
      </c>
      <c r="T62" s="11">
        <f t="shared" si="15"/>
        <v>1.1278669079296786E-2</v>
      </c>
      <c r="U62" s="11">
        <f t="shared" si="16"/>
        <v>9.22625707591101E-3</v>
      </c>
      <c r="W62">
        <f t="shared" si="17"/>
        <v>0</v>
      </c>
      <c r="X62">
        <f t="shared" si="18"/>
        <v>0</v>
      </c>
      <c r="Y62">
        <f t="shared" si="19"/>
        <v>0</v>
      </c>
      <c r="Z62">
        <f t="shared" si="20"/>
        <v>0</v>
      </c>
      <c r="AA62">
        <f t="shared" si="21"/>
        <v>0</v>
      </c>
      <c r="AB62">
        <f t="shared" si="22"/>
        <v>0</v>
      </c>
      <c r="AD62" s="11">
        <f t="shared" si="23"/>
        <v>0.39594028826006461</v>
      </c>
      <c r="AE62" s="11">
        <f t="shared" si="24"/>
        <v>0.15375402738540545</v>
      </c>
      <c r="AF62" s="11">
        <f t="shared" si="25"/>
        <v>2.1935091969607579E-2</v>
      </c>
      <c r="AG62" s="11">
        <f t="shared" si="26"/>
        <v>1.7527959121936221E-2</v>
      </c>
      <c r="AH62" s="11">
        <f t="shared" si="27"/>
        <v>6.0182923815529817E-2</v>
      </c>
      <c r="AI62" s="11">
        <f t="shared" si="28"/>
        <v>2.0756793697029735E-2</v>
      </c>
      <c r="AJ62" s="11"/>
    </row>
    <row r="63" spans="1:36">
      <c r="A63" t="s">
        <v>328</v>
      </c>
      <c r="B63">
        <v>5.7543000000000004E-3</v>
      </c>
      <c r="C63">
        <v>0</v>
      </c>
      <c r="D63">
        <v>6033</v>
      </c>
      <c r="E63">
        <v>152320</v>
      </c>
      <c r="F63">
        <v>33995.19</v>
      </c>
      <c r="G63">
        <v>1367.463</v>
      </c>
      <c r="H63">
        <v>110554</v>
      </c>
      <c r="I63">
        <f t="shared" si="5"/>
        <v>0</v>
      </c>
      <c r="J63">
        <f t="shared" si="6"/>
        <v>0</v>
      </c>
      <c r="K63">
        <f t="shared" si="7"/>
        <v>0</v>
      </c>
      <c r="L63">
        <f t="shared" si="8"/>
        <v>0</v>
      </c>
      <c r="M63">
        <f t="shared" si="9"/>
        <v>0</v>
      </c>
      <c r="N63">
        <f t="shared" si="10"/>
        <v>0</v>
      </c>
      <c r="P63" s="11">
        <f t="shared" si="11"/>
        <v>0.26290856193549661</v>
      </c>
      <c r="Q63" s="11">
        <f t="shared" si="12"/>
        <v>0.24214875810899453</v>
      </c>
      <c r="R63" s="11">
        <f t="shared" si="13"/>
        <v>1.4565134331226512E-2</v>
      </c>
      <c r="S63" s="11">
        <f t="shared" si="14"/>
        <v>2.7604958424425376E-2</v>
      </c>
      <c r="T63" s="11">
        <f t="shared" si="15"/>
        <v>3.9962101414195483E-2</v>
      </c>
      <c r="U63" s="11">
        <f t="shared" si="16"/>
        <v>3.2690082344714266E-2</v>
      </c>
      <c r="W63">
        <f t="shared" si="17"/>
        <v>0</v>
      </c>
      <c r="X63">
        <f t="shared" si="18"/>
        <v>0</v>
      </c>
      <c r="Y63">
        <f t="shared" si="19"/>
        <v>0</v>
      </c>
      <c r="Z63">
        <f t="shared" si="20"/>
        <v>0</v>
      </c>
      <c r="AA63">
        <f t="shared" si="21"/>
        <v>0</v>
      </c>
      <c r="AB63">
        <f t="shared" si="22"/>
        <v>0</v>
      </c>
      <c r="AD63" s="11">
        <f t="shared" si="23"/>
        <v>1.4476777570899422</v>
      </c>
      <c r="AE63" s="11">
        <f t="shared" si="24"/>
        <v>0.56217134782366074</v>
      </c>
      <c r="AF63" s="11">
        <f t="shared" si="25"/>
        <v>8.02013477427828E-2</v>
      </c>
      <c r="AG63" s="11">
        <f t="shared" si="26"/>
        <v>6.408753365189733E-2</v>
      </c>
      <c r="AH63" s="11">
        <f t="shared" si="27"/>
        <v>0.22004701907767121</v>
      </c>
      <c r="AI63" s="11">
        <f t="shared" si="28"/>
        <v>7.589313195619421E-2</v>
      </c>
      <c r="AJ63" s="11"/>
    </row>
    <row r="64" spans="1:36">
      <c r="A64" t="s">
        <v>330</v>
      </c>
      <c r="B64">
        <v>6.8547E-3</v>
      </c>
      <c r="C64">
        <v>0</v>
      </c>
      <c r="D64">
        <v>6238</v>
      </c>
      <c r="E64">
        <v>244870</v>
      </c>
      <c r="F64">
        <v>36418.5</v>
      </c>
      <c r="G64">
        <v>2853.44</v>
      </c>
      <c r="H64">
        <v>140905</v>
      </c>
      <c r="I64">
        <f t="shared" si="5"/>
        <v>0</v>
      </c>
      <c r="J64">
        <f t="shared" si="6"/>
        <v>0</v>
      </c>
      <c r="K64">
        <f t="shared" si="7"/>
        <v>0</v>
      </c>
      <c r="L64">
        <f t="shared" si="8"/>
        <v>0</v>
      </c>
      <c r="M64">
        <f t="shared" si="9"/>
        <v>0</v>
      </c>
      <c r="N64">
        <f t="shared" si="10"/>
        <v>0</v>
      </c>
      <c r="P64" s="11">
        <f t="shared" si="11"/>
        <v>0.15008853596711336</v>
      </c>
      <c r="Q64" s="11">
        <f t="shared" si="12"/>
        <v>0.13823723473772009</v>
      </c>
      <c r="R64" s="11">
        <f t="shared" si="13"/>
        <v>8.3149048925780789E-3</v>
      </c>
      <c r="S64" s="11">
        <f t="shared" si="14"/>
        <v>1.575904476010009E-2</v>
      </c>
      <c r="T64" s="11">
        <f t="shared" si="15"/>
        <v>2.2813457467001228E-2</v>
      </c>
      <c r="U64" s="11">
        <f t="shared" si="16"/>
        <v>1.8662026689592215E-2</v>
      </c>
      <c r="W64">
        <f t="shared" si="17"/>
        <v>0</v>
      </c>
      <c r="X64">
        <f t="shared" si="18"/>
        <v>0</v>
      </c>
      <c r="Y64">
        <f t="shared" si="19"/>
        <v>0</v>
      </c>
      <c r="Z64">
        <f t="shared" si="20"/>
        <v>0</v>
      </c>
      <c r="AA64">
        <f t="shared" si="21"/>
        <v>0</v>
      </c>
      <c r="AB64">
        <f t="shared" si="22"/>
        <v>0</v>
      </c>
      <c r="AD64" s="11">
        <f t="shared" si="23"/>
        <v>1.0727269805295054</v>
      </c>
      <c r="AE64" s="11">
        <f t="shared" si="24"/>
        <v>0.4165680998672765</v>
      </c>
      <c r="AF64" s="11">
        <f t="shared" si="25"/>
        <v>5.9429074721334602E-2</v>
      </c>
      <c r="AG64" s="11">
        <f t="shared" si="26"/>
        <v>4.7488763384869521E-2</v>
      </c>
      <c r="AH64" s="11">
        <f t="shared" si="27"/>
        <v>0.16305450104048483</v>
      </c>
      <c r="AI64" s="11">
        <f t="shared" si="28"/>
        <v>5.623669348208233E-2</v>
      </c>
      <c r="AJ64" s="11"/>
    </row>
    <row r="65" spans="1:36">
      <c r="A65" t="s">
        <v>332</v>
      </c>
      <c r="B65">
        <v>2.6599000000000002E-3</v>
      </c>
      <c r="C65">
        <v>0</v>
      </c>
      <c r="D65">
        <v>48442</v>
      </c>
      <c r="E65">
        <v>1123146</v>
      </c>
      <c r="F65">
        <v>40845.019999999997</v>
      </c>
      <c r="G65">
        <v>1431.8989999999999</v>
      </c>
      <c r="H65">
        <v>683998</v>
      </c>
      <c r="I65">
        <f t="shared" si="5"/>
        <v>0</v>
      </c>
      <c r="J65">
        <f t="shared" si="6"/>
        <v>0</v>
      </c>
      <c r="K65">
        <f t="shared" si="7"/>
        <v>0</v>
      </c>
      <c r="L65">
        <f t="shared" si="8"/>
        <v>0</v>
      </c>
      <c r="M65">
        <f t="shared" si="9"/>
        <v>0</v>
      </c>
      <c r="N65">
        <f t="shared" si="10"/>
        <v>0</v>
      </c>
      <c r="P65" s="11">
        <f t="shared" si="11"/>
        <v>0.11605951131329795</v>
      </c>
      <c r="Q65" s="11">
        <f t="shared" si="12"/>
        <v>0.10689521225309886</v>
      </c>
      <c r="R65" s="11">
        <f t="shared" si="13"/>
        <v>6.4296969267567056E-3</v>
      </c>
      <c r="S65" s="11">
        <f t="shared" si="14"/>
        <v>1.2186054196853272E-2</v>
      </c>
      <c r="T65" s="11">
        <f t="shared" si="15"/>
        <v>1.7641045719621287E-2</v>
      </c>
      <c r="U65" s="11">
        <f t="shared" si="16"/>
        <v>1.4430853654168348E-2</v>
      </c>
      <c r="W65">
        <f t="shared" si="17"/>
        <v>0</v>
      </c>
      <c r="X65">
        <f t="shared" si="18"/>
        <v>0</v>
      </c>
      <c r="Y65">
        <f t="shared" si="19"/>
        <v>0</v>
      </c>
      <c r="Z65">
        <f t="shared" si="20"/>
        <v>0</v>
      </c>
      <c r="AA65">
        <f t="shared" si="21"/>
        <v>0</v>
      </c>
      <c r="AB65">
        <f t="shared" si="22"/>
        <v>0</v>
      </c>
      <c r="AD65" s="11">
        <f t="shared" si="23"/>
        <v>9.0753927211974214E-2</v>
      </c>
      <c r="AE65" s="11">
        <f t="shared" si="24"/>
        <v>3.524213681613967E-2</v>
      </c>
      <c r="AF65" s="11">
        <f t="shared" si="25"/>
        <v>5.0277675675433715E-3</v>
      </c>
      <c r="AG65" s="11">
        <f t="shared" si="26"/>
        <v>4.0176035970399225E-3</v>
      </c>
      <c r="AH65" s="11">
        <f t="shared" si="27"/>
        <v>1.379459693622008E-2</v>
      </c>
      <c r="AI65" s="11">
        <f t="shared" si="28"/>
        <v>4.7576884701788554E-3</v>
      </c>
      <c r="AJ65" s="11"/>
    </row>
    <row r="66" spans="1:36">
      <c r="A66" t="s">
        <v>334</v>
      </c>
      <c r="B66">
        <v>5.3774000000000001E-3</v>
      </c>
      <c r="C66">
        <v>0</v>
      </c>
      <c r="D66">
        <v>3724</v>
      </c>
      <c r="E66">
        <v>104629</v>
      </c>
      <c r="F66">
        <v>34038.949999999997</v>
      </c>
      <c r="G66">
        <v>1848.9110000000001</v>
      </c>
      <c r="H66">
        <v>79821</v>
      </c>
      <c r="I66">
        <f t="shared" si="5"/>
        <v>0</v>
      </c>
      <c r="J66">
        <f t="shared" si="6"/>
        <v>0</v>
      </c>
      <c r="K66">
        <f t="shared" si="7"/>
        <v>0</v>
      </c>
      <c r="L66">
        <f t="shared" si="8"/>
        <v>0</v>
      </c>
      <c r="M66">
        <f t="shared" si="9"/>
        <v>0</v>
      </c>
      <c r="N66">
        <f t="shared" si="10"/>
        <v>0</v>
      </c>
      <c r="P66" s="11">
        <f t="shared" si="11"/>
        <v>0.18171222678647053</v>
      </c>
      <c r="Q66" s="11">
        <f t="shared" si="12"/>
        <v>0.16736385352242483</v>
      </c>
      <c r="R66" s="11">
        <f t="shared" si="13"/>
        <v>1.0066857363970467E-2</v>
      </c>
      <c r="S66" s="11">
        <f t="shared" si="14"/>
        <v>1.9079479301556432E-2</v>
      </c>
      <c r="T66" s="11">
        <f t="shared" si="15"/>
        <v>2.7620258471543521E-2</v>
      </c>
      <c r="U66" s="11">
        <f t="shared" si="16"/>
        <v>2.2594120225527353E-2</v>
      </c>
      <c r="W66">
        <f t="shared" si="17"/>
        <v>0</v>
      </c>
      <c r="X66">
        <f t="shared" si="18"/>
        <v>0</v>
      </c>
      <c r="Y66">
        <f t="shared" si="19"/>
        <v>0</v>
      </c>
      <c r="Z66">
        <f t="shared" si="20"/>
        <v>0</v>
      </c>
      <c r="AA66">
        <f t="shared" si="21"/>
        <v>0</v>
      </c>
      <c r="AB66">
        <f t="shared" si="22"/>
        <v>0</v>
      </c>
      <c r="AD66" s="11">
        <f t="shared" si="23"/>
        <v>1.9695027929055997</v>
      </c>
      <c r="AE66" s="11">
        <f t="shared" si="24"/>
        <v>0.76480973352512205</v>
      </c>
      <c r="AF66" s="11">
        <f t="shared" si="25"/>
        <v>0.10911045472697022</v>
      </c>
      <c r="AG66" s="11">
        <f t="shared" si="26"/>
        <v>8.7188309621863913E-2</v>
      </c>
      <c r="AH66" s="11">
        <f t="shared" si="27"/>
        <v>0.29936442452165113</v>
      </c>
      <c r="AI66" s="11">
        <f t="shared" si="28"/>
        <v>0.10324931402589148</v>
      </c>
      <c r="AJ66" s="11"/>
    </row>
    <row r="67" spans="1:36">
      <c r="A67" t="s">
        <v>336</v>
      </c>
      <c r="B67">
        <v>2.1759500000000001E-2</v>
      </c>
      <c r="C67">
        <v>0</v>
      </c>
      <c r="D67">
        <v>3741</v>
      </c>
      <c r="E67">
        <v>158521</v>
      </c>
      <c r="F67">
        <v>32417.74</v>
      </c>
      <c r="G67">
        <v>1019.025</v>
      </c>
      <c r="H67">
        <v>84568</v>
      </c>
      <c r="I67">
        <f t="shared" si="5"/>
        <v>0</v>
      </c>
      <c r="J67">
        <f t="shared" si="6"/>
        <v>0</v>
      </c>
      <c r="K67">
        <f t="shared" si="7"/>
        <v>0</v>
      </c>
      <c r="L67">
        <f t="shared" si="8"/>
        <v>0</v>
      </c>
      <c r="M67">
        <f t="shared" si="9"/>
        <v>0</v>
      </c>
      <c r="N67">
        <f t="shared" si="10"/>
        <v>0</v>
      </c>
      <c r="P67" s="11">
        <f t="shared" si="11"/>
        <v>1.3341107597458355</v>
      </c>
      <c r="Q67" s="11">
        <f t="shared" si="12"/>
        <v>1.228766614803366</v>
      </c>
      <c r="R67" s="11">
        <f t="shared" si="13"/>
        <v>7.3909736089919284E-2</v>
      </c>
      <c r="S67" s="11">
        <f t="shared" si="14"/>
        <v>0.14007939408758374</v>
      </c>
      <c r="T67" s="11">
        <f t="shared" si="15"/>
        <v>0.202784835481367</v>
      </c>
      <c r="U67" s="11">
        <f t="shared" si="16"/>
        <v>0.16588349299845442</v>
      </c>
      <c r="W67">
        <f t="shared" si="17"/>
        <v>0</v>
      </c>
      <c r="X67">
        <f t="shared" si="18"/>
        <v>0</v>
      </c>
      <c r="Y67">
        <f t="shared" si="19"/>
        <v>0</v>
      </c>
      <c r="Z67">
        <f t="shared" si="20"/>
        <v>0</v>
      </c>
      <c r="AA67">
        <f t="shared" si="21"/>
        <v>0</v>
      </c>
      <c r="AB67">
        <f t="shared" si="22"/>
        <v>0</v>
      </c>
      <c r="AD67" s="11">
        <f t="shared" si="23"/>
        <v>5.2601537823386177</v>
      </c>
      <c r="AE67" s="11">
        <f t="shared" si="24"/>
        <v>2.0426560587083098</v>
      </c>
      <c r="AF67" s="11">
        <f t="shared" si="25"/>
        <v>0.29141251954155939</v>
      </c>
      <c r="AG67" s="11">
        <f t="shared" si="26"/>
        <v>0.23286279069274732</v>
      </c>
      <c r="AH67" s="11">
        <f t="shared" si="27"/>
        <v>0.7995433749154699</v>
      </c>
      <c r="AI67" s="11">
        <f t="shared" si="28"/>
        <v>0.27575856792562187</v>
      </c>
      <c r="AJ67" s="11"/>
    </row>
    <row r="68" spans="1:36">
      <c r="A68" t="s">
        <v>338</v>
      </c>
      <c r="B68">
        <v>6.6687999999999999E-3</v>
      </c>
      <c r="C68">
        <v>0</v>
      </c>
      <c r="D68">
        <v>4543</v>
      </c>
      <c r="E68">
        <v>184165</v>
      </c>
      <c r="F68">
        <v>31276.44</v>
      </c>
      <c r="G68">
        <v>1805.9380000000001</v>
      </c>
      <c r="H68">
        <v>105177</v>
      </c>
      <c r="I68">
        <f t="shared" si="5"/>
        <v>0</v>
      </c>
      <c r="J68">
        <f t="shared" si="6"/>
        <v>0</v>
      </c>
      <c r="K68">
        <f t="shared" si="7"/>
        <v>0</v>
      </c>
      <c r="L68">
        <f t="shared" si="8"/>
        <v>0</v>
      </c>
      <c r="M68">
        <f t="shared" si="9"/>
        <v>0</v>
      </c>
      <c r="N68">
        <f t="shared" si="10"/>
        <v>0</v>
      </c>
      <c r="P68" s="11">
        <f t="shared" si="11"/>
        <v>0.23071332087812538</v>
      </c>
      <c r="Q68" s="11">
        <f t="shared" si="12"/>
        <v>0.21249571987521162</v>
      </c>
      <c r="R68" s="11">
        <f t="shared" si="13"/>
        <v>1.2781517976648145E-2</v>
      </c>
      <c r="S68" s="11">
        <f t="shared" si="14"/>
        <v>2.4224512065774126E-2</v>
      </c>
      <c r="T68" s="11">
        <f t="shared" si="15"/>
        <v>3.5068424773475056E-2</v>
      </c>
      <c r="U68" s="11">
        <f t="shared" si="16"/>
        <v>2.8686922183153572E-2</v>
      </c>
      <c r="W68">
        <f t="shared" si="17"/>
        <v>0</v>
      </c>
      <c r="X68">
        <f t="shared" si="18"/>
        <v>0</v>
      </c>
      <c r="Y68">
        <f t="shared" si="19"/>
        <v>0</v>
      </c>
      <c r="Z68">
        <f t="shared" si="20"/>
        <v>0</v>
      </c>
      <c r="AA68">
        <f t="shared" si="21"/>
        <v>0</v>
      </c>
      <c r="AB68">
        <f t="shared" si="22"/>
        <v>0</v>
      </c>
      <c r="AD68" s="11">
        <f t="shared" si="23"/>
        <v>1.3876403770479731</v>
      </c>
      <c r="AE68" s="11">
        <f t="shared" si="24"/>
        <v>0.53885725413623653</v>
      </c>
      <c r="AF68" s="11">
        <f t="shared" si="25"/>
        <v>7.6875276888457703E-2</v>
      </c>
      <c r="AG68" s="11">
        <f t="shared" si="26"/>
        <v>6.1429726971530964E-2</v>
      </c>
      <c r="AH68" s="11">
        <f t="shared" si="27"/>
        <v>0.2109213373112919</v>
      </c>
      <c r="AI68" s="11">
        <f t="shared" si="28"/>
        <v>7.2745729308391932E-2</v>
      </c>
      <c r="AJ68" s="11"/>
    </row>
    <row r="69" spans="1:36">
      <c r="A69" t="s">
        <v>339</v>
      </c>
      <c r="B69">
        <v>5.1285999999999997E-3</v>
      </c>
      <c r="C69">
        <v>0</v>
      </c>
      <c r="D69">
        <v>7490</v>
      </c>
      <c r="E69">
        <v>165571</v>
      </c>
      <c r="F69">
        <v>40334.11</v>
      </c>
      <c r="G69">
        <v>1700.175</v>
      </c>
      <c r="H69">
        <v>112403</v>
      </c>
      <c r="I69">
        <f t="shared" si="5"/>
        <v>0</v>
      </c>
      <c r="J69">
        <f t="shared" si="6"/>
        <v>0</v>
      </c>
      <c r="K69">
        <f t="shared" si="7"/>
        <v>0</v>
      </c>
      <c r="L69">
        <f t="shared" si="8"/>
        <v>0</v>
      </c>
      <c r="M69">
        <f t="shared" si="9"/>
        <v>0</v>
      </c>
      <c r="N69">
        <f t="shared" si="10"/>
        <v>0</v>
      </c>
      <c r="P69" s="11">
        <f t="shared" si="11"/>
        <v>0.1884660012410487</v>
      </c>
      <c r="Q69" s="11">
        <f t="shared" si="12"/>
        <v>0.17358433597717882</v>
      </c>
      <c r="R69" s="11">
        <f t="shared" si="13"/>
        <v>1.0441016468754097E-2</v>
      </c>
      <c r="S69" s="11">
        <f t="shared" si="14"/>
        <v>1.9788614301398385E-2</v>
      </c>
      <c r="T69" s="11">
        <f t="shared" si="15"/>
        <v>2.8646832188639403E-2</v>
      </c>
      <c r="U69" s="11">
        <f t="shared" si="16"/>
        <v>2.3433885356919142E-2</v>
      </c>
      <c r="W69">
        <f t="shared" si="17"/>
        <v>0</v>
      </c>
      <c r="X69">
        <f t="shared" si="18"/>
        <v>0</v>
      </c>
      <c r="Y69">
        <f t="shared" si="19"/>
        <v>0</v>
      </c>
      <c r="Z69">
        <f t="shared" si="20"/>
        <v>0</v>
      </c>
      <c r="AA69">
        <f t="shared" si="21"/>
        <v>0</v>
      </c>
      <c r="AB69">
        <f t="shared" si="22"/>
        <v>0</v>
      </c>
      <c r="AD69" s="11">
        <f t="shared" si="23"/>
        <v>1.1870004645492265</v>
      </c>
      <c r="AE69" s="11">
        <f t="shared" si="24"/>
        <v>0.46094349916954053</v>
      </c>
      <c r="AF69" s="11">
        <f t="shared" si="25"/>
        <v>6.575982573602715E-2</v>
      </c>
      <c r="AG69" s="11">
        <f t="shared" si="26"/>
        <v>5.254755890532762E-2</v>
      </c>
      <c r="AH69" s="11">
        <f t="shared" si="27"/>
        <v>0.18042407061148241</v>
      </c>
      <c r="AI69" s="11">
        <f t="shared" si="28"/>
        <v>6.2227372387887975E-2</v>
      </c>
      <c r="AJ69" s="11"/>
    </row>
    <row r="70" spans="1:36">
      <c r="A70" t="s">
        <v>340</v>
      </c>
      <c r="B70">
        <v>1.9854E-3</v>
      </c>
      <c r="C70">
        <v>0</v>
      </c>
      <c r="D70">
        <v>21211</v>
      </c>
      <c r="E70">
        <v>598719</v>
      </c>
      <c r="F70">
        <v>36215.620000000003</v>
      </c>
      <c r="G70">
        <v>1782.8309999999999</v>
      </c>
      <c r="H70">
        <v>378922</v>
      </c>
      <c r="I70">
        <f t="shared" si="5"/>
        <v>0</v>
      </c>
      <c r="J70">
        <f t="shared" si="6"/>
        <v>0</v>
      </c>
      <c r="K70">
        <f t="shared" si="7"/>
        <v>0</v>
      </c>
      <c r="L70">
        <f t="shared" si="8"/>
        <v>0</v>
      </c>
      <c r="M70">
        <f t="shared" si="9"/>
        <v>0</v>
      </c>
      <c r="N70">
        <f t="shared" si="10"/>
        <v>0</v>
      </c>
      <c r="P70" s="11">
        <f t="shared" si="11"/>
        <v>6.9576992850135549E-2</v>
      </c>
      <c r="Q70" s="11">
        <f t="shared" si="12"/>
        <v>6.4083049587986746E-2</v>
      </c>
      <c r="R70" s="11">
        <f t="shared" si="13"/>
        <v>3.8545654038975091E-3</v>
      </c>
      <c r="S70" s="11">
        <f t="shared" si="14"/>
        <v>7.3054676530304894E-3</v>
      </c>
      <c r="T70" s="11">
        <f t="shared" si="15"/>
        <v>1.0575702913220603E-2</v>
      </c>
      <c r="U70" s="11">
        <f t="shared" si="16"/>
        <v>8.6512116943782118E-3</v>
      </c>
      <c r="W70">
        <f t="shared" si="17"/>
        <v>0</v>
      </c>
      <c r="X70">
        <f t="shared" si="18"/>
        <v>0</v>
      </c>
      <c r="Y70">
        <f t="shared" si="19"/>
        <v>0</v>
      </c>
      <c r="Z70">
        <f t="shared" si="20"/>
        <v>0</v>
      </c>
      <c r="AA70">
        <f t="shared" si="21"/>
        <v>0</v>
      </c>
      <c r="AB70">
        <f t="shared" si="22"/>
        <v>0</v>
      </c>
      <c r="AD70" s="11">
        <f t="shared" si="23"/>
        <v>0.12707534861148551</v>
      </c>
      <c r="AE70" s="11">
        <f t="shared" si="24"/>
        <v>4.9346700019541723E-2</v>
      </c>
      <c r="AF70" s="11">
        <f t="shared" si="25"/>
        <v>7.0399743130762967E-3</v>
      </c>
      <c r="AG70" s="11">
        <f t="shared" si="26"/>
        <v>5.6255238022277568E-3</v>
      </c>
      <c r="AH70" s="11">
        <f t="shared" si="27"/>
        <v>1.9315452988945797E-2</v>
      </c>
      <c r="AI70" s="11">
        <f t="shared" si="28"/>
        <v>6.6618045026381328E-3</v>
      </c>
      <c r="AJ70" s="11"/>
    </row>
    <row r="71" spans="1:36">
      <c r="A71" t="s">
        <v>341</v>
      </c>
      <c r="B71">
        <v>4.2731999999999996E-3</v>
      </c>
      <c r="C71">
        <v>0</v>
      </c>
      <c r="D71">
        <v>21735</v>
      </c>
      <c r="E71">
        <v>685926</v>
      </c>
      <c r="F71">
        <v>33197.120000000003</v>
      </c>
      <c r="G71">
        <v>2132.3310000000001</v>
      </c>
      <c r="H71">
        <v>390477</v>
      </c>
      <c r="I71">
        <f t="shared" si="5"/>
        <v>0</v>
      </c>
      <c r="J71">
        <f t="shared" si="6"/>
        <v>0</v>
      </c>
      <c r="K71">
        <f t="shared" si="7"/>
        <v>0</v>
      </c>
      <c r="L71">
        <f t="shared" si="8"/>
        <v>0</v>
      </c>
      <c r="M71">
        <f t="shared" si="9"/>
        <v>0</v>
      </c>
      <c r="N71">
        <f t="shared" si="10"/>
        <v>0</v>
      </c>
      <c r="P71" s="11">
        <f t="shared" si="11"/>
        <v>0.12520636661006193</v>
      </c>
      <c r="Q71" s="11">
        <f t="shared" si="12"/>
        <v>0.11531981293710966</v>
      </c>
      <c r="R71" s="11">
        <f t="shared" si="13"/>
        <v>6.9364327101974306E-3</v>
      </c>
      <c r="S71" s="11">
        <f t="shared" si="14"/>
        <v>1.3146458674830502E-2</v>
      </c>
      <c r="T71" s="11">
        <f t="shared" si="15"/>
        <v>1.9031367724729412E-2</v>
      </c>
      <c r="U71" s="11">
        <f t="shared" si="16"/>
        <v>1.5568174746509806E-2</v>
      </c>
      <c r="W71">
        <f t="shared" si="17"/>
        <v>0</v>
      </c>
      <c r="X71">
        <f t="shared" si="18"/>
        <v>0</v>
      </c>
      <c r="Y71">
        <f t="shared" si="19"/>
        <v>0</v>
      </c>
      <c r="Z71">
        <f t="shared" si="20"/>
        <v>0</v>
      </c>
      <c r="AA71">
        <f t="shared" si="21"/>
        <v>0</v>
      </c>
      <c r="AB71">
        <f t="shared" si="22"/>
        <v>0</v>
      </c>
      <c r="AD71" s="11">
        <f t="shared" si="23"/>
        <v>0.23873290752145268</v>
      </c>
      <c r="AE71" s="11">
        <f t="shared" si="24"/>
        <v>9.2706266801375059E-2</v>
      </c>
      <c r="AF71" s="11">
        <f t="shared" si="25"/>
        <v>1.3225803076688478E-2</v>
      </c>
      <c r="AG71" s="11">
        <f t="shared" si="26"/>
        <v>1.0568514415356757E-2</v>
      </c>
      <c r="AH71" s="11">
        <f t="shared" si="27"/>
        <v>3.6287401943260807E-2</v>
      </c>
      <c r="AI71" s="11">
        <f t="shared" si="28"/>
        <v>1.2515346018185634E-2</v>
      </c>
      <c r="AJ71" s="11"/>
    </row>
    <row r="72" spans="1:36">
      <c r="A72" t="s">
        <v>342</v>
      </c>
      <c r="B72">
        <v>1.7976599999999999E-2</v>
      </c>
      <c r="C72">
        <v>0</v>
      </c>
      <c r="D72">
        <v>4835</v>
      </c>
      <c r="E72">
        <v>239865</v>
      </c>
      <c r="F72">
        <v>33306.449999999997</v>
      </c>
      <c r="G72">
        <v>1507.731</v>
      </c>
      <c r="H72">
        <v>130123</v>
      </c>
      <c r="I72">
        <f t="shared" si="5"/>
        <v>0</v>
      </c>
      <c r="J72">
        <f t="shared" si="6"/>
        <v>0</v>
      </c>
      <c r="K72">
        <f t="shared" si="7"/>
        <v>0</v>
      </c>
      <c r="L72">
        <f t="shared" si="8"/>
        <v>0</v>
      </c>
      <c r="M72">
        <f t="shared" si="9"/>
        <v>0</v>
      </c>
      <c r="N72">
        <f t="shared" si="10"/>
        <v>0</v>
      </c>
      <c r="P72" s="11">
        <f t="shared" si="11"/>
        <v>0.74492320742891138</v>
      </c>
      <c r="Q72" s="11">
        <f t="shared" si="12"/>
        <v>0.68610253023914736</v>
      </c>
      <c r="R72" s="11">
        <f t="shared" si="13"/>
        <v>4.1268745691561692E-2</v>
      </c>
      <c r="S72" s="11">
        <f t="shared" si="14"/>
        <v>7.8215688447262802E-2</v>
      </c>
      <c r="T72" s="11">
        <f t="shared" si="15"/>
        <v>0.11322832752919453</v>
      </c>
      <c r="U72" s="11">
        <f t="shared" si="16"/>
        <v>9.2623841582284899E-2</v>
      </c>
      <c r="W72">
        <f t="shared" si="17"/>
        <v>0</v>
      </c>
      <c r="X72">
        <f t="shared" si="18"/>
        <v>0</v>
      </c>
      <c r="Y72">
        <f t="shared" si="19"/>
        <v>0</v>
      </c>
      <c r="Z72">
        <f t="shared" si="20"/>
        <v>0</v>
      </c>
      <c r="AA72">
        <f t="shared" si="21"/>
        <v>0</v>
      </c>
      <c r="AB72">
        <f t="shared" si="22"/>
        <v>0</v>
      </c>
      <c r="AD72" s="11">
        <f t="shared" si="23"/>
        <v>2.871950864170596</v>
      </c>
      <c r="AE72" s="11">
        <f t="shared" si="24"/>
        <v>1.1152540544931522</v>
      </c>
      <c r="AF72" s="11">
        <f t="shared" si="25"/>
        <v>0.15910607787505102</v>
      </c>
      <c r="AG72" s="11">
        <f t="shared" si="26"/>
        <v>0.12713896221221935</v>
      </c>
      <c r="AH72" s="11">
        <f t="shared" si="27"/>
        <v>0.43653653135393056</v>
      </c>
      <c r="AI72" s="11">
        <f t="shared" si="28"/>
        <v>0.15055929735657556</v>
      </c>
      <c r="AJ72" s="11"/>
    </row>
    <row r="73" spans="1:36">
      <c r="A73" t="s">
        <v>343</v>
      </c>
      <c r="B73">
        <v>2.2054000000000002E-3</v>
      </c>
      <c r="C73">
        <v>0</v>
      </c>
      <c r="D73">
        <v>5774</v>
      </c>
      <c r="E73">
        <v>389164</v>
      </c>
      <c r="F73">
        <v>23255.38</v>
      </c>
      <c r="G73">
        <v>1183.57</v>
      </c>
      <c r="H73">
        <v>170980</v>
      </c>
      <c r="I73">
        <f t="shared" si="5"/>
        <v>0</v>
      </c>
      <c r="J73">
        <f t="shared" si="6"/>
        <v>0</v>
      </c>
      <c r="K73">
        <f t="shared" si="7"/>
        <v>0</v>
      </c>
      <c r="L73">
        <f t="shared" si="8"/>
        <v>0</v>
      </c>
      <c r="M73">
        <f t="shared" si="9"/>
        <v>0</v>
      </c>
      <c r="N73">
        <f t="shared" si="10"/>
        <v>0</v>
      </c>
      <c r="P73" s="11">
        <f t="shared" si="11"/>
        <v>0.11641829527615605</v>
      </c>
      <c r="Q73" s="11">
        <f t="shared" si="12"/>
        <v>0.10722566589217368</v>
      </c>
      <c r="R73" s="11">
        <f t="shared" si="13"/>
        <v>6.4495735582990451E-3</v>
      </c>
      <c r="S73" s="11">
        <f t="shared" si="14"/>
        <v>1.2223725911707801E-2</v>
      </c>
      <c r="T73" s="11">
        <f t="shared" si="15"/>
        <v>1.7695580881975717E-2</v>
      </c>
      <c r="U73" s="11">
        <f t="shared" si="16"/>
        <v>1.4475464895443447E-2</v>
      </c>
      <c r="W73">
        <f t="shared" si="17"/>
        <v>0</v>
      </c>
      <c r="X73">
        <f t="shared" si="18"/>
        <v>0</v>
      </c>
      <c r="Y73">
        <f t="shared" si="19"/>
        <v>0</v>
      </c>
      <c r="Z73">
        <f t="shared" si="20"/>
        <v>0</v>
      </c>
      <c r="AA73">
        <f t="shared" si="21"/>
        <v>0</v>
      </c>
      <c r="AB73">
        <f t="shared" si="22"/>
        <v>0</v>
      </c>
      <c r="AD73" s="11">
        <f t="shared" si="23"/>
        <v>0.21716560607178464</v>
      </c>
      <c r="AE73" s="11">
        <f t="shared" si="24"/>
        <v>8.4331116416215268E-2</v>
      </c>
      <c r="AF73" s="11">
        <f t="shared" si="25"/>
        <v>1.203097457637687E-2</v>
      </c>
      <c r="AG73" s="11">
        <f t="shared" si="26"/>
        <v>9.6137472714485413E-3</v>
      </c>
      <c r="AH73" s="11">
        <f t="shared" si="27"/>
        <v>3.3009172122911268E-2</v>
      </c>
      <c r="AI73" s="11">
        <f t="shared" si="28"/>
        <v>1.1384700716189062E-2</v>
      </c>
      <c r="AJ73" s="11"/>
    </row>
    <row r="74" spans="1:36">
      <c r="A74" t="s">
        <v>284</v>
      </c>
      <c r="B74">
        <v>1.3433799999999999E-2</v>
      </c>
      <c r="C74">
        <v>1.2229999999999999E-3</v>
      </c>
      <c r="D74">
        <v>37554</v>
      </c>
      <c r="E74">
        <v>1124055</v>
      </c>
      <c r="F74">
        <v>35849.879999999997</v>
      </c>
      <c r="G74">
        <v>2161.3150000000001</v>
      </c>
      <c r="H74">
        <v>658725</v>
      </c>
      <c r="I74">
        <f t="shared" si="5"/>
        <v>3.8457036850250884E-2</v>
      </c>
      <c r="J74">
        <f t="shared" si="6"/>
        <v>9.2731309873849935E-2</v>
      </c>
      <c r="K74">
        <f t="shared" si="7"/>
        <v>2.1305198415038987E-3</v>
      </c>
      <c r="L74">
        <f t="shared" si="8"/>
        <v>1.0571369325618894E-2</v>
      </c>
      <c r="M74">
        <f t="shared" si="9"/>
        <v>5.8454696012381338E-3</v>
      </c>
      <c r="N74">
        <f t="shared" si="10"/>
        <v>1.2518726832969743E-2</v>
      </c>
      <c r="P74" s="11">
        <f t="shared" si="11"/>
        <v>0.38833686888769103</v>
      </c>
      <c r="Q74" s="11">
        <f t="shared" si="12"/>
        <v>0.35767298651978074</v>
      </c>
      <c r="R74" s="11">
        <f t="shared" si="13"/>
        <v>2.1513862536378082E-2</v>
      </c>
      <c r="S74" s="11">
        <f t="shared" si="14"/>
        <v>4.0774720463255004E-2</v>
      </c>
      <c r="T74" s="11">
        <f t="shared" si="15"/>
        <v>5.9027204070929033E-2</v>
      </c>
      <c r="U74" s="11">
        <f t="shared" si="16"/>
        <v>4.8285853180170403E-2</v>
      </c>
      <c r="W74">
        <f t="shared" si="17"/>
        <v>0.39722801102339295</v>
      </c>
      <c r="X74">
        <f t="shared" si="18"/>
        <v>0.52657971964423433</v>
      </c>
      <c r="Y74">
        <f t="shared" si="19"/>
        <v>2.2006431810695969E-2</v>
      </c>
      <c r="Z74">
        <f t="shared" si="20"/>
        <v>6.0030088039442715E-2</v>
      </c>
      <c r="AA74">
        <f t="shared" si="21"/>
        <v>6.0378657675555725E-2</v>
      </c>
      <c r="AB74">
        <f t="shared" si="22"/>
        <v>7.1088262151971643E-2</v>
      </c>
      <c r="AD74" s="11">
        <f t="shared" si="23"/>
        <v>0.45798119845206858</v>
      </c>
      <c r="AE74" s="11">
        <f t="shared" si="24"/>
        <v>0.17784614452406688</v>
      </c>
      <c r="AF74" s="11">
        <f t="shared" si="25"/>
        <v>2.5372158394244598E-2</v>
      </c>
      <c r="AG74" s="11">
        <f t="shared" si="26"/>
        <v>2.0274460475743626E-2</v>
      </c>
      <c r="AH74" s="11">
        <f t="shared" si="27"/>
        <v>6.9613142164714426E-2</v>
      </c>
      <c r="AI74" s="11">
        <f t="shared" si="28"/>
        <v>2.400922951074903E-2</v>
      </c>
      <c r="AJ74" s="11"/>
    </row>
    <row r="75" spans="1:36">
      <c r="A75" t="s">
        <v>971</v>
      </c>
      <c r="B75">
        <v>9.0805E-3</v>
      </c>
      <c r="C75">
        <v>0</v>
      </c>
      <c r="D75">
        <v>8806</v>
      </c>
      <c r="E75">
        <v>207028</v>
      </c>
      <c r="F75">
        <v>41717.440000000002</v>
      </c>
      <c r="G75">
        <v>2230.1750000000002</v>
      </c>
      <c r="H75">
        <v>153534</v>
      </c>
      <c r="I75">
        <f t="shared" si="5"/>
        <v>0</v>
      </c>
      <c r="J75">
        <f t="shared" si="6"/>
        <v>0</v>
      </c>
      <c r="K75">
        <f t="shared" si="7"/>
        <v>0</v>
      </c>
      <c r="L75">
        <f t="shared" si="8"/>
        <v>0</v>
      </c>
      <c r="M75">
        <f t="shared" si="9"/>
        <v>0</v>
      </c>
      <c r="N75">
        <f t="shared" si="10"/>
        <v>0</v>
      </c>
      <c r="P75" s="11">
        <f t="shared" si="11"/>
        <v>0.25438917889851692</v>
      </c>
      <c r="Q75" s="11">
        <f t="shared" si="12"/>
        <v>0.23430208317732909</v>
      </c>
      <c r="R75" s="11">
        <f t="shared" si="13"/>
        <v>1.4093160510977837E-2</v>
      </c>
      <c r="S75" s="11">
        <f t="shared" si="14"/>
        <v>2.6710437482215518E-2</v>
      </c>
      <c r="T75" s="11">
        <f t="shared" si="15"/>
        <v>3.8667155192574569E-2</v>
      </c>
      <c r="U75" s="11">
        <f t="shared" si="16"/>
        <v>3.1630781228939427E-2</v>
      </c>
      <c r="W75">
        <f t="shared" si="17"/>
        <v>0</v>
      </c>
      <c r="X75">
        <f t="shared" si="18"/>
        <v>0</v>
      </c>
      <c r="Y75">
        <f t="shared" si="19"/>
        <v>0</v>
      </c>
      <c r="Z75">
        <f t="shared" si="20"/>
        <v>0</v>
      </c>
      <c r="AA75">
        <f t="shared" si="21"/>
        <v>0</v>
      </c>
      <c r="AB75">
        <f t="shared" si="22"/>
        <v>0</v>
      </c>
      <c r="AD75" s="11">
        <f t="shared" si="23"/>
        <v>1.6808037518688292</v>
      </c>
      <c r="AE75" s="11">
        <f t="shared" si="24"/>
        <v>0.65270030294211412</v>
      </c>
      <c r="AF75" s="11">
        <f t="shared" si="25"/>
        <v>9.3116527853533138E-2</v>
      </c>
      <c r="AG75" s="11">
        <f t="shared" si="26"/>
        <v>7.4407834535401007E-2</v>
      </c>
      <c r="AH75" s="11">
        <f t="shared" si="27"/>
        <v>0.25548217028406206</v>
      </c>
      <c r="AI75" s="11">
        <f t="shared" si="28"/>
        <v>8.8114540897185414E-2</v>
      </c>
      <c r="AJ75" s="11"/>
    </row>
    <row r="76" spans="1:36">
      <c r="A76" t="s">
        <v>345</v>
      </c>
      <c r="B76">
        <v>4.5203999999999999E-3</v>
      </c>
      <c r="C76">
        <v>0</v>
      </c>
      <c r="D76">
        <v>11867</v>
      </c>
      <c r="E76">
        <v>408782</v>
      </c>
      <c r="F76">
        <v>32435.34</v>
      </c>
      <c r="G76">
        <v>1264.4580000000001</v>
      </c>
      <c r="H76">
        <v>224848</v>
      </c>
      <c r="I76">
        <f t="shared" si="5"/>
        <v>0</v>
      </c>
      <c r="J76">
        <f t="shared" si="6"/>
        <v>0</v>
      </c>
      <c r="K76">
        <f t="shared" si="7"/>
        <v>0</v>
      </c>
      <c r="L76">
        <f t="shared" si="8"/>
        <v>0</v>
      </c>
      <c r="M76">
        <f t="shared" si="9"/>
        <v>0</v>
      </c>
      <c r="N76">
        <f t="shared" si="10"/>
        <v>0</v>
      </c>
      <c r="P76" s="11">
        <f t="shared" si="11"/>
        <v>0.22335736200016132</v>
      </c>
      <c r="Q76" s="11">
        <f t="shared" si="12"/>
        <v>0.20572060272464562</v>
      </c>
      <c r="R76" s="11">
        <f t="shared" si="13"/>
        <v>1.2373997854808937E-2</v>
      </c>
      <c r="S76" s="11">
        <f t="shared" si="14"/>
        <v>2.3452148710609601E-2</v>
      </c>
      <c r="T76" s="11">
        <f t="shared" si="15"/>
        <v>3.3950319024024518E-2</v>
      </c>
      <c r="U76" s="11">
        <f t="shared" si="16"/>
        <v>2.777228136782716E-2</v>
      </c>
      <c r="W76">
        <f t="shared" si="17"/>
        <v>0</v>
      </c>
      <c r="X76">
        <f t="shared" si="18"/>
        <v>0</v>
      </c>
      <c r="Y76">
        <f t="shared" si="19"/>
        <v>0</v>
      </c>
      <c r="Z76">
        <f t="shared" si="20"/>
        <v>0</v>
      </c>
      <c r="AA76">
        <f t="shared" si="21"/>
        <v>0</v>
      </c>
      <c r="AB76">
        <f t="shared" si="22"/>
        <v>0</v>
      </c>
      <c r="AD76" s="11">
        <f t="shared" si="23"/>
        <v>0.42376143910035174</v>
      </c>
      <c r="AE76" s="11">
        <f t="shared" si="24"/>
        <v>0.16455771196872662</v>
      </c>
      <c r="AF76" s="11">
        <f t="shared" si="25"/>
        <v>2.3476383726159487E-2</v>
      </c>
      <c r="AG76" s="11">
        <f t="shared" si="26"/>
        <v>1.8759579164434836E-2</v>
      </c>
      <c r="AH76" s="11">
        <f t="shared" si="27"/>
        <v>6.4411738743253469E-2</v>
      </c>
      <c r="AI76" s="11">
        <f t="shared" si="28"/>
        <v>2.2215291115778097E-2</v>
      </c>
      <c r="AJ76" s="11"/>
    </row>
    <row r="77" spans="1:36">
      <c r="A77" t="s">
        <v>346</v>
      </c>
      <c r="B77">
        <v>2.9935000000000001E-3</v>
      </c>
      <c r="C77">
        <v>0</v>
      </c>
      <c r="D77">
        <v>18361</v>
      </c>
      <c r="E77">
        <v>588709</v>
      </c>
      <c r="F77">
        <v>32942.61</v>
      </c>
      <c r="G77">
        <v>977.17349999999999</v>
      </c>
      <c r="H77">
        <v>299691</v>
      </c>
      <c r="I77">
        <f t="shared" si="5"/>
        <v>0</v>
      </c>
      <c r="J77">
        <f t="shared" si="6"/>
        <v>0</v>
      </c>
      <c r="K77">
        <f t="shared" si="7"/>
        <v>0</v>
      </c>
      <c r="L77">
        <f t="shared" si="8"/>
        <v>0</v>
      </c>
      <c r="M77">
        <f t="shared" si="9"/>
        <v>0</v>
      </c>
      <c r="N77">
        <f t="shared" si="10"/>
        <v>0</v>
      </c>
      <c r="P77" s="11">
        <f t="shared" si="11"/>
        <v>0.19139711867953849</v>
      </c>
      <c r="Q77" s="11">
        <f t="shared" si="12"/>
        <v>0.17628400632026964</v>
      </c>
      <c r="R77" s="11">
        <f t="shared" si="13"/>
        <v>1.0603400374846432E-2</v>
      </c>
      <c r="S77" s="11">
        <f t="shared" si="14"/>
        <v>2.009637672051074E-2</v>
      </c>
      <c r="T77" s="11">
        <f t="shared" si="15"/>
        <v>2.9092362039289849E-2</v>
      </c>
      <c r="U77" s="11">
        <f t="shared" si="16"/>
        <v>2.3798340853236403E-2</v>
      </c>
      <c r="W77">
        <f t="shared" si="17"/>
        <v>0</v>
      </c>
      <c r="X77">
        <f t="shared" si="18"/>
        <v>0</v>
      </c>
      <c r="Y77">
        <f t="shared" si="19"/>
        <v>0</v>
      </c>
      <c r="Z77">
        <f t="shared" si="20"/>
        <v>0</v>
      </c>
      <c r="AA77">
        <f t="shared" si="21"/>
        <v>0</v>
      </c>
      <c r="AB77">
        <f t="shared" si="22"/>
        <v>0</v>
      </c>
      <c r="AD77" s="11">
        <f t="shared" si="23"/>
        <v>0.19485651007084992</v>
      </c>
      <c r="AE77" s="11">
        <f t="shared" si="24"/>
        <v>7.5667907697181458E-2</v>
      </c>
      <c r="AF77" s="11">
        <f t="shared" si="25"/>
        <v>1.0795050657925085E-2</v>
      </c>
      <c r="AG77" s="11">
        <f t="shared" si="26"/>
        <v>8.6261414774786872E-3</v>
      </c>
      <c r="AH77" s="11">
        <f t="shared" si="27"/>
        <v>2.9618189530769189E-2</v>
      </c>
      <c r="AI77" s="11">
        <f t="shared" si="28"/>
        <v>1.0215167539119498E-2</v>
      </c>
      <c r="AJ77" s="11"/>
    </row>
    <row r="78" spans="1:36">
      <c r="A78" t="s">
        <v>972</v>
      </c>
      <c r="B78">
        <v>2.9813999999999999E-3</v>
      </c>
      <c r="C78">
        <v>0</v>
      </c>
      <c r="D78">
        <v>2217</v>
      </c>
      <c r="E78">
        <v>55274</v>
      </c>
      <c r="F78">
        <v>37841.300000000003</v>
      </c>
      <c r="G78">
        <v>1157.499</v>
      </c>
      <c r="H78">
        <v>42179</v>
      </c>
      <c r="I78">
        <f t="shared" si="5"/>
        <v>0</v>
      </c>
      <c r="J78">
        <f t="shared" si="6"/>
        <v>0</v>
      </c>
      <c r="K78">
        <f t="shared" si="7"/>
        <v>0</v>
      </c>
      <c r="L78">
        <f t="shared" si="8"/>
        <v>0</v>
      </c>
      <c r="M78">
        <f t="shared" si="9"/>
        <v>0</v>
      </c>
      <c r="N78">
        <f t="shared" si="10"/>
        <v>0</v>
      </c>
      <c r="P78" s="11">
        <f t="shared" si="11"/>
        <v>0.1609264520660493</v>
      </c>
      <c r="Q78" s="11">
        <f t="shared" si="12"/>
        <v>0.14821936656532747</v>
      </c>
      <c r="R78" s="11">
        <f t="shared" si="13"/>
        <v>8.9153254444591309E-3</v>
      </c>
      <c r="S78" s="11">
        <f t="shared" si="14"/>
        <v>1.6897007788447334E-2</v>
      </c>
      <c r="T78" s="11">
        <f t="shared" si="15"/>
        <v>2.4460820714039492E-2</v>
      </c>
      <c r="U78" s="11">
        <f t="shared" si="16"/>
        <v>2.0009614486319209E-2</v>
      </c>
      <c r="W78">
        <f t="shared" si="17"/>
        <v>0</v>
      </c>
      <c r="X78">
        <f t="shared" si="18"/>
        <v>0</v>
      </c>
      <c r="Y78">
        <f t="shared" si="19"/>
        <v>0</v>
      </c>
      <c r="Z78">
        <f t="shared" si="20"/>
        <v>0</v>
      </c>
      <c r="AA78">
        <f t="shared" si="21"/>
        <v>0</v>
      </c>
      <c r="AB78">
        <f t="shared" si="22"/>
        <v>0</v>
      </c>
      <c r="AD78" s="11">
        <f t="shared" si="23"/>
        <v>2.0669771976357776</v>
      </c>
      <c r="AE78" s="11">
        <f t="shared" si="24"/>
        <v>0.80266160851394874</v>
      </c>
      <c r="AF78" s="11">
        <f t="shared" si="25"/>
        <v>0.11451053674902208</v>
      </c>
      <c r="AG78" s="11">
        <f t="shared" si="26"/>
        <v>9.1503423370590156E-2</v>
      </c>
      <c r="AH78" s="11">
        <f t="shared" si="27"/>
        <v>0.31418053404063817</v>
      </c>
      <c r="AI78" s="11">
        <f t="shared" si="28"/>
        <v>0.10835931714938309</v>
      </c>
      <c r="AJ78" s="11"/>
    </row>
    <row r="79" spans="1:36">
      <c r="A79" t="s">
        <v>347</v>
      </c>
      <c r="B79">
        <v>2.3254E-3</v>
      </c>
      <c r="C79">
        <v>0</v>
      </c>
      <c r="D79">
        <v>6060</v>
      </c>
      <c r="E79">
        <v>73057</v>
      </c>
      <c r="F79">
        <v>39936.980000000003</v>
      </c>
      <c r="G79">
        <v>1048.7370000000001</v>
      </c>
      <c r="H79">
        <v>55922</v>
      </c>
      <c r="I79">
        <f t="shared" si="5"/>
        <v>0</v>
      </c>
      <c r="J79">
        <f t="shared" si="6"/>
        <v>0</v>
      </c>
      <c r="K79">
        <f t="shared" si="7"/>
        <v>0</v>
      </c>
      <c r="L79">
        <f t="shared" si="8"/>
        <v>0</v>
      </c>
      <c r="M79">
        <f t="shared" si="9"/>
        <v>0</v>
      </c>
      <c r="N79">
        <f t="shared" si="10"/>
        <v>0</v>
      </c>
      <c r="P79" s="11">
        <f t="shared" si="11"/>
        <v>0.13853480304404248</v>
      </c>
      <c r="Q79" s="11">
        <f t="shared" si="12"/>
        <v>0.12759580846294161</v>
      </c>
      <c r="R79" s="11">
        <f t="shared" si="13"/>
        <v>7.6748280886399529E-3</v>
      </c>
      <c r="S79" s="11">
        <f t="shared" si="14"/>
        <v>1.4545922164775344E-2</v>
      </c>
      <c r="T79" s="11">
        <f t="shared" si="15"/>
        <v>2.1057290062694457E-2</v>
      </c>
      <c r="U79" s="11">
        <f t="shared" si="16"/>
        <v>1.722543414249712E-2</v>
      </c>
      <c r="W79">
        <f t="shared" si="17"/>
        <v>0</v>
      </c>
      <c r="X79">
        <f t="shared" si="18"/>
        <v>0</v>
      </c>
      <c r="Y79">
        <f t="shared" si="19"/>
        <v>0</v>
      </c>
      <c r="Z79">
        <f t="shared" si="20"/>
        <v>0</v>
      </c>
      <c r="AA79">
        <f t="shared" si="21"/>
        <v>0</v>
      </c>
      <c r="AB79">
        <f t="shared" si="22"/>
        <v>0</v>
      </c>
      <c r="AD79" s="11">
        <f t="shared" si="23"/>
        <v>1.2197537623680139</v>
      </c>
      <c r="AE79" s="11">
        <f t="shared" si="24"/>
        <v>0.47366246614287472</v>
      </c>
      <c r="AF79" s="11">
        <f t="shared" si="25"/>
        <v>6.757435843518797E-2</v>
      </c>
      <c r="AG79" s="11">
        <f t="shared" si="26"/>
        <v>5.3997521140287719E-2</v>
      </c>
      <c r="AH79" s="11">
        <f t="shared" si="27"/>
        <v>0.18540257187993811</v>
      </c>
      <c r="AI79" s="11">
        <f t="shared" si="28"/>
        <v>6.3944432929288086E-2</v>
      </c>
      <c r="AJ79" s="11"/>
    </row>
    <row r="80" spans="1:36">
      <c r="A80" t="s">
        <v>348</v>
      </c>
      <c r="B80">
        <v>6.5256000000000003E-3</v>
      </c>
      <c r="C80">
        <v>0</v>
      </c>
      <c r="D80">
        <v>11478</v>
      </c>
      <c r="E80">
        <v>254911</v>
      </c>
      <c r="F80">
        <v>39152</v>
      </c>
      <c r="G80">
        <v>1628.3489999999999</v>
      </c>
      <c r="H80">
        <v>176099</v>
      </c>
      <c r="I80">
        <f t="shared" si="5"/>
        <v>0</v>
      </c>
      <c r="J80">
        <f t="shared" si="6"/>
        <v>0</v>
      </c>
      <c r="K80">
        <f t="shared" si="7"/>
        <v>0</v>
      </c>
      <c r="L80">
        <f t="shared" si="8"/>
        <v>0</v>
      </c>
      <c r="M80">
        <f t="shared" si="9"/>
        <v>0</v>
      </c>
      <c r="N80">
        <f t="shared" si="10"/>
        <v>0</v>
      </c>
      <c r="P80" s="11">
        <f t="shared" si="11"/>
        <v>0.25038065510526308</v>
      </c>
      <c r="Q80" s="11">
        <f t="shared" si="12"/>
        <v>0.23061008071365538</v>
      </c>
      <c r="R80" s="11">
        <f t="shared" si="13"/>
        <v>1.3871088292831575E-2</v>
      </c>
      <c r="S80" s="11">
        <f t="shared" si="14"/>
        <v>2.6289549201356715E-2</v>
      </c>
      <c r="T80" s="11">
        <f t="shared" si="15"/>
        <v>3.805785957599999E-2</v>
      </c>
      <c r="U80" s="11">
        <f t="shared" si="16"/>
        <v>3.113236089634348E-2</v>
      </c>
      <c r="W80">
        <f t="shared" si="17"/>
        <v>0</v>
      </c>
      <c r="X80">
        <f t="shared" si="18"/>
        <v>0</v>
      </c>
      <c r="Y80">
        <f t="shared" si="19"/>
        <v>0</v>
      </c>
      <c r="Z80">
        <f t="shared" si="20"/>
        <v>0</v>
      </c>
      <c r="AA80">
        <f t="shared" si="21"/>
        <v>0</v>
      </c>
      <c r="AB80">
        <f t="shared" si="22"/>
        <v>0</v>
      </c>
      <c r="AD80" s="11">
        <f t="shared" si="23"/>
        <v>0.98099818826366847</v>
      </c>
      <c r="AE80" s="11">
        <f t="shared" si="24"/>
        <v>0.38094739731121846</v>
      </c>
      <c r="AF80" s="11">
        <f t="shared" si="25"/>
        <v>5.4347299629807229E-2</v>
      </c>
      <c r="AG80" s="11">
        <f t="shared" si="26"/>
        <v>4.3428003293478908E-2</v>
      </c>
      <c r="AH80" s="11">
        <f t="shared" si="27"/>
        <v>0.14911172461607761</v>
      </c>
      <c r="AI80" s="11">
        <f t="shared" si="28"/>
        <v>5.1427898637014496E-2</v>
      </c>
      <c r="AJ80" s="11"/>
    </row>
    <row r="81" spans="1:36">
      <c r="A81" t="s">
        <v>349</v>
      </c>
      <c r="B81">
        <v>1.57593E-2</v>
      </c>
      <c r="C81">
        <v>0</v>
      </c>
      <c r="D81">
        <v>6095</v>
      </c>
      <c r="E81">
        <v>223998</v>
      </c>
      <c r="F81">
        <v>32163.49</v>
      </c>
      <c r="G81">
        <v>2018</v>
      </c>
      <c r="H81">
        <v>143142</v>
      </c>
      <c r="I81">
        <f t="shared" si="5"/>
        <v>0</v>
      </c>
      <c r="J81">
        <f t="shared" si="6"/>
        <v>0</v>
      </c>
      <c r="K81">
        <f t="shared" si="7"/>
        <v>0</v>
      </c>
      <c r="L81">
        <f t="shared" si="8"/>
        <v>0</v>
      </c>
      <c r="M81">
        <f t="shared" si="9"/>
        <v>0</v>
      </c>
      <c r="N81">
        <f t="shared" si="10"/>
        <v>0</v>
      </c>
      <c r="P81" s="11">
        <f t="shared" si="11"/>
        <v>0.48791433167988102</v>
      </c>
      <c r="Q81" s="11">
        <f t="shared" si="12"/>
        <v>0.44938760689296325</v>
      </c>
      <c r="R81" s="11">
        <f t="shared" si="13"/>
        <v>2.7030453975065406E-2</v>
      </c>
      <c r="S81" s="11">
        <f t="shared" si="14"/>
        <v>5.1230187185797811E-2</v>
      </c>
      <c r="T81" s="11">
        <f t="shared" si="15"/>
        <v>7.4162978415341918E-2</v>
      </c>
      <c r="U81" s="11">
        <f t="shared" si="16"/>
        <v>6.066732693055004E-2</v>
      </c>
      <c r="W81">
        <f t="shared" si="17"/>
        <v>0</v>
      </c>
      <c r="X81">
        <f t="shared" si="18"/>
        <v>0</v>
      </c>
      <c r="Y81">
        <f t="shared" si="19"/>
        <v>0</v>
      </c>
      <c r="Z81">
        <f t="shared" si="20"/>
        <v>0</v>
      </c>
      <c r="AA81">
        <f t="shared" si="21"/>
        <v>0</v>
      </c>
      <c r="AB81">
        <f t="shared" si="22"/>
        <v>0</v>
      </c>
      <c r="AD81" s="11">
        <f t="shared" si="23"/>
        <v>2.696057280595987</v>
      </c>
      <c r="AE81" s="11">
        <f t="shared" si="24"/>
        <v>1.0469499498901778</v>
      </c>
      <c r="AF81" s="11">
        <f t="shared" si="25"/>
        <v>0.14936157334501768</v>
      </c>
      <c r="AG81" s="11">
        <f t="shared" si="26"/>
        <v>0.11935229428748027</v>
      </c>
      <c r="AH81" s="11">
        <f t="shared" si="27"/>
        <v>0.40980070665059004</v>
      </c>
      <c r="AI81" s="11">
        <f t="shared" si="28"/>
        <v>0.14133824323517399</v>
      </c>
      <c r="AJ81" s="11"/>
    </row>
    <row r="82" spans="1:36">
      <c r="A82" t="s">
        <v>350</v>
      </c>
      <c r="B82">
        <v>5.2538000000000003E-3</v>
      </c>
      <c r="C82">
        <v>0</v>
      </c>
      <c r="D82">
        <v>12561</v>
      </c>
      <c r="E82">
        <v>303331</v>
      </c>
      <c r="F82">
        <v>38115.96</v>
      </c>
      <c r="G82">
        <v>2169.2669999999998</v>
      </c>
      <c r="H82">
        <v>182844</v>
      </c>
      <c r="I82">
        <f t="shared" si="5"/>
        <v>0</v>
      </c>
      <c r="J82">
        <f t="shared" si="6"/>
        <v>0</v>
      </c>
      <c r="K82">
        <f t="shared" si="7"/>
        <v>0</v>
      </c>
      <c r="L82">
        <f t="shared" si="8"/>
        <v>0</v>
      </c>
      <c r="M82">
        <f t="shared" si="9"/>
        <v>0</v>
      </c>
      <c r="N82">
        <f t="shared" si="10"/>
        <v>0</v>
      </c>
      <c r="P82" s="11">
        <f t="shared" si="11"/>
        <v>0.15131721534509124</v>
      </c>
      <c r="Q82" s="11">
        <f t="shared" si="12"/>
        <v>0.13936889505072453</v>
      </c>
      <c r="R82" s="11">
        <f t="shared" si="13"/>
        <v>8.3829737301180547E-3</v>
      </c>
      <c r="S82" s="11">
        <f t="shared" si="14"/>
        <v>1.5888054035782598E-2</v>
      </c>
      <c r="T82" s="11">
        <f t="shared" si="15"/>
        <v>2.3000216732453869E-2</v>
      </c>
      <c r="U82" s="11">
        <f t="shared" si="16"/>
        <v>1.8814800831847812E-2</v>
      </c>
      <c r="W82">
        <f t="shared" si="17"/>
        <v>0</v>
      </c>
      <c r="X82">
        <f t="shared" si="18"/>
        <v>0</v>
      </c>
      <c r="Y82">
        <f t="shared" si="19"/>
        <v>0</v>
      </c>
      <c r="Z82">
        <f t="shared" si="20"/>
        <v>0</v>
      </c>
      <c r="AA82">
        <f t="shared" si="21"/>
        <v>0</v>
      </c>
      <c r="AB82">
        <f t="shared" si="22"/>
        <v>0</v>
      </c>
      <c r="AD82" s="11">
        <f t="shared" si="23"/>
        <v>0.66373248227856696</v>
      </c>
      <c r="AE82" s="11">
        <f t="shared" si="24"/>
        <v>0.25774477940929219</v>
      </c>
      <c r="AF82" s="11">
        <f t="shared" si="25"/>
        <v>3.6770779518232606E-2</v>
      </c>
      <c r="AG82" s="11">
        <f t="shared" si="26"/>
        <v>2.9382904852659309E-2</v>
      </c>
      <c r="AH82" s="11">
        <f t="shared" si="27"/>
        <v>0.10088733730634218</v>
      </c>
      <c r="AI82" s="11">
        <f t="shared" si="28"/>
        <v>3.4795545220254451E-2</v>
      </c>
      <c r="AJ82" s="11"/>
    </row>
    <row r="83" spans="1:36">
      <c r="A83" t="s">
        <v>351</v>
      </c>
      <c r="B83">
        <v>4.0365000000000002E-3</v>
      </c>
      <c r="C83">
        <v>0</v>
      </c>
      <c r="D83">
        <v>21036</v>
      </c>
      <c r="E83">
        <v>647194</v>
      </c>
      <c r="F83">
        <v>34801.839999999997</v>
      </c>
      <c r="G83">
        <v>1300.019</v>
      </c>
      <c r="H83">
        <v>407920</v>
      </c>
      <c r="I83">
        <f t="shared" si="5"/>
        <v>0</v>
      </c>
      <c r="J83">
        <f t="shared" si="6"/>
        <v>0</v>
      </c>
      <c r="K83">
        <f t="shared" si="7"/>
        <v>0</v>
      </c>
      <c r="L83">
        <f t="shared" si="8"/>
        <v>0</v>
      </c>
      <c r="M83">
        <f t="shared" si="9"/>
        <v>0</v>
      </c>
      <c r="N83">
        <f t="shared" si="10"/>
        <v>0</v>
      </c>
      <c r="P83" s="11">
        <f t="shared" si="11"/>
        <v>0.19399166523720038</v>
      </c>
      <c r="Q83" s="11">
        <f t="shared" si="12"/>
        <v>0.17867368211541523</v>
      </c>
      <c r="R83" s="11">
        <f t="shared" si="13"/>
        <v>1.0747138254140901E-2</v>
      </c>
      <c r="S83" s="11">
        <f t="shared" si="14"/>
        <v>2.0368799761157338E-2</v>
      </c>
      <c r="T83" s="11">
        <f t="shared" si="15"/>
        <v>2.9486733116054455E-2</v>
      </c>
      <c r="U83" s="11">
        <f t="shared" si="16"/>
        <v>2.4120947085581056E-2</v>
      </c>
      <c r="W83">
        <f t="shared" si="17"/>
        <v>0</v>
      </c>
      <c r="X83">
        <f t="shared" si="18"/>
        <v>0</v>
      </c>
      <c r="Y83">
        <f t="shared" si="19"/>
        <v>0</v>
      </c>
      <c r="Z83">
        <f t="shared" si="20"/>
        <v>0</v>
      </c>
      <c r="AA83">
        <f t="shared" si="21"/>
        <v>0</v>
      </c>
      <c r="AB83">
        <f t="shared" si="22"/>
        <v>0</v>
      </c>
      <c r="AD83" s="11">
        <f t="shared" si="23"/>
        <v>0.23900490129188465</v>
      </c>
      <c r="AE83" s="11">
        <f t="shared" si="24"/>
        <v>9.2811889136024131E-2</v>
      </c>
      <c r="AF83" s="11">
        <f t="shared" si="25"/>
        <v>1.3240871531570409E-2</v>
      </c>
      <c r="AG83" s="11">
        <f t="shared" si="26"/>
        <v>1.0580555361506752E-2</v>
      </c>
      <c r="AH83" s="11">
        <f t="shared" si="27"/>
        <v>3.6328744996366465E-2</v>
      </c>
      <c r="AI83" s="11">
        <f t="shared" si="28"/>
        <v>1.2529605033363259E-2</v>
      </c>
      <c r="AJ83" s="11"/>
    </row>
    <row r="84" spans="1:36">
      <c r="A84" t="s">
        <v>285</v>
      </c>
      <c r="B84">
        <v>7.4053000000000001E-3</v>
      </c>
      <c r="C84">
        <v>0</v>
      </c>
      <c r="D84">
        <v>110738</v>
      </c>
      <c r="E84">
        <v>1706469</v>
      </c>
      <c r="F84">
        <v>44341.88</v>
      </c>
      <c r="G84">
        <v>693.90279999999996</v>
      </c>
      <c r="H84">
        <v>1111511</v>
      </c>
      <c r="I84">
        <f t="shared" si="5"/>
        <v>0</v>
      </c>
      <c r="J84">
        <f t="shared" si="6"/>
        <v>0</v>
      </c>
      <c r="K84">
        <f t="shared" si="7"/>
        <v>0</v>
      </c>
      <c r="L84">
        <f t="shared" si="8"/>
        <v>0</v>
      </c>
      <c r="M84">
        <f t="shared" si="9"/>
        <v>0</v>
      </c>
      <c r="N84">
        <f t="shared" si="10"/>
        <v>0</v>
      </c>
      <c r="P84" s="11">
        <f t="shared" si="11"/>
        <v>0.66676352066888911</v>
      </c>
      <c r="Q84" s="11">
        <f t="shared" si="12"/>
        <v>0.61411449400405937</v>
      </c>
      <c r="R84" s="11">
        <f t="shared" si="13"/>
        <v>3.6938699045056457E-2</v>
      </c>
      <c r="S84" s="11">
        <f t="shared" si="14"/>
        <v>7.0009052316462775E-2</v>
      </c>
      <c r="T84" s="11">
        <f t="shared" si="15"/>
        <v>0.10134805514167114</v>
      </c>
      <c r="U84" s="11">
        <f t="shared" si="16"/>
        <v>8.2905456690548024E-2</v>
      </c>
      <c r="W84">
        <f t="shared" si="17"/>
        <v>0</v>
      </c>
      <c r="X84">
        <f t="shared" si="18"/>
        <v>0</v>
      </c>
      <c r="Y84">
        <f t="shared" si="19"/>
        <v>0</v>
      </c>
      <c r="Z84">
        <f t="shared" si="20"/>
        <v>0</v>
      </c>
      <c r="AA84">
        <f t="shared" si="21"/>
        <v>0</v>
      </c>
      <c r="AB84">
        <f t="shared" si="22"/>
        <v>0</v>
      </c>
      <c r="AD84" s="11">
        <f t="shared" si="23"/>
        <v>0.1662955342205103</v>
      </c>
      <c r="AE84" s="11">
        <f t="shared" si="24"/>
        <v>6.457692960463976E-2</v>
      </c>
      <c r="AF84" s="11">
        <f t="shared" si="25"/>
        <v>9.2127725958162706E-3</v>
      </c>
      <c r="AG84" s="11">
        <f t="shared" si="26"/>
        <v>7.3617699749289325E-3</v>
      </c>
      <c r="AH84" s="11">
        <f t="shared" si="27"/>
        <v>2.5276921201517564E-2</v>
      </c>
      <c r="AI84" s="11">
        <f t="shared" si="28"/>
        <v>8.7178854966263684E-3</v>
      </c>
      <c r="AJ84" s="11"/>
    </row>
    <row r="85" spans="1:36">
      <c r="A85" t="s">
        <v>973</v>
      </c>
      <c r="B85">
        <v>1.39326E-2</v>
      </c>
      <c r="C85">
        <v>0</v>
      </c>
      <c r="D85">
        <v>6488</v>
      </c>
      <c r="E85">
        <v>195012</v>
      </c>
      <c r="F85">
        <v>38672.86</v>
      </c>
      <c r="G85">
        <v>2480.1860000000001</v>
      </c>
      <c r="H85">
        <v>136767</v>
      </c>
      <c r="I85">
        <f t="shared" si="5"/>
        <v>0</v>
      </c>
      <c r="J85">
        <f t="shared" si="6"/>
        <v>0</v>
      </c>
      <c r="K85">
        <f t="shared" si="7"/>
        <v>0</v>
      </c>
      <c r="L85">
        <f t="shared" si="8"/>
        <v>0</v>
      </c>
      <c r="M85">
        <f t="shared" si="9"/>
        <v>0</v>
      </c>
      <c r="N85">
        <f t="shared" si="10"/>
        <v>0</v>
      </c>
      <c r="P85" s="11">
        <f t="shared" si="11"/>
        <v>0.35097463499108533</v>
      </c>
      <c r="Q85" s="11">
        <f t="shared" si="12"/>
        <v>0.3232609518882858</v>
      </c>
      <c r="R85" s="11">
        <f t="shared" si="13"/>
        <v>1.9443994778506127E-2</v>
      </c>
      <c r="S85" s="11">
        <f t="shared" si="14"/>
        <v>3.6851748515264585E-2</v>
      </c>
      <c r="T85" s="11">
        <f t="shared" si="15"/>
        <v>5.3348144518644967E-2</v>
      </c>
      <c r="U85" s="11">
        <f t="shared" si="16"/>
        <v>4.3640228504918582E-2</v>
      </c>
      <c r="W85">
        <f t="shared" si="17"/>
        <v>0</v>
      </c>
      <c r="X85">
        <f t="shared" si="18"/>
        <v>0</v>
      </c>
      <c r="Y85">
        <f t="shared" si="19"/>
        <v>0</v>
      </c>
      <c r="Z85">
        <f t="shared" si="20"/>
        <v>0</v>
      </c>
      <c r="AA85">
        <f t="shared" si="21"/>
        <v>0</v>
      </c>
      <c r="AB85">
        <f t="shared" si="22"/>
        <v>0</v>
      </c>
      <c r="AD85" s="11">
        <f t="shared" si="23"/>
        <v>2.7378343321389451</v>
      </c>
      <c r="AE85" s="11">
        <f t="shared" si="24"/>
        <v>1.0631730777644453</v>
      </c>
      <c r="AF85" s="11">
        <f t="shared" si="25"/>
        <v>0.15167602200049754</v>
      </c>
      <c r="AG85" s="11">
        <f t="shared" si="26"/>
        <v>0.12120173086514677</v>
      </c>
      <c r="AH85" s="11">
        <f t="shared" si="27"/>
        <v>0.41615081848511964</v>
      </c>
      <c r="AI85" s="11">
        <f t="shared" si="28"/>
        <v>0.14352836549820011</v>
      </c>
      <c r="AJ85" s="11"/>
    </row>
    <row r="86" spans="1:36">
      <c r="A86" t="s">
        <v>352</v>
      </c>
      <c r="B86">
        <v>4.6122000000000003E-3</v>
      </c>
      <c r="C86">
        <v>0</v>
      </c>
      <c r="D86">
        <v>18171</v>
      </c>
      <c r="E86">
        <v>520089</v>
      </c>
      <c r="F86">
        <v>33600.61</v>
      </c>
      <c r="G86">
        <v>1235.894</v>
      </c>
      <c r="H86">
        <v>321197</v>
      </c>
      <c r="I86">
        <f t="shared" si="5"/>
        <v>0</v>
      </c>
      <c r="J86">
        <f t="shared" si="6"/>
        <v>0</v>
      </c>
      <c r="K86">
        <f t="shared" si="7"/>
        <v>0</v>
      </c>
      <c r="L86">
        <f t="shared" si="8"/>
        <v>0</v>
      </c>
      <c r="M86">
        <f t="shared" si="9"/>
        <v>0</v>
      </c>
      <c r="N86">
        <f t="shared" si="10"/>
        <v>0</v>
      </c>
      <c r="P86" s="11">
        <f t="shared" si="11"/>
        <v>0.23316036231262555</v>
      </c>
      <c r="Q86" s="11">
        <f t="shared" si="12"/>
        <v>0.2147495378568065</v>
      </c>
      <c r="R86" s="11">
        <f t="shared" si="13"/>
        <v>1.2917084072119455E-2</v>
      </c>
      <c r="S86" s="11">
        <f t="shared" si="14"/>
        <v>2.4481447315675944E-2</v>
      </c>
      <c r="T86" s="11">
        <f t="shared" si="15"/>
        <v>3.5440375071519085E-2</v>
      </c>
      <c r="U86" s="11">
        <f t="shared" si="16"/>
        <v>2.8991187610668882E-2</v>
      </c>
      <c r="W86">
        <f t="shared" si="17"/>
        <v>0</v>
      </c>
      <c r="X86">
        <f t="shared" si="18"/>
        <v>0</v>
      </c>
      <c r="Y86">
        <f t="shared" si="19"/>
        <v>0</v>
      </c>
      <c r="Z86">
        <f t="shared" si="20"/>
        <v>0</v>
      </c>
      <c r="AA86">
        <f t="shared" si="21"/>
        <v>0</v>
      </c>
      <c r="AB86">
        <f t="shared" si="22"/>
        <v>0</v>
      </c>
      <c r="AD86" s="11">
        <f t="shared" si="23"/>
        <v>0.33983397522493264</v>
      </c>
      <c r="AE86" s="11">
        <f t="shared" si="24"/>
        <v>0.13196647040602669</v>
      </c>
      <c r="AF86" s="11">
        <f t="shared" si="25"/>
        <v>1.8826802227461269E-2</v>
      </c>
      <c r="AG86" s="11">
        <f t="shared" si="26"/>
        <v>1.5044177626287044E-2</v>
      </c>
      <c r="AH86" s="11">
        <f t="shared" si="27"/>
        <v>5.1654764234189757E-2</v>
      </c>
      <c r="AI86" s="11">
        <f t="shared" si="28"/>
        <v>1.7815473504813602E-2</v>
      </c>
      <c r="AJ86" s="11"/>
    </row>
    <row r="87" spans="1:36">
      <c r="A87" t="s">
        <v>353</v>
      </c>
      <c r="B87">
        <v>5.7159000000000003E-3</v>
      </c>
      <c r="C87">
        <v>0</v>
      </c>
      <c r="D87">
        <v>3016</v>
      </c>
      <c r="E87">
        <v>87759</v>
      </c>
      <c r="F87">
        <v>33411.25</v>
      </c>
      <c r="G87">
        <v>1527.097</v>
      </c>
      <c r="H87">
        <v>63480</v>
      </c>
      <c r="I87">
        <f t="shared" si="5"/>
        <v>0</v>
      </c>
      <c r="J87">
        <f t="shared" si="6"/>
        <v>0</v>
      </c>
      <c r="K87">
        <f t="shared" si="7"/>
        <v>0</v>
      </c>
      <c r="L87">
        <f t="shared" si="8"/>
        <v>0</v>
      </c>
      <c r="M87">
        <f t="shared" si="9"/>
        <v>0</v>
      </c>
      <c r="N87">
        <f t="shared" si="10"/>
        <v>0</v>
      </c>
      <c r="P87" s="11">
        <f t="shared" si="11"/>
        <v>0.23385454348348536</v>
      </c>
      <c r="Q87" s="11">
        <f t="shared" si="12"/>
        <v>0.21538890504663424</v>
      </c>
      <c r="R87" s="11">
        <f t="shared" si="13"/>
        <v>1.2955541708985089E-2</v>
      </c>
      <c r="S87" s="11">
        <f t="shared" si="14"/>
        <v>2.4554335175316303E-2</v>
      </c>
      <c r="T87" s="11">
        <f t="shared" si="15"/>
        <v>3.5545890609489775E-2</v>
      </c>
      <c r="U87" s="11">
        <f t="shared" si="16"/>
        <v>2.9077502181295626E-2</v>
      </c>
      <c r="W87">
        <f t="shared" si="17"/>
        <v>0</v>
      </c>
      <c r="X87">
        <f t="shared" si="18"/>
        <v>0</v>
      </c>
      <c r="Y87">
        <f t="shared" si="19"/>
        <v>0</v>
      </c>
      <c r="Z87">
        <f t="shared" si="20"/>
        <v>0</v>
      </c>
      <c r="AA87">
        <f t="shared" si="21"/>
        <v>0</v>
      </c>
      <c r="AB87">
        <f t="shared" si="22"/>
        <v>0</v>
      </c>
      <c r="AD87" s="11">
        <f t="shared" si="23"/>
        <v>2.4959121145092809</v>
      </c>
      <c r="AE87" s="11">
        <f t="shared" si="24"/>
        <v>0.96922831796738795</v>
      </c>
      <c r="AF87" s="11">
        <f t="shared" si="25"/>
        <v>0.13827353114381416</v>
      </c>
      <c r="AG87" s="11">
        <f t="shared" si="26"/>
        <v>0.11049202824828223</v>
      </c>
      <c r="AH87" s="11">
        <f t="shared" si="27"/>
        <v>0.37937864140541067</v>
      </c>
      <c r="AI87" s="11">
        <f t="shared" si="28"/>
        <v>0.13084582292559738</v>
      </c>
      <c r="AJ87" s="11"/>
    </row>
    <row r="88" spans="1:36">
      <c r="A88" t="s">
        <v>287</v>
      </c>
      <c r="B88">
        <v>1.24796E-2</v>
      </c>
      <c r="C88">
        <v>2.68428E-2</v>
      </c>
      <c r="D88">
        <v>476895</v>
      </c>
      <c r="E88">
        <v>9515636</v>
      </c>
      <c r="F88">
        <v>49692.34</v>
      </c>
      <c r="G88">
        <v>3391.5</v>
      </c>
      <c r="H88">
        <v>5777274</v>
      </c>
      <c r="I88">
        <f t="shared" si="5"/>
        <v>0.53790232704113217</v>
      </c>
      <c r="J88">
        <f t="shared" si="6"/>
        <v>1.2970418798761609</v>
      </c>
      <c r="K88">
        <f t="shared" si="7"/>
        <v>2.9799788918078721E-2</v>
      </c>
      <c r="L88">
        <f t="shared" si="8"/>
        <v>0.14786277430588235</v>
      </c>
      <c r="M88">
        <f t="shared" si="9"/>
        <v>8.1761153710252082E-2</v>
      </c>
      <c r="N88">
        <f t="shared" si="10"/>
        <v>0.17510065378328174</v>
      </c>
      <c r="P88" s="11">
        <f t="shared" si="11"/>
        <v>0.22989877539731682</v>
      </c>
      <c r="Q88" s="11">
        <f t="shared" si="12"/>
        <v>0.21174549259029926</v>
      </c>
      <c r="R88" s="11">
        <f t="shared" si="13"/>
        <v>1.2736392157011351E-2</v>
      </c>
      <c r="S88" s="11">
        <f t="shared" si="14"/>
        <v>2.4138986155294116E-2</v>
      </c>
      <c r="T88" s="11">
        <f t="shared" si="15"/>
        <v>3.4944613860392153E-2</v>
      </c>
      <c r="U88" s="11">
        <f t="shared" si="16"/>
        <v>2.8585641499690402E-2</v>
      </c>
      <c r="W88">
        <f t="shared" si="17"/>
        <v>1.0298902942066341</v>
      </c>
      <c r="X88">
        <f t="shared" si="18"/>
        <v>1.3652595671449517</v>
      </c>
      <c r="Y88">
        <f t="shared" si="19"/>
        <v>5.7055922299047532E-2</v>
      </c>
      <c r="Z88">
        <f t="shared" si="20"/>
        <v>0.15563959065452448</v>
      </c>
      <c r="AA88">
        <f t="shared" si="21"/>
        <v>0.15654332471940838</v>
      </c>
      <c r="AB88">
        <f t="shared" si="22"/>
        <v>0.18431004156456848</v>
      </c>
      <c r="AD88" s="11">
        <f t="shared" si="23"/>
        <v>5.0257302822604814E-2</v>
      </c>
      <c r="AE88" s="11">
        <f t="shared" si="24"/>
        <v>1.9516232481570334E-2</v>
      </c>
      <c r="AF88" s="11">
        <f t="shared" si="25"/>
        <v>2.7842545763723065E-3</v>
      </c>
      <c r="AG88" s="11">
        <f t="shared" si="26"/>
        <v>2.224850502899018E-3</v>
      </c>
      <c r="AH88" s="11">
        <f t="shared" si="27"/>
        <v>7.6391100290359318E-3</v>
      </c>
      <c r="AI88" s="11">
        <f t="shared" si="28"/>
        <v>2.6346913850119951E-3</v>
      </c>
      <c r="AJ88" s="11"/>
    </row>
    <row r="89" spans="1:36">
      <c r="A89" t="s">
        <v>354</v>
      </c>
      <c r="B89">
        <v>4.9645999999999996E-3</v>
      </c>
      <c r="C89">
        <v>0</v>
      </c>
      <c r="D89">
        <v>5093</v>
      </c>
      <c r="E89">
        <v>219503</v>
      </c>
      <c r="F89">
        <v>30257.82</v>
      </c>
      <c r="G89">
        <v>1384.23</v>
      </c>
      <c r="H89">
        <v>108520</v>
      </c>
      <c r="I89">
        <f t="shared" si="5"/>
        <v>0</v>
      </c>
      <c r="J89">
        <f t="shared" si="6"/>
        <v>0</v>
      </c>
      <c r="K89">
        <f t="shared" si="7"/>
        <v>0</v>
      </c>
      <c r="L89">
        <f t="shared" si="8"/>
        <v>0</v>
      </c>
      <c r="M89">
        <f t="shared" si="9"/>
        <v>0</v>
      </c>
      <c r="N89">
        <f t="shared" si="10"/>
        <v>0</v>
      </c>
      <c r="P89" s="11">
        <f t="shared" si="11"/>
        <v>0.22408037339170508</v>
      </c>
      <c r="Q89" s="11">
        <f t="shared" si="12"/>
        <v>0.20638652364130233</v>
      </c>
      <c r="R89" s="11">
        <f t="shared" si="13"/>
        <v>1.2414052685900462E-2</v>
      </c>
      <c r="S89" s="11">
        <f t="shared" si="14"/>
        <v>2.3528063695108466E-2</v>
      </c>
      <c r="T89" s="11">
        <f t="shared" si="15"/>
        <v>3.406021675553917E-2</v>
      </c>
      <c r="U89" s="11">
        <f t="shared" si="16"/>
        <v>2.7862180691575818E-2</v>
      </c>
      <c r="W89">
        <f t="shared" si="17"/>
        <v>0</v>
      </c>
      <c r="X89">
        <f t="shared" si="18"/>
        <v>0</v>
      </c>
      <c r="Y89">
        <f t="shared" si="19"/>
        <v>0</v>
      </c>
      <c r="Z89">
        <f t="shared" si="20"/>
        <v>0</v>
      </c>
      <c r="AA89">
        <f t="shared" si="21"/>
        <v>0</v>
      </c>
      <c r="AB89">
        <f t="shared" si="22"/>
        <v>0</v>
      </c>
      <c r="AD89" s="11">
        <f t="shared" si="23"/>
        <v>0.86672262868698813</v>
      </c>
      <c r="AE89" s="11">
        <f t="shared" si="24"/>
        <v>0.33657119201559882</v>
      </c>
      <c r="AF89" s="11">
        <f t="shared" si="25"/>
        <v>4.8016433629259142E-2</v>
      </c>
      <c r="AG89" s="11">
        <f t="shared" si="26"/>
        <v>3.8369115889778267E-2</v>
      </c>
      <c r="AH89" s="11">
        <f t="shared" si="27"/>
        <v>0.13174183956042218</v>
      </c>
      <c r="AI89" s="11">
        <f t="shared" si="28"/>
        <v>4.5437110922105846E-2</v>
      </c>
      <c r="AJ89" s="11"/>
    </row>
    <row r="90" spans="1:36">
      <c r="A90" t="s">
        <v>355</v>
      </c>
      <c r="B90">
        <v>9.5703000000000003E-3</v>
      </c>
      <c r="C90">
        <v>0</v>
      </c>
      <c r="D90">
        <v>89678</v>
      </c>
      <c r="E90">
        <v>2158643</v>
      </c>
      <c r="F90">
        <v>42040.34</v>
      </c>
      <c r="G90">
        <v>2331.203</v>
      </c>
      <c r="H90">
        <v>1309385</v>
      </c>
      <c r="I90">
        <f t="shared" si="5"/>
        <v>0</v>
      </c>
      <c r="J90">
        <f t="shared" si="6"/>
        <v>0</v>
      </c>
      <c r="K90">
        <f t="shared" si="7"/>
        <v>0</v>
      </c>
      <c r="L90">
        <f t="shared" si="8"/>
        <v>0</v>
      </c>
      <c r="M90">
        <f t="shared" si="9"/>
        <v>0</v>
      </c>
      <c r="N90">
        <f t="shared" si="10"/>
        <v>0</v>
      </c>
      <c r="P90" s="11">
        <f t="shared" si="11"/>
        <v>0.25649167422571095</v>
      </c>
      <c r="Q90" s="11">
        <f t="shared" si="12"/>
        <v>0.23623856112487843</v>
      </c>
      <c r="R90" s="11">
        <f t="shared" si="13"/>
        <v>1.4209638752104386E-2</v>
      </c>
      <c r="S90" s="11">
        <f t="shared" si="14"/>
        <v>2.6931195968236142E-2</v>
      </c>
      <c r="T90" s="11">
        <f t="shared" si="15"/>
        <v>3.8986734482308064E-2</v>
      </c>
      <c r="U90" s="11">
        <f t="shared" si="16"/>
        <v>3.1892205751858589E-2</v>
      </c>
      <c r="W90">
        <f t="shared" si="17"/>
        <v>0</v>
      </c>
      <c r="X90">
        <f t="shared" si="18"/>
        <v>0</v>
      </c>
      <c r="Y90">
        <f t="shared" si="19"/>
        <v>0</v>
      </c>
      <c r="Z90">
        <f t="shared" si="20"/>
        <v>0</v>
      </c>
      <c r="AA90">
        <f t="shared" si="21"/>
        <v>0</v>
      </c>
      <c r="AB90">
        <f t="shared" si="22"/>
        <v>0</v>
      </c>
      <c r="AD90" s="11">
        <f t="shared" si="23"/>
        <v>0.16989518104324799</v>
      </c>
      <c r="AE90" s="11">
        <f t="shared" si="24"/>
        <v>6.5974767138660725E-2</v>
      </c>
      <c r="AF90" s="11">
        <f t="shared" si="25"/>
        <v>9.4121930297959393E-3</v>
      </c>
      <c r="AG90" s="11">
        <f t="shared" si="26"/>
        <v>7.5211234538073227E-3</v>
      </c>
      <c r="AH90" s="11">
        <f t="shared" si="27"/>
        <v>2.5824067518573694E-2</v>
      </c>
      <c r="AI90" s="11">
        <f t="shared" si="28"/>
        <v>8.9065935637191989E-3</v>
      </c>
      <c r="AJ90" s="11"/>
    </row>
    <row r="91" spans="1:36">
      <c r="A91" t="s">
        <v>356</v>
      </c>
      <c r="B91">
        <v>1.8766E-3</v>
      </c>
      <c r="C91">
        <v>0</v>
      </c>
      <c r="D91">
        <v>4969</v>
      </c>
      <c r="E91">
        <v>261757</v>
      </c>
      <c r="F91">
        <v>28013.72</v>
      </c>
      <c r="G91">
        <v>472.75170000000003</v>
      </c>
      <c r="H91">
        <v>147168</v>
      </c>
      <c r="I91">
        <f t="shared" si="5"/>
        <v>0</v>
      </c>
      <c r="J91">
        <f t="shared" si="6"/>
        <v>0</v>
      </c>
      <c r="K91">
        <f t="shared" si="7"/>
        <v>0</v>
      </c>
      <c r="L91">
        <f t="shared" si="8"/>
        <v>0</v>
      </c>
      <c r="M91">
        <f t="shared" si="9"/>
        <v>0</v>
      </c>
      <c r="N91">
        <f t="shared" si="10"/>
        <v>0</v>
      </c>
      <c r="P91" s="11">
        <f t="shared" si="11"/>
        <v>0.2480084206148809</v>
      </c>
      <c r="Q91" s="11">
        <f t="shared" si="12"/>
        <v>0.22842516276514707</v>
      </c>
      <c r="R91" s="11">
        <f t="shared" si="13"/>
        <v>1.3739666502064402E-2</v>
      </c>
      <c r="S91" s="11">
        <f t="shared" si="14"/>
        <v>2.6040468555226768E-2</v>
      </c>
      <c r="T91" s="11">
        <f t="shared" si="15"/>
        <v>3.7697279933461898E-2</v>
      </c>
      <c r="U91" s="11">
        <f t="shared" si="16"/>
        <v>3.0837396973294857E-2</v>
      </c>
      <c r="W91">
        <f t="shared" si="17"/>
        <v>0</v>
      </c>
      <c r="X91">
        <f t="shared" si="18"/>
        <v>0</v>
      </c>
      <c r="Y91">
        <f t="shared" si="19"/>
        <v>0</v>
      </c>
      <c r="Z91">
        <f t="shared" si="20"/>
        <v>0</v>
      </c>
      <c r="AA91">
        <f t="shared" si="21"/>
        <v>0</v>
      </c>
      <c r="AB91">
        <f t="shared" si="22"/>
        <v>0</v>
      </c>
      <c r="AD91" s="11">
        <f t="shared" si="23"/>
        <v>0.27473231147316018</v>
      </c>
      <c r="AE91" s="11">
        <f t="shared" si="24"/>
        <v>0.10668578216055349</v>
      </c>
      <c r="AF91" s="11">
        <f t="shared" si="25"/>
        <v>1.5220170055613073E-2</v>
      </c>
      <c r="AG91" s="11">
        <f t="shared" si="26"/>
        <v>1.2162179166303098E-2</v>
      </c>
      <c r="AH91" s="11">
        <f t="shared" si="27"/>
        <v>4.1759311343920344E-2</v>
      </c>
      <c r="AI91" s="11">
        <f t="shared" si="28"/>
        <v>1.4402580591674723E-2</v>
      </c>
      <c r="AJ91" s="11"/>
    </row>
    <row r="92" spans="1:36">
      <c r="A92" t="s">
        <v>289</v>
      </c>
      <c r="B92">
        <v>1.2255200000000001E-2</v>
      </c>
      <c r="C92">
        <v>4.1006000000000003E-3</v>
      </c>
      <c r="D92">
        <v>93805</v>
      </c>
      <c r="E92">
        <v>2094051</v>
      </c>
      <c r="F92">
        <v>41348.39</v>
      </c>
      <c r="G92">
        <v>2385.5729999999999</v>
      </c>
      <c r="H92">
        <v>1316713</v>
      </c>
      <c r="I92">
        <f t="shared" si="5"/>
        <v>0.11682132440298411</v>
      </c>
      <c r="J92">
        <f t="shared" si="6"/>
        <v>0.28169082488777331</v>
      </c>
      <c r="K92">
        <f t="shared" si="7"/>
        <v>6.4719013719253191E-3</v>
      </c>
      <c r="L92">
        <f t="shared" si="8"/>
        <v>3.2112754037206155E-2</v>
      </c>
      <c r="M92">
        <f t="shared" si="9"/>
        <v>1.7756841309253583E-2</v>
      </c>
      <c r="N92">
        <f t="shared" si="10"/>
        <v>3.8028261359849401E-2</v>
      </c>
      <c r="P92" s="11">
        <f t="shared" si="11"/>
        <v>0.32096339584661637</v>
      </c>
      <c r="Q92" s="11">
        <f t="shared" si="12"/>
        <v>0.29561946225917213</v>
      </c>
      <c r="R92" s="11">
        <f t="shared" si="13"/>
        <v>1.7781372129902547E-2</v>
      </c>
      <c r="S92" s="11">
        <f t="shared" si="14"/>
        <v>3.3700618697545627E-2</v>
      </c>
      <c r="T92" s="11">
        <f t="shared" si="15"/>
        <v>4.8786436168685686E-2</v>
      </c>
      <c r="U92" s="11">
        <f t="shared" si="16"/>
        <v>3.9908627404988239E-2</v>
      </c>
      <c r="W92">
        <f t="shared" si="17"/>
        <v>0.71492605220741046</v>
      </c>
      <c r="X92">
        <f t="shared" si="18"/>
        <v>0.94773165459262454</v>
      </c>
      <c r="Y92">
        <f t="shared" si="19"/>
        <v>3.9606903292290538E-2</v>
      </c>
      <c r="Z92">
        <f t="shared" si="20"/>
        <v>0.1080414086235592</v>
      </c>
      <c r="AA92">
        <f t="shared" si="21"/>
        <v>0.10866875993552638</v>
      </c>
      <c r="AB92">
        <f t="shared" si="22"/>
        <v>0.12794377337000432</v>
      </c>
      <c r="AD92" s="11">
        <f t="shared" si="23"/>
        <v>0.22426912120104045</v>
      </c>
      <c r="AE92" s="11">
        <f t="shared" si="24"/>
        <v>8.7089598167379892E-2</v>
      </c>
      <c r="AF92" s="11">
        <f t="shared" si="25"/>
        <v>1.2424509314537641E-2</v>
      </c>
      <c r="AG92" s="11">
        <f t="shared" si="26"/>
        <v>9.9282141910813082E-3</v>
      </c>
      <c r="AH92" s="11">
        <f t="shared" si="27"/>
        <v>3.408890642255815E-2</v>
      </c>
      <c r="AI92" s="11">
        <f t="shared" si="28"/>
        <v>1.1757095752596286E-2</v>
      </c>
      <c r="AJ92" s="11"/>
    </row>
    <row r="93" spans="1:36">
      <c r="A93" t="s">
        <v>357</v>
      </c>
      <c r="B93">
        <v>4.5678000000000003E-3</v>
      </c>
      <c r="C93">
        <v>0</v>
      </c>
      <c r="D93">
        <v>4551</v>
      </c>
      <c r="E93">
        <v>207140</v>
      </c>
      <c r="F93">
        <v>29503.57</v>
      </c>
      <c r="G93">
        <v>924.31309999999996</v>
      </c>
      <c r="H93">
        <v>121819</v>
      </c>
      <c r="I93">
        <f t="shared" si="5"/>
        <v>0</v>
      </c>
      <c r="J93">
        <f t="shared" si="6"/>
        <v>0</v>
      </c>
      <c r="K93">
        <f t="shared" si="7"/>
        <v>0</v>
      </c>
      <c r="L93">
        <f t="shared" si="8"/>
        <v>0</v>
      </c>
      <c r="M93">
        <f t="shared" si="9"/>
        <v>0</v>
      </c>
      <c r="N93">
        <f t="shared" si="10"/>
        <v>0</v>
      </c>
      <c r="P93" s="11">
        <f t="shared" si="11"/>
        <v>0.30875627012102286</v>
      </c>
      <c r="Q93" s="11">
        <f t="shared" si="12"/>
        <v>0.2843762364289763</v>
      </c>
      <c r="R93" s="11">
        <f t="shared" si="13"/>
        <v>1.7105097364704665E-2</v>
      </c>
      <c r="S93" s="11">
        <f t="shared" si="14"/>
        <v>3.2418890952903297E-2</v>
      </c>
      <c r="T93" s="11">
        <f t="shared" si="15"/>
        <v>4.6930953058395473E-2</v>
      </c>
      <c r="U93" s="11">
        <f t="shared" si="16"/>
        <v>3.8390791917911803E-2</v>
      </c>
      <c r="W93">
        <f t="shared" si="17"/>
        <v>0</v>
      </c>
      <c r="X93">
        <f t="shared" si="18"/>
        <v>0</v>
      </c>
      <c r="Y93">
        <f t="shared" si="19"/>
        <v>0</v>
      </c>
      <c r="Z93">
        <f t="shared" si="20"/>
        <v>0</v>
      </c>
      <c r="AA93">
        <f t="shared" si="21"/>
        <v>0</v>
      </c>
      <c r="AB93">
        <f t="shared" si="22"/>
        <v>0</v>
      </c>
      <c r="AD93" s="11">
        <f t="shared" si="23"/>
        <v>0.8450442304877861</v>
      </c>
      <c r="AE93" s="11">
        <f t="shared" si="24"/>
        <v>0.32815289984068746</v>
      </c>
      <c r="AF93" s="11">
        <f t="shared" si="25"/>
        <v>4.6815450369023348E-2</v>
      </c>
      <c r="AG93" s="11">
        <f t="shared" si="26"/>
        <v>3.740943058183837E-2</v>
      </c>
      <c r="AH93" s="11">
        <f t="shared" si="27"/>
        <v>0.12844672303414348</v>
      </c>
      <c r="AI93" s="11">
        <f t="shared" si="28"/>
        <v>4.430064147849281E-2</v>
      </c>
      <c r="AJ93" s="11"/>
    </row>
    <row r="94" spans="1:36">
      <c r="A94" t="s">
        <v>974</v>
      </c>
      <c r="B94">
        <v>6.0648999999999998E-3</v>
      </c>
      <c r="C94">
        <v>0</v>
      </c>
      <c r="D94">
        <v>17616</v>
      </c>
      <c r="E94">
        <v>616975</v>
      </c>
      <c r="F94">
        <v>37982.879999999997</v>
      </c>
      <c r="G94">
        <v>1503.1569999999999</v>
      </c>
      <c r="H94">
        <v>382201</v>
      </c>
      <c r="I94">
        <f t="shared" si="5"/>
        <v>0</v>
      </c>
      <c r="J94">
        <f t="shared" si="6"/>
        <v>0</v>
      </c>
      <c r="K94">
        <f t="shared" si="7"/>
        <v>0</v>
      </c>
      <c r="L94">
        <f t="shared" si="8"/>
        <v>0</v>
      </c>
      <c r="M94">
        <f t="shared" si="9"/>
        <v>0</v>
      </c>
      <c r="N94">
        <f t="shared" si="10"/>
        <v>0</v>
      </c>
      <c r="P94" s="11">
        <f t="shared" si="11"/>
        <v>0.25208506409510117</v>
      </c>
      <c r="Q94" s="11">
        <f t="shared" si="12"/>
        <v>0.23217990604441183</v>
      </c>
      <c r="R94" s="11">
        <f t="shared" si="13"/>
        <v>1.3965512550868605E-2</v>
      </c>
      <c r="S94" s="11">
        <f t="shared" si="14"/>
        <v>2.6468509289062948E-2</v>
      </c>
      <c r="T94" s="11">
        <f t="shared" si="15"/>
        <v>3.8316929742455375E-2</v>
      </c>
      <c r="U94" s="11">
        <f t="shared" si="16"/>
        <v>3.1344287315995596E-2</v>
      </c>
      <c r="W94">
        <f t="shared" si="17"/>
        <v>0</v>
      </c>
      <c r="X94">
        <f t="shared" si="18"/>
        <v>0</v>
      </c>
      <c r="Y94">
        <f t="shared" si="19"/>
        <v>0</v>
      </c>
      <c r="Z94">
        <f t="shared" si="20"/>
        <v>0</v>
      </c>
      <c r="AA94">
        <f t="shared" si="21"/>
        <v>0</v>
      </c>
      <c r="AB94">
        <f t="shared" si="22"/>
        <v>0</v>
      </c>
      <c r="AD94" s="11">
        <f t="shared" si="23"/>
        <v>0.37669721598350009</v>
      </c>
      <c r="AE94" s="11">
        <f t="shared" si="24"/>
        <v>0.14628143631670651</v>
      </c>
      <c r="AF94" s="11">
        <f t="shared" si="25"/>
        <v>2.0869025765485903E-2</v>
      </c>
      <c r="AG94" s="11">
        <f t="shared" si="26"/>
        <v>1.6676083740104541E-2</v>
      </c>
      <c r="AH94" s="11">
        <f t="shared" si="27"/>
        <v>5.7257976829492012E-2</v>
      </c>
      <c r="AI94" s="11">
        <f t="shared" si="28"/>
        <v>1.9747993902755379E-2</v>
      </c>
      <c r="AJ94" s="11"/>
    </row>
    <row r="95" spans="1:36">
      <c r="A95" t="s">
        <v>358</v>
      </c>
      <c r="B95">
        <v>5.5263999999999999E-3</v>
      </c>
      <c r="C95">
        <v>0</v>
      </c>
      <c r="D95">
        <v>4204</v>
      </c>
      <c r="E95">
        <v>164182</v>
      </c>
      <c r="F95">
        <v>30922.92</v>
      </c>
      <c r="G95">
        <v>1305.1859999999999</v>
      </c>
      <c r="H95">
        <v>117487</v>
      </c>
      <c r="I95">
        <f t="shared" si="5"/>
        <v>0</v>
      </c>
      <c r="J95">
        <f t="shared" si="6"/>
        <v>0</v>
      </c>
      <c r="K95">
        <f t="shared" si="7"/>
        <v>0</v>
      </c>
      <c r="L95">
        <f t="shared" si="8"/>
        <v>0</v>
      </c>
      <c r="M95">
        <f t="shared" si="9"/>
        <v>0</v>
      </c>
      <c r="N95">
        <f t="shared" si="10"/>
        <v>0</v>
      </c>
      <c r="P95" s="11">
        <f t="shared" si="11"/>
        <v>0.26454388251176464</v>
      </c>
      <c r="Q95" s="11">
        <f t="shared" si="12"/>
        <v>0.24365495039021259</v>
      </c>
      <c r="R95" s="11">
        <f t="shared" si="13"/>
        <v>1.465573109115176E-2</v>
      </c>
      <c r="S95" s="11">
        <f t="shared" si="14"/>
        <v>2.7776664344484236E-2</v>
      </c>
      <c r="T95" s="11">
        <f t="shared" si="15"/>
        <v>4.0210670141788224E-2</v>
      </c>
      <c r="U95" s="11">
        <f t="shared" si="16"/>
        <v>3.2893418302678702E-2</v>
      </c>
      <c r="W95">
        <f t="shared" si="17"/>
        <v>0</v>
      </c>
      <c r="X95">
        <f t="shared" si="18"/>
        <v>0</v>
      </c>
      <c r="Y95">
        <f t="shared" si="19"/>
        <v>0</v>
      </c>
      <c r="Z95">
        <f t="shared" si="20"/>
        <v>0</v>
      </c>
      <c r="AA95">
        <f t="shared" si="21"/>
        <v>0</v>
      </c>
      <c r="AB95">
        <f t="shared" si="22"/>
        <v>0</v>
      </c>
      <c r="AD95" s="11">
        <f t="shared" si="23"/>
        <v>1.2898912800009745</v>
      </c>
      <c r="AE95" s="11">
        <f t="shared" si="24"/>
        <v>0.5008987088962249</v>
      </c>
      <c r="AF95" s="11">
        <f t="shared" si="25"/>
        <v>7.1459976912053982E-2</v>
      </c>
      <c r="AG95" s="11">
        <f t="shared" si="26"/>
        <v>5.7102452814169639E-2</v>
      </c>
      <c r="AH95" s="11">
        <f t="shared" si="27"/>
        <v>0.19606347456014811</v>
      </c>
      <c r="AI95" s="11">
        <f t="shared" si="28"/>
        <v>6.7621325700990359E-2</v>
      </c>
      <c r="AJ95" s="11"/>
    </row>
    <row r="96" spans="1:36">
      <c r="A96" t="s">
        <v>359</v>
      </c>
      <c r="B96">
        <v>2.3804E-3</v>
      </c>
      <c r="C96">
        <v>0</v>
      </c>
      <c r="D96">
        <v>23459</v>
      </c>
      <c r="E96">
        <v>732558</v>
      </c>
      <c r="F96">
        <v>34438.730000000003</v>
      </c>
      <c r="G96">
        <v>2062.9459999999999</v>
      </c>
      <c r="H96">
        <v>477256</v>
      </c>
      <c r="I96">
        <f t="shared" si="5"/>
        <v>0</v>
      </c>
      <c r="J96">
        <f t="shared" si="6"/>
        <v>0</v>
      </c>
      <c r="K96">
        <f t="shared" si="7"/>
        <v>0</v>
      </c>
      <c r="L96">
        <f t="shared" si="8"/>
        <v>0</v>
      </c>
      <c r="M96">
        <f t="shared" si="9"/>
        <v>0</v>
      </c>
      <c r="N96">
        <f t="shared" si="10"/>
        <v>0</v>
      </c>
      <c r="P96" s="11">
        <f t="shared" si="11"/>
        <v>7.2092468363204848E-2</v>
      </c>
      <c r="Q96" s="11">
        <f t="shared" si="12"/>
        <v>6.6399897951764125E-2</v>
      </c>
      <c r="R96" s="11">
        <f t="shared" si="13"/>
        <v>3.9939227473215488E-3</v>
      </c>
      <c r="S96" s="11">
        <f t="shared" si="14"/>
        <v>7.5695883665011102E-3</v>
      </c>
      <c r="T96" s="11">
        <f t="shared" si="15"/>
        <v>1.0958055191207136E-2</v>
      </c>
      <c r="U96" s="11">
        <f t="shared" si="16"/>
        <v>8.963986223488157E-3</v>
      </c>
      <c r="W96">
        <f t="shared" si="17"/>
        <v>0</v>
      </c>
      <c r="X96">
        <f t="shared" si="18"/>
        <v>0</v>
      </c>
      <c r="Y96">
        <f t="shared" si="19"/>
        <v>0</v>
      </c>
      <c r="Z96">
        <f t="shared" si="20"/>
        <v>0</v>
      </c>
      <c r="AA96">
        <f t="shared" si="21"/>
        <v>0</v>
      </c>
      <c r="AB96">
        <f t="shared" si="22"/>
        <v>0</v>
      </c>
      <c r="AD96" s="11">
        <f t="shared" si="23"/>
        <v>0.12452147568700361</v>
      </c>
      <c r="AE96" s="11">
        <f t="shared" si="24"/>
        <v>4.8354963994659807E-2</v>
      </c>
      <c r="AF96" s="11">
        <f t="shared" si="25"/>
        <v>6.8984897530599996E-3</v>
      </c>
      <c r="AG96" s="11">
        <f t="shared" si="26"/>
        <v>5.512465895391218E-3</v>
      </c>
      <c r="AH96" s="11">
        <f t="shared" si="27"/>
        <v>1.8927264304424547E-2</v>
      </c>
      <c r="AI96" s="11">
        <f t="shared" si="28"/>
        <v>6.5279201392790739E-3</v>
      </c>
      <c r="AJ96" s="11"/>
    </row>
    <row r="97" spans="1:36">
      <c r="A97" t="s">
        <v>360</v>
      </c>
      <c r="B97">
        <v>3.6632000000000001E-3</v>
      </c>
      <c r="C97">
        <v>0</v>
      </c>
      <c r="D97">
        <v>7421</v>
      </c>
      <c r="E97">
        <v>287251</v>
      </c>
      <c r="F97">
        <v>32899.43</v>
      </c>
      <c r="G97">
        <v>974.16110000000003</v>
      </c>
      <c r="H97">
        <v>174237</v>
      </c>
      <c r="I97">
        <f t="shared" si="5"/>
        <v>0</v>
      </c>
      <c r="J97">
        <f t="shared" si="6"/>
        <v>0</v>
      </c>
      <c r="K97">
        <f t="shared" si="7"/>
        <v>0</v>
      </c>
      <c r="L97">
        <f t="shared" si="8"/>
        <v>0</v>
      </c>
      <c r="M97">
        <f t="shared" si="9"/>
        <v>0</v>
      </c>
      <c r="N97">
        <f t="shared" si="10"/>
        <v>0</v>
      </c>
      <c r="P97" s="11">
        <f t="shared" si="11"/>
        <v>0.23494037682268362</v>
      </c>
      <c r="Q97" s="11">
        <f t="shared" si="12"/>
        <v>0.21638899873953085</v>
      </c>
      <c r="R97" s="11">
        <f t="shared" si="13"/>
        <v>1.3015696875976672E-2</v>
      </c>
      <c r="S97" s="11">
        <f t="shared" si="14"/>
        <v>2.4668345856306517E-2</v>
      </c>
      <c r="T97" s="11">
        <f t="shared" si="15"/>
        <v>3.5710937277047911E-2</v>
      </c>
      <c r="U97" s="11">
        <f t="shared" si="16"/>
        <v>2.9212514829836667E-2</v>
      </c>
      <c r="W97">
        <f t="shared" si="17"/>
        <v>0</v>
      </c>
      <c r="X97">
        <f t="shared" si="18"/>
        <v>0</v>
      </c>
      <c r="Y97">
        <f t="shared" si="19"/>
        <v>0</v>
      </c>
      <c r="Z97">
        <f t="shared" si="20"/>
        <v>0</v>
      </c>
      <c r="AA97">
        <f t="shared" si="21"/>
        <v>0</v>
      </c>
      <c r="AB97">
        <f t="shared" si="22"/>
        <v>0</v>
      </c>
      <c r="AD97" s="11">
        <f t="shared" si="23"/>
        <v>0.48869220746510889</v>
      </c>
      <c r="AE97" s="11">
        <f t="shared" si="24"/>
        <v>0.18977203704077619</v>
      </c>
      <c r="AF97" s="11">
        <f t="shared" si="25"/>
        <v>2.7073548293567031E-2</v>
      </c>
      <c r="AG97" s="11">
        <f t="shared" si="26"/>
        <v>2.1634012222648488E-2</v>
      </c>
      <c r="AH97" s="11">
        <f t="shared" si="27"/>
        <v>7.4281215534696549E-2</v>
      </c>
      <c r="AI97" s="11">
        <f t="shared" si="28"/>
        <v>2.5619225000504786E-2</v>
      </c>
      <c r="AJ97" s="11"/>
    </row>
    <row r="98" spans="1:36">
      <c r="A98" t="s">
        <v>975</v>
      </c>
      <c r="B98">
        <v>1.1784E-3</v>
      </c>
      <c r="C98">
        <v>0</v>
      </c>
      <c r="D98">
        <v>3753</v>
      </c>
      <c r="E98">
        <v>75494</v>
      </c>
      <c r="F98">
        <v>41014.050000000003</v>
      </c>
      <c r="G98">
        <v>1342.1089999999999</v>
      </c>
      <c r="H98">
        <v>55765</v>
      </c>
      <c r="I98">
        <f t="shared" si="5"/>
        <v>0</v>
      </c>
      <c r="J98">
        <f t="shared" si="6"/>
        <v>0</v>
      </c>
      <c r="K98">
        <f t="shared" si="7"/>
        <v>0</v>
      </c>
      <c r="L98">
        <f t="shared" si="8"/>
        <v>0</v>
      </c>
      <c r="M98">
        <f t="shared" si="9"/>
        <v>0</v>
      </c>
      <c r="N98">
        <f t="shared" si="10"/>
        <v>0</v>
      </c>
      <c r="P98" s="11">
        <f t="shared" si="11"/>
        <v>5.4857089133594959E-2</v>
      </c>
      <c r="Q98" s="11">
        <f t="shared" si="12"/>
        <v>5.0525459914209654E-2</v>
      </c>
      <c r="R98" s="11">
        <f t="shared" si="13"/>
        <v>3.0390827380011604E-3</v>
      </c>
      <c r="S98" s="11">
        <f t="shared" si="14"/>
        <v>5.7599024302199004E-3</v>
      </c>
      <c r="T98" s="11">
        <f t="shared" si="15"/>
        <v>8.3382775483064331E-3</v>
      </c>
      <c r="U98" s="11">
        <f t="shared" si="16"/>
        <v>6.8209370884183039E-3</v>
      </c>
      <c r="W98">
        <f t="shared" si="17"/>
        <v>0</v>
      </c>
      <c r="X98">
        <f t="shared" si="18"/>
        <v>0</v>
      </c>
      <c r="Y98">
        <f t="shared" si="19"/>
        <v>0</v>
      </c>
      <c r="Z98">
        <f t="shared" si="20"/>
        <v>0</v>
      </c>
      <c r="AA98">
        <f t="shared" si="21"/>
        <v>0</v>
      </c>
      <c r="AB98">
        <f t="shared" si="22"/>
        <v>0</v>
      </c>
      <c r="AD98" s="11">
        <f t="shared" si="23"/>
        <v>0.59815898369035947</v>
      </c>
      <c r="AE98" s="11">
        <f t="shared" si="24"/>
        <v>0.23228086528730757</v>
      </c>
      <c r="AF98" s="11">
        <f t="shared" si="25"/>
        <v>3.3138007696445912E-2</v>
      </c>
      <c r="AG98" s="11">
        <f t="shared" si="26"/>
        <v>2.6480018642753064E-2</v>
      </c>
      <c r="AH98" s="11">
        <f t="shared" si="27"/>
        <v>9.092016552093464E-2</v>
      </c>
      <c r="AI98" s="11">
        <f t="shared" si="28"/>
        <v>3.1357916813786524E-2</v>
      </c>
      <c r="AJ98" s="11"/>
    </row>
    <row r="99" spans="1:36">
      <c r="A99" t="s">
        <v>361</v>
      </c>
      <c r="B99">
        <v>5.0428000000000001E-3</v>
      </c>
      <c r="C99">
        <v>0</v>
      </c>
      <c r="D99">
        <v>78640</v>
      </c>
      <c r="E99">
        <v>1779822</v>
      </c>
      <c r="F99">
        <v>41755.07</v>
      </c>
      <c r="G99">
        <v>1968.134</v>
      </c>
      <c r="H99">
        <v>1197740</v>
      </c>
      <c r="I99">
        <f t="shared" ref="I99:I162" si="29">+$B$17*C99/G99</f>
        <v>0</v>
      </c>
      <c r="J99">
        <f t="shared" ref="J99:J162" si="30">+$C$17*C99/G99</f>
        <v>0</v>
      </c>
      <c r="K99">
        <f t="shared" ref="K99:K162" si="31">+I99*$B$12</f>
        <v>0</v>
      </c>
      <c r="L99">
        <f t="shared" ref="L99:L162" si="32">+J99*$D$12</f>
        <v>0</v>
      </c>
      <c r="M99">
        <f t="shared" ref="M99:M162" si="33">+I99*$C$12</f>
        <v>0</v>
      </c>
      <c r="N99">
        <f t="shared" ref="N99:N162" si="34">+J99*$E$12</f>
        <v>0</v>
      </c>
      <c r="P99" s="11">
        <f t="shared" ref="P99:P162" si="35">+$B$25*B99/G99</f>
        <v>0.16008288189726919</v>
      </c>
      <c r="Q99" s="11">
        <f t="shared" ref="Q99:Q162" si="36">+B99/G99*$C$25</f>
        <v>0.14744240644183779</v>
      </c>
      <c r="R99" s="11">
        <f t="shared" ref="R99:R162" si="37">+P99*$B$12</f>
        <v>8.8685916571087132E-3</v>
      </c>
      <c r="S99" s="11">
        <f t="shared" ref="S99:S162" si="38">+Q99*$D$12</f>
        <v>1.6808434334369508E-2</v>
      </c>
      <c r="T99" s="11">
        <f t="shared" ref="T99:T162" si="39">+P99*$C$12</f>
        <v>2.4332598048384915E-2</v>
      </c>
      <c r="U99" s="11">
        <f t="shared" ref="U99:U162" si="40">+Q99*$E$12</f>
        <v>1.9904724869648102E-2</v>
      </c>
      <c r="W99">
        <f t="shared" ref="W99:W162" si="41">+$E$17*C99/E99</f>
        <v>0</v>
      </c>
      <c r="X99">
        <f t="shared" ref="X99:X162" si="42">+$F$17*C99/E99</f>
        <v>0</v>
      </c>
      <c r="Y99">
        <f t="shared" ref="Y99:Y162" si="43">+W99*$B$12</f>
        <v>0</v>
      </c>
      <c r="Z99">
        <f t="shared" ref="Z99:Z162" si="44">+X99*$D$12</f>
        <v>0</v>
      </c>
      <c r="AA99">
        <f t="shared" ref="AA99:AA162" si="45">+W99*$C$12</f>
        <v>0</v>
      </c>
      <c r="AB99">
        <f t="shared" ref="AB99:AB162" si="46">+X99*$E$12</f>
        <v>0</v>
      </c>
      <c r="AD99" s="11">
        <f t="shared" ref="AD99:AD162" si="47">+$E$25*B99/E99</f>
        <v>0.1085754170407153</v>
      </c>
      <c r="AE99" s="11">
        <f t="shared" ref="AE99:AE162" si="48">+B99/E99*$F$25</f>
        <v>4.2162690031924535E-2</v>
      </c>
      <c r="AF99" s="11">
        <f t="shared" ref="AF99:AF162" si="49">+AD99*$B$12</f>
        <v>6.0150781040556271E-3</v>
      </c>
      <c r="AG99" s="11">
        <f t="shared" ref="AG99:AG162" si="50">+AE99*$D$12</f>
        <v>4.806546663639397E-3</v>
      </c>
      <c r="AH99" s="11">
        <f t="shared" ref="AH99:AH162" si="51">+AD99*$C$12</f>
        <v>1.6503463390188725E-2</v>
      </c>
      <c r="AI99" s="11">
        <f t="shared" ref="AI99:AI162" si="52">+AE99*$E$12</f>
        <v>5.6919631543098127E-3</v>
      </c>
      <c r="AJ99" s="11"/>
    </row>
    <row r="100" spans="1:36">
      <c r="A100" t="s">
        <v>362</v>
      </c>
      <c r="B100">
        <v>6.5414999999999996E-3</v>
      </c>
      <c r="C100">
        <v>0</v>
      </c>
      <c r="D100">
        <v>13456</v>
      </c>
      <c r="E100">
        <v>413206</v>
      </c>
      <c r="F100">
        <v>34143.050000000003</v>
      </c>
      <c r="G100">
        <v>1186.5429999999999</v>
      </c>
      <c r="H100">
        <v>247857</v>
      </c>
      <c r="I100">
        <f t="shared" si="29"/>
        <v>0</v>
      </c>
      <c r="J100">
        <f t="shared" si="30"/>
        <v>0</v>
      </c>
      <c r="K100">
        <f t="shared" si="31"/>
        <v>0</v>
      </c>
      <c r="L100">
        <f t="shared" si="32"/>
        <v>0</v>
      </c>
      <c r="M100">
        <f t="shared" si="33"/>
        <v>0</v>
      </c>
      <c r="N100">
        <f t="shared" si="34"/>
        <v>0</v>
      </c>
      <c r="P100" s="11">
        <f t="shared" si="35"/>
        <v>0.34444642221141586</v>
      </c>
      <c r="Q100" s="11">
        <f t="shared" si="36"/>
        <v>0.31724822029205851</v>
      </c>
      <c r="R100" s="11">
        <f t="shared" si="37"/>
        <v>1.9082331790512438E-2</v>
      </c>
      <c r="S100" s="11">
        <f t="shared" si="38"/>
        <v>3.6166297113294672E-2</v>
      </c>
      <c r="T100" s="11">
        <f t="shared" si="39"/>
        <v>5.235585617613521E-2</v>
      </c>
      <c r="U100" s="11">
        <f t="shared" si="40"/>
        <v>4.2828509739427902E-2</v>
      </c>
      <c r="W100">
        <f t="shared" si="41"/>
        <v>0</v>
      </c>
      <c r="X100">
        <f t="shared" si="42"/>
        <v>0</v>
      </c>
      <c r="Y100">
        <f t="shared" si="43"/>
        <v>0</v>
      </c>
      <c r="Z100">
        <f t="shared" si="44"/>
        <v>0</v>
      </c>
      <c r="AA100">
        <f t="shared" si="45"/>
        <v>0</v>
      </c>
      <c r="AB100">
        <f t="shared" si="46"/>
        <v>0</v>
      </c>
      <c r="AD100" s="11">
        <f t="shared" si="47"/>
        <v>0.60666237268021272</v>
      </c>
      <c r="AE100" s="11">
        <f t="shared" si="48"/>
        <v>0.23558295487601821</v>
      </c>
      <c r="AF100" s="11">
        <f t="shared" si="49"/>
        <v>3.3609095446483786E-2</v>
      </c>
      <c r="AG100" s="11">
        <f t="shared" si="50"/>
        <v>2.6856456855866077E-2</v>
      </c>
      <c r="AH100" s="11">
        <f t="shared" si="51"/>
        <v>9.2212680647392326E-2</v>
      </c>
      <c r="AI100" s="11">
        <f t="shared" si="52"/>
        <v>3.1803698908262464E-2</v>
      </c>
      <c r="AJ100" s="11"/>
    </row>
    <row r="101" spans="1:36">
      <c r="A101" t="s">
        <v>976</v>
      </c>
      <c r="B101">
        <v>4.0327000000000002E-3</v>
      </c>
      <c r="C101">
        <v>0</v>
      </c>
      <c r="D101">
        <v>3099</v>
      </c>
      <c r="E101">
        <v>81775</v>
      </c>
      <c r="F101">
        <v>40541.06</v>
      </c>
      <c r="G101">
        <v>1745.3309999999999</v>
      </c>
      <c r="H101">
        <v>56171</v>
      </c>
      <c r="I101">
        <f t="shared" si="29"/>
        <v>0</v>
      </c>
      <c r="J101">
        <f t="shared" si="30"/>
        <v>0</v>
      </c>
      <c r="K101">
        <f t="shared" si="31"/>
        <v>0</v>
      </c>
      <c r="L101">
        <f t="shared" si="32"/>
        <v>0</v>
      </c>
      <c r="M101">
        <f t="shared" si="33"/>
        <v>0</v>
      </c>
      <c r="N101">
        <f t="shared" si="34"/>
        <v>0</v>
      </c>
      <c r="P101" s="11">
        <f t="shared" si="35"/>
        <v>0.14435968528032792</v>
      </c>
      <c r="Q101" s="11">
        <f t="shared" si="36"/>
        <v>0.13296074595019514</v>
      </c>
      <c r="R101" s="11">
        <f t="shared" si="37"/>
        <v>7.997526564530167E-3</v>
      </c>
      <c r="S101" s="11">
        <f t="shared" si="38"/>
        <v>1.5157525038322246E-2</v>
      </c>
      <c r="T101" s="11">
        <f t="shared" si="39"/>
        <v>2.1942672162609842E-2</v>
      </c>
      <c r="U101" s="11">
        <f t="shared" si="40"/>
        <v>1.7949700703276346E-2</v>
      </c>
      <c r="W101">
        <f t="shared" si="41"/>
        <v>0</v>
      </c>
      <c r="X101">
        <f t="shared" si="42"/>
        <v>0</v>
      </c>
      <c r="Y101">
        <f t="shared" si="43"/>
        <v>0</v>
      </c>
      <c r="Z101">
        <f t="shared" si="44"/>
        <v>0</v>
      </c>
      <c r="AA101">
        <f t="shared" si="45"/>
        <v>0</v>
      </c>
      <c r="AB101">
        <f t="shared" si="46"/>
        <v>0</v>
      </c>
      <c r="AD101" s="11">
        <f t="shared" si="47"/>
        <v>1.8897819438050747</v>
      </c>
      <c r="AE101" s="11">
        <f t="shared" si="48"/>
        <v>0.73385203111586672</v>
      </c>
      <c r="AF101" s="11">
        <f t="shared" si="49"/>
        <v>0.10469391968680114</v>
      </c>
      <c r="AG101" s="11">
        <f t="shared" si="50"/>
        <v>8.3659131547208804E-2</v>
      </c>
      <c r="AH101" s="11">
        <f t="shared" si="51"/>
        <v>0.28724685545837136</v>
      </c>
      <c r="AI101" s="11">
        <f t="shared" si="52"/>
        <v>9.907002420064201E-2</v>
      </c>
      <c r="AJ101" s="11"/>
    </row>
    <row r="102" spans="1:36">
      <c r="A102" t="s">
        <v>363</v>
      </c>
      <c r="B102">
        <v>1.4563E-3</v>
      </c>
      <c r="C102">
        <v>0</v>
      </c>
      <c r="D102">
        <v>1915</v>
      </c>
      <c r="E102">
        <v>99772</v>
      </c>
      <c r="F102">
        <v>28692.43</v>
      </c>
      <c r="G102">
        <v>1338.175</v>
      </c>
      <c r="H102">
        <v>49565</v>
      </c>
      <c r="I102">
        <f t="shared" si="29"/>
        <v>0</v>
      </c>
      <c r="J102">
        <f t="shared" si="30"/>
        <v>0</v>
      </c>
      <c r="K102">
        <f t="shared" si="31"/>
        <v>0</v>
      </c>
      <c r="L102">
        <f t="shared" si="32"/>
        <v>0</v>
      </c>
      <c r="M102">
        <f t="shared" si="33"/>
        <v>0</v>
      </c>
      <c r="N102">
        <f t="shared" si="34"/>
        <v>0</v>
      </c>
      <c r="P102" s="11">
        <f t="shared" si="35"/>
        <v>6.799324231135688E-2</v>
      </c>
      <c r="Q102" s="11">
        <f t="shared" si="36"/>
        <v>6.2624355267435122E-2</v>
      </c>
      <c r="R102" s="11">
        <f t="shared" si="37"/>
        <v>3.766825624049171E-3</v>
      </c>
      <c r="S102" s="11">
        <f t="shared" si="38"/>
        <v>7.1391765004876042E-3</v>
      </c>
      <c r="T102" s="11">
        <f t="shared" si="39"/>
        <v>1.0334972831326245E-2</v>
      </c>
      <c r="U102" s="11">
        <f t="shared" si="40"/>
        <v>8.4542879611037413E-3</v>
      </c>
      <c r="W102">
        <f t="shared" si="41"/>
        <v>0</v>
      </c>
      <c r="X102">
        <f t="shared" si="42"/>
        <v>0</v>
      </c>
      <c r="Y102">
        <f t="shared" si="43"/>
        <v>0</v>
      </c>
      <c r="Z102">
        <f t="shared" si="44"/>
        <v>0</v>
      </c>
      <c r="AA102">
        <f t="shared" si="45"/>
        <v>0</v>
      </c>
      <c r="AB102">
        <f t="shared" si="46"/>
        <v>0</v>
      </c>
      <c r="AD102" s="11">
        <f t="shared" si="47"/>
        <v>0.55934338222687718</v>
      </c>
      <c r="AE102" s="11">
        <f t="shared" si="48"/>
        <v>0.21720774636671611</v>
      </c>
      <c r="AF102" s="11">
        <f t="shared" si="49"/>
        <v>3.0987623375368995E-2</v>
      </c>
      <c r="AG102" s="11">
        <f t="shared" si="50"/>
        <v>2.4761683085805637E-2</v>
      </c>
      <c r="AH102" s="11">
        <f t="shared" si="51"/>
        <v>8.5020194098485324E-2</v>
      </c>
      <c r="AI102" s="11">
        <f t="shared" si="52"/>
        <v>2.9323045759506675E-2</v>
      </c>
      <c r="AJ102" s="11"/>
    </row>
    <row r="103" spans="1:36">
      <c r="A103" t="s">
        <v>291</v>
      </c>
      <c r="B103">
        <v>5.9167000000000004E-3</v>
      </c>
      <c r="C103">
        <v>2.2444000000000001E-3</v>
      </c>
      <c r="D103">
        <v>352414</v>
      </c>
      <c r="E103">
        <v>6301085</v>
      </c>
      <c r="F103">
        <v>47180.46</v>
      </c>
      <c r="G103">
        <v>1869.365</v>
      </c>
      <c r="H103">
        <v>4013361</v>
      </c>
      <c r="I103">
        <f t="shared" si="29"/>
        <v>8.1596885402262259E-2</v>
      </c>
      <c r="J103">
        <f t="shared" si="30"/>
        <v>0.19675426618129688</v>
      </c>
      <c r="K103">
        <f t="shared" si="31"/>
        <v>4.5204674512853288E-3</v>
      </c>
      <c r="L103">
        <f t="shared" si="32"/>
        <v>2.2429986344667845E-2</v>
      </c>
      <c r="M103">
        <f t="shared" si="33"/>
        <v>1.2402726581143863E-2</v>
      </c>
      <c r="N103">
        <f t="shared" si="34"/>
        <v>2.6561825934475081E-2</v>
      </c>
      <c r="P103" s="11">
        <f t="shared" si="35"/>
        <v>0.1977485265156885</v>
      </c>
      <c r="Q103" s="11">
        <f t="shared" si="36"/>
        <v>0.18213389385700493</v>
      </c>
      <c r="R103" s="11">
        <f t="shared" si="37"/>
        <v>1.0955268368969142E-2</v>
      </c>
      <c r="S103" s="11">
        <f t="shared" si="38"/>
        <v>2.0763263899698563E-2</v>
      </c>
      <c r="T103" s="11">
        <f t="shared" si="39"/>
        <v>3.0057776030384651E-2</v>
      </c>
      <c r="U103" s="11">
        <f t="shared" si="40"/>
        <v>2.4588075670695667E-2</v>
      </c>
      <c r="W103">
        <f t="shared" si="41"/>
        <v>0.13004267436679876</v>
      </c>
      <c r="X103">
        <f t="shared" si="42"/>
        <v>0.17238924020849744</v>
      </c>
      <c r="Y103">
        <f t="shared" si="43"/>
        <v>7.2043641599206509E-3</v>
      </c>
      <c r="Z103">
        <f t="shared" si="44"/>
        <v>1.9652373383768709E-2</v>
      </c>
      <c r="AA103">
        <f t="shared" si="45"/>
        <v>1.976648650375341E-2</v>
      </c>
      <c r="AB103">
        <f t="shared" si="46"/>
        <v>2.3272547428147158E-2</v>
      </c>
      <c r="AD103" s="11">
        <f t="shared" si="47"/>
        <v>3.5983263070068092E-2</v>
      </c>
      <c r="AE103" s="11">
        <f t="shared" si="48"/>
        <v>1.3973247430323509E-2</v>
      </c>
      <c r="AF103" s="11">
        <f t="shared" si="49"/>
        <v>1.9934727740817722E-3</v>
      </c>
      <c r="AG103" s="11">
        <f t="shared" si="50"/>
        <v>1.59295020705688E-3</v>
      </c>
      <c r="AH103" s="11">
        <f t="shared" si="51"/>
        <v>5.4694559866503498E-3</v>
      </c>
      <c r="AI103" s="11">
        <f t="shared" si="52"/>
        <v>1.8863884030936738E-3</v>
      </c>
      <c r="AJ103" s="11"/>
    </row>
    <row r="104" spans="1:36">
      <c r="A104" t="s">
        <v>977</v>
      </c>
      <c r="B104">
        <v>4.6471000000000004E-3</v>
      </c>
      <c r="C104">
        <v>0</v>
      </c>
      <c r="D104">
        <v>1896</v>
      </c>
      <c r="E104">
        <v>80453</v>
      </c>
      <c r="F104">
        <v>33842.76</v>
      </c>
      <c r="G104">
        <v>981.14800000000002</v>
      </c>
      <c r="H104">
        <v>40256</v>
      </c>
      <c r="I104">
        <f t="shared" si="29"/>
        <v>0</v>
      </c>
      <c r="J104">
        <f t="shared" si="30"/>
        <v>0</v>
      </c>
      <c r="K104">
        <f t="shared" si="31"/>
        <v>0</v>
      </c>
      <c r="L104">
        <f t="shared" si="32"/>
        <v>0</v>
      </c>
      <c r="M104">
        <f t="shared" si="33"/>
        <v>0</v>
      </c>
      <c r="N104">
        <f t="shared" si="34"/>
        <v>0</v>
      </c>
      <c r="P104" s="11">
        <f t="shared" si="35"/>
        <v>0.29592067507654296</v>
      </c>
      <c r="Q104" s="11">
        <f t="shared" si="36"/>
        <v>0.2725541665171819</v>
      </c>
      <c r="R104" s="11">
        <f t="shared" si="37"/>
        <v>1.6394005399240481E-2</v>
      </c>
      <c r="S104" s="11">
        <f t="shared" si="38"/>
        <v>3.1071174982958739E-2</v>
      </c>
      <c r="T104" s="11">
        <f t="shared" si="39"/>
        <v>4.497994261163453E-2</v>
      </c>
      <c r="U104" s="11">
        <f t="shared" si="40"/>
        <v>3.6794812479819555E-2</v>
      </c>
      <c r="W104">
        <f t="shared" si="41"/>
        <v>0</v>
      </c>
      <c r="X104">
        <f t="shared" si="42"/>
        <v>0</v>
      </c>
      <c r="Y104">
        <f t="shared" si="43"/>
        <v>0</v>
      </c>
      <c r="Z104">
        <f t="shared" si="44"/>
        <v>0</v>
      </c>
      <c r="AA104">
        <f t="shared" si="45"/>
        <v>0</v>
      </c>
      <c r="AB104">
        <f t="shared" si="46"/>
        <v>0</v>
      </c>
      <c r="AD104" s="11">
        <f t="shared" si="47"/>
        <v>2.213482576139858</v>
      </c>
      <c r="AE104" s="11">
        <f t="shared" si="48"/>
        <v>0.85955350016158505</v>
      </c>
      <c r="AF104" s="11">
        <f t="shared" si="49"/>
        <v>0.12262693471814813</v>
      </c>
      <c r="AG104" s="11">
        <f t="shared" si="50"/>
        <v>9.7989099018420706E-2</v>
      </c>
      <c r="AH104" s="11">
        <f t="shared" si="51"/>
        <v>0.33644935157325839</v>
      </c>
      <c r="AI104" s="11">
        <f t="shared" si="52"/>
        <v>0.11603972252181399</v>
      </c>
      <c r="AJ104" s="11"/>
    </row>
    <row r="105" spans="1:36">
      <c r="A105" t="s">
        <v>364</v>
      </c>
      <c r="B105">
        <v>8.5810999999999995E-3</v>
      </c>
      <c r="C105">
        <v>0</v>
      </c>
      <c r="D105">
        <v>14751</v>
      </c>
      <c r="E105">
        <v>376980</v>
      </c>
      <c r="F105">
        <v>37289.910000000003</v>
      </c>
      <c r="G105">
        <v>1376.5519999999999</v>
      </c>
      <c r="H105">
        <v>238059</v>
      </c>
      <c r="I105">
        <f t="shared" si="29"/>
        <v>0</v>
      </c>
      <c r="J105">
        <f t="shared" si="30"/>
        <v>0</v>
      </c>
      <c r="K105">
        <f t="shared" si="31"/>
        <v>0</v>
      </c>
      <c r="L105">
        <f t="shared" si="32"/>
        <v>0</v>
      </c>
      <c r="M105">
        <f t="shared" si="33"/>
        <v>0</v>
      </c>
      <c r="N105">
        <f t="shared" si="34"/>
        <v>0</v>
      </c>
      <c r="P105" s="11">
        <f t="shared" si="35"/>
        <v>0.38947371687375415</v>
      </c>
      <c r="Q105" s="11">
        <f t="shared" si="36"/>
        <v>0.35872006663751166</v>
      </c>
      <c r="R105" s="11">
        <f t="shared" si="37"/>
        <v>2.1576843914805979E-2</v>
      </c>
      <c r="S105" s="11">
        <f t="shared" si="38"/>
        <v>4.0894087596676329E-2</v>
      </c>
      <c r="T105" s="11">
        <f t="shared" si="39"/>
        <v>5.9200004964810628E-2</v>
      </c>
      <c r="U105" s="11">
        <f t="shared" si="40"/>
        <v>4.8427208996064078E-2</v>
      </c>
      <c r="W105">
        <f t="shared" si="41"/>
        <v>0</v>
      </c>
      <c r="X105">
        <f t="shared" si="42"/>
        <v>0</v>
      </c>
      <c r="Y105">
        <f t="shared" si="43"/>
        <v>0</v>
      </c>
      <c r="Z105">
        <f t="shared" si="44"/>
        <v>0</v>
      </c>
      <c r="AA105">
        <f t="shared" si="45"/>
        <v>0</v>
      </c>
      <c r="AB105">
        <f t="shared" si="46"/>
        <v>0</v>
      </c>
      <c r="AD105" s="11">
        <f t="shared" si="47"/>
        <v>0.87229018466597685</v>
      </c>
      <c r="AE105" s="11">
        <f t="shared" si="48"/>
        <v>0.3387332204321184</v>
      </c>
      <c r="AF105" s="11">
        <f t="shared" si="49"/>
        <v>4.8324876230495119E-2</v>
      </c>
      <c r="AG105" s="11">
        <f t="shared" si="50"/>
        <v>3.8615587129261497E-2</v>
      </c>
      <c r="AH105" s="11">
        <f t="shared" si="51"/>
        <v>0.13258810806922847</v>
      </c>
      <c r="AI105" s="11">
        <f t="shared" si="52"/>
        <v>4.5728984758335985E-2</v>
      </c>
      <c r="AJ105" s="11"/>
    </row>
    <row r="106" spans="1:36">
      <c r="A106" t="s">
        <v>365</v>
      </c>
      <c r="B106">
        <v>5.0907000000000001E-3</v>
      </c>
      <c r="C106">
        <v>0</v>
      </c>
      <c r="D106">
        <v>27984</v>
      </c>
      <c r="E106">
        <v>837036</v>
      </c>
      <c r="F106">
        <v>38217.019999999997</v>
      </c>
      <c r="G106">
        <v>1697.1859999999999</v>
      </c>
      <c r="H106">
        <v>493099</v>
      </c>
      <c r="I106">
        <f t="shared" si="29"/>
        <v>0</v>
      </c>
      <c r="J106">
        <f t="shared" si="30"/>
        <v>0</v>
      </c>
      <c r="K106">
        <f t="shared" si="31"/>
        <v>0</v>
      </c>
      <c r="L106">
        <f t="shared" si="32"/>
        <v>0</v>
      </c>
      <c r="M106">
        <f t="shared" si="33"/>
        <v>0</v>
      </c>
      <c r="N106">
        <f t="shared" si="34"/>
        <v>0</v>
      </c>
      <c r="P106" s="11">
        <f t="shared" si="35"/>
        <v>0.18740271465237163</v>
      </c>
      <c r="Q106" s="11">
        <f t="shared" si="36"/>
        <v>0.17260500869674861</v>
      </c>
      <c r="R106" s="11">
        <f t="shared" si="37"/>
        <v>1.0382110391741388E-2</v>
      </c>
      <c r="S106" s="11">
        <f t="shared" si="38"/>
        <v>1.9676970991429343E-2</v>
      </c>
      <c r="T106" s="11">
        <f t="shared" si="39"/>
        <v>2.8485212627160486E-2</v>
      </c>
      <c r="U106" s="11">
        <f t="shared" si="40"/>
        <v>2.3301676174061065E-2</v>
      </c>
      <c r="W106">
        <f t="shared" si="41"/>
        <v>0</v>
      </c>
      <c r="X106">
        <f t="shared" si="42"/>
        <v>0</v>
      </c>
      <c r="Y106">
        <f t="shared" si="43"/>
        <v>0</v>
      </c>
      <c r="Z106">
        <f t="shared" si="44"/>
        <v>0</v>
      </c>
      <c r="AA106">
        <f t="shared" si="45"/>
        <v>0</v>
      </c>
      <c r="AB106">
        <f t="shared" si="46"/>
        <v>0</v>
      </c>
      <c r="AD106" s="11">
        <f t="shared" si="47"/>
        <v>0.2330610507684974</v>
      </c>
      <c r="AE106" s="11">
        <f t="shared" si="48"/>
        <v>9.0503735651154785E-2</v>
      </c>
      <c r="AF106" s="11">
        <f t="shared" si="49"/>
        <v>1.2911582212574756E-2</v>
      </c>
      <c r="AG106" s="11">
        <f t="shared" si="50"/>
        <v>1.0317425864231646E-2</v>
      </c>
      <c r="AH106" s="11">
        <f t="shared" si="51"/>
        <v>3.54252797168116E-2</v>
      </c>
      <c r="AI106" s="11">
        <f t="shared" si="52"/>
        <v>1.2218004312905897E-2</v>
      </c>
      <c r="AJ106" s="11"/>
    </row>
    <row r="107" spans="1:36">
      <c r="A107" t="s">
        <v>366</v>
      </c>
      <c r="B107">
        <v>6.8431000000000004E-3</v>
      </c>
      <c r="C107">
        <v>0</v>
      </c>
      <c r="D107">
        <v>4819</v>
      </c>
      <c r="E107">
        <v>108326</v>
      </c>
      <c r="F107">
        <v>37665.75</v>
      </c>
      <c r="G107">
        <v>1054.04</v>
      </c>
      <c r="H107">
        <v>67919</v>
      </c>
      <c r="I107">
        <f t="shared" si="29"/>
        <v>0</v>
      </c>
      <c r="J107">
        <f t="shared" si="30"/>
        <v>0</v>
      </c>
      <c r="K107">
        <f t="shared" si="31"/>
        <v>0</v>
      </c>
      <c r="L107">
        <f t="shared" si="32"/>
        <v>0</v>
      </c>
      <c r="M107">
        <f t="shared" si="33"/>
        <v>0</v>
      </c>
      <c r="N107">
        <f t="shared" si="34"/>
        <v>0</v>
      </c>
      <c r="P107" s="11">
        <f t="shared" si="35"/>
        <v>0.40562396693673869</v>
      </c>
      <c r="Q107" s="11">
        <f t="shared" si="36"/>
        <v>0.37359505955181971</v>
      </c>
      <c r="R107" s="11">
        <f t="shared" si="37"/>
        <v>2.2471567768295321E-2</v>
      </c>
      <c r="S107" s="11">
        <f t="shared" si="38"/>
        <v>4.2589836788907445E-2</v>
      </c>
      <c r="T107" s="11">
        <f t="shared" si="39"/>
        <v>6.1654842974384276E-2</v>
      </c>
      <c r="U107" s="11">
        <f t="shared" si="40"/>
        <v>5.0435333039495663E-2</v>
      </c>
      <c r="W107">
        <f t="shared" si="41"/>
        <v>0</v>
      </c>
      <c r="X107">
        <f t="shared" si="42"/>
        <v>0</v>
      </c>
      <c r="Y107">
        <f t="shared" si="43"/>
        <v>0</v>
      </c>
      <c r="Z107">
        <f t="shared" si="44"/>
        <v>0</v>
      </c>
      <c r="AA107">
        <f t="shared" si="45"/>
        <v>0</v>
      </c>
      <c r="AB107">
        <f t="shared" si="46"/>
        <v>0</v>
      </c>
      <c r="AD107" s="11">
        <f t="shared" si="47"/>
        <v>2.4207866314179425</v>
      </c>
      <c r="AE107" s="11">
        <f t="shared" si="48"/>
        <v>0.94005511704023048</v>
      </c>
      <c r="AF107" s="11">
        <f t="shared" si="49"/>
        <v>0.13411157938055401</v>
      </c>
      <c r="AG107" s="11">
        <f t="shared" si="50"/>
        <v>0.10716628334258628</v>
      </c>
      <c r="AH107" s="11">
        <f t="shared" si="51"/>
        <v>0.36795956797552726</v>
      </c>
      <c r="AI107" s="11">
        <f t="shared" si="52"/>
        <v>0.12690744080043112</v>
      </c>
      <c r="AJ107" s="11"/>
    </row>
    <row r="108" spans="1:36">
      <c r="A108" t="s">
        <v>367</v>
      </c>
      <c r="B108">
        <v>3.5406999999999999E-3</v>
      </c>
      <c r="C108">
        <v>0</v>
      </c>
      <c r="D108">
        <v>10798</v>
      </c>
      <c r="E108">
        <v>497344</v>
      </c>
      <c r="F108">
        <v>28576.240000000002</v>
      </c>
      <c r="G108">
        <v>814.45870000000002</v>
      </c>
      <c r="H108">
        <v>215822</v>
      </c>
      <c r="I108">
        <f t="shared" si="29"/>
        <v>0</v>
      </c>
      <c r="J108">
        <f t="shared" si="30"/>
        <v>0</v>
      </c>
      <c r="K108">
        <f t="shared" si="31"/>
        <v>0</v>
      </c>
      <c r="L108">
        <f t="shared" si="32"/>
        <v>0</v>
      </c>
      <c r="M108">
        <f t="shared" si="33"/>
        <v>0</v>
      </c>
      <c r="N108">
        <f t="shared" si="34"/>
        <v>0</v>
      </c>
      <c r="P108" s="11">
        <f t="shared" si="35"/>
        <v>0.27161132746203087</v>
      </c>
      <c r="Q108" s="11">
        <f t="shared" si="36"/>
        <v>0.25016433526954773</v>
      </c>
      <c r="R108" s="11">
        <f t="shared" si="37"/>
        <v>1.5047267541396511E-2</v>
      </c>
      <c r="S108" s="11">
        <f t="shared" si="38"/>
        <v>2.8518734220728443E-2</v>
      </c>
      <c r="T108" s="11">
        <f t="shared" si="39"/>
        <v>4.128492177422869E-2</v>
      </c>
      <c r="U108" s="11">
        <f t="shared" si="40"/>
        <v>3.3772185261388948E-2</v>
      </c>
      <c r="W108">
        <f t="shared" si="41"/>
        <v>0</v>
      </c>
      <c r="X108">
        <f t="shared" si="42"/>
        <v>0</v>
      </c>
      <c r="Y108">
        <f t="shared" si="43"/>
        <v>0</v>
      </c>
      <c r="Z108">
        <f t="shared" si="44"/>
        <v>0</v>
      </c>
      <c r="AA108">
        <f t="shared" si="45"/>
        <v>0</v>
      </c>
      <c r="AB108">
        <f t="shared" si="46"/>
        <v>0</v>
      </c>
      <c r="AD108" s="11">
        <f t="shared" si="47"/>
        <v>0.27281521080189963</v>
      </c>
      <c r="AE108" s="11">
        <f t="shared" si="48"/>
        <v>0.10594132154906864</v>
      </c>
      <c r="AF108" s="11">
        <f t="shared" si="49"/>
        <v>1.5113962678425239E-2</v>
      </c>
      <c r="AG108" s="11">
        <f t="shared" si="50"/>
        <v>1.2077310656593825E-2</v>
      </c>
      <c r="AH108" s="11">
        <f t="shared" si="51"/>
        <v>4.1467912041888745E-2</v>
      </c>
      <c r="AI108" s="11">
        <f t="shared" si="52"/>
        <v>1.4302078409124269E-2</v>
      </c>
      <c r="AJ108" s="11"/>
    </row>
    <row r="109" spans="1:36">
      <c r="A109" t="s">
        <v>293</v>
      </c>
      <c r="B109">
        <v>1.83117E-2</v>
      </c>
      <c r="C109">
        <v>2.4038000000000002E-3</v>
      </c>
      <c r="D109">
        <v>136608</v>
      </c>
      <c r="E109">
        <v>2500384</v>
      </c>
      <c r="F109">
        <v>47081.16</v>
      </c>
      <c r="G109">
        <v>2612.3159999999998</v>
      </c>
      <c r="H109">
        <v>1701841</v>
      </c>
      <c r="I109">
        <f t="shared" si="29"/>
        <v>6.253743282206288E-2</v>
      </c>
      <c r="J109">
        <f t="shared" si="30"/>
        <v>0.1507962790872161</v>
      </c>
      <c r="K109">
        <f t="shared" si="31"/>
        <v>3.4645737783422833E-3</v>
      </c>
      <c r="L109">
        <f t="shared" si="32"/>
        <v>1.7190775815942635E-2</v>
      </c>
      <c r="M109">
        <f t="shared" si="33"/>
        <v>9.5056897889535582E-3</v>
      </c>
      <c r="N109">
        <f t="shared" si="34"/>
        <v>2.0357497676774174E-2</v>
      </c>
      <c r="P109" s="11">
        <f t="shared" si="35"/>
        <v>0.43795629003918363</v>
      </c>
      <c r="Q109" s="11">
        <f t="shared" si="36"/>
        <v>0.4033743555488693</v>
      </c>
      <c r="R109" s="11">
        <f t="shared" si="37"/>
        <v>2.4262778468170772E-2</v>
      </c>
      <c r="S109" s="11">
        <f t="shared" si="38"/>
        <v>4.59846765325711E-2</v>
      </c>
      <c r="T109" s="11">
        <f t="shared" si="39"/>
        <v>6.6569356085955905E-2</v>
      </c>
      <c r="U109" s="11">
        <f t="shared" si="40"/>
        <v>5.4455537999097359E-2</v>
      </c>
      <c r="W109">
        <f t="shared" si="41"/>
        <v>0.35098825989109678</v>
      </c>
      <c r="X109">
        <f t="shared" si="42"/>
        <v>0.46528264463451213</v>
      </c>
      <c r="Y109">
        <f t="shared" si="43"/>
        <v>1.944474959796676E-2</v>
      </c>
      <c r="Z109">
        <f t="shared" si="44"/>
        <v>5.3042221488334387E-2</v>
      </c>
      <c r="AA109">
        <f t="shared" si="45"/>
        <v>5.3350215503446707E-2</v>
      </c>
      <c r="AB109">
        <f t="shared" si="46"/>
        <v>6.2813157025659136E-2</v>
      </c>
      <c r="AD109" s="11">
        <f t="shared" si="47"/>
        <v>0.28064563136016707</v>
      </c>
      <c r="AE109" s="11">
        <f t="shared" si="48"/>
        <v>0.10898207979634328</v>
      </c>
      <c r="AF109" s="11">
        <f t="shared" si="49"/>
        <v>1.5547767977353254E-2</v>
      </c>
      <c r="AG109" s="11">
        <f t="shared" si="50"/>
        <v>1.2423957096783135E-2</v>
      </c>
      <c r="AH109" s="11">
        <f t="shared" si="51"/>
        <v>4.2658135966745392E-2</v>
      </c>
      <c r="AI109" s="11">
        <f t="shared" si="52"/>
        <v>1.4712580772506343E-2</v>
      </c>
      <c r="AJ109" s="11"/>
    </row>
    <row r="110" spans="1:36">
      <c r="A110" t="s">
        <v>368</v>
      </c>
      <c r="B110">
        <v>8.8655999999999995E-3</v>
      </c>
      <c r="C110">
        <v>0</v>
      </c>
      <c r="D110">
        <v>31211</v>
      </c>
      <c r="E110">
        <v>554101</v>
      </c>
      <c r="F110">
        <v>41561.08</v>
      </c>
      <c r="G110">
        <v>2096.8420000000001</v>
      </c>
      <c r="H110">
        <v>408872</v>
      </c>
      <c r="I110">
        <f t="shared" si="29"/>
        <v>0</v>
      </c>
      <c r="J110">
        <f t="shared" si="30"/>
        <v>0</v>
      </c>
      <c r="K110">
        <f t="shared" si="31"/>
        <v>0</v>
      </c>
      <c r="L110">
        <f t="shared" si="32"/>
        <v>0</v>
      </c>
      <c r="M110">
        <f t="shared" si="33"/>
        <v>0</v>
      </c>
      <c r="N110">
        <f t="shared" si="34"/>
        <v>0</v>
      </c>
      <c r="P110" s="11">
        <f t="shared" si="35"/>
        <v>0.26416193655029796</v>
      </c>
      <c r="Q110" s="11">
        <f t="shared" si="36"/>
        <v>0.24330316367184554</v>
      </c>
      <c r="R110" s="11">
        <f t="shared" si="37"/>
        <v>1.4634571284886506E-2</v>
      </c>
      <c r="S110" s="11">
        <f t="shared" si="38"/>
        <v>2.7736560658590391E-2</v>
      </c>
      <c r="T110" s="11">
        <f t="shared" si="39"/>
        <v>4.0152614355645287E-2</v>
      </c>
      <c r="U110" s="11">
        <f t="shared" si="40"/>
        <v>3.2845927095699147E-2</v>
      </c>
      <c r="W110">
        <f t="shared" si="41"/>
        <v>0</v>
      </c>
      <c r="X110">
        <f t="shared" si="42"/>
        <v>0</v>
      </c>
      <c r="Y110">
        <f t="shared" si="43"/>
        <v>0</v>
      </c>
      <c r="Z110">
        <f t="shared" si="44"/>
        <v>0</v>
      </c>
      <c r="AA110">
        <f t="shared" si="45"/>
        <v>0</v>
      </c>
      <c r="AB110">
        <f t="shared" si="46"/>
        <v>0</v>
      </c>
      <c r="AD110" s="11">
        <f t="shared" si="47"/>
        <v>0.61313418625932814</v>
      </c>
      <c r="AE110" s="11">
        <f t="shared" si="48"/>
        <v>0.23809613030115445</v>
      </c>
      <c r="AF110" s="11">
        <f t="shared" si="49"/>
        <v>3.3967633918766775E-2</v>
      </c>
      <c r="AG110" s="11">
        <f t="shared" si="50"/>
        <v>2.7142958854331607E-2</v>
      </c>
      <c r="AH110" s="11">
        <f t="shared" si="51"/>
        <v>9.3196396311417878E-2</v>
      </c>
      <c r="AI110" s="11">
        <f t="shared" si="52"/>
        <v>3.2142977590655854E-2</v>
      </c>
      <c r="AJ110" s="11"/>
    </row>
    <row r="111" spans="1:36">
      <c r="A111" t="s">
        <v>369</v>
      </c>
      <c r="B111">
        <v>7.2024000000000003E-3</v>
      </c>
      <c r="C111">
        <v>0</v>
      </c>
      <c r="D111">
        <v>183453</v>
      </c>
      <c r="E111">
        <v>4423781</v>
      </c>
      <c r="F111">
        <v>46027.11</v>
      </c>
      <c r="G111">
        <v>2075.527</v>
      </c>
      <c r="H111">
        <v>2416644</v>
      </c>
      <c r="I111">
        <f t="shared" si="29"/>
        <v>0</v>
      </c>
      <c r="J111">
        <f t="shared" si="30"/>
        <v>0</v>
      </c>
      <c r="K111">
        <f t="shared" si="31"/>
        <v>0</v>
      </c>
      <c r="L111">
        <f t="shared" si="32"/>
        <v>0</v>
      </c>
      <c r="M111">
        <f t="shared" si="33"/>
        <v>0</v>
      </c>
      <c r="N111">
        <f t="shared" si="34"/>
        <v>0</v>
      </c>
      <c r="P111" s="11">
        <f t="shared" si="35"/>
        <v>0.2168086791643761</v>
      </c>
      <c r="Q111" s="11">
        <f t="shared" si="36"/>
        <v>0.19968901743027193</v>
      </c>
      <c r="R111" s="11">
        <f t="shared" si="37"/>
        <v>1.2011200825706435E-2</v>
      </c>
      <c r="S111" s="11">
        <f t="shared" si="38"/>
        <v>2.2764547987051E-2</v>
      </c>
      <c r="T111" s="11">
        <f t="shared" si="39"/>
        <v>3.2954919232985165E-2</v>
      </c>
      <c r="U111" s="11">
        <f t="shared" si="40"/>
        <v>2.6958017353086713E-2</v>
      </c>
      <c r="W111">
        <f t="shared" si="41"/>
        <v>0</v>
      </c>
      <c r="X111">
        <f t="shared" si="42"/>
        <v>0</v>
      </c>
      <c r="Y111">
        <f t="shared" si="43"/>
        <v>0</v>
      </c>
      <c r="Z111">
        <f t="shared" si="44"/>
        <v>0</v>
      </c>
      <c r="AA111">
        <f t="shared" si="45"/>
        <v>0</v>
      </c>
      <c r="AB111">
        <f t="shared" si="46"/>
        <v>0</v>
      </c>
      <c r="AD111" s="11">
        <f t="shared" si="47"/>
        <v>6.2390713295689813E-2</v>
      </c>
      <c r="AE111" s="11">
        <f t="shared" si="48"/>
        <v>2.4227954883842578E-2</v>
      </c>
      <c r="AF111" s="11">
        <f t="shared" si="49"/>
        <v>3.4564455165812156E-3</v>
      </c>
      <c r="AG111" s="11">
        <f t="shared" si="50"/>
        <v>2.761986856758054E-3</v>
      </c>
      <c r="AH111" s="11">
        <f t="shared" si="51"/>
        <v>9.4833884209448507E-3</v>
      </c>
      <c r="AI111" s="11">
        <f t="shared" si="52"/>
        <v>3.2707739093187482E-3</v>
      </c>
      <c r="AJ111" s="11"/>
    </row>
    <row r="112" spans="1:36">
      <c r="A112" t="s">
        <v>370</v>
      </c>
      <c r="B112">
        <v>4.9645999999999996E-3</v>
      </c>
      <c r="C112">
        <v>0</v>
      </c>
      <c r="D112">
        <v>4037</v>
      </c>
      <c r="E112">
        <v>92589</v>
      </c>
      <c r="F112">
        <v>33052.629999999997</v>
      </c>
      <c r="G112">
        <v>1498.338</v>
      </c>
      <c r="H112">
        <v>67386</v>
      </c>
      <c r="I112">
        <f t="shared" si="29"/>
        <v>0</v>
      </c>
      <c r="J112">
        <f t="shared" si="30"/>
        <v>0</v>
      </c>
      <c r="K112">
        <f t="shared" si="31"/>
        <v>0</v>
      </c>
      <c r="L112">
        <f t="shared" si="32"/>
        <v>0</v>
      </c>
      <c r="M112">
        <f t="shared" si="33"/>
        <v>0</v>
      </c>
      <c r="N112">
        <f t="shared" si="34"/>
        <v>0</v>
      </c>
      <c r="P112" s="11">
        <f t="shared" si="35"/>
        <v>0.20701522304046213</v>
      </c>
      <c r="Q112" s="11">
        <f t="shared" si="36"/>
        <v>0.19066887285779308</v>
      </c>
      <c r="R112" s="11">
        <f t="shared" si="37"/>
        <v>1.1468643356441603E-2</v>
      </c>
      <c r="S112" s="11">
        <f t="shared" si="38"/>
        <v>2.1736251505788413E-2</v>
      </c>
      <c r="T112" s="11">
        <f t="shared" si="39"/>
        <v>3.1466313902150246E-2</v>
      </c>
      <c r="U112" s="11">
        <f t="shared" si="40"/>
        <v>2.5740297835802065E-2</v>
      </c>
      <c r="W112">
        <f t="shared" si="41"/>
        <v>0</v>
      </c>
      <c r="X112">
        <f t="shared" si="42"/>
        <v>0</v>
      </c>
      <c r="Y112">
        <f t="shared" si="43"/>
        <v>0</v>
      </c>
      <c r="Z112">
        <f t="shared" si="44"/>
        <v>0</v>
      </c>
      <c r="AA112">
        <f t="shared" si="45"/>
        <v>0</v>
      </c>
      <c r="AB112">
        <f t="shared" si="46"/>
        <v>0</v>
      </c>
      <c r="AD112" s="11">
        <f t="shared" si="47"/>
        <v>2.0547604700847826</v>
      </c>
      <c r="AE112" s="11">
        <f t="shared" si="48"/>
        <v>0.79791753189903758</v>
      </c>
      <c r="AF112" s="11">
        <f t="shared" si="49"/>
        <v>0.11383373004269695</v>
      </c>
      <c r="AG112" s="11">
        <f t="shared" si="50"/>
        <v>9.0962598636490283E-2</v>
      </c>
      <c r="AH112" s="11">
        <f t="shared" si="51"/>
        <v>0.31232359145288696</v>
      </c>
      <c r="AI112" s="11">
        <f t="shared" si="52"/>
        <v>0.10771886680637008</v>
      </c>
      <c r="AJ112" s="11"/>
    </row>
    <row r="113" spans="1:36">
      <c r="A113" t="s">
        <v>371</v>
      </c>
      <c r="B113">
        <v>1.00041E-2</v>
      </c>
      <c r="C113">
        <v>0</v>
      </c>
      <c r="D113">
        <v>8262</v>
      </c>
      <c r="E113">
        <v>275188</v>
      </c>
      <c r="F113">
        <v>33884.67</v>
      </c>
      <c r="G113">
        <v>1200.8399999999999</v>
      </c>
      <c r="H113">
        <v>165180</v>
      </c>
      <c r="I113">
        <f t="shared" si="29"/>
        <v>0</v>
      </c>
      <c r="J113">
        <f t="shared" si="30"/>
        <v>0</v>
      </c>
      <c r="K113">
        <f t="shared" si="31"/>
        <v>0</v>
      </c>
      <c r="L113">
        <f t="shared" si="32"/>
        <v>0</v>
      </c>
      <c r="M113">
        <f t="shared" si="33"/>
        <v>0</v>
      </c>
      <c r="N113">
        <f t="shared" si="34"/>
        <v>0</v>
      </c>
      <c r="P113" s="11">
        <f t="shared" si="35"/>
        <v>0.52049995020985318</v>
      </c>
      <c r="Q113" s="11">
        <f t="shared" si="36"/>
        <v>0.47940019758668928</v>
      </c>
      <c r="R113" s="11">
        <f t="shared" si="37"/>
        <v>2.8835697241625866E-2</v>
      </c>
      <c r="S113" s="11">
        <f t="shared" si="38"/>
        <v>5.4651622524882579E-2</v>
      </c>
      <c r="T113" s="11">
        <f t="shared" si="39"/>
        <v>7.911599243189768E-2</v>
      </c>
      <c r="U113" s="11">
        <f t="shared" si="40"/>
        <v>6.4719026674203053E-2</v>
      </c>
      <c r="W113">
        <f t="shared" si="41"/>
        <v>0</v>
      </c>
      <c r="X113">
        <f t="shared" si="42"/>
        <v>0</v>
      </c>
      <c r="Y113">
        <f t="shared" si="43"/>
        <v>0</v>
      </c>
      <c r="Z113">
        <f t="shared" si="44"/>
        <v>0</v>
      </c>
      <c r="AA113">
        <f t="shared" si="45"/>
        <v>0</v>
      </c>
      <c r="AB113">
        <f t="shared" si="46"/>
        <v>0</v>
      </c>
      <c r="AD113" s="11">
        <f t="shared" si="47"/>
        <v>1.3931082529717138</v>
      </c>
      <c r="AE113" s="11">
        <f t="shared" si="48"/>
        <v>0.54098057416566137</v>
      </c>
      <c r="AF113" s="11">
        <f t="shared" si="49"/>
        <v>7.717819721463294E-2</v>
      </c>
      <c r="AG113" s="11">
        <f t="shared" si="50"/>
        <v>6.16717854548854E-2</v>
      </c>
      <c r="AH113" s="11">
        <f t="shared" si="51"/>
        <v>0.21175245445170049</v>
      </c>
      <c r="AI113" s="11">
        <f t="shared" si="52"/>
        <v>7.3032377512364285E-2</v>
      </c>
      <c r="AJ113" s="11"/>
    </row>
    <row r="114" spans="1:36">
      <c r="A114" t="s">
        <v>372</v>
      </c>
      <c r="B114">
        <v>4.0664000000000004E-3</v>
      </c>
      <c r="C114">
        <v>0</v>
      </c>
      <c r="D114">
        <v>5260</v>
      </c>
      <c r="E114">
        <v>158495</v>
      </c>
      <c r="F114">
        <v>33180.519999999997</v>
      </c>
      <c r="G114">
        <v>1538.739</v>
      </c>
      <c r="H114">
        <v>107051</v>
      </c>
      <c r="I114">
        <f t="shared" si="29"/>
        <v>0</v>
      </c>
      <c r="J114">
        <f t="shared" si="30"/>
        <v>0</v>
      </c>
      <c r="K114">
        <f t="shared" si="31"/>
        <v>0</v>
      </c>
      <c r="L114">
        <f t="shared" si="32"/>
        <v>0</v>
      </c>
      <c r="M114">
        <f t="shared" si="33"/>
        <v>0</v>
      </c>
      <c r="N114">
        <f t="shared" si="34"/>
        <v>0</v>
      </c>
      <c r="P114" s="11">
        <f t="shared" si="35"/>
        <v>0.16510983723685435</v>
      </c>
      <c r="Q114" s="11">
        <f t="shared" si="36"/>
        <v>0.15207242299051366</v>
      </c>
      <c r="R114" s="11">
        <f t="shared" si="37"/>
        <v>9.1470849829217299E-3</v>
      </c>
      <c r="S114" s="11">
        <f t="shared" si="38"/>
        <v>1.7336256220918559E-2</v>
      </c>
      <c r="T114" s="11">
        <f t="shared" si="39"/>
        <v>2.5096695260001859E-2</v>
      </c>
      <c r="U114" s="11">
        <f t="shared" si="40"/>
        <v>2.0529777103719345E-2</v>
      </c>
      <c r="W114">
        <f t="shared" si="41"/>
        <v>0</v>
      </c>
      <c r="X114">
        <f t="shared" si="42"/>
        <v>0</v>
      </c>
      <c r="Y114">
        <f t="shared" si="43"/>
        <v>0</v>
      </c>
      <c r="Z114">
        <f t="shared" si="44"/>
        <v>0</v>
      </c>
      <c r="AA114">
        <f t="shared" si="45"/>
        <v>0</v>
      </c>
      <c r="AB114">
        <f t="shared" si="46"/>
        <v>0</v>
      </c>
      <c r="AD114" s="11">
        <f t="shared" si="47"/>
        <v>0.9831750822746459</v>
      </c>
      <c r="AE114" s="11">
        <f t="shared" si="48"/>
        <v>0.38179274250922746</v>
      </c>
      <c r="AF114" s="11">
        <f t="shared" si="49"/>
        <v>5.4467899558015377E-2</v>
      </c>
      <c r="AG114" s="11">
        <f t="shared" si="50"/>
        <v>4.3524372646051933E-2</v>
      </c>
      <c r="AH114" s="11">
        <f t="shared" si="51"/>
        <v>0.14944261250574617</v>
      </c>
      <c r="AI114" s="11">
        <f t="shared" si="52"/>
        <v>5.1542020238745712E-2</v>
      </c>
      <c r="AJ114" s="11"/>
    </row>
    <row r="115" spans="1:36">
      <c r="A115" t="s">
        <v>373</v>
      </c>
      <c r="B115">
        <v>4.4647999999999997E-3</v>
      </c>
      <c r="C115">
        <v>0</v>
      </c>
      <c r="D115">
        <v>2759</v>
      </c>
      <c r="E115">
        <v>163093</v>
      </c>
      <c r="F115">
        <v>26249.599999999999</v>
      </c>
      <c r="G115">
        <v>1750.269</v>
      </c>
      <c r="H115">
        <v>70817</v>
      </c>
      <c r="I115">
        <f t="shared" si="29"/>
        <v>0</v>
      </c>
      <c r="J115">
        <f t="shared" si="30"/>
        <v>0</v>
      </c>
      <c r="K115">
        <f t="shared" si="31"/>
        <v>0</v>
      </c>
      <c r="L115">
        <f t="shared" si="32"/>
        <v>0</v>
      </c>
      <c r="M115">
        <f t="shared" si="33"/>
        <v>0</v>
      </c>
      <c r="N115">
        <f t="shared" si="34"/>
        <v>0</v>
      </c>
      <c r="P115" s="11">
        <f t="shared" si="35"/>
        <v>0.15937677058783534</v>
      </c>
      <c r="Q115" s="11">
        <f t="shared" si="36"/>
        <v>0.14679205114185304</v>
      </c>
      <c r="R115" s="11">
        <f t="shared" si="37"/>
        <v>8.8294730905660781E-3</v>
      </c>
      <c r="S115" s="11">
        <f t="shared" si="38"/>
        <v>1.6734293830171245E-2</v>
      </c>
      <c r="T115" s="11">
        <f t="shared" si="39"/>
        <v>2.4225269129350972E-2</v>
      </c>
      <c r="U115" s="11">
        <f t="shared" si="40"/>
        <v>1.981692690415016E-2</v>
      </c>
      <c r="W115">
        <f t="shared" si="41"/>
        <v>0</v>
      </c>
      <c r="X115">
        <f t="shared" si="42"/>
        <v>0</v>
      </c>
      <c r="Y115">
        <f t="shared" si="43"/>
        <v>0</v>
      </c>
      <c r="Z115">
        <f t="shared" si="44"/>
        <v>0</v>
      </c>
      <c r="AA115">
        <f t="shared" si="45"/>
        <v>0</v>
      </c>
      <c r="AB115">
        <f t="shared" si="46"/>
        <v>0</v>
      </c>
      <c r="AD115" s="11">
        <f t="shared" si="47"/>
        <v>1.0490665047294487</v>
      </c>
      <c r="AE115" s="11">
        <f t="shared" si="48"/>
        <v>0.40738011483018888</v>
      </c>
      <c r="AF115" s="11">
        <f t="shared" si="49"/>
        <v>5.8118284362011455E-2</v>
      </c>
      <c r="AG115" s="11">
        <f t="shared" si="50"/>
        <v>4.644133309064153E-2</v>
      </c>
      <c r="AH115" s="11">
        <f t="shared" si="51"/>
        <v>0.1594581087188762</v>
      </c>
      <c r="AI115" s="11">
        <f t="shared" si="52"/>
        <v>5.4996315502075503E-2</v>
      </c>
      <c r="AJ115" s="11"/>
    </row>
    <row r="116" spans="1:36">
      <c r="A116" t="s">
        <v>374</v>
      </c>
      <c r="B116">
        <v>8.1227999999999995E-3</v>
      </c>
      <c r="C116">
        <v>0</v>
      </c>
      <c r="D116">
        <v>20271</v>
      </c>
      <c r="E116">
        <v>738416</v>
      </c>
      <c r="F116">
        <v>27438.880000000001</v>
      </c>
      <c r="G116">
        <v>1708.8130000000001</v>
      </c>
      <c r="H116">
        <v>382591</v>
      </c>
      <c r="I116">
        <f t="shared" si="29"/>
        <v>0</v>
      </c>
      <c r="J116">
        <f t="shared" si="30"/>
        <v>0</v>
      </c>
      <c r="K116">
        <f t="shared" si="31"/>
        <v>0</v>
      </c>
      <c r="L116">
        <f t="shared" si="32"/>
        <v>0</v>
      </c>
      <c r="M116">
        <f t="shared" si="33"/>
        <v>0</v>
      </c>
      <c r="N116">
        <f t="shared" si="34"/>
        <v>0</v>
      </c>
      <c r="P116" s="11">
        <f t="shared" si="35"/>
        <v>0.29698809096138656</v>
      </c>
      <c r="Q116" s="11">
        <f t="shared" si="36"/>
        <v>0.27353729703601271</v>
      </c>
      <c r="R116" s="11">
        <f t="shared" si="37"/>
        <v>1.6453140239260814E-2</v>
      </c>
      <c r="S116" s="11">
        <f t="shared" si="38"/>
        <v>3.1183251862105448E-2</v>
      </c>
      <c r="T116" s="11">
        <f t="shared" si="39"/>
        <v>4.5142189826130753E-2</v>
      </c>
      <c r="U116" s="11">
        <f t="shared" si="40"/>
        <v>3.6927535099861721E-2</v>
      </c>
      <c r="W116">
        <f t="shared" si="41"/>
        <v>0</v>
      </c>
      <c r="X116">
        <f t="shared" si="42"/>
        <v>0</v>
      </c>
      <c r="Y116">
        <f t="shared" si="43"/>
        <v>0</v>
      </c>
      <c r="Z116">
        <f t="shared" si="44"/>
        <v>0</v>
      </c>
      <c r="AA116">
        <f t="shared" si="45"/>
        <v>0</v>
      </c>
      <c r="AB116">
        <f t="shared" si="46"/>
        <v>0</v>
      </c>
      <c r="AD116" s="11">
        <f t="shared" si="47"/>
        <v>0.42154213854011824</v>
      </c>
      <c r="AE116" s="11">
        <f t="shared" si="48"/>
        <v>0.16369589919232519</v>
      </c>
      <c r="AF116" s="11">
        <f t="shared" si="49"/>
        <v>2.3353434475122548E-2</v>
      </c>
      <c r="AG116" s="11">
        <f t="shared" si="50"/>
        <v>1.8661332507925073E-2</v>
      </c>
      <c r="AH116" s="11">
        <f t="shared" si="51"/>
        <v>6.4074405058097972E-2</v>
      </c>
      <c r="AI116" s="11">
        <f t="shared" si="52"/>
        <v>2.2098946390963901E-2</v>
      </c>
      <c r="AJ116" s="11"/>
    </row>
    <row r="117" spans="1:36">
      <c r="A117" t="s">
        <v>375</v>
      </c>
      <c r="B117">
        <v>1.25E-3</v>
      </c>
      <c r="C117">
        <v>0</v>
      </c>
      <c r="D117">
        <v>8631</v>
      </c>
      <c r="E117">
        <v>200125</v>
      </c>
      <c r="F117">
        <v>32346.81</v>
      </c>
      <c r="G117">
        <v>1497.375</v>
      </c>
      <c r="H117">
        <v>145709</v>
      </c>
      <c r="I117">
        <f t="shared" si="29"/>
        <v>0</v>
      </c>
      <c r="J117">
        <f t="shared" si="30"/>
        <v>0</v>
      </c>
      <c r="K117">
        <f t="shared" si="31"/>
        <v>0</v>
      </c>
      <c r="L117">
        <f t="shared" si="32"/>
        <v>0</v>
      </c>
      <c r="M117">
        <f t="shared" si="33"/>
        <v>0</v>
      </c>
      <c r="N117">
        <f t="shared" si="34"/>
        <v>0</v>
      </c>
      <c r="P117" s="11">
        <f t="shared" si="35"/>
        <v>5.2156356958009846E-2</v>
      </c>
      <c r="Q117" s="11">
        <f t="shared" si="36"/>
        <v>4.8037983137156695E-2</v>
      </c>
      <c r="R117" s="11">
        <f t="shared" si="37"/>
        <v>2.8894621754737455E-3</v>
      </c>
      <c r="S117" s="11">
        <f t="shared" si="38"/>
        <v>5.4763300776358636E-3</v>
      </c>
      <c r="T117" s="11">
        <f t="shared" si="39"/>
        <v>7.9277662576174961E-3</v>
      </c>
      <c r="U117" s="11">
        <f t="shared" si="40"/>
        <v>6.4851277235161544E-3</v>
      </c>
      <c r="W117">
        <f t="shared" si="41"/>
        <v>0</v>
      </c>
      <c r="X117">
        <f t="shared" si="42"/>
        <v>0</v>
      </c>
      <c r="Y117">
        <f t="shared" si="43"/>
        <v>0</v>
      </c>
      <c r="Z117">
        <f t="shared" si="44"/>
        <v>0</v>
      </c>
      <c r="AA117">
        <f t="shared" si="45"/>
        <v>0</v>
      </c>
      <c r="AB117">
        <f t="shared" si="46"/>
        <v>0</v>
      </c>
      <c r="AD117" s="11">
        <f t="shared" si="47"/>
        <v>0.2393563760149906</v>
      </c>
      <c r="AE117" s="11">
        <f t="shared" si="48"/>
        <v>9.2948376014990633E-2</v>
      </c>
      <c r="AF117" s="11">
        <f t="shared" si="49"/>
        <v>1.3260343231230478E-2</v>
      </c>
      <c r="AG117" s="11">
        <f t="shared" si="50"/>
        <v>1.0596114865708932E-2</v>
      </c>
      <c r="AH117" s="11">
        <f t="shared" si="51"/>
        <v>3.6382169154278568E-2</v>
      </c>
      <c r="AI117" s="11">
        <f t="shared" si="52"/>
        <v>1.2548030762023736E-2</v>
      </c>
      <c r="AJ117" s="11"/>
    </row>
    <row r="118" spans="1:36">
      <c r="A118" t="s">
        <v>376</v>
      </c>
      <c r="B118">
        <v>6.9159E-3</v>
      </c>
      <c r="C118">
        <v>0</v>
      </c>
      <c r="D118">
        <v>2303</v>
      </c>
      <c r="E118">
        <v>87902</v>
      </c>
      <c r="F118">
        <v>33016.28</v>
      </c>
      <c r="G118">
        <v>2393.732</v>
      </c>
      <c r="H118">
        <v>49747</v>
      </c>
      <c r="I118">
        <f t="shared" si="29"/>
        <v>0</v>
      </c>
      <c r="J118">
        <f t="shared" si="30"/>
        <v>0</v>
      </c>
      <c r="K118">
        <f t="shared" si="31"/>
        <v>0</v>
      </c>
      <c r="L118">
        <f t="shared" si="32"/>
        <v>0</v>
      </c>
      <c r="M118">
        <f t="shared" si="33"/>
        <v>0</v>
      </c>
      <c r="N118">
        <f t="shared" si="34"/>
        <v>0</v>
      </c>
      <c r="P118" s="11">
        <f t="shared" si="35"/>
        <v>0.18050988656624886</v>
      </c>
      <c r="Q118" s="11">
        <f t="shared" si="36"/>
        <v>0.16625645257280264</v>
      </c>
      <c r="R118" s="11">
        <f t="shared" si="37"/>
        <v>1.0000247715770186E-2</v>
      </c>
      <c r="S118" s="11">
        <f t="shared" si="38"/>
        <v>1.8953235593299502E-2</v>
      </c>
      <c r="T118" s="11">
        <f t="shared" si="39"/>
        <v>2.7437502758069825E-2</v>
      </c>
      <c r="U118" s="11">
        <f t="shared" si="40"/>
        <v>2.2444621097328359E-2</v>
      </c>
      <c r="W118">
        <f t="shared" si="41"/>
        <v>0</v>
      </c>
      <c r="X118">
        <f t="shared" si="42"/>
        <v>0</v>
      </c>
      <c r="Y118">
        <f t="shared" si="43"/>
        <v>0</v>
      </c>
      <c r="Z118">
        <f t="shared" si="44"/>
        <v>0</v>
      </c>
      <c r="AA118">
        <f t="shared" si="45"/>
        <v>0</v>
      </c>
      <c r="AB118">
        <f t="shared" si="46"/>
        <v>0</v>
      </c>
      <c r="AD118" s="11">
        <f t="shared" si="47"/>
        <v>3.0149928126461285</v>
      </c>
      <c r="AE118" s="11">
        <f t="shared" si="48"/>
        <v>1.1708010051705309</v>
      </c>
      <c r="AF118" s="11">
        <f t="shared" si="49"/>
        <v>0.16703060182059551</v>
      </c>
      <c r="AG118" s="11">
        <f t="shared" si="50"/>
        <v>0.13347131458944053</v>
      </c>
      <c r="AH118" s="11">
        <f t="shared" si="51"/>
        <v>0.45827890752221151</v>
      </c>
      <c r="AI118" s="11">
        <f t="shared" si="52"/>
        <v>0.15805813569802168</v>
      </c>
      <c r="AJ118" s="11"/>
    </row>
    <row r="119" spans="1:36">
      <c r="A119" t="s">
        <v>377</v>
      </c>
      <c r="B119">
        <v>7.7946999999999999E-3</v>
      </c>
      <c r="C119">
        <v>0</v>
      </c>
      <c r="D119">
        <v>8443</v>
      </c>
      <c r="E119">
        <v>279647</v>
      </c>
      <c r="F119">
        <v>32780.050000000003</v>
      </c>
      <c r="G119">
        <v>2502.913</v>
      </c>
      <c r="H119">
        <v>164959</v>
      </c>
      <c r="I119">
        <f t="shared" si="29"/>
        <v>0</v>
      </c>
      <c r="J119">
        <f t="shared" si="30"/>
        <v>0</v>
      </c>
      <c r="K119">
        <f t="shared" si="31"/>
        <v>0</v>
      </c>
      <c r="L119">
        <f t="shared" si="32"/>
        <v>0</v>
      </c>
      <c r="M119">
        <f t="shared" si="33"/>
        <v>0</v>
      </c>
      <c r="N119">
        <f t="shared" si="34"/>
        <v>0</v>
      </c>
      <c r="P119" s="11">
        <f t="shared" si="35"/>
        <v>0.19457250254803102</v>
      </c>
      <c r="Q119" s="11">
        <f t="shared" si="36"/>
        <v>0.17920865531083183</v>
      </c>
      <c r="R119" s="11">
        <f t="shared" si="37"/>
        <v>1.0779316641160918E-2</v>
      </c>
      <c r="S119" s="11">
        <f t="shared" si="38"/>
        <v>2.042978670543483E-2</v>
      </c>
      <c r="T119" s="11">
        <f t="shared" si="39"/>
        <v>2.9575020387300713E-2</v>
      </c>
      <c r="U119" s="11">
        <f t="shared" si="40"/>
        <v>2.41931684669623E-2</v>
      </c>
      <c r="W119">
        <f t="shared" si="41"/>
        <v>0</v>
      </c>
      <c r="X119">
        <f t="shared" si="42"/>
        <v>0</v>
      </c>
      <c r="Y119">
        <f t="shared" si="43"/>
        <v>0</v>
      </c>
      <c r="Z119">
        <f t="shared" si="44"/>
        <v>0</v>
      </c>
      <c r="AA119">
        <f t="shared" si="45"/>
        <v>0</v>
      </c>
      <c r="AB119">
        <f t="shared" si="46"/>
        <v>0</v>
      </c>
      <c r="AD119" s="11">
        <f t="shared" si="47"/>
        <v>1.0681335904703428</v>
      </c>
      <c r="AE119" s="11">
        <f t="shared" si="48"/>
        <v>0.41478436569854138</v>
      </c>
      <c r="AF119" s="11">
        <f t="shared" si="49"/>
        <v>5.9174600912056993E-2</v>
      </c>
      <c r="AG119" s="11">
        <f t="shared" si="50"/>
        <v>4.7285417689633721E-2</v>
      </c>
      <c r="AH119" s="11">
        <f t="shared" si="51"/>
        <v>0.1623563057514921</v>
      </c>
      <c r="AI119" s="11">
        <f t="shared" si="52"/>
        <v>5.5995889369303088E-2</v>
      </c>
      <c r="AJ119" s="11"/>
    </row>
    <row r="120" spans="1:36">
      <c r="A120" t="s">
        <v>378</v>
      </c>
      <c r="B120">
        <v>1.3175299999999999E-2</v>
      </c>
      <c r="C120">
        <v>0</v>
      </c>
      <c r="D120">
        <v>9628</v>
      </c>
      <c r="E120">
        <v>348425</v>
      </c>
      <c r="F120">
        <v>32670.87</v>
      </c>
      <c r="G120">
        <v>1668.12</v>
      </c>
      <c r="H120">
        <v>205956</v>
      </c>
      <c r="I120">
        <f t="shared" si="29"/>
        <v>0</v>
      </c>
      <c r="J120">
        <f t="shared" si="30"/>
        <v>0</v>
      </c>
      <c r="K120">
        <f t="shared" si="31"/>
        <v>0</v>
      </c>
      <c r="L120">
        <f t="shared" si="32"/>
        <v>0</v>
      </c>
      <c r="M120">
        <f t="shared" si="33"/>
        <v>0</v>
      </c>
      <c r="N120">
        <f t="shared" si="34"/>
        <v>0</v>
      </c>
      <c r="P120" s="11">
        <f t="shared" si="35"/>
        <v>0.49347032043857753</v>
      </c>
      <c r="Q120" s="11">
        <f t="shared" si="36"/>
        <v>0.45450488328777305</v>
      </c>
      <c r="R120" s="11">
        <f t="shared" si="37"/>
        <v>2.7338255752297196E-2</v>
      </c>
      <c r="S120" s="11">
        <f t="shared" si="38"/>
        <v>5.1813556694806133E-2</v>
      </c>
      <c r="T120" s="11">
        <f t="shared" si="39"/>
        <v>7.500748870666378E-2</v>
      </c>
      <c r="U120" s="11">
        <f t="shared" si="40"/>
        <v>6.1358159243849367E-2</v>
      </c>
      <c r="W120">
        <f t="shared" si="41"/>
        <v>0</v>
      </c>
      <c r="X120">
        <f t="shared" si="42"/>
        <v>0</v>
      </c>
      <c r="Y120">
        <f t="shared" si="43"/>
        <v>0</v>
      </c>
      <c r="Z120">
        <f t="shared" si="44"/>
        <v>0</v>
      </c>
      <c r="AA120">
        <f t="shared" si="45"/>
        <v>0</v>
      </c>
      <c r="AB120">
        <f t="shared" si="46"/>
        <v>0</v>
      </c>
      <c r="AD120" s="11">
        <f t="shared" si="47"/>
        <v>1.4490638988354452</v>
      </c>
      <c r="AE120" s="11">
        <f t="shared" si="48"/>
        <v>0.56270962311975314</v>
      </c>
      <c r="AF120" s="11">
        <f t="shared" si="49"/>
        <v>8.0278139995483666E-2</v>
      </c>
      <c r="AG120" s="11">
        <f t="shared" si="50"/>
        <v>6.4148897035651867E-2</v>
      </c>
      <c r="AH120" s="11">
        <f t="shared" si="51"/>
        <v>0.22025771262298766</v>
      </c>
      <c r="AI120" s="11">
        <f t="shared" si="52"/>
        <v>7.5965799121166674E-2</v>
      </c>
      <c r="AJ120" s="11"/>
    </row>
    <row r="121" spans="1:36">
      <c r="A121" t="s">
        <v>379</v>
      </c>
      <c r="B121">
        <v>3.0850999999999999E-3</v>
      </c>
      <c r="C121">
        <v>0</v>
      </c>
      <c r="D121">
        <v>14630</v>
      </c>
      <c r="E121">
        <v>350614</v>
      </c>
      <c r="F121">
        <v>35386.19</v>
      </c>
      <c r="G121">
        <v>1904.1220000000001</v>
      </c>
      <c r="H121">
        <v>211987</v>
      </c>
      <c r="I121">
        <f t="shared" si="29"/>
        <v>0</v>
      </c>
      <c r="J121">
        <f t="shared" si="30"/>
        <v>0</v>
      </c>
      <c r="K121">
        <f t="shared" si="31"/>
        <v>0</v>
      </c>
      <c r="L121">
        <f t="shared" si="32"/>
        <v>0</v>
      </c>
      <c r="M121">
        <f t="shared" si="33"/>
        <v>0</v>
      </c>
      <c r="N121">
        <f t="shared" si="34"/>
        <v>0</v>
      </c>
      <c r="P121" s="11">
        <f t="shared" si="35"/>
        <v>0.10122838048717465</v>
      </c>
      <c r="Q121" s="11">
        <f t="shared" si="36"/>
        <v>9.323517819236371E-2</v>
      </c>
      <c r="R121" s="11">
        <f t="shared" si="37"/>
        <v>5.6080522789894753E-3</v>
      </c>
      <c r="S121" s="11">
        <f t="shared" si="38"/>
        <v>1.0628810313929463E-2</v>
      </c>
      <c r="T121" s="11">
        <f t="shared" si="39"/>
        <v>1.5386713834050547E-2</v>
      </c>
      <c r="U121" s="11">
        <f t="shared" si="40"/>
        <v>1.2586749055969102E-2</v>
      </c>
      <c r="W121">
        <f t="shared" si="41"/>
        <v>0</v>
      </c>
      <c r="X121">
        <f t="shared" si="42"/>
        <v>0</v>
      </c>
      <c r="Y121">
        <f t="shared" si="43"/>
        <v>0</v>
      </c>
      <c r="Z121">
        <f t="shared" si="44"/>
        <v>0</v>
      </c>
      <c r="AA121">
        <f t="shared" si="45"/>
        <v>0</v>
      </c>
      <c r="AB121">
        <f t="shared" si="46"/>
        <v>0</v>
      </c>
      <c r="AD121" s="11">
        <f t="shared" si="47"/>
        <v>0.33719127227828893</v>
      </c>
      <c r="AE121" s="11">
        <f t="shared" si="48"/>
        <v>0.13094023934725937</v>
      </c>
      <c r="AF121" s="11">
        <f t="shared" si="49"/>
        <v>1.8680396484217206E-2</v>
      </c>
      <c r="AG121" s="11">
        <f t="shared" si="50"/>
        <v>1.4927187285587569E-2</v>
      </c>
      <c r="AH121" s="11">
        <f t="shared" si="51"/>
        <v>5.1253073386299919E-2</v>
      </c>
      <c r="AI121" s="11">
        <f t="shared" si="52"/>
        <v>1.7676932311880018E-2</v>
      </c>
      <c r="AJ121" s="11"/>
    </row>
    <row r="122" spans="1:36">
      <c r="A122" t="s">
        <v>380</v>
      </c>
      <c r="B122">
        <v>2.8482999999999998E-3</v>
      </c>
      <c r="C122">
        <v>0</v>
      </c>
      <c r="D122">
        <v>3043</v>
      </c>
      <c r="E122">
        <v>98351</v>
      </c>
      <c r="F122">
        <v>43813.14</v>
      </c>
      <c r="G122">
        <v>1021.287</v>
      </c>
      <c r="H122">
        <v>60183</v>
      </c>
      <c r="I122">
        <f t="shared" si="29"/>
        <v>0</v>
      </c>
      <c r="J122">
        <f t="shared" si="30"/>
        <v>0</v>
      </c>
      <c r="K122">
        <f t="shared" si="31"/>
        <v>0</v>
      </c>
      <c r="L122">
        <f t="shared" si="32"/>
        <v>0</v>
      </c>
      <c r="M122">
        <f t="shared" si="33"/>
        <v>0</v>
      </c>
      <c r="N122">
        <f t="shared" si="34"/>
        <v>0</v>
      </c>
      <c r="P122" s="11">
        <f t="shared" si="35"/>
        <v>0.1742471726654701</v>
      </c>
      <c r="Q122" s="11">
        <f t="shared" si="36"/>
        <v>0.16048825551485524</v>
      </c>
      <c r="R122" s="11">
        <f t="shared" si="37"/>
        <v>9.6532933656670438E-3</v>
      </c>
      <c r="S122" s="11">
        <f t="shared" si="38"/>
        <v>1.8295661128693498E-2</v>
      </c>
      <c r="T122" s="11">
        <f t="shared" si="39"/>
        <v>2.6485570245151455E-2</v>
      </c>
      <c r="U122" s="11">
        <f t="shared" si="40"/>
        <v>2.1665914494505459E-2</v>
      </c>
      <c r="W122">
        <f t="shared" si="41"/>
        <v>0</v>
      </c>
      <c r="X122">
        <f t="shared" si="42"/>
        <v>0</v>
      </c>
      <c r="Y122">
        <f t="shared" si="43"/>
        <v>0</v>
      </c>
      <c r="Z122">
        <f t="shared" si="44"/>
        <v>0</v>
      </c>
      <c r="AA122">
        <f t="shared" si="45"/>
        <v>0</v>
      </c>
      <c r="AB122">
        <f t="shared" si="46"/>
        <v>0</v>
      </c>
      <c r="AD122" s="11">
        <f t="shared" si="47"/>
        <v>1.1097963254582057</v>
      </c>
      <c r="AE122" s="11">
        <f t="shared" si="48"/>
        <v>0.43096310144787542</v>
      </c>
      <c r="AF122" s="11">
        <f t="shared" si="49"/>
        <v>6.1482716430384596E-2</v>
      </c>
      <c r="AG122" s="11">
        <f t="shared" si="50"/>
        <v>4.9129793565057797E-2</v>
      </c>
      <c r="AH122" s="11">
        <f t="shared" si="51"/>
        <v>0.16868904146964728</v>
      </c>
      <c r="AI122" s="11">
        <f t="shared" si="52"/>
        <v>5.8180018695463187E-2</v>
      </c>
      <c r="AJ122" s="11"/>
    </row>
    <row r="123" spans="1:36">
      <c r="A123" t="s">
        <v>978</v>
      </c>
      <c r="B123">
        <v>4.5176000000000001E-3</v>
      </c>
      <c r="C123">
        <v>0</v>
      </c>
      <c r="D123">
        <v>9060</v>
      </c>
      <c r="E123">
        <v>195948</v>
      </c>
      <c r="F123">
        <v>33288.58</v>
      </c>
      <c r="G123">
        <v>2151.7869999999998</v>
      </c>
      <c r="H123">
        <v>152423</v>
      </c>
      <c r="I123">
        <f t="shared" si="29"/>
        <v>0</v>
      </c>
      <c r="J123">
        <f t="shared" si="30"/>
        <v>0</v>
      </c>
      <c r="K123">
        <f t="shared" si="31"/>
        <v>0</v>
      </c>
      <c r="L123">
        <f t="shared" si="32"/>
        <v>0</v>
      </c>
      <c r="M123">
        <f t="shared" si="33"/>
        <v>0</v>
      </c>
      <c r="N123">
        <f t="shared" si="34"/>
        <v>0</v>
      </c>
      <c r="P123" s="11">
        <f t="shared" si="35"/>
        <v>0.13117054083884697</v>
      </c>
      <c r="Q123" s="11">
        <f t="shared" si="36"/>
        <v>0.12081304363303617</v>
      </c>
      <c r="R123" s="11">
        <f t="shared" si="37"/>
        <v>7.2668479624721219E-3</v>
      </c>
      <c r="S123" s="11">
        <f t="shared" si="38"/>
        <v>1.3772686974166124E-2</v>
      </c>
      <c r="T123" s="11">
        <f t="shared" si="39"/>
        <v>1.9937922207504739E-2</v>
      </c>
      <c r="U123" s="11">
        <f t="shared" si="40"/>
        <v>1.6309760890459886E-2</v>
      </c>
      <c r="W123">
        <f t="shared" si="41"/>
        <v>0</v>
      </c>
      <c r="X123">
        <f t="shared" si="42"/>
        <v>0</v>
      </c>
      <c r="Y123">
        <f t="shared" si="43"/>
        <v>0</v>
      </c>
      <c r="Z123">
        <f t="shared" si="44"/>
        <v>0</v>
      </c>
      <c r="AA123">
        <f t="shared" si="45"/>
        <v>0</v>
      </c>
      <c r="AB123">
        <f t="shared" si="46"/>
        <v>0</v>
      </c>
      <c r="AD123" s="11">
        <f t="shared" si="47"/>
        <v>0.88349332436197359</v>
      </c>
      <c r="AE123" s="11">
        <f t="shared" si="48"/>
        <v>0.34308369422499851</v>
      </c>
      <c r="AF123" s="11">
        <f t="shared" si="49"/>
        <v>4.8945530169653334E-2</v>
      </c>
      <c r="AG123" s="11">
        <f t="shared" si="50"/>
        <v>3.911154114164983E-2</v>
      </c>
      <c r="AH123" s="11">
        <f t="shared" si="51"/>
        <v>0.13429098530301997</v>
      </c>
      <c r="AI123" s="11">
        <f t="shared" si="52"/>
        <v>4.63162987203748E-2</v>
      </c>
      <c r="AJ123" s="11"/>
    </row>
    <row r="124" spans="1:36">
      <c r="A124" t="s">
        <v>979</v>
      </c>
      <c r="B124">
        <v>7.1960000000000004E-4</v>
      </c>
      <c r="C124">
        <v>0</v>
      </c>
      <c r="D124">
        <v>6531</v>
      </c>
      <c r="E124">
        <v>122407</v>
      </c>
      <c r="F124">
        <v>40577.93</v>
      </c>
      <c r="G124">
        <v>1360.07</v>
      </c>
      <c r="H124">
        <v>67574</v>
      </c>
      <c r="I124">
        <f t="shared" si="29"/>
        <v>0</v>
      </c>
      <c r="J124">
        <f t="shared" si="30"/>
        <v>0</v>
      </c>
      <c r="K124">
        <f t="shared" si="31"/>
        <v>0</v>
      </c>
      <c r="L124">
        <f t="shared" si="32"/>
        <v>0</v>
      </c>
      <c r="M124">
        <f t="shared" si="33"/>
        <v>0</v>
      </c>
      <c r="N124">
        <f t="shared" si="34"/>
        <v>0</v>
      </c>
      <c r="P124" s="11">
        <f t="shared" si="35"/>
        <v>3.3056563823920831E-2</v>
      </c>
      <c r="Q124" s="11">
        <f t="shared" si="36"/>
        <v>3.044634917320432E-2</v>
      </c>
      <c r="R124" s="11">
        <f t="shared" si="37"/>
        <v>1.831333635845214E-3</v>
      </c>
      <c r="S124" s="11">
        <f t="shared" si="38"/>
        <v>3.4708838057452927E-3</v>
      </c>
      <c r="T124" s="11">
        <f t="shared" si="39"/>
        <v>5.0245977012359664E-3</v>
      </c>
      <c r="U124" s="11">
        <f t="shared" si="40"/>
        <v>4.1102571383825831E-3</v>
      </c>
      <c r="W124">
        <f t="shared" si="41"/>
        <v>0</v>
      </c>
      <c r="X124">
        <f t="shared" si="42"/>
        <v>0</v>
      </c>
      <c r="Y124">
        <f t="shared" si="43"/>
        <v>0</v>
      </c>
      <c r="Z124">
        <f t="shared" si="44"/>
        <v>0</v>
      </c>
      <c r="AA124">
        <f t="shared" si="45"/>
        <v>0</v>
      </c>
      <c r="AB124">
        <f t="shared" si="46"/>
        <v>0</v>
      </c>
      <c r="AD124" s="11">
        <f t="shared" si="47"/>
        <v>0.22527927155865268</v>
      </c>
      <c r="AE124" s="11">
        <f t="shared" si="48"/>
        <v>8.7481866118767723E-2</v>
      </c>
      <c r="AF124" s="11">
        <f t="shared" si="49"/>
        <v>1.2480471644349359E-2</v>
      </c>
      <c r="AG124" s="11">
        <f t="shared" si="50"/>
        <v>9.9729327375395211E-3</v>
      </c>
      <c r="AH124" s="11">
        <f t="shared" si="51"/>
        <v>3.4242449276915207E-2</v>
      </c>
      <c r="AI124" s="11">
        <f t="shared" si="52"/>
        <v>1.1810051926033644E-2</v>
      </c>
      <c r="AJ124" s="11"/>
    </row>
    <row r="125" spans="1:36">
      <c r="A125" t="s">
        <v>381</v>
      </c>
      <c r="B125">
        <v>3.1814999999999999E-3</v>
      </c>
      <c r="C125">
        <v>0</v>
      </c>
      <c r="D125">
        <v>15667</v>
      </c>
      <c r="E125">
        <v>455408</v>
      </c>
      <c r="F125">
        <v>37201.99</v>
      </c>
      <c r="G125">
        <v>1158.72</v>
      </c>
      <c r="H125">
        <v>266751</v>
      </c>
      <c r="I125">
        <f t="shared" si="29"/>
        <v>0</v>
      </c>
      <c r="J125">
        <f t="shared" si="30"/>
        <v>0</v>
      </c>
      <c r="K125">
        <f t="shared" si="31"/>
        <v>0</v>
      </c>
      <c r="L125">
        <f t="shared" si="32"/>
        <v>0</v>
      </c>
      <c r="M125">
        <f t="shared" si="33"/>
        <v>0</v>
      </c>
      <c r="N125">
        <f t="shared" si="34"/>
        <v>0</v>
      </c>
      <c r="P125" s="11">
        <f t="shared" si="35"/>
        <v>0.17154625375414248</v>
      </c>
      <c r="Q125" s="11">
        <f t="shared" si="36"/>
        <v>0.15800060674710023</v>
      </c>
      <c r="R125" s="11">
        <f t="shared" si="37"/>
        <v>9.5036624579794924E-3</v>
      </c>
      <c r="S125" s="11">
        <f t="shared" si="38"/>
        <v>1.8012069169169427E-2</v>
      </c>
      <c r="T125" s="11">
        <f t="shared" si="39"/>
        <v>2.6075030570629657E-2</v>
      </c>
      <c r="U125" s="11">
        <f t="shared" si="40"/>
        <v>2.1330081910858532E-2</v>
      </c>
      <c r="W125">
        <f t="shared" si="41"/>
        <v>0</v>
      </c>
      <c r="X125">
        <f t="shared" si="42"/>
        <v>0</v>
      </c>
      <c r="Y125">
        <f t="shared" si="43"/>
        <v>0</v>
      </c>
      <c r="Z125">
        <f t="shared" si="44"/>
        <v>0</v>
      </c>
      <c r="AA125">
        <f t="shared" si="45"/>
        <v>0</v>
      </c>
      <c r="AB125">
        <f t="shared" si="46"/>
        <v>0</v>
      </c>
      <c r="AD125" s="11">
        <f t="shared" si="47"/>
        <v>0.26771185591315916</v>
      </c>
      <c r="AE125" s="11">
        <f t="shared" si="48"/>
        <v>0.10395955462464428</v>
      </c>
      <c r="AF125" s="11">
        <f t="shared" si="49"/>
        <v>1.4831236817589017E-2</v>
      </c>
      <c r="AG125" s="11">
        <f t="shared" si="50"/>
        <v>1.1851389227209448E-2</v>
      </c>
      <c r="AH125" s="11">
        <f t="shared" si="51"/>
        <v>4.0692202098800194E-2</v>
      </c>
      <c r="AI125" s="11">
        <f t="shared" si="52"/>
        <v>1.4034539874326978E-2</v>
      </c>
      <c r="AJ125" s="11"/>
    </row>
    <row r="126" spans="1:36">
      <c r="A126" t="s">
        <v>382</v>
      </c>
      <c r="B126">
        <v>2.5029000000000002E-3</v>
      </c>
      <c r="C126">
        <v>0</v>
      </c>
      <c r="D126">
        <v>3339</v>
      </c>
      <c r="E126">
        <v>128426</v>
      </c>
      <c r="F126">
        <v>31467.84</v>
      </c>
      <c r="G126">
        <v>1323.4010000000001</v>
      </c>
      <c r="H126">
        <v>86170</v>
      </c>
      <c r="I126">
        <f t="shared" si="29"/>
        <v>0</v>
      </c>
      <c r="J126">
        <f t="shared" si="30"/>
        <v>0</v>
      </c>
      <c r="K126">
        <f t="shared" si="31"/>
        <v>0</v>
      </c>
      <c r="L126">
        <f t="shared" si="32"/>
        <v>0</v>
      </c>
      <c r="M126">
        <f t="shared" si="33"/>
        <v>0</v>
      </c>
      <c r="N126">
        <f t="shared" si="34"/>
        <v>0</v>
      </c>
      <c r="P126" s="11">
        <f t="shared" si="35"/>
        <v>0.11816254974115933</v>
      </c>
      <c r="Q126" s="11">
        <f t="shared" si="36"/>
        <v>0.10883219041696356</v>
      </c>
      <c r="R126" s="11">
        <f t="shared" si="37"/>
        <v>6.5462052556602267E-3</v>
      </c>
      <c r="S126" s="11">
        <f t="shared" si="38"/>
        <v>1.2406869707533847E-2</v>
      </c>
      <c r="T126" s="11">
        <f t="shared" si="39"/>
        <v>1.7960707560656219E-2</v>
      </c>
      <c r="U126" s="11">
        <f t="shared" si="40"/>
        <v>1.4692345706290081E-2</v>
      </c>
      <c r="W126">
        <f t="shared" si="41"/>
        <v>0</v>
      </c>
      <c r="X126">
        <f t="shared" si="42"/>
        <v>0</v>
      </c>
      <c r="Y126">
        <f t="shared" si="43"/>
        <v>0</v>
      </c>
      <c r="Z126">
        <f t="shared" si="44"/>
        <v>0</v>
      </c>
      <c r="AA126">
        <f t="shared" si="45"/>
        <v>0</v>
      </c>
      <c r="AB126">
        <f t="shared" si="46"/>
        <v>0</v>
      </c>
      <c r="AD126" s="11">
        <f t="shared" si="47"/>
        <v>0.74683880422827154</v>
      </c>
      <c r="AE126" s="11">
        <f t="shared" si="48"/>
        <v>0.29001714996573907</v>
      </c>
      <c r="AF126" s="11">
        <f t="shared" si="49"/>
        <v>4.1374869754246243E-2</v>
      </c>
      <c r="AG126" s="11">
        <f t="shared" si="50"/>
        <v>3.3061955096094255E-2</v>
      </c>
      <c r="AH126" s="11">
        <f t="shared" si="51"/>
        <v>0.11351949824269728</v>
      </c>
      <c r="AI126" s="11">
        <f t="shared" si="52"/>
        <v>3.9152315245374776E-2</v>
      </c>
      <c r="AJ126" s="11"/>
    </row>
    <row r="127" spans="1:36">
      <c r="A127" t="s">
        <v>383</v>
      </c>
      <c r="B127">
        <v>1.2562E-2</v>
      </c>
      <c r="C127">
        <v>0</v>
      </c>
      <c r="D127">
        <v>9771</v>
      </c>
      <c r="E127">
        <v>428859</v>
      </c>
      <c r="F127">
        <v>36288.06</v>
      </c>
      <c r="G127">
        <v>1379.944</v>
      </c>
      <c r="H127">
        <v>199443</v>
      </c>
      <c r="I127">
        <f t="shared" si="29"/>
        <v>0</v>
      </c>
      <c r="J127">
        <f t="shared" si="30"/>
        <v>0</v>
      </c>
      <c r="K127">
        <f t="shared" si="31"/>
        <v>0</v>
      </c>
      <c r="L127">
        <f t="shared" si="32"/>
        <v>0</v>
      </c>
      <c r="M127">
        <f t="shared" si="33"/>
        <v>0</v>
      </c>
      <c r="N127">
        <f t="shared" si="34"/>
        <v>0</v>
      </c>
      <c r="P127" s="11">
        <f t="shared" si="35"/>
        <v>0.56875488585044032</v>
      </c>
      <c r="Q127" s="11">
        <f t="shared" si="36"/>
        <v>0.52384482370299079</v>
      </c>
      <c r="R127" s="11">
        <f t="shared" si="37"/>
        <v>3.1509020676114392E-2</v>
      </c>
      <c r="S127" s="11">
        <f t="shared" si="38"/>
        <v>5.9718309902140949E-2</v>
      </c>
      <c r="T127" s="11">
        <f t="shared" si="39"/>
        <v>8.6450742649266929E-2</v>
      </c>
      <c r="U127" s="11">
        <f t="shared" si="40"/>
        <v>7.0719051199903765E-2</v>
      </c>
      <c r="W127">
        <f t="shared" si="41"/>
        <v>0</v>
      </c>
      <c r="X127">
        <f t="shared" si="42"/>
        <v>0</v>
      </c>
      <c r="Y127">
        <f t="shared" si="43"/>
        <v>0</v>
      </c>
      <c r="Z127">
        <f t="shared" si="44"/>
        <v>0</v>
      </c>
      <c r="AA127">
        <f t="shared" si="45"/>
        <v>0</v>
      </c>
      <c r="AB127">
        <f t="shared" si="46"/>
        <v>0</v>
      </c>
      <c r="AD127" s="11">
        <f t="shared" si="47"/>
        <v>1.1224851215891469</v>
      </c>
      <c r="AE127" s="11">
        <f t="shared" si="48"/>
        <v>0.43589049470805091</v>
      </c>
      <c r="AF127" s="11">
        <f t="shared" si="49"/>
        <v>6.218567573603874E-2</v>
      </c>
      <c r="AG127" s="11">
        <f t="shared" si="50"/>
        <v>4.9691516396717803E-2</v>
      </c>
      <c r="AH127" s="11">
        <f t="shared" si="51"/>
        <v>0.17061773848155032</v>
      </c>
      <c r="AI127" s="11">
        <f t="shared" si="52"/>
        <v>5.8845216785586879E-2</v>
      </c>
      <c r="AJ127" s="11"/>
    </row>
    <row r="128" spans="1:36">
      <c r="A128" t="s">
        <v>384</v>
      </c>
      <c r="B128">
        <v>9.4959999999999999E-4</v>
      </c>
      <c r="C128">
        <v>0</v>
      </c>
      <c r="D128">
        <v>5727</v>
      </c>
      <c r="E128">
        <v>200231</v>
      </c>
      <c r="F128">
        <v>34081.699999999997</v>
      </c>
      <c r="G128">
        <v>1000.03</v>
      </c>
      <c r="H128">
        <v>117854</v>
      </c>
      <c r="I128">
        <f t="shared" si="29"/>
        <v>0</v>
      </c>
      <c r="J128">
        <f t="shared" si="30"/>
        <v>0</v>
      </c>
      <c r="K128">
        <f t="shared" si="31"/>
        <v>0</v>
      </c>
      <c r="L128">
        <f t="shared" si="32"/>
        <v>0</v>
      </c>
      <c r="M128">
        <f t="shared" si="33"/>
        <v>0</v>
      </c>
      <c r="N128">
        <f t="shared" si="34"/>
        <v>0</v>
      </c>
      <c r="P128" s="11">
        <f t="shared" si="35"/>
        <v>5.9327423937281881E-2</v>
      </c>
      <c r="Q128" s="11">
        <f t="shared" si="36"/>
        <v>5.4642807835764924E-2</v>
      </c>
      <c r="R128" s="11">
        <f t="shared" si="37"/>
        <v>3.2867392861254162E-3</v>
      </c>
      <c r="S128" s="11">
        <f t="shared" si="38"/>
        <v>6.2292800932772013E-3</v>
      </c>
      <c r="T128" s="11">
        <f t="shared" si="39"/>
        <v>9.0177684384668451E-3</v>
      </c>
      <c r="U128" s="11">
        <f t="shared" si="40"/>
        <v>7.3767790578282656E-3</v>
      </c>
      <c r="W128">
        <f t="shared" si="41"/>
        <v>0</v>
      </c>
      <c r="X128">
        <f t="shared" si="42"/>
        <v>0</v>
      </c>
      <c r="Y128">
        <f t="shared" si="43"/>
        <v>0</v>
      </c>
      <c r="Z128">
        <f t="shared" si="44"/>
        <v>0</v>
      </c>
      <c r="AA128">
        <f t="shared" si="45"/>
        <v>0</v>
      </c>
      <c r="AB128">
        <f t="shared" si="46"/>
        <v>0</v>
      </c>
      <c r="AD128" s="11">
        <f t="shared" si="47"/>
        <v>0.18173799075907324</v>
      </c>
      <c r="AE128" s="11">
        <f t="shared" si="48"/>
        <v>7.0573641623924363E-2</v>
      </c>
      <c r="AF128" s="11">
        <f t="shared" si="49"/>
        <v>1.0068284688052657E-2</v>
      </c>
      <c r="AG128" s="11">
        <f t="shared" si="50"/>
        <v>8.0453951451273775E-3</v>
      </c>
      <c r="AH128" s="11">
        <f t="shared" si="51"/>
        <v>2.7624174595379133E-2</v>
      </c>
      <c r="AI128" s="11">
        <f t="shared" si="52"/>
        <v>9.52744161922979E-3</v>
      </c>
      <c r="AJ128" s="11"/>
    </row>
    <row r="129" spans="1:36">
      <c r="A129" t="s">
        <v>385</v>
      </c>
      <c r="B129">
        <v>2.4956000000000002E-3</v>
      </c>
      <c r="C129">
        <v>0</v>
      </c>
      <c r="D129">
        <v>3447</v>
      </c>
      <c r="E129">
        <v>99864</v>
      </c>
      <c r="F129">
        <v>33793.699999999997</v>
      </c>
      <c r="G129">
        <v>1949.22</v>
      </c>
      <c r="H129">
        <v>60915</v>
      </c>
      <c r="I129">
        <f t="shared" si="29"/>
        <v>0</v>
      </c>
      <c r="J129">
        <f t="shared" si="30"/>
        <v>0</v>
      </c>
      <c r="K129">
        <f t="shared" si="31"/>
        <v>0</v>
      </c>
      <c r="L129">
        <f t="shared" si="32"/>
        <v>0</v>
      </c>
      <c r="M129">
        <f t="shared" si="33"/>
        <v>0</v>
      </c>
      <c r="N129">
        <f t="shared" si="34"/>
        <v>0</v>
      </c>
      <c r="P129" s="11">
        <f t="shared" si="35"/>
        <v>7.9991148438862722E-2</v>
      </c>
      <c r="Q129" s="11">
        <f t="shared" si="36"/>
        <v>7.3674881911739057E-2</v>
      </c>
      <c r="R129" s="11">
        <f t="shared" si="37"/>
        <v>4.4315096235129948E-3</v>
      </c>
      <c r="S129" s="11">
        <f t="shared" si="38"/>
        <v>8.3989365379382522E-3</v>
      </c>
      <c r="T129" s="11">
        <f t="shared" si="39"/>
        <v>1.2158654562707134E-2</v>
      </c>
      <c r="U129" s="11">
        <f t="shared" si="40"/>
        <v>9.946109058084773E-3</v>
      </c>
      <c r="W129">
        <f t="shared" si="41"/>
        <v>0</v>
      </c>
      <c r="X129">
        <f t="shared" si="42"/>
        <v>0</v>
      </c>
      <c r="Y129">
        <f t="shared" si="43"/>
        <v>0</v>
      </c>
      <c r="Z129">
        <f t="shared" si="44"/>
        <v>0</v>
      </c>
      <c r="AA129">
        <f t="shared" si="45"/>
        <v>0</v>
      </c>
      <c r="AB129">
        <f t="shared" si="46"/>
        <v>0</v>
      </c>
      <c r="AD129" s="11">
        <f t="shared" si="47"/>
        <v>0.95764016356725146</v>
      </c>
      <c r="AE129" s="11">
        <f t="shared" si="48"/>
        <v>0.37187686199230957</v>
      </c>
      <c r="AF129" s="11">
        <f t="shared" si="49"/>
        <v>5.3053265061625728E-2</v>
      </c>
      <c r="AG129" s="11">
        <f t="shared" si="50"/>
        <v>4.2393962267123296E-2</v>
      </c>
      <c r="AH129" s="11">
        <f t="shared" si="51"/>
        <v>0.14556130486222221</v>
      </c>
      <c r="AI129" s="11">
        <f t="shared" si="52"/>
        <v>5.0203376368961793E-2</v>
      </c>
      <c r="AJ129" s="11"/>
    </row>
    <row r="130" spans="1:36">
      <c r="A130" t="s">
        <v>386</v>
      </c>
      <c r="B130">
        <v>3.9627000000000004E-3</v>
      </c>
      <c r="C130">
        <v>0</v>
      </c>
      <c r="D130">
        <v>9275</v>
      </c>
      <c r="E130">
        <v>292889</v>
      </c>
      <c r="F130">
        <v>36290.74</v>
      </c>
      <c r="G130">
        <v>1318.1120000000001</v>
      </c>
      <c r="H130">
        <v>195684</v>
      </c>
      <c r="I130">
        <f t="shared" si="29"/>
        <v>0</v>
      </c>
      <c r="J130">
        <f t="shared" si="30"/>
        <v>0</v>
      </c>
      <c r="K130">
        <f t="shared" si="31"/>
        <v>0</v>
      </c>
      <c r="L130">
        <f t="shared" si="32"/>
        <v>0</v>
      </c>
      <c r="M130">
        <f t="shared" si="33"/>
        <v>0</v>
      </c>
      <c r="N130">
        <f t="shared" si="34"/>
        <v>0</v>
      </c>
      <c r="P130" s="11">
        <f t="shared" si="35"/>
        <v>0.18783075100598434</v>
      </c>
      <c r="Q130" s="11">
        <f t="shared" si="36"/>
        <v>0.17299924641456871</v>
      </c>
      <c r="R130" s="11">
        <f t="shared" si="37"/>
        <v>1.0405823605731532E-2</v>
      </c>
      <c r="S130" s="11">
        <f t="shared" si="38"/>
        <v>1.9721914091260832E-2</v>
      </c>
      <c r="T130" s="11">
        <f t="shared" si="39"/>
        <v>2.8550274152909619E-2</v>
      </c>
      <c r="U130" s="11">
        <f t="shared" si="40"/>
        <v>2.3354898265966779E-2</v>
      </c>
      <c r="W130">
        <f t="shared" si="41"/>
        <v>0</v>
      </c>
      <c r="X130">
        <f t="shared" si="42"/>
        <v>0</v>
      </c>
      <c r="Y130">
        <f t="shared" si="43"/>
        <v>0</v>
      </c>
      <c r="Z130">
        <f t="shared" si="44"/>
        <v>0</v>
      </c>
      <c r="AA130">
        <f t="shared" si="45"/>
        <v>0</v>
      </c>
      <c r="AB130">
        <f t="shared" si="46"/>
        <v>0</v>
      </c>
      <c r="AD130" s="11">
        <f t="shared" si="47"/>
        <v>0.5184709960041517</v>
      </c>
      <c r="AE130" s="11">
        <f t="shared" si="48"/>
        <v>0.20133592382950541</v>
      </c>
      <c r="AF130" s="11">
        <f t="shared" si="49"/>
        <v>2.8723293178630004E-2</v>
      </c>
      <c r="AG130" s="11">
        <f t="shared" si="50"/>
        <v>2.2952295316563617E-2</v>
      </c>
      <c r="AH130" s="11">
        <f t="shared" si="51"/>
        <v>7.8807591392631049E-2</v>
      </c>
      <c r="AI130" s="11">
        <f t="shared" si="52"/>
        <v>2.7180349716983233E-2</v>
      </c>
      <c r="AJ130" s="11"/>
    </row>
    <row r="131" spans="1:36">
      <c r="A131" t="s">
        <v>387</v>
      </c>
      <c r="B131">
        <v>1.3852999999999999E-3</v>
      </c>
      <c r="C131">
        <v>0</v>
      </c>
      <c r="D131">
        <v>8954</v>
      </c>
      <c r="E131">
        <v>290977</v>
      </c>
      <c r="F131">
        <v>31221.63</v>
      </c>
      <c r="G131">
        <v>1438.577</v>
      </c>
      <c r="H131">
        <v>163979</v>
      </c>
      <c r="I131">
        <f t="shared" si="29"/>
        <v>0</v>
      </c>
      <c r="J131">
        <f t="shared" si="30"/>
        <v>0</v>
      </c>
      <c r="K131">
        <f t="shared" si="31"/>
        <v>0</v>
      </c>
      <c r="L131">
        <f t="shared" si="32"/>
        <v>0</v>
      </c>
      <c r="M131">
        <f t="shared" si="33"/>
        <v>0</v>
      </c>
      <c r="N131">
        <f t="shared" si="34"/>
        <v>0</v>
      </c>
      <c r="P131" s="11">
        <f t="shared" si="35"/>
        <v>6.0164253932879504E-2</v>
      </c>
      <c r="Q131" s="11">
        <f t="shared" si="36"/>
        <v>5.5413560004087363E-2</v>
      </c>
      <c r="R131" s="11">
        <f t="shared" si="37"/>
        <v>3.3330996678815243E-3</v>
      </c>
      <c r="S131" s="11">
        <f t="shared" si="38"/>
        <v>6.3171458404659596E-3</v>
      </c>
      <c r="T131" s="11">
        <f t="shared" si="39"/>
        <v>9.1449665977976838E-3</v>
      </c>
      <c r="U131" s="11">
        <f t="shared" si="40"/>
        <v>7.4808306005517949E-3</v>
      </c>
      <c r="W131">
        <f t="shared" si="41"/>
        <v>0</v>
      </c>
      <c r="X131">
        <f t="shared" si="42"/>
        <v>0</v>
      </c>
      <c r="Y131">
        <f t="shared" si="43"/>
        <v>0</v>
      </c>
      <c r="Z131">
        <f t="shared" si="44"/>
        <v>0</v>
      </c>
      <c r="AA131">
        <f t="shared" si="45"/>
        <v>0</v>
      </c>
      <c r="AB131">
        <f t="shared" si="46"/>
        <v>0</v>
      </c>
      <c r="AD131" s="11">
        <f t="shared" si="47"/>
        <v>0.18244060551088229</v>
      </c>
      <c r="AE131" s="11">
        <f t="shared" si="48"/>
        <v>7.084648541121806E-2</v>
      </c>
      <c r="AF131" s="11">
        <f t="shared" si="49"/>
        <v>1.0107209545302878E-2</v>
      </c>
      <c r="AG131" s="11">
        <f t="shared" si="50"/>
        <v>8.076499336878859E-3</v>
      </c>
      <c r="AH131" s="11">
        <f t="shared" si="51"/>
        <v>2.7730972037654109E-2</v>
      </c>
      <c r="AI131" s="11">
        <f t="shared" si="52"/>
        <v>9.5642755305144385E-3</v>
      </c>
      <c r="AJ131" s="11"/>
    </row>
    <row r="132" spans="1:36">
      <c r="A132" t="s">
        <v>388</v>
      </c>
      <c r="B132">
        <v>1.5919E-3</v>
      </c>
      <c r="C132">
        <v>0</v>
      </c>
      <c r="D132">
        <v>6492</v>
      </c>
      <c r="E132">
        <v>179529</v>
      </c>
      <c r="F132">
        <v>32113.91</v>
      </c>
      <c r="G132">
        <v>1503.9069999999999</v>
      </c>
      <c r="H132">
        <v>127514</v>
      </c>
      <c r="I132">
        <f t="shared" si="29"/>
        <v>0</v>
      </c>
      <c r="J132">
        <f t="shared" si="30"/>
        <v>0</v>
      </c>
      <c r="K132">
        <f t="shared" si="31"/>
        <v>0</v>
      </c>
      <c r="L132">
        <f t="shared" si="32"/>
        <v>0</v>
      </c>
      <c r="M132">
        <f t="shared" si="33"/>
        <v>0</v>
      </c>
      <c r="N132">
        <f t="shared" si="34"/>
        <v>0</v>
      </c>
      <c r="P132" s="11">
        <f t="shared" si="35"/>
        <v>6.6133668764092463E-2</v>
      </c>
      <c r="Q132" s="11">
        <f t="shared" si="36"/>
        <v>6.0911617493634912E-2</v>
      </c>
      <c r="R132" s="11">
        <f t="shared" si="37"/>
        <v>3.6638052495307225E-3</v>
      </c>
      <c r="S132" s="11">
        <f t="shared" si="38"/>
        <v>6.9439243942743803E-3</v>
      </c>
      <c r="T132" s="11">
        <f t="shared" si="39"/>
        <v>1.0052317652142054E-2</v>
      </c>
      <c r="U132" s="11">
        <f t="shared" si="40"/>
        <v>8.2230683616407139E-3</v>
      </c>
      <c r="W132">
        <f t="shared" si="41"/>
        <v>0</v>
      </c>
      <c r="X132">
        <f t="shared" si="42"/>
        <v>0</v>
      </c>
      <c r="Y132">
        <f t="shared" si="43"/>
        <v>0</v>
      </c>
      <c r="Z132">
        <f t="shared" si="44"/>
        <v>0</v>
      </c>
      <c r="AA132">
        <f t="shared" si="45"/>
        <v>0</v>
      </c>
      <c r="AB132">
        <f t="shared" si="46"/>
        <v>0</v>
      </c>
      <c r="AD132" s="11">
        <f t="shared" si="47"/>
        <v>0.33979540652496254</v>
      </c>
      <c r="AE132" s="11">
        <f t="shared" si="48"/>
        <v>0.1319514931654496</v>
      </c>
      <c r="AF132" s="11">
        <f t="shared" si="49"/>
        <v>1.8824665521482924E-2</v>
      </c>
      <c r="AG132" s="11">
        <f t="shared" si="50"/>
        <v>1.5042470220861255E-2</v>
      </c>
      <c r="AH132" s="11">
        <f t="shared" si="51"/>
        <v>5.1648901791794308E-2</v>
      </c>
      <c r="AI132" s="11">
        <f t="shared" si="52"/>
        <v>1.7813451577335698E-2</v>
      </c>
      <c r="AJ132" s="11"/>
    </row>
    <row r="133" spans="1:36">
      <c r="A133" t="s">
        <v>389</v>
      </c>
      <c r="B133">
        <v>2.6705000000000001E-3</v>
      </c>
      <c r="C133">
        <v>0</v>
      </c>
      <c r="D133">
        <v>15459</v>
      </c>
      <c r="E133">
        <v>411625</v>
      </c>
      <c r="F133">
        <v>35456.449999999997</v>
      </c>
      <c r="G133">
        <v>1156.4639999999999</v>
      </c>
      <c r="H133">
        <v>261525</v>
      </c>
      <c r="I133">
        <f t="shared" si="29"/>
        <v>0</v>
      </c>
      <c r="J133">
        <f t="shared" si="30"/>
        <v>0</v>
      </c>
      <c r="K133">
        <f t="shared" si="31"/>
        <v>0</v>
      </c>
      <c r="L133">
        <f t="shared" si="32"/>
        <v>0</v>
      </c>
      <c r="M133">
        <f t="shared" si="33"/>
        <v>0</v>
      </c>
      <c r="N133">
        <f t="shared" si="34"/>
        <v>0</v>
      </c>
      <c r="P133" s="11">
        <f t="shared" si="35"/>
        <v>0.14427406823731653</v>
      </c>
      <c r="Q133" s="11">
        <f t="shared" si="36"/>
        <v>0.13288188940598236</v>
      </c>
      <c r="R133" s="11">
        <f t="shared" si="37"/>
        <v>7.9927833803473351E-3</v>
      </c>
      <c r="S133" s="11">
        <f t="shared" si="38"/>
        <v>1.5148535392281989E-2</v>
      </c>
      <c r="T133" s="11">
        <f t="shared" si="39"/>
        <v>2.1929658372072114E-2</v>
      </c>
      <c r="U133" s="11">
        <f t="shared" si="40"/>
        <v>1.793905506980762E-2</v>
      </c>
      <c r="W133">
        <f t="shared" si="41"/>
        <v>0</v>
      </c>
      <c r="X133">
        <f t="shared" si="42"/>
        <v>0</v>
      </c>
      <c r="Y133">
        <f t="shared" si="43"/>
        <v>0</v>
      </c>
      <c r="Z133">
        <f t="shared" si="44"/>
        <v>0</v>
      </c>
      <c r="AA133">
        <f t="shared" si="45"/>
        <v>0</v>
      </c>
      <c r="AB133">
        <f t="shared" si="46"/>
        <v>0</v>
      </c>
      <c r="AD133" s="11">
        <f t="shared" si="47"/>
        <v>0.2486149103283328</v>
      </c>
      <c r="AE133" s="11">
        <f t="shared" si="48"/>
        <v>9.6543708393562105E-2</v>
      </c>
      <c r="AF133" s="11">
        <f t="shared" si="49"/>
        <v>1.3773266032189637E-2</v>
      </c>
      <c r="AG133" s="11">
        <f t="shared" si="50"/>
        <v>1.1005982756866081E-2</v>
      </c>
      <c r="AH133" s="11">
        <f t="shared" si="51"/>
        <v>3.7789466369906585E-2</v>
      </c>
      <c r="AI133" s="11">
        <f t="shared" si="52"/>
        <v>1.3033400633130885E-2</v>
      </c>
      <c r="AJ133" s="11"/>
    </row>
    <row r="134" spans="1:36">
      <c r="A134" t="s">
        <v>390</v>
      </c>
      <c r="B134">
        <v>5.7321999999999998E-3</v>
      </c>
      <c r="C134">
        <v>0</v>
      </c>
      <c r="D134">
        <v>24094</v>
      </c>
      <c r="E134">
        <v>903133</v>
      </c>
      <c r="F134">
        <v>35214.410000000003</v>
      </c>
      <c r="G134">
        <v>1780.261</v>
      </c>
      <c r="H134">
        <v>450031</v>
      </c>
      <c r="I134">
        <f t="shared" si="29"/>
        <v>0</v>
      </c>
      <c r="J134">
        <f t="shared" si="30"/>
        <v>0</v>
      </c>
      <c r="K134">
        <f t="shared" si="31"/>
        <v>0</v>
      </c>
      <c r="L134">
        <f t="shared" si="32"/>
        <v>0</v>
      </c>
      <c r="M134">
        <f t="shared" si="33"/>
        <v>0</v>
      </c>
      <c r="N134">
        <f t="shared" si="34"/>
        <v>0</v>
      </c>
      <c r="P134" s="11">
        <f t="shared" si="35"/>
        <v>0.20117104448167994</v>
      </c>
      <c r="Q134" s="11">
        <f t="shared" si="36"/>
        <v>0.18528616272557788</v>
      </c>
      <c r="R134" s="11">
        <f t="shared" si="37"/>
        <v>1.1144875864285067E-2</v>
      </c>
      <c r="S134" s="11">
        <f t="shared" si="38"/>
        <v>2.112262255071588E-2</v>
      </c>
      <c r="T134" s="11">
        <f t="shared" si="39"/>
        <v>3.057799876121535E-2</v>
      </c>
      <c r="U134" s="11">
        <f t="shared" si="40"/>
        <v>2.5013631967953014E-2</v>
      </c>
      <c r="W134">
        <f t="shared" si="41"/>
        <v>0</v>
      </c>
      <c r="X134">
        <f t="shared" si="42"/>
        <v>0</v>
      </c>
      <c r="Y134">
        <f t="shared" si="43"/>
        <v>0</v>
      </c>
      <c r="Z134">
        <f t="shared" si="44"/>
        <v>0</v>
      </c>
      <c r="AA134">
        <f t="shared" si="45"/>
        <v>0</v>
      </c>
      <c r="AB134">
        <f t="shared" si="46"/>
        <v>0</v>
      </c>
      <c r="AD134" s="11">
        <f t="shared" si="47"/>
        <v>0.24322373652248336</v>
      </c>
      <c r="AE134" s="11">
        <f t="shared" si="48"/>
        <v>9.445017381382366E-2</v>
      </c>
      <c r="AF134" s="11">
        <f t="shared" si="49"/>
        <v>1.3474595003345578E-2</v>
      </c>
      <c r="AG134" s="11">
        <f t="shared" si="50"/>
        <v>1.0767319814775897E-2</v>
      </c>
      <c r="AH134" s="11">
        <f t="shared" si="51"/>
        <v>3.6970007951417472E-2</v>
      </c>
      <c r="AI134" s="11">
        <f t="shared" si="52"/>
        <v>1.2750773464866194E-2</v>
      </c>
      <c r="AJ134" s="11"/>
    </row>
    <row r="135" spans="1:36">
      <c r="A135" t="s">
        <v>980</v>
      </c>
      <c r="B135">
        <v>1.5694999999999999E-3</v>
      </c>
      <c r="C135">
        <v>0</v>
      </c>
      <c r="D135">
        <v>2267</v>
      </c>
      <c r="E135">
        <v>103435</v>
      </c>
      <c r="F135">
        <v>28045.11</v>
      </c>
      <c r="G135">
        <v>637.8809</v>
      </c>
      <c r="H135">
        <v>50551</v>
      </c>
      <c r="I135">
        <f t="shared" si="29"/>
        <v>0</v>
      </c>
      <c r="J135">
        <f t="shared" si="30"/>
        <v>0</v>
      </c>
      <c r="K135">
        <f t="shared" si="31"/>
        <v>0</v>
      </c>
      <c r="L135">
        <f t="shared" si="32"/>
        <v>0</v>
      </c>
      <c r="M135">
        <f t="shared" si="33"/>
        <v>0</v>
      </c>
      <c r="N135">
        <f t="shared" si="34"/>
        <v>0</v>
      </c>
      <c r="P135" s="11">
        <f t="shared" si="35"/>
        <v>0.15372678183341121</v>
      </c>
      <c r="Q135" s="11">
        <f t="shared" si="36"/>
        <v>0.14158819718539933</v>
      </c>
      <c r="R135" s="11">
        <f t="shared" si="37"/>
        <v>8.5164637135709802E-3</v>
      </c>
      <c r="S135" s="11">
        <f t="shared" si="38"/>
        <v>1.6141054479135525E-2</v>
      </c>
      <c r="T135" s="11">
        <f t="shared" si="39"/>
        <v>2.3366470838678502E-2</v>
      </c>
      <c r="U135" s="11">
        <f t="shared" si="40"/>
        <v>1.9114406620028911E-2</v>
      </c>
      <c r="W135">
        <f t="shared" si="41"/>
        <v>0</v>
      </c>
      <c r="X135">
        <f t="shared" si="42"/>
        <v>0</v>
      </c>
      <c r="Y135">
        <f t="shared" si="43"/>
        <v>0</v>
      </c>
      <c r="Z135">
        <f t="shared" si="44"/>
        <v>0</v>
      </c>
      <c r="AA135">
        <f t="shared" si="45"/>
        <v>0</v>
      </c>
      <c r="AB135">
        <f t="shared" si="46"/>
        <v>0</v>
      </c>
      <c r="AD135" s="11">
        <f t="shared" si="47"/>
        <v>0.58147377703968672</v>
      </c>
      <c r="AE135" s="11">
        <f t="shared" si="48"/>
        <v>0.22580156071445834</v>
      </c>
      <c r="AF135" s="11">
        <f t="shared" si="49"/>
        <v>3.221364724799864E-2</v>
      </c>
      <c r="AG135" s="11">
        <f t="shared" si="50"/>
        <v>2.574137792144825E-2</v>
      </c>
      <c r="AH135" s="11">
        <f t="shared" si="51"/>
        <v>8.8384014110032383E-2</v>
      </c>
      <c r="AI135" s="11">
        <f t="shared" si="52"/>
        <v>3.0483210696451879E-2</v>
      </c>
      <c r="AJ135" s="11"/>
    </row>
    <row r="136" spans="1:36">
      <c r="A136" t="s">
        <v>391</v>
      </c>
      <c r="B136">
        <v>1.7116900000000001E-2</v>
      </c>
      <c r="C136">
        <v>0</v>
      </c>
      <c r="D136">
        <v>6590</v>
      </c>
      <c r="E136">
        <v>259179</v>
      </c>
      <c r="F136">
        <v>32927.599999999999</v>
      </c>
      <c r="G136">
        <v>1163.8689999999999</v>
      </c>
      <c r="H136">
        <v>165907</v>
      </c>
      <c r="I136">
        <f t="shared" si="29"/>
        <v>0</v>
      </c>
      <c r="J136">
        <f t="shared" si="30"/>
        <v>0</v>
      </c>
      <c r="K136">
        <f t="shared" si="31"/>
        <v>0</v>
      </c>
      <c r="L136">
        <f t="shared" si="32"/>
        <v>0</v>
      </c>
      <c r="M136">
        <f t="shared" si="33"/>
        <v>0</v>
      </c>
      <c r="N136">
        <f t="shared" si="34"/>
        <v>0</v>
      </c>
      <c r="P136" s="11">
        <f t="shared" si="35"/>
        <v>0.91885890069243192</v>
      </c>
      <c r="Q136" s="11">
        <f t="shared" si="36"/>
        <v>0.84630390140986667</v>
      </c>
      <c r="R136" s="11">
        <f t="shared" si="37"/>
        <v>5.0904783098360724E-2</v>
      </c>
      <c r="S136" s="11">
        <f t="shared" si="38"/>
        <v>9.6478644760724805E-2</v>
      </c>
      <c r="T136" s="11">
        <f t="shared" si="39"/>
        <v>0.13966655290524965</v>
      </c>
      <c r="U136" s="11">
        <f t="shared" si="40"/>
        <v>0.11425102669033201</v>
      </c>
      <c r="W136">
        <f t="shared" si="41"/>
        <v>0</v>
      </c>
      <c r="X136">
        <f t="shared" si="42"/>
        <v>0</v>
      </c>
      <c r="Y136">
        <f t="shared" si="43"/>
        <v>0</v>
      </c>
      <c r="Z136">
        <f t="shared" si="44"/>
        <v>0</v>
      </c>
      <c r="AA136">
        <f t="shared" si="45"/>
        <v>0</v>
      </c>
      <c r="AB136">
        <f t="shared" si="46"/>
        <v>0</v>
      </c>
      <c r="AD136" s="11">
        <f t="shared" si="47"/>
        <v>2.5308222052443292</v>
      </c>
      <c r="AE136" s="11">
        <f t="shared" si="48"/>
        <v>0.9827848243549826</v>
      </c>
      <c r="AF136" s="11">
        <f t="shared" si="49"/>
        <v>0.14020755017053582</v>
      </c>
      <c r="AG136" s="11">
        <f t="shared" si="50"/>
        <v>0.11203746997646802</v>
      </c>
      <c r="AH136" s="11">
        <f t="shared" si="51"/>
        <v>0.38468497519713801</v>
      </c>
      <c r="AI136" s="11">
        <f t="shared" si="52"/>
        <v>0.13267595128792267</v>
      </c>
      <c r="AJ136" s="11"/>
    </row>
    <row r="137" spans="1:36">
      <c r="A137" t="s">
        <v>981</v>
      </c>
      <c r="B137">
        <v>5.0319999999999998E-4</v>
      </c>
      <c r="C137">
        <v>0</v>
      </c>
      <c r="D137">
        <v>5744</v>
      </c>
      <c r="E137">
        <v>184731</v>
      </c>
      <c r="F137">
        <v>35749.160000000003</v>
      </c>
      <c r="G137">
        <v>1253.616</v>
      </c>
      <c r="H137">
        <v>101042</v>
      </c>
      <c r="I137">
        <f t="shared" si="29"/>
        <v>0</v>
      </c>
      <c r="J137">
        <f t="shared" si="30"/>
        <v>0</v>
      </c>
      <c r="K137">
        <f t="shared" si="31"/>
        <v>0</v>
      </c>
      <c r="L137">
        <f t="shared" si="32"/>
        <v>0</v>
      </c>
      <c r="M137">
        <f t="shared" si="33"/>
        <v>0</v>
      </c>
      <c r="N137">
        <f t="shared" si="34"/>
        <v>0</v>
      </c>
      <c r="P137" s="11">
        <f t="shared" si="35"/>
        <v>2.5078636456458754E-2</v>
      </c>
      <c r="Q137" s="11">
        <f t="shared" si="36"/>
        <v>2.3098375451493916E-2</v>
      </c>
      <c r="R137" s="11">
        <f t="shared" si="37"/>
        <v>1.389356459687815E-3</v>
      </c>
      <c r="S137" s="11">
        <f t="shared" si="38"/>
        <v>2.6332148014703064E-3</v>
      </c>
      <c r="T137" s="11">
        <f t="shared" si="39"/>
        <v>3.8119527413817307E-3</v>
      </c>
      <c r="U137" s="11">
        <f t="shared" si="40"/>
        <v>3.1182806859516789E-3</v>
      </c>
      <c r="W137">
        <f t="shared" si="41"/>
        <v>0</v>
      </c>
      <c r="X137">
        <f t="shared" si="42"/>
        <v>0</v>
      </c>
      <c r="Y137">
        <f t="shared" si="43"/>
        <v>0</v>
      </c>
      <c r="Z137">
        <f t="shared" si="44"/>
        <v>0</v>
      </c>
      <c r="AA137">
        <f t="shared" si="45"/>
        <v>0</v>
      </c>
      <c r="AB137">
        <f t="shared" si="46"/>
        <v>0</v>
      </c>
      <c r="AD137" s="11">
        <f t="shared" si="47"/>
        <v>0.1043847808898344</v>
      </c>
      <c r="AE137" s="11">
        <f t="shared" si="48"/>
        <v>4.0535355798431233E-2</v>
      </c>
      <c r="AF137" s="11">
        <f t="shared" si="49"/>
        <v>5.7829168612968255E-3</v>
      </c>
      <c r="AG137" s="11">
        <f t="shared" si="50"/>
        <v>4.6210305610211609E-3</v>
      </c>
      <c r="AH137" s="11">
        <f t="shared" si="51"/>
        <v>1.5866486695254828E-2</v>
      </c>
      <c r="AI137" s="11">
        <f t="shared" si="52"/>
        <v>5.4722730327882172E-3</v>
      </c>
      <c r="AJ137" s="11"/>
    </row>
    <row r="138" spans="1:36">
      <c r="A138" t="s">
        <v>392</v>
      </c>
      <c r="B138">
        <v>3.3649999999999999E-3</v>
      </c>
      <c r="C138">
        <v>0</v>
      </c>
      <c r="D138">
        <v>3083</v>
      </c>
      <c r="E138">
        <v>128653</v>
      </c>
      <c r="F138">
        <v>33199.949999999997</v>
      </c>
      <c r="G138">
        <v>3310.0369999999998</v>
      </c>
      <c r="H138">
        <v>70059</v>
      </c>
      <c r="I138">
        <f t="shared" si="29"/>
        <v>0</v>
      </c>
      <c r="J138">
        <f t="shared" si="30"/>
        <v>0</v>
      </c>
      <c r="K138">
        <f t="shared" si="31"/>
        <v>0</v>
      </c>
      <c r="L138">
        <f t="shared" si="32"/>
        <v>0</v>
      </c>
      <c r="M138">
        <f t="shared" si="33"/>
        <v>0</v>
      </c>
      <c r="N138">
        <f t="shared" si="34"/>
        <v>0</v>
      </c>
      <c r="P138" s="11">
        <f t="shared" si="35"/>
        <v>6.3515545747675928E-2</v>
      </c>
      <c r="Q138" s="11">
        <f t="shared" si="36"/>
        <v>5.8500226885681336E-2</v>
      </c>
      <c r="R138" s="11">
        <f t="shared" si="37"/>
        <v>3.5187612344212463E-3</v>
      </c>
      <c r="S138" s="11">
        <f t="shared" si="38"/>
        <v>6.6690258649676724E-3</v>
      </c>
      <c r="T138" s="11">
        <f t="shared" si="39"/>
        <v>9.6543629536467411E-3</v>
      </c>
      <c r="U138" s="11">
        <f t="shared" si="40"/>
        <v>7.8975306295669817E-3</v>
      </c>
      <c r="W138">
        <f t="shared" si="41"/>
        <v>0</v>
      </c>
      <c r="X138">
        <f t="shared" si="42"/>
        <v>0</v>
      </c>
      <c r="Y138">
        <f t="shared" si="43"/>
        <v>0</v>
      </c>
      <c r="Z138">
        <f t="shared" si="44"/>
        <v>0</v>
      </c>
      <c r="AA138">
        <f t="shared" si="45"/>
        <v>0</v>
      </c>
      <c r="AB138">
        <f t="shared" si="46"/>
        <v>0</v>
      </c>
      <c r="AD138" s="11">
        <f t="shared" si="47"/>
        <v>1.0023086618034558</v>
      </c>
      <c r="AE138" s="11">
        <f t="shared" si="48"/>
        <v>0.3892228146642519</v>
      </c>
      <c r="AF138" s="11">
        <f t="shared" si="49"/>
        <v>5.5527899863911448E-2</v>
      </c>
      <c r="AG138" s="11">
        <f t="shared" si="50"/>
        <v>4.4371400871724719E-2</v>
      </c>
      <c r="AH138" s="11">
        <f t="shared" si="51"/>
        <v>0.15235091659412528</v>
      </c>
      <c r="AI138" s="11">
        <f t="shared" si="52"/>
        <v>5.254507997967401E-2</v>
      </c>
      <c r="AJ138" s="11"/>
    </row>
    <row r="139" spans="1:36">
      <c r="A139" t="s">
        <v>393</v>
      </c>
      <c r="B139">
        <v>2.9239000000000001E-3</v>
      </c>
      <c r="C139">
        <v>0</v>
      </c>
      <c r="D139">
        <v>2846</v>
      </c>
      <c r="E139">
        <v>97261</v>
      </c>
      <c r="F139">
        <v>30227.14</v>
      </c>
      <c r="G139">
        <v>1567.973</v>
      </c>
      <c r="H139">
        <v>70785</v>
      </c>
      <c r="I139">
        <f t="shared" si="29"/>
        <v>0</v>
      </c>
      <c r="J139">
        <f t="shared" si="30"/>
        <v>0</v>
      </c>
      <c r="K139">
        <f t="shared" si="31"/>
        <v>0</v>
      </c>
      <c r="L139">
        <f t="shared" si="32"/>
        <v>0</v>
      </c>
      <c r="M139">
        <f t="shared" si="33"/>
        <v>0</v>
      </c>
      <c r="N139">
        <f t="shared" si="34"/>
        <v>0</v>
      </c>
      <c r="P139" s="11">
        <f t="shared" si="35"/>
        <v>0.11650692747260316</v>
      </c>
      <c r="Q139" s="11">
        <f t="shared" si="36"/>
        <v>0.10730729950707059</v>
      </c>
      <c r="R139" s="11">
        <f t="shared" si="37"/>
        <v>6.4544837819822147E-3</v>
      </c>
      <c r="S139" s="11">
        <f t="shared" si="38"/>
        <v>1.2233032143806048E-2</v>
      </c>
      <c r="T139" s="11">
        <f t="shared" si="39"/>
        <v>1.7709052975835679E-2</v>
      </c>
      <c r="U139" s="11">
        <f t="shared" si="40"/>
        <v>1.4486485433454531E-2</v>
      </c>
      <c r="W139">
        <f t="shared" si="41"/>
        <v>0</v>
      </c>
      <c r="X139">
        <f t="shared" si="42"/>
        <v>0</v>
      </c>
      <c r="Y139">
        <f t="shared" si="43"/>
        <v>0</v>
      </c>
      <c r="Z139">
        <f t="shared" si="44"/>
        <v>0</v>
      </c>
      <c r="AA139">
        <f t="shared" si="45"/>
        <v>0</v>
      </c>
      <c r="AB139">
        <f t="shared" si="46"/>
        <v>0</v>
      </c>
      <c r="AD139" s="11">
        <f t="shared" si="47"/>
        <v>1.1520202616014641</v>
      </c>
      <c r="AE139" s="11">
        <f t="shared" si="48"/>
        <v>0.44735976636575808</v>
      </c>
      <c r="AF139" s="11">
        <f t="shared" si="49"/>
        <v>6.3821922492721103E-2</v>
      </c>
      <c r="AG139" s="11">
        <f t="shared" si="50"/>
        <v>5.099901336569642E-2</v>
      </c>
      <c r="AH139" s="11">
        <f t="shared" si="51"/>
        <v>0.17510707976342255</v>
      </c>
      <c r="AI139" s="11">
        <f t="shared" si="52"/>
        <v>6.0393568459377343E-2</v>
      </c>
      <c r="AJ139" s="11"/>
    </row>
    <row r="140" spans="1:36">
      <c r="A140" t="s">
        <v>394</v>
      </c>
      <c r="B140">
        <v>3.3119E-3</v>
      </c>
      <c r="C140">
        <v>0</v>
      </c>
      <c r="D140">
        <v>4575</v>
      </c>
      <c r="E140">
        <v>141905</v>
      </c>
      <c r="F140">
        <v>35538.07</v>
      </c>
      <c r="G140">
        <v>1053.1420000000001</v>
      </c>
      <c r="H140">
        <v>91728</v>
      </c>
      <c r="I140">
        <f t="shared" si="29"/>
        <v>0</v>
      </c>
      <c r="J140">
        <f t="shared" si="30"/>
        <v>0</v>
      </c>
      <c r="K140">
        <f t="shared" si="31"/>
        <v>0</v>
      </c>
      <c r="L140">
        <f t="shared" si="32"/>
        <v>0</v>
      </c>
      <c r="M140">
        <f t="shared" si="33"/>
        <v>0</v>
      </c>
      <c r="N140">
        <f t="shared" si="34"/>
        <v>0</v>
      </c>
      <c r="P140" s="11">
        <f t="shared" si="35"/>
        <v>0.19647988532410635</v>
      </c>
      <c r="Q140" s="11">
        <f t="shared" si="36"/>
        <v>0.18096542719785175</v>
      </c>
      <c r="R140" s="11">
        <f t="shared" si="37"/>
        <v>1.0884985646955491E-2</v>
      </c>
      <c r="S140" s="11">
        <f t="shared" si="38"/>
        <v>2.06300587005551E-2</v>
      </c>
      <c r="T140" s="11">
        <f t="shared" si="39"/>
        <v>2.9864942569264166E-2</v>
      </c>
      <c r="U140" s="11">
        <f t="shared" si="40"/>
        <v>2.4430332671709989E-2</v>
      </c>
      <c r="W140">
        <f t="shared" si="41"/>
        <v>0</v>
      </c>
      <c r="X140">
        <f t="shared" si="42"/>
        <v>0</v>
      </c>
      <c r="Y140">
        <f t="shared" si="43"/>
        <v>0</v>
      </c>
      <c r="Z140">
        <f t="shared" si="44"/>
        <v>0</v>
      </c>
      <c r="AA140">
        <f t="shared" si="45"/>
        <v>0</v>
      </c>
      <c r="AB140">
        <f t="shared" si="46"/>
        <v>0</v>
      </c>
      <c r="AD140" s="11">
        <f t="shared" si="47"/>
        <v>0.89436717179817471</v>
      </c>
      <c r="AE140" s="11">
        <f t="shared" si="48"/>
        <v>0.34730629517282691</v>
      </c>
      <c r="AF140" s="11">
        <f t="shared" si="49"/>
        <v>4.9547941317618874E-2</v>
      </c>
      <c r="AG140" s="11">
        <f t="shared" si="50"/>
        <v>3.9592917649702269E-2</v>
      </c>
      <c r="AH140" s="11">
        <f t="shared" si="51"/>
        <v>0.13594381011332254</v>
      </c>
      <c r="AI140" s="11">
        <f t="shared" si="52"/>
        <v>4.6886349848331635E-2</v>
      </c>
      <c r="AJ140" s="11"/>
    </row>
    <row r="141" spans="1:36">
      <c r="A141" t="s">
        <v>395</v>
      </c>
      <c r="B141">
        <v>5.5916000000000004E-3</v>
      </c>
      <c r="C141">
        <v>0</v>
      </c>
      <c r="D141">
        <v>30669</v>
      </c>
      <c r="E141">
        <v>776505</v>
      </c>
      <c r="F141">
        <v>37932.39</v>
      </c>
      <c r="G141">
        <v>2347.4259999999999</v>
      </c>
      <c r="H141">
        <v>487530</v>
      </c>
      <c r="I141">
        <f t="shared" si="29"/>
        <v>0</v>
      </c>
      <c r="J141">
        <f t="shared" si="30"/>
        <v>0</v>
      </c>
      <c r="K141">
        <f t="shared" si="31"/>
        <v>0</v>
      </c>
      <c r="L141">
        <f t="shared" si="32"/>
        <v>0</v>
      </c>
      <c r="M141">
        <f t="shared" si="33"/>
        <v>0</v>
      </c>
      <c r="N141">
        <f t="shared" si="34"/>
        <v>0</v>
      </c>
      <c r="P141" s="11">
        <f t="shared" si="35"/>
        <v>0.14882366641589553</v>
      </c>
      <c r="Q141" s="11">
        <f t="shared" si="36"/>
        <v>0.13707224190240716</v>
      </c>
      <c r="R141" s="11">
        <f t="shared" si="37"/>
        <v>8.244831119440613E-3</v>
      </c>
      <c r="S141" s="11">
        <f t="shared" si="38"/>
        <v>1.5626235576874418E-2</v>
      </c>
      <c r="T141" s="11">
        <f t="shared" si="39"/>
        <v>2.2621197295216122E-2</v>
      </c>
      <c r="U141" s="11">
        <f t="shared" si="40"/>
        <v>1.8504752656824969E-2</v>
      </c>
      <c r="W141">
        <f t="shared" si="41"/>
        <v>0</v>
      </c>
      <c r="X141">
        <f t="shared" si="42"/>
        <v>0</v>
      </c>
      <c r="Y141">
        <f t="shared" si="43"/>
        <v>0</v>
      </c>
      <c r="Z141">
        <f t="shared" si="44"/>
        <v>0</v>
      </c>
      <c r="AA141">
        <f t="shared" si="45"/>
        <v>0</v>
      </c>
      <c r="AB141">
        <f t="shared" si="46"/>
        <v>0</v>
      </c>
      <c r="AD141" s="11">
        <f t="shared" si="47"/>
        <v>0.27594858558705992</v>
      </c>
      <c r="AE141" s="11">
        <f t="shared" si="48"/>
        <v>0.10715809338767941</v>
      </c>
      <c r="AF141" s="11">
        <f t="shared" si="49"/>
        <v>1.5287551641523119E-2</v>
      </c>
      <c r="AG141" s="11">
        <f t="shared" si="50"/>
        <v>1.2216022646195453E-2</v>
      </c>
      <c r="AH141" s="11">
        <f t="shared" si="51"/>
        <v>4.1944185009233109E-2</v>
      </c>
      <c r="AI141" s="11">
        <f t="shared" si="52"/>
        <v>1.4466342607336721E-2</v>
      </c>
      <c r="AJ141" s="11"/>
    </row>
    <row r="142" spans="1:36">
      <c r="A142" t="s">
        <v>396</v>
      </c>
      <c r="B142">
        <v>7.9725999999999998E-3</v>
      </c>
      <c r="C142">
        <v>0</v>
      </c>
      <c r="D142">
        <v>2100</v>
      </c>
      <c r="E142">
        <v>82022</v>
      </c>
      <c r="F142">
        <v>28743.83</v>
      </c>
      <c r="G142">
        <v>1306.837</v>
      </c>
      <c r="H142">
        <v>52296</v>
      </c>
      <c r="I142">
        <f t="shared" si="29"/>
        <v>0</v>
      </c>
      <c r="J142">
        <f t="shared" si="30"/>
        <v>0</v>
      </c>
      <c r="K142">
        <f t="shared" si="31"/>
        <v>0</v>
      </c>
      <c r="L142">
        <f t="shared" si="32"/>
        <v>0</v>
      </c>
      <c r="M142">
        <f t="shared" si="33"/>
        <v>0</v>
      </c>
      <c r="N142">
        <f t="shared" si="34"/>
        <v>0</v>
      </c>
      <c r="P142" s="11">
        <f t="shared" si="35"/>
        <v>0.38115916526697663</v>
      </c>
      <c r="Q142" s="11">
        <f t="shared" si="36"/>
        <v>0.35106204922266504</v>
      </c>
      <c r="R142" s="11">
        <f t="shared" si="37"/>
        <v>2.1116217755790503E-2</v>
      </c>
      <c r="S142" s="11">
        <f t="shared" si="38"/>
        <v>4.0021073611383816E-2</v>
      </c>
      <c r="T142" s="11">
        <f t="shared" si="39"/>
        <v>5.7936193120580445E-2</v>
      </c>
      <c r="U142" s="11">
        <f t="shared" si="40"/>
        <v>4.7393376645059784E-2</v>
      </c>
      <c r="W142">
        <f t="shared" si="41"/>
        <v>0</v>
      </c>
      <c r="X142">
        <f t="shared" si="42"/>
        <v>0</v>
      </c>
      <c r="Y142">
        <f t="shared" si="43"/>
        <v>0</v>
      </c>
      <c r="Z142">
        <f t="shared" si="44"/>
        <v>0</v>
      </c>
      <c r="AA142">
        <f t="shared" si="45"/>
        <v>0</v>
      </c>
      <c r="AB142">
        <f t="shared" si="46"/>
        <v>0</v>
      </c>
      <c r="AD142" s="11">
        <f t="shared" si="47"/>
        <v>3.7248256834883318</v>
      </c>
      <c r="AE142" s="11">
        <f t="shared" si="48"/>
        <v>1.4464477779254346</v>
      </c>
      <c r="AF142" s="11">
        <f t="shared" si="49"/>
        <v>0.20635534286525356</v>
      </c>
      <c r="AG142" s="11">
        <f t="shared" si="50"/>
        <v>0.16489504668349955</v>
      </c>
      <c r="AH142" s="11">
        <f t="shared" si="51"/>
        <v>0.56617350389022636</v>
      </c>
      <c r="AI142" s="11">
        <f t="shared" si="52"/>
        <v>0.19527045001993368</v>
      </c>
      <c r="AJ142" s="11"/>
    </row>
    <row r="143" spans="1:36">
      <c r="A143" t="s">
        <v>397</v>
      </c>
      <c r="B143">
        <v>1.5479999999999999E-3</v>
      </c>
      <c r="C143">
        <v>0</v>
      </c>
      <c r="D143">
        <v>6356</v>
      </c>
      <c r="E143">
        <v>248852</v>
      </c>
      <c r="F143">
        <v>37881.33</v>
      </c>
      <c r="G143">
        <v>1545.8150000000001</v>
      </c>
      <c r="H143">
        <v>120420</v>
      </c>
      <c r="I143">
        <f t="shared" si="29"/>
        <v>0</v>
      </c>
      <c r="J143">
        <f t="shared" si="30"/>
        <v>0</v>
      </c>
      <c r="K143">
        <f t="shared" si="31"/>
        <v>0</v>
      </c>
      <c r="L143">
        <f t="shared" si="32"/>
        <v>0</v>
      </c>
      <c r="M143">
        <f t="shared" si="33"/>
        <v>0</v>
      </c>
      <c r="N143">
        <f t="shared" si="34"/>
        <v>0</v>
      </c>
      <c r="P143" s="11">
        <f t="shared" si="35"/>
        <v>6.2566412410281949E-2</v>
      </c>
      <c r="Q143" s="11">
        <f t="shared" si="36"/>
        <v>5.762603907970875E-2</v>
      </c>
      <c r="R143" s="11">
        <f t="shared" si="37"/>
        <v>3.4661792475296199E-3</v>
      </c>
      <c r="S143" s="11">
        <f t="shared" si="38"/>
        <v>6.569368455086798E-3</v>
      </c>
      <c r="T143" s="11">
        <f t="shared" si="39"/>
        <v>9.5100946863628556E-3</v>
      </c>
      <c r="U143" s="11">
        <f t="shared" si="40"/>
        <v>7.7795152757606815E-3</v>
      </c>
      <c r="W143">
        <f t="shared" si="41"/>
        <v>0</v>
      </c>
      <c r="X143">
        <f t="shared" si="42"/>
        <v>0</v>
      </c>
      <c r="Y143">
        <f t="shared" si="43"/>
        <v>0</v>
      </c>
      <c r="Z143">
        <f t="shared" si="44"/>
        <v>0</v>
      </c>
      <c r="AA143">
        <f t="shared" si="45"/>
        <v>0</v>
      </c>
      <c r="AB143">
        <f t="shared" si="46"/>
        <v>0</v>
      </c>
      <c r="AD143" s="11">
        <f t="shared" si="47"/>
        <v>0.23837799004388149</v>
      </c>
      <c r="AE143" s="11">
        <f t="shared" si="48"/>
        <v>9.25684430103033E-2</v>
      </c>
      <c r="AF143" s="11">
        <f t="shared" si="49"/>
        <v>1.3206140648431034E-2</v>
      </c>
      <c r="AG143" s="11">
        <f t="shared" si="50"/>
        <v>1.0552802503174577E-2</v>
      </c>
      <c r="AH143" s="11">
        <f t="shared" si="51"/>
        <v>3.6233454486669987E-2</v>
      </c>
      <c r="AI143" s="11">
        <f t="shared" si="52"/>
        <v>1.2496739806390947E-2</v>
      </c>
      <c r="AJ143" s="11"/>
    </row>
    <row r="144" spans="1:36">
      <c r="A144" t="s">
        <v>398</v>
      </c>
      <c r="B144">
        <v>4.6359000000000001E-3</v>
      </c>
      <c r="C144">
        <v>0</v>
      </c>
      <c r="D144">
        <v>13143</v>
      </c>
      <c r="E144">
        <v>302322</v>
      </c>
      <c r="F144">
        <v>38983.25</v>
      </c>
      <c r="G144">
        <v>1408.1980000000001</v>
      </c>
      <c r="H144">
        <v>209142</v>
      </c>
      <c r="I144">
        <f t="shared" si="29"/>
        <v>0</v>
      </c>
      <c r="J144">
        <f t="shared" si="30"/>
        <v>0</v>
      </c>
      <c r="K144">
        <f t="shared" si="31"/>
        <v>0</v>
      </c>
      <c r="L144">
        <f t="shared" si="32"/>
        <v>0</v>
      </c>
      <c r="M144">
        <f t="shared" si="33"/>
        <v>0</v>
      </c>
      <c r="N144">
        <f t="shared" si="34"/>
        <v>0</v>
      </c>
      <c r="P144" s="11">
        <f t="shared" si="35"/>
        <v>0.20568288251368058</v>
      </c>
      <c r="Q144" s="11">
        <f t="shared" si="36"/>
        <v>0.18944173669469774</v>
      </c>
      <c r="R144" s="11">
        <f t="shared" si="37"/>
        <v>1.1394831691257904E-2</v>
      </c>
      <c r="S144" s="11">
        <f t="shared" si="38"/>
        <v>2.1596357983195542E-2</v>
      </c>
      <c r="T144" s="11">
        <f t="shared" si="39"/>
        <v>3.1263798142079448E-2</v>
      </c>
      <c r="U144" s="11">
        <f t="shared" si="40"/>
        <v>2.5574634453784197E-2</v>
      </c>
      <c r="W144">
        <f t="shared" si="41"/>
        <v>0</v>
      </c>
      <c r="X144">
        <f t="shared" si="42"/>
        <v>0</v>
      </c>
      <c r="Y144">
        <f t="shared" si="43"/>
        <v>0</v>
      </c>
      <c r="Z144">
        <f t="shared" si="44"/>
        <v>0</v>
      </c>
      <c r="AA144">
        <f t="shared" si="45"/>
        <v>0</v>
      </c>
      <c r="AB144">
        <f t="shared" si="46"/>
        <v>0</v>
      </c>
      <c r="AD144" s="11">
        <f t="shared" si="47"/>
        <v>0.58762550854129036</v>
      </c>
      <c r="AE144" s="11">
        <f t="shared" si="48"/>
        <v>0.2281904398505567</v>
      </c>
      <c r="AF144" s="11">
        <f t="shared" si="49"/>
        <v>3.2554453173187482E-2</v>
      </c>
      <c r="AG144" s="11">
        <f t="shared" si="50"/>
        <v>2.6013710142963466E-2</v>
      </c>
      <c r="AH144" s="11">
        <f t="shared" si="51"/>
        <v>8.9319077298276137E-2</v>
      </c>
      <c r="AI144" s="11">
        <f t="shared" si="52"/>
        <v>3.0805709379825158E-2</v>
      </c>
      <c r="AJ144" s="11"/>
    </row>
    <row r="145" spans="1:36">
      <c r="A145" t="s">
        <v>399</v>
      </c>
      <c r="B145">
        <v>8.7529999999999997E-4</v>
      </c>
      <c r="C145">
        <v>0</v>
      </c>
      <c r="D145">
        <v>21737</v>
      </c>
      <c r="E145">
        <v>630098</v>
      </c>
      <c r="F145">
        <v>35794.89</v>
      </c>
      <c r="G145">
        <v>1868.9480000000001</v>
      </c>
      <c r="H145">
        <v>401269</v>
      </c>
      <c r="I145">
        <f t="shared" si="29"/>
        <v>0</v>
      </c>
      <c r="J145">
        <f t="shared" si="30"/>
        <v>0</v>
      </c>
      <c r="K145">
        <f t="shared" si="31"/>
        <v>0</v>
      </c>
      <c r="L145">
        <f t="shared" si="32"/>
        <v>0</v>
      </c>
      <c r="M145">
        <f t="shared" si="33"/>
        <v>0</v>
      </c>
      <c r="N145">
        <f t="shared" si="34"/>
        <v>0</v>
      </c>
      <c r="P145" s="11">
        <f t="shared" si="35"/>
        <v>2.9260889511104643E-2</v>
      </c>
      <c r="Q145" s="11">
        <f t="shared" si="36"/>
        <v>2.6950389154754437E-2</v>
      </c>
      <c r="R145" s="11">
        <f t="shared" si="37"/>
        <v>1.6210532789151973E-3</v>
      </c>
      <c r="S145" s="11">
        <f t="shared" si="38"/>
        <v>3.0723443636420057E-3</v>
      </c>
      <c r="T145" s="11">
        <f t="shared" si="39"/>
        <v>4.447655205687906E-3</v>
      </c>
      <c r="U145" s="11">
        <f t="shared" si="40"/>
        <v>3.6383025358918491E-3</v>
      </c>
      <c r="W145">
        <f t="shared" si="41"/>
        <v>0</v>
      </c>
      <c r="X145">
        <f t="shared" si="42"/>
        <v>0</v>
      </c>
      <c r="Y145">
        <f t="shared" si="43"/>
        <v>0</v>
      </c>
      <c r="Z145">
        <f t="shared" si="44"/>
        <v>0</v>
      </c>
      <c r="AA145">
        <f t="shared" si="45"/>
        <v>0</v>
      </c>
      <c r="AB145">
        <f t="shared" si="46"/>
        <v>0</v>
      </c>
      <c r="AD145" s="11">
        <f t="shared" si="47"/>
        <v>5.3233517027097374E-2</v>
      </c>
      <c r="AE145" s="11">
        <f t="shared" si="48"/>
        <v>2.0671974733295455E-2</v>
      </c>
      <c r="AF145" s="11">
        <f t="shared" si="49"/>
        <v>2.9491368433011943E-3</v>
      </c>
      <c r="AG145" s="11">
        <f t="shared" si="50"/>
        <v>2.3566051195956818E-3</v>
      </c>
      <c r="AH145" s="11">
        <f t="shared" si="51"/>
        <v>8.0914945881188013E-3</v>
      </c>
      <c r="AI145" s="11">
        <f t="shared" si="52"/>
        <v>2.7907165889948867E-3</v>
      </c>
      <c r="AJ145" s="11"/>
    </row>
    <row r="146" spans="1:36">
      <c r="A146" t="s">
        <v>982</v>
      </c>
      <c r="B146">
        <v>2.0684000000000002E-3</v>
      </c>
      <c r="C146">
        <v>0</v>
      </c>
      <c r="D146">
        <v>7081</v>
      </c>
      <c r="E146">
        <v>236155</v>
      </c>
      <c r="F146">
        <v>33200.01</v>
      </c>
      <c r="G146">
        <v>923.3578</v>
      </c>
      <c r="H146">
        <v>152117</v>
      </c>
      <c r="I146">
        <f t="shared" si="29"/>
        <v>0</v>
      </c>
      <c r="J146">
        <f t="shared" si="30"/>
        <v>0</v>
      </c>
      <c r="K146">
        <f t="shared" si="31"/>
        <v>0</v>
      </c>
      <c r="L146">
        <f t="shared" si="32"/>
        <v>0</v>
      </c>
      <c r="M146">
        <f t="shared" si="33"/>
        <v>0</v>
      </c>
      <c r="N146">
        <f t="shared" si="34"/>
        <v>0</v>
      </c>
      <c r="P146" s="11">
        <f t="shared" si="35"/>
        <v>0.1399562575201076</v>
      </c>
      <c r="Q146" s="11">
        <f t="shared" si="36"/>
        <v>0.1289050219535699</v>
      </c>
      <c r="R146" s="11">
        <f t="shared" si="37"/>
        <v>7.753576666613961E-3</v>
      </c>
      <c r="S146" s="11">
        <f t="shared" si="38"/>
        <v>1.4695172502706969E-2</v>
      </c>
      <c r="T146" s="11">
        <f t="shared" si="39"/>
        <v>2.1273351143056354E-2</v>
      </c>
      <c r="U146" s="11">
        <f t="shared" si="40"/>
        <v>1.7402177963731936E-2</v>
      </c>
      <c r="W146">
        <f t="shared" si="41"/>
        <v>0</v>
      </c>
      <c r="X146">
        <f t="shared" si="42"/>
        <v>0</v>
      </c>
      <c r="Y146">
        <f t="shared" si="43"/>
        <v>0</v>
      </c>
      <c r="Z146">
        <f t="shared" si="44"/>
        <v>0</v>
      </c>
      <c r="AA146">
        <f t="shared" si="45"/>
        <v>0</v>
      </c>
      <c r="AB146">
        <f t="shared" si="46"/>
        <v>0</v>
      </c>
      <c r="AD146" s="11">
        <f t="shared" si="47"/>
        <v>0.33564000328902627</v>
      </c>
      <c r="AE146" s="11">
        <f t="shared" si="48"/>
        <v>0.13033784079947494</v>
      </c>
      <c r="AF146" s="11">
        <f t="shared" si="49"/>
        <v>1.8594456182212053E-2</v>
      </c>
      <c r="AG146" s="11">
        <f t="shared" si="50"/>
        <v>1.4858513851140143E-2</v>
      </c>
      <c r="AH146" s="11">
        <f t="shared" si="51"/>
        <v>5.101728049993199E-2</v>
      </c>
      <c r="AI146" s="11">
        <f t="shared" si="52"/>
        <v>1.7595608507929118E-2</v>
      </c>
      <c r="AJ146" s="11"/>
    </row>
    <row r="147" spans="1:36">
      <c r="A147" t="s">
        <v>400</v>
      </c>
      <c r="B147">
        <v>2.2810999999999999E-3</v>
      </c>
      <c r="C147">
        <v>0</v>
      </c>
      <c r="D147">
        <v>6335</v>
      </c>
      <c r="E147">
        <v>264278</v>
      </c>
      <c r="F147">
        <v>32463.68</v>
      </c>
      <c r="G147">
        <v>1962.164</v>
      </c>
      <c r="H147">
        <v>126897</v>
      </c>
      <c r="I147">
        <f t="shared" si="29"/>
        <v>0</v>
      </c>
      <c r="J147">
        <f t="shared" si="30"/>
        <v>0</v>
      </c>
      <c r="K147">
        <f t="shared" si="31"/>
        <v>0</v>
      </c>
      <c r="L147">
        <f t="shared" si="32"/>
        <v>0</v>
      </c>
      <c r="M147">
        <f t="shared" si="33"/>
        <v>0</v>
      </c>
      <c r="N147">
        <f t="shared" si="34"/>
        <v>0</v>
      </c>
      <c r="P147" s="11">
        <f t="shared" si="35"/>
        <v>7.263347707429145E-2</v>
      </c>
      <c r="Q147" s="11">
        <f t="shared" si="36"/>
        <v>6.6898187496050268E-2</v>
      </c>
      <c r="R147" s="11">
        <f t="shared" si="37"/>
        <v>4.0238946299157464E-3</v>
      </c>
      <c r="S147" s="11">
        <f t="shared" si="38"/>
        <v>7.626393374549731E-3</v>
      </c>
      <c r="T147" s="11">
        <f t="shared" si="39"/>
        <v>1.1040288515292301E-2</v>
      </c>
      <c r="U147" s="11">
        <f t="shared" si="40"/>
        <v>9.0312553119667877E-3</v>
      </c>
      <c r="W147">
        <f t="shared" si="41"/>
        <v>0</v>
      </c>
      <c r="X147">
        <f t="shared" si="42"/>
        <v>0</v>
      </c>
      <c r="Y147">
        <f t="shared" si="43"/>
        <v>0</v>
      </c>
      <c r="Z147">
        <f t="shared" si="44"/>
        <v>0</v>
      </c>
      <c r="AA147">
        <f t="shared" si="45"/>
        <v>0</v>
      </c>
      <c r="AB147">
        <f t="shared" si="46"/>
        <v>0</v>
      </c>
      <c r="AD147" s="11">
        <f t="shared" si="47"/>
        <v>0.33076507418468426</v>
      </c>
      <c r="AE147" s="11">
        <f t="shared" si="48"/>
        <v>0.12844477761486009</v>
      </c>
      <c r="AF147" s="11">
        <f t="shared" si="49"/>
        <v>1.8324385109831507E-2</v>
      </c>
      <c r="AG147" s="11">
        <f t="shared" si="50"/>
        <v>1.464270464809405E-2</v>
      </c>
      <c r="AH147" s="11">
        <f t="shared" si="51"/>
        <v>5.0276291276072006E-2</v>
      </c>
      <c r="AI147" s="11">
        <f t="shared" si="52"/>
        <v>1.7340044978006112E-2</v>
      </c>
      <c r="AJ147" s="11"/>
    </row>
    <row r="148" spans="1:36">
      <c r="A148" t="s">
        <v>401</v>
      </c>
      <c r="B148">
        <v>4.078E-3</v>
      </c>
      <c r="C148">
        <v>0</v>
      </c>
      <c r="D148">
        <v>2460</v>
      </c>
      <c r="E148">
        <v>148746</v>
      </c>
      <c r="F148">
        <v>32879.68</v>
      </c>
      <c r="G148">
        <v>975.38170000000002</v>
      </c>
      <c r="H148">
        <v>57973</v>
      </c>
      <c r="I148">
        <f t="shared" si="29"/>
        <v>0</v>
      </c>
      <c r="J148">
        <f t="shared" si="30"/>
        <v>0</v>
      </c>
      <c r="K148">
        <f t="shared" si="31"/>
        <v>0</v>
      </c>
      <c r="L148">
        <f t="shared" si="32"/>
        <v>0</v>
      </c>
      <c r="M148">
        <f t="shared" si="33"/>
        <v>0</v>
      </c>
      <c r="N148">
        <f t="shared" si="34"/>
        <v>0</v>
      </c>
      <c r="P148" s="11">
        <f t="shared" si="35"/>
        <v>0.26121639538654456</v>
      </c>
      <c r="Q148" s="11">
        <f t="shared" si="36"/>
        <v>0.24059020853067059</v>
      </c>
      <c r="R148" s="11">
        <f t="shared" si="37"/>
        <v>1.4471388304414568E-2</v>
      </c>
      <c r="S148" s="11">
        <f t="shared" si="38"/>
        <v>2.7427283772496449E-2</v>
      </c>
      <c r="T148" s="11">
        <f t="shared" si="39"/>
        <v>3.9704892098754774E-2</v>
      </c>
      <c r="U148" s="11">
        <f t="shared" si="40"/>
        <v>3.2479678151640531E-2</v>
      </c>
      <c r="W148">
        <f t="shared" si="41"/>
        <v>0</v>
      </c>
      <c r="X148">
        <f t="shared" si="42"/>
        <v>0</v>
      </c>
      <c r="Y148">
        <f t="shared" si="43"/>
        <v>0</v>
      </c>
      <c r="Z148">
        <f t="shared" si="44"/>
        <v>0</v>
      </c>
      <c r="AA148">
        <f t="shared" si="45"/>
        <v>0</v>
      </c>
      <c r="AB148">
        <f t="shared" si="46"/>
        <v>0</v>
      </c>
      <c r="AD148" s="11">
        <f t="shared" si="47"/>
        <v>1.0506020851142215</v>
      </c>
      <c r="AE148" s="11">
        <f t="shared" si="48"/>
        <v>0.40797642108023074</v>
      </c>
      <c r="AF148" s="11">
        <f t="shared" si="49"/>
        <v>5.8203355515327869E-2</v>
      </c>
      <c r="AG148" s="11">
        <f t="shared" si="50"/>
        <v>4.6509312003146307E-2</v>
      </c>
      <c r="AH148" s="11">
        <f t="shared" si="51"/>
        <v>0.15969151693736167</v>
      </c>
      <c r="AI148" s="11">
        <f t="shared" si="52"/>
        <v>5.5076816845831156E-2</v>
      </c>
      <c r="AJ148" s="11"/>
    </row>
    <row r="149" spans="1:36">
      <c r="A149" t="s">
        <v>402</v>
      </c>
      <c r="B149">
        <v>5.0039000000000004E-3</v>
      </c>
      <c r="C149">
        <v>0</v>
      </c>
      <c r="D149">
        <v>23255</v>
      </c>
      <c r="E149">
        <v>533802</v>
      </c>
      <c r="F149">
        <v>39059.410000000003</v>
      </c>
      <c r="G149">
        <v>5786.2340000000004</v>
      </c>
      <c r="H149">
        <v>402933</v>
      </c>
      <c r="I149">
        <f t="shared" si="29"/>
        <v>0</v>
      </c>
      <c r="J149">
        <f t="shared" si="30"/>
        <v>0</v>
      </c>
      <c r="K149">
        <f t="shared" si="31"/>
        <v>0</v>
      </c>
      <c r="L149">
        <f t="shared" si="32"/>
        <v>0</v>
      </c>
      <c r="M149">
        <f t="shared" si="33"/>
        <v>0</v>
      </c>
      <c r="N149">
        <f t="shared" si="34"/>
        <v>0</v>
      </c>
      <c r="P149" s="11">
        <f t="shared" si="35"/>
        <v>5.4030681197822276E-2</v>
      </c>
      <c r="Q149" s="11">
        <f t="shared" si="36"/>
        <v>4.9764306858312325E-2</v>
      </c>
      <c r="R149" s="11">
        <f t="shared" si="37"/>
        <v>2.9932997383593542E-3</v>
      </c>
      <c r="S149" s="11">
        <f t="shared" si="38"/>
        <v>5.6731309818476051E-3</v>
      </c>
      <c r="T149" s="11">
        <f t="shared" si="39"/>
        <v>8.2126635420689854E-3</v>
      </c>
      <c r="U149" s="11">
        <f t="shared" si="40"/>
        <v>6.7181814258721641E-3</v>
      </c>
      <c r="W149">
        <f t="shared" si="41"/>
        <v>0</v>
      </c>
      <c r="X149">
        <f t="shared" si="42"/>
        <v>0</v>
      </c>
      <c r="Y149">
        <f t="shared" si="43"/>
        <v>0</v>
      </c>
      <c r="Z149">
        <f t="shared" si="44"/>
        <v>0</v>
      </c>
      <c r="AA149">
        <f t="shared" si="45"/>
        <v>0</v>
      </c>
      <c r="AB149">
        <f t="shared" si="46"/>
        <v>0</v>
      </c>
      <c r="AD149" s="11">
        <f t="shared" si="47"/>
        <v>0.35922351495052468</v>
      </c>
      <c r="AE149" s="11">
        <f t="shared" si="48"/>
        <v>0.13949593863735993</v>
      </c>
      <c r="AF149" s="11">
        <f t="shared" si="49"/>
        <v>1.9900982728259065E-2</v>
      </c>
      <c r="AG149" s="11">
        <f t="shared" si="50"/>
        <v>1.5902537004659031E-2</v>
      </c>
      <c r="AH149" s="11">
        <f t="shared" si="51"/>
        <v>5.4601974272479752E-2</v>
      </c>
      <c r="AI149" s="11">
        <f t="shared" si="52"/>
        <v>1.8831951716043592E-2</v>
      </c>
      <c r="AJ149" s="11"/>
    </row>
    <row r="150" spans="1:36">
      <c r="A150" t="s">
        <v>983</v>
      </c>
      <c r="B150">
        <v>9.7930000000000001E-4</v>
      </c>
      <c r="C150">
        <v>0</v>
      </c>
      <c r="D150">
        <v>3599</v>
      </c>
      <c r="E150">
        <v>141000</v>
      </c>
      <c r="F150">
        <v>28902.27</v>
      </c>
      <c r="G150">
        <v>1357.711</v>
      </c>
      <c r="H150">
        <v>81755</v>
      </c>
      <c r="I150">
        <f t="shared" si="29"/>
        <v>0</v>
      </c>
      <c r="J150">
        <f t="shared" si="30"/>
        <v>0</v>
      </c>
      <c r="K150">
        <f t="shared" si="31"/>
        <v>0</v>
      </c>
      <c r="L150">
        <f t="shared" si="32"/>
        <v>0</v>
      </c>
      <c r="M150">
        <f t="shared" si="33"/>
        <v>0</v>
      </c>
      <c r="N150">
        <f t="shared" si="34"/>
        <v>0</v>
      </c>
      <c r="P150" s="11">
        <f t="shared" si="35"/>
        <v>4.5064673800241734E-2</v>
      </c>
      <c r="Q150" s="11">
        <f t="shared" si="36"/>
        <v>4.1506273949316164E-2</v>
      </c>
      <c r="R150" s="11">
        <f t="shared" si="37"/>
        <v>2.4965829285333919E-3</v>
      </c>
      <c r="S150" s="11">
        <f t="shared" si="38"/>
        <v>4.7317152302220429E-3</v>
      </c>
      <c r="T150" s="11">
        <f t="shared" si="39"/>
        <v>6.8498304176367432E-3</v>
      </c>
      <c r="U150" s="11">
        <f t="shared" si="40"/>
        <v>5.6033469831576824E-3</v>
      </c>
      <c r="W150">
        <f t="shared" si="41"/>
        <v>0</v>
      </c>
      <c r="X150">
        <f t="shared" si="42"/>
        <v>0</v>
      </c>
      <c r="Y150">
        <f t="shared" si="43"/>
        <v>0</v>
      </c>
      <c r="Z150">
        <f t="shared" si="44"/>
        <v>0</v>
      </c>
      <c r="AA150">
        <f t="shared" si="45"/>
        <v>0</v>
      </c>
      <c r="AB150">
        <f t="shared" si="46"/>
        <v>0</v>
      </c>
      <c r="AD150" s="11">
        <f t="shared" si="47"/>
        <v>0.26615398592156031</v>
      </c>
      <c r="AE150" s="11">
        <f t="shared" si="48"/>
        <v>0.10335459273404256</v>
      </c>
      <c r="AF150" s="11">
        <f t="shared" si="49"/>
        <v>1.4744930820054441E-2</v>
      </c>
      <c r="AG150" s="11">
        <f t="shared" si="50"/>
        <v>1.1782423571680852E-2</v>
      </c>
      <c r="AH150" s="11">
        <f t="shared" si="51"/>
        <v>4.0455405860077169E-2</v>
      </c>
      <c r="AI150" s="11">
        <f t="shared" si="52"/>
        <v>1.3952870019095747E-2</v>
      </c>
      <c r="AJ150" s="11"/>
    </row>
    <row r="151" spans="1:36">
      <c r="A151" t="s">
        <v>403</v>
      </c>
      <c r="B151">
        <v>1.9009999999999999E-3</v>
      </c>
      <c r="C151">
        <v>0</v>
      </c>
      <c r="D151">
        <v>8380</v>
      </c>
      <c r="E151">
        <v>260891</v>
      </c>
      <c r="F151">
        <v>34475</v>
      </c>
      <c r="G151">
        <v>1716.001</v>
      </c>
      <c r="H151">
        <v>139364</v>
      </c>
      <c r="I151">
        <f t="shared" si="29"/>
        <v>0</v>
      </c>
      <c r="J151">
        <f t="shared" si="30"/>
        <v>0</v>
      </c>
      <c r="K151">
        <f t="shared" si="31"/>
        <v>0</v>
      </c>
      <c r="L151">
        <f t="shared" si="32"/>
        <v>0</v>
      </c>
      <c r="M151">
        <f t="shared" si="33"/>
        <v>0</v>
      </c>
      <c r="N151">
        <f t="shared" si="34"/>
        <v>0</v>
      </c>
      <c r="P151" s="11">
        <f t="shared" si="35"/>
        <v>6.921375226471313E-2</v>
      </c>
      <c r="Q151" s="11">
        <f t="shared" si="36"/>
        <v>6.3748491230482957E-2</v>
      </c>
      <c r="R151" s="11">
        <f t="shared" si="37"/>
        <v>3.8344418754651072E-3</v>
      </c>
      <c r="S151" s="11">
        <f t="shared" si="38"/>
        <v>7.2673280002750577E-3</v>
      </c>
      <c r="T151" s="11">
        <f t="shared" si="39"/>
        <v>1.0520490344236395E-2</v>
      </c>
      <c r="U151" s="11">
        <f t="shared" si="40"/>
        <v>8.6060463161151991E-3</v>
      </c>
      <c r="W151">
        <f t="shared" si="41"/>
        <v>0</v>
      </c>
      <c r="X151">
        <f t="shared" si="42"/>
        <v>0</v>
      </c>
      <c r="Y151">
        <f t="shared" si="43"/>
        <v>0</v>
      </c>
      <c r="Z151">
        <f t="shared" si="44"/>
        <v>0</v>
      </c>
      <c r="AA151">
        <f t="shared" si="45"/>
        <v>0</v>
      </c>
      <c r="AB151">
        <f t="shared" si="46"/>
        <v>0</v>
      </c>
      <c r="AD151" s="11">
        <f t="shared" si="47"/>
        <v>0.27922824848614936</v>
      </c>
      <c r="AE151" s="11">
        <f t="shared" si="48"/>
        <v>0.10843167274838918</v>
      </c>
      <c r="AF151" s="11">
        <f t="shared" si="49"/>
        <v>1.5469244966132674E-2</v>
      </c>
      <c r="AG151" s="11">
        <f t="shared" si="50"/>
        <v>1.2361210693316367E-2</v>
      </c>
      <c r="AH151" s="11">
        <f t="shared" si="51"/>
        <v>4.24426937698947E-2</v>
      </c>
      <c r="AI151" s="11">
        <f t="shared" si="52"/>
        <v>1.463827582103254E-2</v>
      </c>
      <c r="AJ151" s="11"/>
    </row>
    <row r="152" spans="1:36">
      <c r="A152" t="s">
        <v>404</v>
      </c>
      <c r="B152">
        <v>2.58608E-2</v>
      </c>
      <c r="C152">
        <v>0</v>
      </c>
      <c r="D152">
        <v>35107</v>
      </c>
      <c r="E152">
        <v>902745</v>
      </c>
      <c r="F152">
        <v>37387.129999999997</v>
      </c>
      <c r="G152">
        <v>3361.6480000000001</v>
      </c>
      <c r="H152">
        <v>626137</v>
      </c>
      <c r="I152">
        <f t="shared" si="29"/>
        <v>0</v>
      </c>
      <c r="J152">
        <f t="shared" si="30"/>
        <v>0</v>
      </c>
      <c r="K152">
        <f t="shared" si="31"/>
        <v>0</v>
      </c>
      <c r="L152">
        <f t="shared" si="32"/>
        <v>0</v>
      </c>
      <c r="M152">
        <f t="shared" si="33"/>
        <v>0</v>
      </c>
      <c r="N152">
        <f t="shared" si="34"/>
        <v>0</v>
      </c>
      <c r="P152" s="11">
        <f t="shared" si="35"/>
        <v>0.4806373684811735</v>
      </c>
      <c r="Q152" s="11">
        <f t="shared" si="36"/>
        <v>0.4426852477594323</v>
      </c>
      <c r="R152" s="11">
        <f t="shared" si="37"/>
        <v>2.662731021385701E-2</v>
      </c>
      <c r="S152" s="11">
        <f t="shared" si="38"/>
        <v>5.0466118244575281E-2</v>
      </c>
      <c r="T152" s="11">
        <f t="shared" si="39"/>
        <v>7.3056880009138375E-2</v>
      </c>
      <c r="U152" s="11">
        <f t="shared" si="40"/>
        <v>5.9762508447523364E-2</v>
      </c>
      <c r="W152">
        <f t="shared" si="41"/>
        <v>0</v>
      </c>
      <c r="X152">
        <f t="shared" si="42"/>
        <v>0</v>
      </c>
      <c r="Y152">
        <f t="shared" si="43"/>
        <v>0</v>
      </c>
      <c r="Z152">
        <f t="shared" si="44"/>
        <v>0</v>
      </c>
      <c r="AA152">
        <f t="shared" si="45"/>
        <v>0</v>
      </c>
      <c r="AB152">
        <f t="shared" si="46"/>
        <v>0</v>
      </c>
      <c r="AD152" s="11">
        <f t="shared" si="47"/>
        <v>1.0977746470516478</v>
      </c>
      <c r="AE152" s="11">
        <f t="shared" si="48"/>
        <v>0.42629476754565243</v>
      </c>
      <c r="AF152" s="11">
        <f t="shared" si="49"/>
        <v>6.0816715446661292E-2</v>
      </c>
      <c r="AG152" s="11">
        <f t="shared" si="50"/>
        <v>4.8597603500204381E-2</v>
      </c>
      <c r="AH152" s="11">
        <f t="shared" si="51"/>
        <v>0.16686174635185047</v>
      </c>
      <c r="AI152" s="11">
        <f t="shared" si="52"/>
        <v>5.7549793618663081E-2</v>
      </c>
      <c r="AJ152" s="11"/>
    </row>
    <row r="153" spans="1:36">
      <c r="A153" t="s">
        <v>984</v>
      </c>
      <c r="B153">
        <v>1.9275E-3</v>
      </c>
      <c r="C153">
        <v>0</v>
      </c>
      <c r="D153">
        <v>2291</v>
      </c>
      <c r="E153">
        <v>97700</v>
      </c>
      <c r="F153">
        <v>26672.66</v>
      </c>
      <c r="G153">
        <v>816.59220000000005</v>
      </c>
      <c r="H153">
        <v>54194</v>
      </c>
      <c r="I153">
        <f t="shared" si="29"/>
        <v>0</v>
      </c>
      <c r="J153">
        <f t="shared" si="30"/>
        <v>0</v>
      </c>
      <c r="K153">
        <f t="shared" si="31"/>
        <v>0</v>
      </c>
      <c r="L153">
        <f t="shared" si="32"/>
        <v>0</v>
      </c>
      <c r="M153">
        <f t="shared" si="33"/>
        <v>0</v>
      </c>
      <c r="N153">
        <f t="shared" si="34"/>
        <v>0</v>
      </c>
      <c r="P153" s="11">
        <f t="shared" si="35"/>
        <v>0.14747451390057362</v>
      </c>
      <c r="Q153" s="11">
        <f t="shared" si="36"/>
        <v>0.13582962126015896</v>
      </c>
      <c r="R153" s="11">
        <f t="shared" si="37"/>
        <v>8.1700880700917786E-3</v>
      </c>
      <c r="S153" s="11">
        <f t="shared" si="38"/>
        <v>1.5484576823658123E-2</v>
      </c>
      <c r="T153" s="11">
        <f t="shared" si="39"/>
        <v>2.2416126112887191E-2</v>
      </c>
      <c r="U153" s="11">
        <f t="shared" si="40"/>
        <v>1.8336998870121461E-2</v>
      </c>
      <c r="W153">
        <f t="shared" si="41"/>
        <v>0</v>
      </c>
      <c r="X153">
        <f t="shared" si="42"/>
        <v>0</v>
      </c>
      <c r="Y153">
        <f t="shared" si="43"/>
        <v>0</v>
      </c>
      <c r="Z153">
        <f t="shared" si="44"/>
        <v>0</v>
      </c>
      <c r="AA153">
        <f t="shared" si="45"/>
        <v>0</v>
      </c>
      <c r="AB153">
        <f t="shared" si="46"/>
        <v>0</v>
      </c>
      <c r="AD153" s="11">
        <f t="shared" si="47"/>
        <v>0.75602499799897638</v>
      </c>
      <c r="AE153" s="11">
        <f t="shared" si="48"/>
        <v>0.29358439060900715</v>
      </c>
      <c r="AF153" s="11">
        <f t="shared" si="49"/>
        <v>4.1883784889143287E-2</v>
      </c>
      <c r="AG153" s="11">
        <f t="shared" si="50"/>
        <v>3.3468620529426819E-2</v>
      </c>
      <c r="AH153" s="11">
        <f t="shared" si="51"/>
        <v>0.11491579969584441</v>
      </c>
      <c r="AI153" s="11">
        <f t="shared" si="52"/>
        <v>3.9633892732215965E-2</v>
      </c>
      <c r="AJ153" s="11"/>
    </row>
    <row r="154" spans="1:36">
      <c r="A154" t="s">
        <v>295</v>
      </c>
      <c r="B154">
        <v>9.9033999999999997E-3</v>
      </c>
      <c r="C154">
        <v>2.6009999999999998E-4</v>
      </c>
      <c r="D154">
        <v>377223</v>
      </c>
      <c r="E154">
        <v>5726705</v>
      </c>
      <c r="F154">
        <v>52427.95</v>
      </c>
      <c r="G154">
        <v>2433.1990000000001</v>
      </c>
      <c r="H154">
        <v>3487033</v>
      </c>
      <c r="I154">
        <f t="shared" si="29"/>
        <v>7.2649085504309339E-3</v>
      </c>
      <c r="J154">
        <f t="shared" si="30"/>
        <v>1.7517846957852603E-2</v>
      </c>
      <c r="K154">
        <f t="shared" si="31"/>
        <v>4.0247593369387375E-4</v>
      </c>
      <c r="L154">
        <f t="shared" si="32"/>
        <v>1.9970345531951966E-3</v>
      </c>
      <c r="M154">
        <f t="shared" si="33"/>
        <v>1.104266099665502E-3</v>
      </c>
      <c r="N154">
        <f t="shared" si="34"/>
        <v>2.3649093393101014E-3</v>
      </c>
      <c r="P154" s="11">
        <f t="shared" si="35"/>
        <v>0.25429305845514483</v>
      </c>
      <c r="Q154" s="11">
        <f t="shared" si="36"/>
        <v>0.23421355260297241</v>
      </c>
      <c r="R154" s="11">
        <f t="shared" si="37"/>
        <v>1.4087835438415023E-2</v>
      </c>
      <c r="S154" s="11">
        <f t="shared" si="38"/>
        <v>2.6700344996738856E-2</v>
      </c>
      <c r="T154" s="11">
        <f t="shared" si="39"/>
        <v>3.8652544885182015E-2</v>
      </c>
      <c r="U154" s="11">
        <f t="shared" si="40"/>
        <v>3.1618829601401277E-2</v>
      </c>
      <c r="W154">
        <f t="shared" si="41"/>
        <v>1.6581984726789664E-2</v>
      </c>
      <c r="X154">
        <f t="shared" si="42"/>
        <v>2.1981674570436226E-2</v>
      </c>
      <c r="Y154">
        <f t="shared" si="43"/>
        <v>9.1864195386414738E-4</v>
      </c>
      <c r="Z154">
        <f t="shared" si="44"/>
        <v>2.5059109010297296E-3</v>
      </c>
      <c r="AA154">
        <f t="shared" si="45"/>
        <v>2.5204616784720289E-3</v>
      </c>
      <c r="AB154">
        <f t="shared" si="46"/>
        <v>2.9675260670088905E-3</v>
      </c>
      <c r="AD154" s="11">
        <f t="shared" si="47"/>
        <v>6.6269827705411746E-2</v>
      </c>
      <c r="AE154" s="11">
        <f t="shared" si="48"/>
        <v>2.573431703204548E-2</v>
      </c>
      <c r="AF154" s="11">
        <f t="shared" si="49"/>
        <v>3.6713484548798105E-3</v>
      </c>
      <c r="AG154" s="11">
        <f t="shared" si="50"/>
        <v>2.9337121416531851E-3</v>
      </c>
      <c r="AH154" s="11">
        <f t="shared" si="51"/>
        <v>1.0073013811222584E-2</v>
      </c>
      <c r="AI154" s="11">
        <f t="shared" si="52"/>
        <v>3.47413279932614E-3</v>
      </c>
      <c r="AJ154" s="11"/>
    </row>
    <row r="155" spans="1:36">
      <c r="A155" t="s">
        <v>405</v>
      </c>
      <c r="B155">
        <v>4.0774000000000001E-3</v>
      </c>
      <c r="C155">
        <v>0</v>
      </c>
      <c r="D155">
        <v>8047</v>
      </c>
      <c r="E155">
        <v>284903</v>
      </c>
      <c r="F155">
        <v>33787.71</v>
      </c>
      <c r="G155">
        <v>1891.548</v>
      </c>
      <c r="H155">
        <v>147009</v>
      </c>
      <c r="I155">
        <f t="shared" si="29"/>
        <v>0</v>
      </c>
      <c r="J155">
        <f t="shared" si="30"/>
        <v>0</v>
      </c>
      <c r="K155">
        <f t="shared" si="31"/>
        <v>0</v>
      </c>
      <c r="L155">
        <f t="shared" si="32"/>
        <v>0</v>
      </c>
      <c r="M155">
        <f t="shared" si="33"/>
        <v>0</v>
      </c>
      <c r="N155">
        <f t="shared" si="34"/>
        <v>0</v>
      </c>
      <c r="P155" s="11">
        <f t="shared" si="35"/>
        <v>0.13467710306056202</v>
      </c>
      <c r="Q155" s="11">
        <f t="shared" si="36"/>
        <v>0.12404272044907133</v>
      </c>
      <c r="R155" s="11">
        <f t="shared" si="37"/>
        <v>7.4611115095551354E-3</v>
      </c>
      <c r="S155" s="11">
        <f t="shared" si="38"/>
        <v>1.4140870131194132E-2</v>
      </c>
      <c r="T155" s="11">
        <f t="shared" si="39"/>
        <v>2.0470919665205426E-2</v>
      </c>
      <c r="U155" s="11">
        <f t="shared" si="40"/>
        <v>1.6745767260624631E-2</v>
      </c>
      <c r="W155">
        <f t="shared" si="41"/>
        <v>0</v>
      </c>
      <c r="X155">
        <f t="shared" si="42"/>
        <v>0</v>
      </c>
      <c r="Y155">
        <f t="shared" si="43"/>
        <v>0</v>
      </c>
      <c r="Z155">
        <f t="shared" si="44"/>
        <v>0</v>
      </c>
      <c r="AA155">
        <f t="shared" si="45"/>
        <v>0</v>
      </c>
      <c r="AB155">
        <f t="shared" si="46"/>
        <v>0</v>
      </c>
      <c r="AD155" s="11">
        <f t="shared" si="47"/>
        <v>0.54843180022295301</v>
      </c>
      <c r="AE155" s="11">
        <f t="shared" si="48"/>
        <v>0.21297049209380037</v>
      </c>
      <c r="AF155" s="11">
        <f t="shared" si="49"/>
        <v>3.0383121732351595E-2</v>
      </c>
      <c r="AG155" s="11">
        <f t="shared" si="50"/>
        <v>2.4278636098693244E-2</v>
      </c>
      <c r="AH155" s="11">
        <f t="shared" si="51"/>
        <v>8.3361633633888862E-2</v>
      </c>
      <c r="AI155" s="11">
        <f t="shared" si="52"/>
        <v>2.8751016432663052E-2</v>
      </c>
      <c r="AJ155" s="11"/>
    </row>
    <row r="156" spans="1:36">
      <c r="A156" t="s">
        <v>406</v>
      </c>
      <c r="B156">
        <v>1.1762000000000001E-3</v>
      </c>
      <c r="C156">
        <v>0</v>
      </c>
      <c r="D156">
        <v>14734</v>
      </c>
      <c r="E156">
        <v>397228</v>
      </c>
      <c r="F156">
        <v>41668.21</v>
      </c>
      <c r="G156">
        <v>908.50930000000005</v>
      </c>
      <c r="H156">
        <v>270156</v>
      </c>
      <c r="I156">
        <f t="shared" si="29"/>
        <v>0</v>
      </c>
      <c r="J156">
        <f t="shared" si="30"/>
        <v>0</v>
      </c>
      <c r="K156">
        <f t="shared" si="31"/>
        <v>0</v>
      </c>
      <c r="L156">
        <f t="shared" si="32"/>
        <v>0</v>
      </c>
      <c r="M156">
        <f t="shared" si="33"/>
        <v>0</v>
      </c>
      <c r="N156">
        <f t="shared" si="34"/>
        <v>0</v>
      </c>
      <c r="P156" s="11">
        <f t="shared" si="35"/>
        <v>8.0887164523247027E-2</v>
      </c>
      <c r="Q156" s="11">
        <f t="shared" si="36"/>
        <v>7.4500146712862481E-2</v>
      </c>
      <c r="R156" s="11">
        <f t="shared" si="37"/>
        <v>4.4811489145878854E-3</v>
      </c>
      <c r="S156" s="11">
        <f t="shared" si="38"/>
        <v>8.4930167252663235E-3</v>
      </c>
      <c r="T156" s="11">
        <f t="shared" si="39"/>
        <v>1.2294849007533548E-2</v>
      </c>
      <c r="U156" s="11">
        <f t="shared" si="40"/>
        <v>1.0057519806236436E-2</v>
      </c>
      <c r="W156">
        <f t="shared" si="41"/>
        <v>0</v>
      </c>
      <c r="X156">
        <f t="shared" si="42"/>
        <v>0</v>
      </c>
      <c r="Y156">
        <f t="shared" si="43"/>
        <v>0</v>
      </c>
      <c r="Z156">
        <f t="shared" si="44"/>
        <v>0</v>
      </c>
      <c r="AA156">
        <f t="shared" si="45"/>
        <v>0</v>
      </c>
      <c r="AB156">
        <f t="shared" si="46"/>
        <v>0</v>
      </c>
      <c r="AD156" s="11">
        <f t="shared" si="47"/>
        <v>0.11346911147240375</v>
      </c>
      <c r="AE156" s="11">
        <f t="shared" si="48"/>
        <v>4.4063040286686742E-2</v>
      </c>
      <c r="AF156" s="11">
        <f t="shared" si="49"/>
        <v>6.2861887755711679E-3</v>
      </c>
      <c r="AG156" s="11">
        <f t="shared" si="50"/>
        <v>5.0231865926822885E-3</v>
      </c>
      <c r="AH156" s="11">
        <f t="shared" si="51"/>
        <v>1.7247304943805369E-2</v>
      </c>
      <c r="AI156" s="11">
        <f t="shared" si="52"/>
        <v>5.9485104387027102E-3</v>
      </c>
      <c r="AJ156" s="11"/>
    </row>
    <row r="157" spans="1:36">
      <c r="A157" t="s">
        <v>985</v>
      </c>
      <c r="B157">
        <v>1.9713E-3</v>
      </c>
      <c r="C157">
        <v>0</v>
      </c>
      <c r="D157">
        <v>3226</v>
      </c>
      <c r="E157">
        <v>123123</v>
      </c>
      <c r="F157">
        <v>34605.379999999997</v>
      </c>
      <c r="G157">
        <v>1670.796</v>
      </c>
      <c r="H157">
        <v>73784</v>
      </c>
      <c r="I157">
        <f t="shared" si="29"/>
        <v>0</v>
      </c>
      <c r="J157">
        <f t="shared" si="30"/>
        <v>0</v>
      </c>
      <c r="K157">
        <f t="shared" si="31"/>
        <v>0</v>
      </c>
      <c r="L157">
        <f t="shared" si="32"/>
        <v>0</v>
      </c>
      <c r="M157">
        <f t="shared" si="33"/>
        <v>0</v>
      </c>
      <c r="N157">
        <f t="shared" si="34"/>
        <v>0</v>
      </c>
      <c r="P157" s="11">
        <f t="shared" si="35"/>
        <v>7.3715210312928686E-2</v>
      </c>
      <c r="Q157" s="11">
        <f t="shared" si="36"/>
        <v>6.7894504840806419E-2</v>
      </c>
      <c r="R157" s="11">
        <f t="shared" si="37"/>
        <v>4.0838226513362488E-3</v>
      </c>
      <c r="S157" s="11">
        <f t="shared" si="38"/>
        <v>7.739973551851932E-3</v>
      </c>
      <c r="T157" s="11">
        <f t="shared" si="39"/>
        <v>1.1204711967565161E-2</v>
      </c>
      <c r="U157" s="11">
        <f t="shared" si="40"/>
        <v>9.1657581535088666E-3</v>
      </c>
      <c r="W157">
        <f t="shared" si="41"/>
        <v>0</v>
      </c>
      <c r="X157">
        <f t="shared" si="42"/>
        <v>0</v>
      </c>
      <c r="Y157">
        <f t="shared" si="43"/>
        <v>0</v>
      </c>
      <c r="Z157">
        <f t="shared" si="44"/>
        <v>0</v>
      </c>
      <c r="AA157">
        <f t="shared" si="45"/>
        <v>0</v>
      </c>
      <c r="AB157">
        <f t="shared" si="46"/>
        <v>0</v>
      </c>
      <c r="AD157" s="11">
        <f t="shared" si="47"/>
        <v>0.61354986613825202</v>
      </c>
      <c r="AE157" s="11">
        <f t="shared" si="48"/>
        <v>0.23825754973075708</v>
      </c>
      <c r="AF157" s="11">
        <f t="shared" si="49"/>
        <v>3.399066258405916E-2</v>
      </c>
      <c r="AG157" s="11">
        <f t="shared" si="50"/>
        <v>2.7161360669306307E-2</v>
      </c>
      <c r="AH157" s="11">
        <f t="shared" si="51"/>
        <v>9.3259579653014305E-2</v>
      </c>
      <c r="AI157" s="11">
        <f t="shared" si="52"/>
        <v>3.216476921365221E-2</v>
      </c>
      <c r="AJ157" s="11"/>
    </row>
    <row r="158" spans="1:36">
      <c r="A158" t="s">
        <v>407</v>
      </c>
      <c r="B158">
        <v>3.3387E-3</v>
      </c>
      <c r="C158">
        <v>0</v>
      </c>
      <c r="D158">
        <v>88066</v>
      </c>
      <c r="E158">
        <v>1720796</v>
      </c>
      <c r="F158">
        <v>41526.29</v>
      </c>
      <c r="G158">
        <v>1638.0930000000001</v>
      </c>
      <c r="H158">
        <v>1130429</v>
      </c>
      <c r="I158">
        <f t="shared" si="29"/>
        <v>0</v>
      </c>
      <c r="J158">
        <f t="shared" si="30"/>
        <v>0</v>
      </c>
      <c r="K158">
        <f t="shared" si="31"/>
        <v>0</v>
      </c>
      <c r="L158">
        <f t="shared" si="32"/>
        <v>0</v>
      </c>
      <c r="M158">
        <f t="shared" si="33"/>
        <v>0</v>
      </c>
      <c r="N158">
        <f t="shared" si="34"/>
        <v>0</v>
      </c>
      <c r="P158" s="11">
        <f t="shared" si="35"/>
        <v>0.12734053101380691</v>
      </c>
      <c r="Q158" s="11">
        <f t="shared" si="36"/>
        <v>0.11728545930542406</v>
      </c>
      <c r="R158" s="11">
        <f t="shared" si="37"/>
        <v>7.0546654181649028E-3</v>
      </c>
      <c r="S158" s="11">
        <f t="shared" si="38"/>
        <v>1.3370542360818343E-2</v>
      </c>
      <c r="T158" s="11">
        <f t="shared" si="39"/>
        <v>1.9355760714098648E-2</v>
      </c>
      <c r="U158" s="11">
        <f t="shared" si="40"/>
        <v>1.5833537006232249E-2</v>
      </c>
      <c r="W158">
        <f t="shared" si="41"/>
        <v>0</v>
      </c>
      <c r="X158">
        <f t="shared" si="42"/>
        <v>0</v>
      </c>
      <c r="Y158">
        <f t="shared" si="43"/>
        <v>0</v>
      </c>
      <c r="Z158">
        <f t="shared" si="44"/>
        <v>0</v>
      </c>
      <c r="AA158">
        <f t="shared" si="45"/>
        <v>0</v>
      </c>
      <c r="AB158">
        <f t="shared" si="46"/>
        <v>0</v>
      </c>
      <c r="AD158" s="11">
        <f t="shared" si="47"/>
        <v>7.4350576785080849E-2</v>
      </c>
      <c r="AE158" s="11">
        <f t="shared" si="48"/>
        <v>2.8872284427962407E-2</v>
      </c>
      <c r="AF158" s="11">
        <f t="shared" si="49"/>
        <v>4.1190219538934786E-3</v>
      </c>
      <c r="AG158" s="11">
        <f t="shared" si="50"/>
        <v>3.2914404247877146E-3</v>
      </c>
      <c r="AH158" s="11">
        <f t="shared" si="51"/>
        <v>1.1301287671332289E-2</v>
      </c>
      <c r="AI158" s="11">
        <f t="shared" si="52"/>
        <v>3.8977583977749253E-3</v>
      </c>
      <c r="AJ158" s="11"/>
    </row>
    <row r="159" spans="1:36">
      <c r="A159" t="s">
        <v>408</v>
      </c>
      <c r="B159">
        <v>1.7302000000000001E-2</v>
      </c>
      <c r="C159">
        <v>0</v>
      </c>
      <c r="D159">
        <v>4774</v>
      </c>
      <c r="E159">
        <v>149359</v>
      </c>
      <c r="F159">
        <v>32216.15</v>
      </c>
      <c r="G159">
        <v>2062.9119999999998</v>
      </c>
      <c r="H159">
        <v>115376</v>
      </c>
      <c r="I159">
        <f t="shared" si="29"/>
        <v>0</v>
      </c>
      <c r="J159">
        <f t="shared" si="30"/>
        <v>0</v>
      </c>
      <c r="K159">
        <f t="shared" si="31"/>
        <v>0</v>
      </c>
      <c r="L159">
        <f t="shared" si="32"/>
        <v>0</v>
      </c>
      <c r="M159">
        <f t="shared" si="33"/>
        <v>0</v>
      </c>
      <c r="N159">
        <f t="shared" si="34"/>
        <v>0</v>
      </c>
      <c r="P159" s="11">
        <f t="shared" si="35"/>
        <v>0.52401463862733855</v>
      </c>
      <c r="Q159" s="11">
        <f t="shared" si="36"/>
        <v>0.48263735893726933</v>
      </c>
      <c r="R159" s="11">
        <f t="shared" si="37"/>
        <v>2.9030410979954555E-2</v>
      </c>
      <c r="S159" s="11">
        <f t="shared" si="38"/>
        <v>5.5020658918848706E-2</v>
      </c>
      <c r="T159" s="11">
        <f t="shared" si="39"/>
        <v>7.9650225071355454E-2</v>
      </c>
      <c r="U159" s="11">
        <f t="shared" si="40"/>
        <v>6.5156043456531365E-2</v>
      </c>
      <c r="W159">
        <f t="shared" si="41"/>
        <v>0</v>
      </c>
      <c r="X159">
        <f t="shared" si="42"/>
        <v>0</v>
      </c>
      <c r="Y159">
        <f t="shared" si="43"/>
        <v>0</v>
      </c>
      <c r="Z159">
        <f t="shared" si="44"/>
        <v>0</v>
      </c>
      <c r="AA159">
        <f t="shared" si="45"/>
        <v>0</v>
      </c>
      <c r="AB159">
        <f t="shared" si="46"/>
        <v>0</v>
      </c>
      <c r="AD159" s="11">
        <f t="shared" si="47"/>
        <v>4.4391645448322494</v>
      </c>
      <c r="AE159" s="11">
        <f t="shared" si="48"/>
        <v>1.7238443453022585</v>
      </c>
      <c r="AF159" s="11">
        <f t="shared" si="49"/>
        <v>0.24592971578370662</v>
      </c>
      <c r="AG159" s="11">
        <f t="shared" si="50"/>
        <v>0.19651825536445747</v>
      </c>
      <c r="AH159" s="11">
        <f t="shared" si="51"/>
        <v>0.6747530108145019</v>
      </c>
      <c r="AI159" s="11">
        <f t="shared" si="52"/>
        <v>0.23271898661580492</v>
      </c>
      <c r="AJ159" s="11"/>
    </row>
    <row r="160" spans="1:36">
      <c r="A160" t="s">
        <v>409</v>
      </c>
      <c r="B160">
        <v>2.28357E-2</v>
      </c>
      <c r="C160">
        <v>0</v>
      </c>
      <c r="D160">
        <v>3348</v>
      </c>
      <c r="E160">
        <v>101027</v>
      </c>
      <c r="F160">
        <v>33516.26</v>
      </c>
      <c r="G160">
        <v>2967.9769999999999</v>
      </c>
      <c r="H160">
        <v>68268</v>
      </c>
      <c r="I160">
        <f t="shared" si="29"/>
        <v>0</v>
      </c>
      <c r="J160">
        <f t="shared" si="30"/>
        <v>0</v>
      </c>
      <c r="K160">
        <f t="shared" si="31"/>
        <v>0</v>
      </c>
      <c r="L160">
        <f t="shared" si="32"/>
        <v>0</v>
      </c>
      <c r="M160">
        <f t="shared" si="33"/>
        <v>0</v>
      </c>
      <c r="N160">
        <f t="shared" si="34"/>
        <v>0</v>
      </c>
      <c r="P160" s="11">
        <f t="shared" si="35"/>
        <v>0.48070828991262404</v>
      </c>
      <c r="Q160" s="11">
        <f t="shared" si="36"/>
        <v>0.442750569087968</v>
      </c>
      <c r="R160" s="11">
        <f t="shared" si="37"/>
        <v>2.6631239261159369E-2</v>
      </c>
      <c r="S160" s="11">
        <f t="shared" si="38"/>
        <v>5.0473564876028353E-2</v>
      </c>
      <c r="T160" s="11">
        <f t="shared" si="39"/>
        <v>7.3067660066718859E-2</v>
      </c>
      <c r="U160" s="11">
        <f t="shared" si="40"/>
        <v>5.9771326826875686E-2</v>
      </c>
      <c r="W160">
        <f t="shared" si="41"/>
        <v>0</v>
      </c>
      <c r="X160">
        <f t="shared" si="42"/>
        <v>0</v>
      </c>
      <c r="Y160">
        <f t="shared" si="43"/>
        <v>0</v>
      </c>
      <c r="Z160">
        <f t="shared" si="44"/>
        <v>0</v>
      </c>
      <c r="AA160">
        <f t="shared" si="45"/>
        <v>0</v>
      </c>
      <c r="AB160">
        <f t="shared" si="46"/>
        <v>0</v>
      </c>
      <c r="AD160" s="11">
        <f t="shared" si="47"/>
        <v>8.6619007825834675</v>
      </c>
      <c r="AE160" s="11">
        <f t="shared" si="48"/>
        <v>3.3636438867777922</v>
      </c>
      <c r="AF160" s="11">
        <f t="shared" si="49"/>
        <v>0.47986930335512407</v>
      </c>
      <c r="AG160" s="11">
        <f t="shared" si="50"/>
        <v>0.38345540309266835</v>
      </c>
      <c r="AH160" s="11">
        <f t="shared" si="51"/>
        <v>1.3166089189526871</v>
      </c>
      <c r="AI160" s="11">
        <f t="shared" si="52"/>
        <v>0.45409192471500198</v>
      </c>
      <c r="AJ160" s="11"/>
    </row>
    <row r="161" spans="1:36">
      <c r="A161" t="s">
        <v>410</v>
      </c>
      <c r="B161">
        <v>2.0958999999999999E-3</v>
      </c>
      <c r="C161">
        <v>0</v>
      </c>
      <c r="D161">
        <v>4218</v>
      </c>
      <c r="E161">
        <v>160266</v>
      </c>
      <c r="F161">
        <v>37490.89</v>
      </c>
      <c r="G161">
        <v>2693.7779999999998</v>
      </c>
      <c r="H161">
        <v>74845</v>
      </c>
      <c r="I161">
        <f t="shared" si="29"/>
        <v>0</v>
      </c>
      <c r="J161">
        <f t="shared" si="30"/>
        <v>0</v>
      </c>
      <c r="K161">
        <f t="shared" si="31"/>
        <v>0</v>
      </c>
      <c r="L161">
        <f t="shared" si="32"/>
        <v>0</v>
      </c>
      <c r="M161">
        <f t="shared" si="33"/>
        <v>0</v>
      </c>
      <c r="N161">
        <f t="shared" si="34"/>
        <v>0</v>
      </c>
      <c r="P161" s="11">
        <f t="shared" si="35"/>
        <v>4.8611225494454256E-2</v>
      </c>
      <c r="Q161" s="11">
        <f t="shared" si="36"/>
        <v>4.4772782586389823E-2</v>
      </c>
      <c r="R161" s="11">
        <f t="shared" si="37"/>
        <v>2.6930618923927657E-3</v>
      </c>
      <c r="S161" s="11">
        <f t="shared" si="38"/>
        <v>5.1040972148484395E-3</v>
      </c>
      <c r="T161" s="11">
        <f t="shared" si="39"/>
        <v>7.3889062751570471E-3</v>
      </c>
      <c r="U161" s="11">
        <f t="shared" si="40"/>
        <v>6.0443256491626261E-3</v>
      </c>
      <c r="W161">
        <f t="shared" si="41"/>
        <v>0</v>
      </c>
      <c r="X161">
        <f t="shared" si="42"/>
        <v>0</v>
      </c>
      <c r="Y161">
        <f t="shared" si="43"/>
        <v>0</v>
      </c>
      <c r="Z161">
        <f t="shared" si="44"/>
        <v>0</v>
      </c>
      <c r="AA161">
        <f t="shared" si="45"/>
        <v>0</v>
      </c>
      <c r="AB161">
        <f t="shared" si="46"/>
        <v>0</v>
      </c>
      <c r="AD161" s="11">
        <f t="shared" si="47"/>
        <v>0.50114741280883024</v>
      </c>
      <c r="AE161" s="11">
        <f t="shared" si="48"/>
        <v>0.19460872085470407</v>
      </c>
      <c r="AF161" s="11">
        <f t="shared" si="49"/>
        <v>2.7763566669609194E-2</v>
      </c>
      <c r="AG161" s="11">
        <f t="shared" si="50"/>
        <v>2.2185394177436264E-2</v>
      </c>
      <c r="AH161" s="11">
        <f t="shared" si="51"/>
        <v>7.6174406746942189E-2</v>
      </c>
      <c r="AI161" s="11">
        <f t="shared" si="52"/>
        <v>2.6272177315385052E-2</v>
      </c>
      <c r="AJ161" s="11"/>
    </row>
    <row r="162" spans="1:36">
      <c r="A162" t="s">
        <v>411</v>
      </c>
      <c r="B162">
        <v>1.8209000000000001E-3</v>
      </c>
      <c r="C162">
        <v>0</v>
      </c>
      <c r="D162">
        <v>19517</v>
      </c>
      <c r="E162">
        <v>537194</v>
      </c>
      <c r="F162">
        <v>34641.96</v>
      </c>
      <c r="G162">
        <v>1217.98</v>
      </c>
      <c r="H162">
        <v>342633</v>
      </c>
      <c r="I162">
        <f t="shared" si="29"/>
        <v>0</v>
      </c>
      <c r="J162">
        <f t="shared" si="30"/>
        <v>0</v>
      </c>
      <c r="K162">
        <f t="shared" si="31"/>
        <v>0</v>
      </c>
      <c r="L162">
        <f t="shared" si="32"/>
        <v>0</v>
      </c>
      <c r="M162">
        <f t="shared" si="33"/>
        <v>0</v>
      </c>
      <c r="N162">
        <f t="shared" si="34"/>
        <v>0</v>
      </c>
      <c r="P162" s="11">
        <f t="shared" si="35"/>
        <v>9.3405780300169133E-2</v>
      </c>
      <c r="Q162" s="11">
        <f t="shared" si="36"/>
        <v>8.6030266695676455E-2</v>
      </c>
      <c r="R162" s="11">
        <f t="shared" si="37"/>
        <v>5.1746802286293699E-3</v>
      </c>
      <c r="S162" s="11">
        <f t="shared" si="38"/>
        <v>9.8074504033071157E-3</v>
      </c>
      <c r="T162" s="11">
        <f t="shared" si="39"/>
        <v>1.4197678605625708E-2</v>
      </c>
      <c r="U162" s="11">
        <f t="shared" si="40"/>
        <v>1.1614086003916323E-2</v>
      </c>
      <c r="W162">
        <f t="shared" si="41"/>
        <v>0</v>
      </c>
      <c r="X162">
        <f t="shared" si="42"/>
        <v>0</v>
      </c>
      <c r="Y162">
        <f t="shared" si="43"/>
        <v>0</v>
      </c>
      <c r="Z162">
        <f t="shared" si="44"/>
        <v>0</v>
      </c>
      <c r="AA162">
        <f t="shared" si="45"/>
        <v>0</v>
      </c>
      <c r="AB162">
        <f t="shared" si="46"/>
        <v>0</v>
      </c>
      <c r="AD162" s="11">
        <f t="shared" si="47"/>
        <v>0.1298946533584143</v>
      </c>
      <c r="AE162" s="11">
        <f t="shared" si="48"/>
        <v>5.0441510202087141E-2</v>
      </c>
      <c r="AF162" s="11">
        <f t="shared" si="49"/>
        <v>7.1961637960561518E-3</v>
      </c>
      <c r="AG162" s="11">
        <f t="shared" si="50"/>
        <v>5.7503321630379342E-3</v>
      </c>
      <c r="AH162" s="11">
        <f t="shared" si="51"/>
        <v>1.9743987310478973E-2</v>
      </c>
      <c r="AI162" s="11">
        <f t="shared" si="52"/>
        <v>6.8096038772817646E-3</v>
      </c>
      <c r="AJ162" s="11"/>
    </row>
    <row r="163" spans="1:36">
      <c r="A163" t="s">
        <v>412</v>
      </c>
      <c r="B163">
        <v>3.5406000000000001E-3</v>
      </c>
      <c r="C163">
        <v>0</v>
      </c>
      <c r="D163">
        <v>3844</v>
      </c>
      <c r="E163">
        <v>113008</v>
      </c>
      <c r="F163">
        <v>33077.94</v>
      </c>
      <c r="G163">
        <v>1201.502</v>
      </c>
      <c r="H163">
        <v>77424</v>
      </c>
      <c r="I163">
        <f t="shared" ref="I163:I226" si="53">+$B$17*C163/G163</f>
        <v>0</v>
      </c>
      <c r="J163">
        <f t="shared" ref="J163:J226" si="54">+$C$17*C163/G163</f>
        <v>0</v>
      </c>
      <c r="K163">
        <f t="shared" ref="K163:K226" si="55">+I163*$B$12</f>
        <v>0</v>
      </c>
      <c r="L163">
        <f t="shared" ref="L163:L226" si="56">+J163*$D$12</f>
        <v>0</v>
      </c>
      <c r="M163">
        <f t="shared" ref="M163:M226" si="57">+I163*$C$12</f>
        <v>0</v>
      </c>
      <c r="N163">
        <f t="shared" ref="N163:N226" si="58">+J163*$E$12</f>
        <v>0</v>
      </c>
      <c r="P163" s="11">
        <f t="shared" ref="P163:P226" si="59">+$B$25*B163/G163</f>
        <v>0.18411118821275371</v>
      </c>
      <c r="Q163" s="11">
        <f t="shared" ref="Q163:Q226" si="60">+B163/G163*$C$25</f>
        <v>0.16957338799269581</v>
      </c>
      <c r="R163" s="11">
        <f t="shared" ref="R163:R226" si="61">+P163*$B$12</f>
        <v>1.0199759826986555E-2</v>
      </c>
      <c r="S163" s="11">
        <f t="shared" ref="S163:S226" si="62">+Q163*$D$12</f>
        <v>1.9331366231167324E-2</v>
      </c>
      <c r="T163" s="11">
        <f t="shared" ref="T163:T226" si="63">+P163*$C$12</f>
        <v>2.7984900608338564E-2</v>
      </c>
      <c r="U163" s="11">
        <f t="shared" ref="U163:U226" si="64">+Q163*$E$12</f>
        <v>2.2892407379013935E-2</v>
      </c>
      <c r="W163">
        <f t="shared" ref="W163:W226" si="65">+$E$17*C163/E163</f>
        <v>0</v>
      </c>
      <c r="X163">
        <f t="shared" ref="X163:X226" si="66">+$F$17*C163/E163</f>
        <v>0</v>
      </c>
      <c r="Y163">
        <f t="shared" ref="Y163:Y226" si="67">+W163*$B$12</f>
        <v>0</v>
      </c>
      <c r="Z163">
        <f t="shared" ref="Z163:Z226" si="68">+X163*$D$12</f>
        <v>0</v>
      </c>
      <c r="AA163">
        <f t="shared" ref="AA163:AA226" si="69">+W163*$C$12</f>
        <v>0</v>
      </c>
      <c r="AB163">
        <f t="shared" ref="AB163:AB226" si="70">+X163*$E$12</f>
        <v>0</v>
      </c>
      <c r="AD163" s="11">
        <f t="shared" ref="AD163:AD226" si="71">+$E$25*B163/E163</f>
        <v>1.2006156741600595</v>
      </c>
      <c r="AE163" s="11">
        <f t="shared" ref="AE163:AE226" si="72">+B163/E163*$F$25</f>
        <v>0.46623064314915763</v>
      </c>
      <c r="AF163" s="11">
        <f t="shared" ref="AF163:AF226" si="73">+AD163*$B$12</f>
        <v>6.6514108348467299E-2</v>
      </c>
      <c r="AG163" s="11">
        <f t="shared" ref="AG163:AG226" si="74">+AE163*$D$12</f>
        <v>5.315029331900397E-2</v>
      </c>
      <c r="AH163" s="11">
        <f t="shared" ref="AH163:AH226" si="75">+AD163*$C$12</f>
        <v>0.18249358247232905</v>
      </c>
      <c r="AI163" s="11">
        <f t="shared" ref="AI163:AI226" si="76">+AE163*$E$12</f>
        <v>6.2941136825136287E-2</v>
      </c>
      <c r="AJ163" s="11"/>
    </row>
    <row r="164" spans="1:36">
      <c r="A164" t="s">
        <v>413</v>
      </c>
      <c r="B164">
        <v>5.7381999999999997E-3</v>
      </c>
      <c r="C164">
        <v>0</v>
      </c>
      <c r="D164">
        <v>51732</v>
      </c>
      <c r="E164">
        <v>1316528</v>
      </c>
      <c r="F164">
        <v>38499.519999999997</v>
      </c>
      <c r="G164">
        <v>1297.6099999999999</v>
      </c>
      <c r="H164">
        <v>826575</v>
      </c>
      <c r="I164">
        <f t="shared" si="53"/>
        <v>0</v>
      </c>
      <c r="J164">
        <f t="shared" si="54"/>
        <v>0</v>
      </c>
      <c r="K164">
        <f t="shared" si="55"/>
        <v>0</v>
      </c>
      <c r="L164">
        <f t="shared" si="56"/>
        <v>0</v>
      </c>
      <c r="M164">
        <f t="shared" si="57"/>
        <v>0</v>
      </c>
      <c r="N164">
        <f t="shared" si="58"/>
        <v>0</v>
      </c>
      <c r="P164" s="11">
        <f t="shared" si="59"/>
        <v>0.27628627509035841</v>
      </c>
      <c r="Q164" s="11">
        <f t="shared" si="60"/>
        <v>0.2544701393639075</v>
      </c>
      <c r="R164" s="11">
        <f t="shared" si="61"/>
        <v>1.5306259640005855E-2</v>
      </c>
      <c r="S164" s="11">
        <f t="shared" si="62"/>
        <v>2.9009595887485456E-2</v>
      </c>
      <c r="T164" s="11">
        <f t="shared" si="63"/>
        <v>4.1995513813734481E-2</v>
      </c>
      <c r="U164" s="11">
        <f t="shared" si="64"/>
        <v>3.4353468814127514E-2</v>
      </c>
      <c r="W164">
        <f t="shared" si="65"/>
        <v>0</v>
      </c>
      <c r="X164">
        <f t="shared" si="66"/>
        <v>0</v>
      </c>
      <c r="Y164">
        <f t="shared" si="67"/>
        <v>0</v>
      </c>
      <c r="Z164">
        <f t="shared" si="68"/>
        <v>0</v>
      </c>
      <c r="AA164">
        <f t="shared" si="69"/>
        <v>0</v>
      </c>
      <c r="AB164">
        <f t="shared" si="70"/>
        <v>0</v>
      </c>
      <c r="AD164" s="11">
        <f t="shared" si="71"/>
        <v>0.16702516662886013</v>
      </c>
      <c r="AE164" s="11">
        <f t="shared" si="72"/>
        <v>6.4860265058547931E-2</v>
      </c>
      <c r="AF164" s="11">
        <f t="shared" si="73"/>
        <v>9.2531942312388503E-3</v>
      </c>
      <c r="AG164" s="11">
        <f t="shared" si="74"/>
        <v>7.3940702166744639E-3</v>
      </c>
      <c r="AH164" s="11">
        <f t="shared" si="75"/>
        <v>2.5387825327586738E-2</v>
      </c>
      <c r="AI164" s="11">
        <f t="shared" si="76"/>
        <v>8.7561357829039708E-3</v>
      </c>
      <c r="AJ164" s="11"/>
    </row>
    <row r="165" spans="1:36">
      <c r="A165" t="s">
        <v>414</v>
      </c>
      <c r="B165">
        <v>6.5725999999999996E-3</v>
      </c>
      <c r="C165">
        <v>0</v>
      </c>
      <c r="D165">
        <v>4366</v>
      </c>
      <c r="E165">
        <v>160186</v>
      </c>
      <c r="F165">
        <v>36059.019999999997</v>
      </c>
      <c r="G165">
        <v>1243.299</v>
      </c>
      <c r="H165">
        <v>84361</v>
      </c>
      <c r="I165">
        <f t="shared" si="53"/>
        <v>0</v>
      </c>
      <c r="J165">
        <f t="shared" si="54"/>
        <v>0</v>
      </c>
      <c r="K165">
        <f t="shared" si="55"/>
        <v>0</v>
      </c>
      <c r="L165">
        <f t="shared" si="56"/>
        <v>0</v>
      </c>
      <c r="M165">
        <f t="shared" si="57"/>
        <v>0</v>
      </c>
      <c r="N165">
        <f t="shared" si="58"/>
        <v>0</v>
      </c>
      <c r="P165" s="11">
        <f t="shared" si="59"/>
        <v>0.33028544224679662</v>
      </c>
      <c r="Q165" s="11">
        <f t="shared" si="60"/>
        <v>0.30420542059472422</v>
      </c>
      <c r="R165" s="11">
        <f t="shared" si="61"/>
        <v>1.8297813500472531E-2</v>
      </c>
      <c r="S165" s="11">
        <f t="shared" si="62"/>
        <v>3.4679417947798559E-2</v>
      </c>
      <c r="T165" s="11">
        <f t="shared" si="63"/>
        <v>5.0203387221513088E-2</v>
      </c>
      <c r="U165" s="11">
        <f t="shared" si="64"/>
        <v>4.1067731780287775E-2</v>
      </c>
      <c r="W165">
        <f t="shared" si="65"/>
        <v>0</v>
      </c>
      <c r="X165">
        <f t="shared" si="66"/>
        <v>0</v>
      </c>
      <c r="Y165">
        <f t="shared" si="67"/>
        <v>0</v>
      </c>
      <c r="Z165">
        <f t="shared" si="68"/>
        <v>0</v>
      </c>
      <c r="AA165">
        <f t="shared" si="69"/>
        <v>0</v>
      </c>
      <c r="AB165">
        <f t="shared" si="70"/>
        <v>0</v>
      </c>
      <c r="AD165" s="11">
        <f t="shared" si="71"/>
        <v>1.5723491072320923</v>
      </c>
      <c r="AE165" s="11">
        <f t="shared" si="72"/>
        <v>0.61058451201103714</v>
      </c>
      <c r="AF165" s="11">
        <f t="shared" si="73"/>
        <v>8.7108140540657908E-2</v>
      </c>
      <c r="AG165" s="11">
        <f t="shared" si="74"/>
        <v>6.9606634369258236E-2</v>
      </c>
      <c r="AH165" s="11">
        <f t="shared" si="75"/>
        <v>0.23899706429927803</v>
      </c>
      <c r="AI165" s="11">
        <f t="shared" si="76"/>
        <v>8.2428909121490021E-2</v>
      </c>
      <c r="AJ165" s="11"/>
    </row>
    <row r="166" spans="1:36">
      <c r="A166" t="s">
        <v>415</v>
      </c>
      <c r="B166">
        <v>3.7173000000000002E-3</v>
      </c>
      <c r="C166">
        <v>0</v>
      </c>
      <c r="D166">
        <v>4085</v>
      </c>
      <c r="E166">
        <v>146465</v>
      </c>
      <c r="F166">
        <v>33773.29</v>
      </c>
      <c r="G166">
        <v>1740.777</v>
      </c>
      <c r="H166">
        <v>102421</v>
      </c>
      <c r="I166">
        <f t="shared" si="53"/>
        <v>0</v>
      </c>
      <c r="J166">
        <f t="shared" si="54"/>
        <v>0</v>
      </c>
      <c r="K166">
        <f t="shared" si="55"/>
        <v>0</v>
      </c>
      <c r="L166">
        <f t="shared" si="56"/>
        <v>0</v>
      </c>
      <c r="M166">
        <f t="shared" si="57"/>
        <v>0</v>
      </c>
      <c r="N166">
        <f t="shared" si="58"/>
        <v>0</v>
      </c>
      <c r="P166" s="11">
        <f t="shared" si="59"/>
        <v>0.1334173424453563</v>
      </c>
      <c r="Q166" s="11">
        <f t="shared" si="60"/>
        <v>0.12288243313761613</v>
      </c>
      <c r="R166" s="11">
        <f t="shared" si="61"/>
        <v>7.3913207714727388E-3</v>
      </c>
      <c r="S166" s="11">
        <f t="shared" si="62"/>
        <v>1.4008597377688239E-2</v>
      </c>
      <c r="T166" s="11">
        <f t="shared" si="63"/>
        <v>2.0279436051694157E-2</v>
      </c>
      <c r="U166" s="11">
        <f t="shared" si="64"/>
        <v>1.6589128473578178E-2</v>
      </c>
      <c r="W166">
        <f t="shared" si="65"/>
        <v>0</v>
      </c>
      <c r="X166">
        <f t="shared" si="66"/>
        <v>0</v>
      </c>
      <c r="Y166">
        <f t="shared" si="67"/>
        <v>0</v>
      </c>
      <c r="Z166">
        <f t="shared" si="68"/>
        <v>0</v>
      </c>
      <c r="AA166">
        <f t="shared" si="69"/>
        <v>0</v>
      </c>
      <c r="AB166">
        <f t="shared" si="70"/>
        <v>0</v>
      </c>
      <c r="AD166" s="11">
        <f t="shared" si="71"/>
        <v>0.972590646197658</v>
      </c>
      <c r="AE166" s="11">
        <f t="shared" si="72"/>
        <v>0.37768252760386445</v>
      </c>
      <c r="AF166" s="11">
        <f t="shared" si="73"/>
        <v>5.3881521799350254E-2</v>
      </c>
      <c r="AG166" s="11">
        <f t="shared" si="74"/>
        <v>4.3055808146840548E-2</v>
      </c>
      <c r="AH166" s="11">
        <f t="shared" si="75"/>
        <v>0.14783377822204402</v>
      </c>
      <c r="AI166" s="11">
        <f t="shared" si="76"/>
        <v>5.0987141226521704E-2</v>
      </c>
      <c r="AJ166" s="11"/>
    </row>
    <row r="167" spans="1:36">
      <c r="A167" t="s">
        <v>416</v>
      </c>
      <c r="B167">
        <v>2.3996999999999998E-3</v>
      </c>
      <c r="C167">
        <v>0</v>
      </c>
      <c r="D167">
        <v>4897</v>
      </c>
      <c r="E167">
        <v>195783</v>
      </c>
      <c r="F167">
        <v>29152.83</v>
      </c>
      <c r="G167">
        <v>987.721</v>
      </c>
      <c r="H167">
        <v>109002</v>
      </c>
      <c r="I167">
        <f t="shared" si="53"/>
        <v>0</v>
      </c>
      <c r="J167">
        <f t="shared" si="54"/>
        <v>0</v>
      </c>
      <c r="K167">
        <f t="shared" si="55"/>
        <v>0</v>
      </c>
      <c r="L167">
        <f t="shared" si="56"/>
        <v>0</v>
      </c>
      <c r="M167">
        <f t="shared" si="57"/>
        <v>0</v>
      </c>
      <c r="N167">
        <f t="shared" si="58"/>
        <v>0</v>
      </c>
      <c r="P167" s="11">
        <f t="shared" si="59"/>
        <v>0.15179255738209474</v>
      </c>
      <c r="Q167" s="11">
        <f t="shared" si="60"/>
        <v>0.13980670309733215</v>
      </c>
      <c r="R167" s="11">
        <f t="shared" si="61"/>
        <v>8.409307678968048E-3</v>
      </c>
      <c r="S167" s="11">
        <f t="shared" si="62"/>
        <v>1.5937964153095865E-2</v>
      </c>
      <c r="T167" s="11">
        <f t="shared" si="63"/>
        <v>2.3072468722078399E-2</v>
      </c>
      <c r="U167" s="11">
        <f t="shared" si="64"/>
        <v>1.8873904918139842E-2</v>
      </c>
      <c r="W167">
        <f t="shared" si="65"/>
        <v>0</v>
      </c>
      <c r="X167">
        <f t="shared" si="66"/>
        <v>0</v>
      </c>
      <c r="Y167">
        <f t="shared" si="67"/>
        <v>0</v>
      </c>
      <c r="Z167">
        <f t="shared" si="68"/>
        <v>0</v>
      </c>
      <c r="AA167">
        <f t="shared" si="69"/>
        <v>0</v>
      </c>
      <c r="AB167">
        <f t="shared" si="70"/>
        <v>0</v>
      </c>
      <c r="AD167" s="11">
        <f t="shared" si="71"/>
        <v>0.46969756124515405</v>
      </c>
      <c r="AE167" s="11">
        <f t="shared" si="72"/>
        <v>0.18239591634360491</v>
      </c>
      <c r="AF167" s="11">
        <f t="shared" si="73"/>
        <v>2.6021244892981535E-2</v>
      </c>
      <c r="AG167" s="11">
        <f t="shared" si="74"/>
        <v>2.0793134463170961E-2</v>
      </c>
      <c r="AH167" s="11">
        <f t="shared" si="75"/>
        <v>7.1394029309263418E-2</v>
      </c>
      <c r="AI167" s="11">
        <f t="shared" si="76"/>
        <v>2.4623448706386664E-2</v>
      </c>
      <c r="AJ167" s="11"/>
    </row>
    <row r="168" spans="1:36">
      <c r="A168" t="s">
        <v>417</v>
      </c>
      <c r="B168">
        <v>8.6239999999999997E-3</v>
      </c>
      <c r="C168">
        <v>0</v>
      </c>
      <c r="D168">
        <v>3342</v>
      </c>
      <c r="E168">
        <v>144488</v>
      </c>
      <c r="F168">
        <v>29701.25</v>
      </c>
      <c r="G168">
        <v>2334.0369999999998</v>
      </c>
      <c r="H168">
        <v>78091</v>
      </c>
      <c r="I168">
        <f t="shared" si="53"/>
        <v>0</v>
      </c>
      <c r="J168">
        <f t="shared" si="54"/>
        <v>0</v>
      </c>
      <c r="K168">
        <f t="shared" si="55"/>
        <v>0</v>
      </c>
      <c r="L168">
        <f t="shared" si="56"/>
        <v>0</v>
      </c>
      <c r="M168">
        <f t="shared" si="57"/>
        <v>0</v>
      </c>
      <c r="N168">
        <f t="shared" si="58"/>
        <v>0</v>
      </c>
      <c r="P168" s="11">
        <f t="shared" si="59"/>
        <v>0.23084944000459293</v>
      </c>
      <c r="Q168" s="11">
        <f t="shared" si="60"/>
        <v>0.21262109075391691</v>
      </c>
      <c r="R168" s="11">
        <f t="shared" si="61"/>
        <v>1.2789058976254448E-2</v>
      </c>
      <c r="S168" s="11">
        <f t="shared" si="62"/>
        <v>2.4238804345946528E-2</v>
      </c>
      <c r="T168" s="11">
        <f t="shared" si="63"/>
        <v>3.5089114880698123E-2</v>
      </c>
      <c r="U168" s="11">
        <f t="shared" si="64"/>
        <v>2.8703847251778786E-2</v>
      </c>
      <c r="W168">
        <f t="shared" si="65"/>
        <v>0</v>
      </c>
      <c r="X168">
        <f t="shared" si="66"/>
        <v>0</v>
      </c>
      <c r="Y168">
        <f t="shared" si="67"/>
        <v>0</v>
      </c>
      <c r="Z168">
        <f t="shared" si="68"/>
        <v>0</v>
      </c>
      <c r="AA168">
        <f t="shared" si="69"/>
        <v>0</v>
      </c>
      <c r="AB168">
        <f t="shared" si="70"/>
        <v>0</v>
      </c>
      <c r="AD168" s="11">
        <f t="shared" si="71"/>
        <v>2.2872482338962401</v>
      </c>
      <c r="AE168" s="11">
        <f t="shared" si="72"/>
        <v>0.88819864514700175</v>
      </c>
      <c r="AF168" s="11">
        <f t="shared" si="73"/>
        <v>0.12671355215785168</v>
      </c>
      <c r="AG168" s="11">
        <f t="shared" si="74"/>
        <v>0.1012546455467582</v>
      </c>
      <c r="AH168" s="11">
        <f t="shared" si="75"/>
        <v>0.34766173155222851</v>
      </c>
      <c r="AI168" s="11">
        <f t="shared" si="76"/>
        <v>0.11990681709484524</v>
      </c>
      <c r="AJ168" s="11"/>
    </row>
    <row r="169" spans="1:36">
      <c r="A169" t="s">
        <v>986</v>
      </c>
      <c r="B169">
        <v>6.8809999999999997E-4</v>
      </c>
      <c r="C169">
        <v>0</v>
      </c>
      <c r="D169">
        <v>3230</v>
      </c>
      <c r="E169">
        <v>118135</v>
      </c>
      <c r="F169">
        <v>29351.71</v>
      </c>
      <c r="G169">
        <v>716.55420000000004</v>
      </c>
      <c r="H169">
        <v>65860</v>
      </c>
      <c r="I169">
        <f t="shared" si="53"/>
        <v>0</v>
      </c>
      <c r="J169">
        <f t="shared" si="54"/>
        <v>0</v>
      </c>
      <c r="K169">
        <f t="shared" si="55"/>
        <v>0</v>
      </c>
      <c r="L169">
        <f t="shared" si="56"/>
        <v>0</v>
      </c>
      <c r="M169">
        <f t="shared" si="57"/>
        <v>0</v>
      </c>
      <c r="N169">
        <f t="shared" si="58"/>
        <v>0</v>
      </c>
      <c r="P169" s="11">
        <f t="shared" si="59"/>
        <v>5.9997109234723622E-2</v>
      </c>
      <c r="Q169" s="11">
        <f t="shared" si="60"/>
        <v>5.525961339700472E-2</v>
      </c>
      <c r="R169" s="11">
        <f t="shared" si="61"/>
        <v>3.3238398516036885E-3</v>
      </c>
      <c r="S169" s="11">
        <f t="shared" si="62"/>
        <v>6.299595927258538E-3</v>
      </c>
      <c r="T169" s="11">
        <f t="shared" si="63"/>
        <v>9.1195606036779901E-3</v>
      </c>
      <c r="U169" s="11">
        <f t="shared" si="64"/>
        <v>7.4600478085956375E-3</v>
      </c>
      <c r="W169">
        <f t="shared" si="65"/>
        <v>0</v>
      </c>
      <c r="X169">
        <f t="shared" si="66"/>
        <v>0</v>
      </c>
      <c r="Y169">
        <f t="shared" si="67"/>
        <v>0</v>
      </c>
      <c r="Z169">
        <f t="shared" si="68"/>
        <v>0</v>
      </c>
      <c r="AA169">
        <f t="shared" si="69"/>
        <v>0</v>
      </c>
      <c r="AB169">
        <f t="shared" si="70"/>
        <v>0</v>
      </c>
      <c r="AD169" s="11">
        <f t="shared" si="71"/>
        <v>0.22320776811258303</v>
      </c>
      <c r="AE169" s="11">
        <f t="shared" si="72"/>
        <v>8.6677446848944004E-2</v>
      </c>
      <c r="AF169" s="11">
        <f t="shared" si="73"/>
        <v>1.2365710353437099E-2</v>
      </c>
      <c r="AG169" s="11">
        <f t="shared" si="74"/>
        <v>9.8812289407796162E-3</v>
      </c>
      <c r="AH169" s="11">
        <f t="shared" si="75"/>
        <v>3.392758075311262E-2</v>
      </c>
      <c r="AI169" s="11">
        <f t="shared" si="76"/>
        <v>1.1701455324607441E-2</v>
      </c>
      <c r="AJ169" s="11"/>
    </row>
    <row r="170" spans="1:36">
      <c r="A170" t="s">
        <v>418</v>
      </c>
      <c r="B170">
        <v>4.2440999999999998E-3</v>
      </c>
      <c r="C170">
        <v>0</v>
      </c>
      <c r="D170">
        <v>10483</v>
      </c>
      <c r="E170">
        <v>324135</v>
      </c>
      <c r="F170">
        <v>36942.97</v>
      </c>
      <c r="G170">
        <v>1326.579</v>
      </c>
      <c r="H170">
        <v>180716</v>
      </c>
      <c r="I170">
        <f t="shared" si="53"/>
        <v>0</v>
      </c>
      <c r="J170">
        <f t="shared" si="54"/>
        <v>0</v>
      </c>
      <c r="K170">
        <f t="shared" si="55"/>
        <v>0</v>
      </c>
      <c r="L170">
        <f t="shared" si="56"/>
        <v>0</v>
      </c>
      <c r="M170">
        <f t="shared" si="57"/>
        <v>0</v>
      </c>
      <c r="N170">
        <f t="shared" si="58"/>
        <v>0</v>
      </c>
      <c r="P170" s="11">
        <f t="shared" si="59"/>
        <v>0.19988504582840524</v>
      </c>
      <c r="Q170" s="11">
        <f t="shared" si="60"/>
        <v>0.18410170918580798</v>
      </c>
      <c r="R170" s="11">
        <f t="shared" si="61"/>
        <v>1.1073631538893651E-2</v>
      </c>
      <c r="S170" s="11">
        <f t="shared" si="62"/>
        <v>2.0987594847182111E-2</v>
      </c>
      <c r="T170" s="11">
        <f t="shared" si="63"/>
        <v>3.0382526965917596E-2</v>
      </c>
      <c r="U170" s="11">
        <f t="shared" si="64"/>
        <v>2.4853730740084078E-2</v>
      </c>
      <c r="W170">
        <f t="shared" si="65"/>
        <v>0</v>
      </c>
      <c r="X170">
        <f t="shared" si="66"/>
        <v>0</v>
      </c>
      <c r="Y170">
        <f t="shared" si="67"/>
        <v>0</v>
      </c>
      <c r="Z170">
        <f t="shared" si="68"/>
        <v>0</v>
      </c>
      <c r="AA170">
        <f t="shared" si="69"/>
        <v>0</v>
      </c>
      <c r="AB170">
        <f t="shared" si="70"/>
        <v>0</v>
      </c>
      <c r="AD170" s="11">
        <f t="shared" si="71"/>
        <v>0.50175997195853572</v>
      </c>
      <c r="AE170" s="11">
        <f t="shared" si="72"/>
        <v>0.19484659368318755</v>
      </c>
      <c r="AF170" s="11">
        <f t="shared" si="73"/>
        <v>2.7797502446502878E-2</v>
      </c>
      <c r="AG170" s="11">
        <f t="shared" si="74"/>
        <v>2.221251167988338E-2</v>
      </c>
      <c r="AH170" s="11">
        <f t="shared" si="75"/>
        <v>7.6267515737697425E-2</v>
      </c>
      <c r="AI170" s="11">
        <f t="shared" si="76"/>
        <v>2.6304290147230319E-2</v>
      </c>
      <c r="AJ170" s="11"/>
    </row>
    <row r="171" spans="1:36">
      <c r="A171" t="s">
        <v>419</v>
      </c>
      <c r="B171">
        <v>3.9560999999999997E-3</v>
      </c>
      <c r="C171">
        <v>0</v>
      </c>
      <c r="D171">
        <v>2719</v>
      </c>
      <c r="E171">
        <v>112719</v>
      </c>
      <c r="F171">
        <v>31264.99</v>
      </c>
      <c r="G171">
        <v>1350.7739999999999</v>
      </c>
      <c r="H171">
        <v>55912</v>
      </c>
      <c r="I171">
        <f t="shared" si="53"/>
        <v>0</v>
      </c>
      <c r="J171">
        <f t="shared" si="54"/>
        <v>0</v>
      </c>
      <c r="K171">
        <f t="shared" si="55"/>
        <v>0</v>
      </c>
      <c r="L171">
        <f t="shared" si="56"/>
        <v>0</v>
      </c>
      <c r="M171">
        <f t="shared" si="57"/>
        <v>0</v>
      </c>
      <c r="N171">
        <f t="shared" si="58"/>
        <v>0</v>
      </c>
      <c r="P171" s="11">
        <f t="shared" si="59"/>
        <v>0.18298369039528448</v>
      </c>
      <c r="Q171" s="11">
        <f t="shared" si="60"/>
        <v>0.16853491973490753</v>
      </c>
      <c r="R171" s="11">
        <f t="shared" si="61"/>
        <v>1.013729644789876E-2</v>
      </c>
      <c r="S171" s="11">
        <f t="shared" si="62"/>
        <v>1.921298084977946E-2</v>
      </c>
      <c r="T171" s="11">
        <f t="shared" si="63"/>
        <v>2.7813520940083238E-2</v>
      </c>
      <c r="U171" s="11">
        <f t="shared" si="64"/>
        <v>2.2752214164212518E-2</v>
      </c>
      <c r="W171">
        <f t="shared" si="65"/>
        <v>0</v>
      </c>
      <c r="X171">
        <f t="shared" si="66"/>
        <v>0</v>
      </c>
      <c r="Y171">
        <f t="shared" si="67"/>
        <v>0</v>
      </c>
      <c r="Z171">
        <f t="shared" si="68"/>
        <v>0</v>
      </c>
      <c r="AA171">
        <f t="shared" si="69"/>
        <v>0</v>
      </c>
      <c r="AB171">
        <f t="shared" si="70"/>
        <v>0</v>
      </c>
      <c r="AD171" s="11">
        <f t="shared" si="71"/>
        <v>1.3449510130535223</v>
      </c>
      <c r="AE171" s="11">
        <f t="shared" si="72"/>
        <v>0.52227985134271948</v>
      </c>
      <c r="AF171" s="11">
        <f t="shared" si="73"/>
        <v>7.4510286123165126E-2</v>
      </c>
      <c r="AG171" s="11">
        <f t="shared" si="74"/>
        <v>5.9539903053070026E-2</v>
      </c>
      <c r="AH171" s="11">
        <f t="shared" si="75"/>
        <v>0.20443255398413537</v>
      </c>
      <c r="AI171" s="11">
        <f t="shared" si="76"/>
        <v>7.0507779931267139E-2</v>
      </c>
      <c r="AJ171" s="11"/>
    </row>
    <row r="172" spans="1:36">
      <c r="A172" t="s">
        <v>420</v>
      </c>
      <c r="B172">
        <v>5.3866000000000001E-3</v>
      </c>
      <c r="C172">
        <v>0</v>
      </c>
      <c r="D172">
        <v>89587</v>
      </c>
      <c r="E172">
        <v>2046083</v>
      </c>
      <c r="F172">
        <v>41787.360000000001</v>
      </c>
      <c r="G172">
        <v>1381.691</v>
      </c>
      <c r="H172">
        <v>1318998</v>
      </c>
      <c r="I172">
        <f t="shared" si="53"/>
        <v>0</v>
      </c>
      <c r="J172">
        <f t="shared" si="54"/>
        <v>0</v>
      </c>
      <c r="K172">
        <f t="shared" si="55"/>
        <v>0</v>
      </c>
      <c r="L172">
        <f t="shared" si="56"/>
        <v>0</v>
      </c>
      <c r="M172">
        <f t="shared" si="57"/>
        <v>0</v>
      </c>
      <c r="N172">
        <f t="shared" si="58"/>
        <v>0</v>
      </c>
      <c r="P172" s="11">
        <f t="shared" si="59"/>
        <v>0.24357438346200413</v>
      </c>
      <c r="Q172" s="11">
        <f t="shared" si="60"/>
        <v>0.22434124635681929</v>
      </c>
      <c r="R172" s="11">
        <f t="shared" si="61"/>
        <v>1.3494020843795029E-2</v>
      </c>
      <c r="S172" s="11">
        <f t="shared" si="62"/>
        <v>2.5574902084677401E-2</v>
      </c>
      <c r="T172" s="11">
        <f t="shared" si="63"/>
        <v>3.7023306286224626E-2</v>
      </c>
      <c r="U172" s="11">
        <f t="shared" si="64"/>
        <v>3.0286068258170606E-2</v>
      </c>
      <c r="W172">
        <f t="shared" si="65"/>
        <v>0</v>
      </c>
      <c r="X172">
        <f t="shared" si="66"/>
        <v>0</v>
      </c>
      <c r="Y172">
        <f t="shared" si="67"/>
        <v>0</v>
      </c>
      <c r="Z172">
        <f t="shared" si="68"/>
        <v>0</v>
      </c>
      <c r="AA172">
        <f t="shared" si="69"/>
        <v>0</v>
      </c>
      <c r="AB172">
        <f t="shared" si="70"/>
        <v>0</v>
      </c>
      <c r="AD172" s="11">
        <f t="shared" si="71"/>
        <v>0.10088528203024021</v>
      </c>
      <c r="AE172" s="11">
        <f t="shared" si="72"/>
        <v>3.9176408352447088E-2</v>
      </c>
      <c r="AF172" s="11">
        <f t="shared" si="73"/>
        <v>5.589044624475307E-3</v>
      </c>
      <c r="AG172" s="11">
        <f t="shared" si="74"/>
        <v>4.466110552178968E-3</v>
      </c>
      <c r="AH172" s="11">
        <f t="shared" si="75"/>
        <v>1.533456286859651E-2</v>
      </c>
      <c r="AI172" s="11">
        <f t="shared" si="76"/>
        <v>5.2888151275803574E-3</v>
      </c>
      <c r="AJ172" s="11"/>
    </row>
    <row r="173" spans="1:36">
      <c r="A173" t="s">
        <v>421</v>
      </c>
      <c r="B173">
        <v>1.07791E-2</v>
      </c>
      <c r="C173">
        <v>0</v>
      </c>
      <c r="D173">
        <v>7509</v>
      </c>
      <c r="E173">
        <v>237206</v>
      </c>
      <c r="F173">
        <v>41884.51</v>
      </c>
      <c r="G173">
        <v>853.30119999999999</v>
      </c>
      <c r="H173">
        <v>126413</v>
      </c>
      <c r="I173">
        <f t="shared" si="53"/>
        <v>0</v>
      </c>
      <c r="J173">
        <f t="shared" si="54"/>
        <v>0</v>
      </c>
      <c r="K173">
        <f t="shared" si="55"/>
        <v>0</v>
      </c>
      <c r="L173">
        <f t="shared" si="56"/>
        <v>0</v>
      </c>
      <c r="M173">
        <f t="shared" si="57"/>
        <v>0</v>
      </c>
      <c r="N173">
        <f t="shared" si="58"/>
        <v>0</v>
      </c>
      <c r="P173" s="11">
        <f t="shared" si="59"/>
        <v>0.7892379475266178</v>
      </c>
      <c r="Q173" s="11">
        <f t="shared" si="60"/>
        <v>0.72691808680217485</v>
      </c>
      <c r="R173" s="11">
        <f t="shared" si="61"/>
        <v>4.3723782292974626E-2</v>
      </c>
      <c r="S173" s="11">
        <f t="shared" si="62"/>
        <v>8.2868661895447934E-2</v>
      </c>
      <c r="T173" s="11">
        <f t="shared" si="63"/>
        <v>0.1199641680240459</v>
      </c>
      <c r="U173" s="11">
        <f t="shared" si="64"/>
        <v>9.8133941718293607E-2</v>
      </c>
      <c r="W173">
        <f t="shared" si="65"/>
        <v>0</v>
      </c>
      <c r="X173">
        <f t="shared" si="66"/>
        <v>0</v>
      </c>
      <c r="Y173">
        <f t="shared" si="67"/>
        <v>0</v>
      </c>
      <c r="Z173">
        <f t="shared" si="68"/>
        <v>0</v>
      </c>
      <c r="AA173">
        <f t="shared" si="69"/>
        <v>0</v>
      </c>
      <c r="AB173">
        <f t="shared" si="70"/>
        <v>0</v>
      </c>
      <c r="AD173" s="11">
        <f t="shared" si="71"/>
        <v>1.7413784417922817</v>
      </c>
      <c r="AE173" s="11">
        <f t="shared" si="72"/>
        <v>0.67622304818807288</v>
      </c>
      <c r="AF173" s="11">
        <f t="shared" si="73"/>
        <v>9.647236567529241E-2</v>
      </c>
      <c r="AG173" s="11">
        <f t="shared" si="74"/>
        <v>7.7089427493440318E-2</v>
      </c>
      <c r="AH173" s="11">
        <f t="shared" si="75"/>
        <v>0.26468952315242683</v>
      </c>
      <c r="AI173" s="11">
        <f t="shared" si="76"/>
        <v>9.1290111505389848E-2</v>
      </c>
      <c r="AJ173" s="11"/>
    </row>
    <row r="174" spans="1:36">
      <c r="A174" t="s">
        <v>422</v>
      </c>
      <c r="B174">
        <v>1.3803999999999999E-3</v>
      </c>
      <c r="C174">
        <v>0</v>
      </c>
      <c r="D174">
        <v>6707</v>
      </c>
      <c r="E174">
        <v>379569</v>
      </c>
      <c r="F174">
        <v>31612.51</v>
      </c>
      <c r="G174">
        <v>871.27760000000001</v>
      </c>
      <c r="H174">
        <v>225225</v>
      </c>
      <c r="I174">
        <f t="shared" si="53"/>
        <v>0</v>
      </c>
      <c r="J174">
        <f t="shared" si="54"/>
        <v>0</v>
      </c>
      <c r="K174">
        <f t="shared" si="55"/>
        <v>0</v>
      </c>
      <c r="L174">
        <f t="shared" si="56"/>
        <v>0</v>
      </c>
      <c r="M174">
        <f t="shared" si="57"/>
        <v>0</v>
      </c>
      <c r="N174">
        <f t="shared" si="58"/>
        <v>0</v>
      </c>
      <c r="P174" s="11">
        <f t="shared" si="59"/>
        <v>9.8986556339793419E-2</v>
      </c>
      <c r="Q174" s="11">
        <f t="shared" si="60"/>
        <v>9.1170373116444159E-2</v>
      </c>
      <c r="R174" s="11">
        <f t="shared" si="61"/>
        <v>5.4838552212245553E-3</v>
      </c>
      <c r="S174" s="11">
        <f t="shared" si="62"/>
        <v>1.0393422535274635E-2</v>
      </c>
      <c r="T174" s="11">
        <f t="shared" si="63"/>
        <v>1.5045956563648599E-2</v>
      </c>
      <c r="U174" s="11">
        <f t="shared" si="64"/>
        <v>1.2308000370719963E-2</v>
      </c>
      <c r="W174">
        <f t="shared" si="65"/>
        <v>0</v>
      </c>
      <c r="X174">
        <f t="shared" si="66"/>
        <v>0</v>
      </c>
      <c r="Y174">
        <f t="shared" si="67"/>
        <v>0</v>
      </c>
      <c r="Z174">
        <f t="shared" si="68"/>
        <v>0</v>
      </c>
      <c r="AA174">
        <f t="shared" si="69"/>
        <v>0</v>
      </c>
      <c r="AB174">
        <f t="shared" si="70"/>
        <v>0</v>
      </c>
      <c r="AD174" s="11">
        <f t="shared" si="71"/>
        <v>0.13936398227020644</v>
      </c>
      <c r="AE174" s="11">
        <f t="shared" si="72"/>
        <v>5.4118699667254175E-2</v>
      </c>
      <c r="AF174" s="11">
        <f t="shared" si="73"/>
        <v>7.7207646177694361E-3</v>
      </c>
      <c r="AG174" s="11">
        <f t="shared" si="74"/>
        <v>6.1695317620669762E-3</v>
      </c>
      <c r="AH174" s="11">
        <f t="shared" si="75"/>
        <v>2.1183325305071377E-2</v>
      </c>
      <c r="AI174" s="11">
        <f t="shared" si="76"/>
        <v>7.306024455079314E-3</v>
      </c>
      <c r="AJ174" s="11"/>
    </row>
    <row r="175" spans="1:36">
      <c r="A175" t="s">
        <v>987</v>
      </c>
      <c r="B175">
        <v>1.6069000000000001E-3</v>
      </c>
      <c r="C175">
        <v>0</v>
      </c>
      <c r="D175">
        <v>8898</v>
      </c>
      <c r="E175">
        <v>304679</v>
      </c>
      <c r="F175">
        <v>35165.47</v>
      </c>
      <c r="G175">
        <v>865.47680000000003</v>
      </c>
      <c r="H175">
        <v>165497</v>
      </c>
      <c r="I175">
        <f t="shared" si="53"/>
        <v>0</v>
      </c>
      <c r="J175">
        <f t="shared" si="54"/>
        <v>0</v>
      </c>
      <c r="K175">
        <f t="shared" si="55"/>
        <v>0</v>
      </c>
      <c r="L175">
        <f t="shared" si="56"/>
        <v>0</v>
      </c>
      <c r="M175">
        <f t="shared" si="57"/>
        <v>0</v>
      </c>
      <c r="N175">
        <f t="shared" si="58"/>
        <v>0</v>
      </c>
      <c r="P175" s="11">
        <f t="shared" si="59"/>
        <v>0.11600086667834424</v>
      </c>
      <c r="Q175" s="11">
        <f t="shared" si="60"/>
        <v>0.10684119831981631</v>
      </c>
      <c r="R175" s="11">
        <f t="shared" si="61"/>
        <v>6.4264480139802705E-3</v>
      </c>
      <c r="S175" s="11">
        <f t="shared" si="62"/>
        <v>1.217989660845906E-2</v>
      </c>
      <c r="T175" s="11">
        <f t="shared" si="63"/>
        <v>1.7632131735108324E-2</v>
      </c>
      <c r="U175" s="11">
        <f t="shared" si="64"/>
        <v>1.4423561773175202E-2</v>
      </c>
      <c r="W175">
        <f t="shared" si="65"/>
        <v>0</v>
      </c>
      <c r="X175">
        <f t="shared" si="66"/>
        <v>0</v>
      </c>
      <c r="Y175">
        <f t="shared" si="67"/>
        <v>0</v>
      </c>
      <c r="Z175">
        <f t="shared" si="68"/>
        <v>0</v>
      </c>
      <c r="AA175">
        <f t="shared" si="69"/>
        <v>0</v>
      </c>
      <c r="AB175">
        <f t="shared" si="70"/>
        <v>0</v>
      </c>
      <c r="AD175" s="11">
        <f t="shared" si="71"/>
        <v>0.20210760792512775</v>
      </c>
      <c r="AE175" s="11">
        <f t="shared" si="72"/>
        <v>7.8483699701981435E-2</v>
      </c>
      <c r="AF175" s="11">
        <f t="shared" si="73"/>
        <v>1.1196761479052077E-2</v>
      </c>
      <c r="AG175" s="11">
        <f t="shared" si="74"/>
        <v>8.9471417660258838E-3</v>
      </c>
      <c r="AH175" s="11">
        <f t="shared" si="75"/>
        <v>3.0720356404619415E-2</v>
      </c>
      <c r="AI175" s="11">
        <f t="shared" si="76"/>
        <v>1.0595299459767494E-2</v>
      </c>
      <c r="AJ175" s="11"/>
    </row>
    <row r="176" spans="1:36">
      <c r="A176" t="s">
        <v>988</v>
      </c>
      <c r="B176">
        <v>9.0452999999999992E-3</v>
      </c>
      <c r="C176">
        <v>0</v>
      </c>
      <c r="D176">
        <v>3583</v>
      </c>
      <c r="E176">
        <v>181722</v>
      </c>
      <c r="F176">
        <v>31276.14</v>
      </c>
      <c r="G176">
        <v>1817.979</v>
      </c>
      <c r="H176">
        <v>89075</v>
      </c>
      <c r="I176">
        <f t="shared" si="53"/>
        <v>0</v>
      </c>
      <c r="J176">
        <f t="shared" si="54"/>
        <v>0</v>
      </c>
      <c r="K176">
        <f t="shared" si="55"/>
        <v>0</v>
      </c>
      <c r="L176">
        <f t="shared" si="56"/>
        <v>0</v>
      </c>
      <c r="M176">
        <f t="shared" si="57"/>
        <v>0</v>
      </c>
      <c r="N176">
        <f t="shared" si="58"/>
        <v>0</v>
      </c>
      <c r="P176" s="11">
        <f t="shared" si="59"/>
        <v>0.31085791306170196</v>
      </c>
      <c r="Q176" s="11">
        <f t="shared" si="60"/>
        <v>0.28631192929621296</v>
      </c>
      <c r="R176" s="11">
        <f t="shared" si="61"/>
        <v>1.722152838361829E-2</v>
      </c>
      <c r="S176" s="11">
        <f t="shared" si="62"/>
        <v>3.2639559939768276E-2</v>
      </c>
      <c r="T176" s="11">
        <f t="shared" si="63"/>
        <v>4.7250402785378696E-2</v>
      </c>
      <c r="U176" s="11">
        <f t="shared" si="64"/>
        <v>3.8652110454988751E-2</v>
      </c>
      <c r="W176">
        <f t="shared" si="65"/>
        <v>0</v>
      </c>
      <c r="X176">
        <f t="shared" si="66"/>
        <v>0</v>
      </c>
      <c r="Y176">
        <f t="shared" si="67"/>
        <v>0</v>
      </c>
      <c r="Z176">
        <f t="shared" si="68"/>
        <v>0</v>
      </c>
      <c r="AA176">
        <f t="shared" si="69"/>
        <v>0</v>
      </c>
      <c r="AB176">
        <f t="shared" si="70"/>
        <v>0</v>
      </c>
      <c r="AD176" s="11">
        <f t="shared" si="71"/>
        <v>1.9074440161220985</v>
      </c>
      <c r="AE176" s="11">
        <f t="shared" si="72"/>
        <v>0.74071067831908077</v>
      </c>
      <c r="AF176" s="11">
        <f t="shared" si="73"/>
        <v>0.10567239849316425</v>
      </c>
      <c r="AG176" s="11">
        <f t="shared" si="74"/>
        <v>8.4441017328375209E-2</v>
      </c>
      <c r="AH176" s="11">
        <f t="shared" si="75"/>
        <v>0.28993149045055894</v>
      </c>
      <c r="AI176" s="11">
        <f t="shared" si="76"/>
        <v>9.9995941573075911E-2</v>
      </c>
      <c r="AJ176" s="11"/>
    </row>
    <row r="177" spans="1:36">
      <c r="A177" t="s">
        <v>423</v>
      </c>
      <c r="B177">
        <v>4.2028999999999999E-3</v>
      </c>
      <c r="C177">
        <v>0</v>
      </c>
      <c r="D177">
        <v>26144</v>
      </c>
      <c r="E177">
        <v>692210</v>
      </c>
      <c r="F177">
        <v>36553.910000000003</v>
      </c>
      <c r="G177">
        <v>1482.0360000000001</v>
      </c>
      <c r="H177">
        <v>457464</v>
      </c>
      <c r="I177">
        <f t="shared" si="53"/>
        <v>0</v>
      </c>
      <c r="J177">
        <f t="shared" si="54"/>
        <v>0</v>
      </c>
      <c r="K177">
        <f t="shared" si="55"/>
        <v>0</v>
      </c>
      <c r="L177">
        <f t="shared" si="56"/>
        <v>0</v>
      </c>
      <c r="M177">
        <f t="shared" si="57"/>
        <v>0</v>
      </c>
      <c r="N177">
        <f t="shared" si="58"/>
        <v>0</v>
      </c>
      <c r="P177" s="11">
        <f t="shared" si="59"/>
        <v>0.17718139538445757</v>
      </c>
      <c r="Q177" s="11">
        <f t="shared" si="60"/>
        <v>0.16319078593907299</v>
      </c>
      <c r="R177" s="11">
        <f t="shared" si="61"/>
        <v>9.8158493042989486E-3</v>
      </c>
      <c r="S177" s="11">
        <f t="shared" si="62"/>
        <v>1.8603749597054322E-2</v>
      </c>
      <c r="T177" s="11">
        <f t="shared" si="63"/>
        <v>2.6931572098437551E-2</v>
      </c>
      <c r="U177" s="11">
        <f t="shared" si="64"/>
        <v>2.2030756101774854E-2</v>
      </c>
      <c r="W177">
        <f t="shared" si="65"/>
        <v>0</v>
      </c>
      <c r="X177">
        <f t="shared" si="66"/>
        <v>0</v>
      </c>
      <c r="Y177">
        <f t="shared" si="67"/>
        <v>0</v>
      </c>
      <c r="Z177">
        <f t="shared" si="68"/>
        <v>0</v>
      </c>
      <c r="AA177">
        <f t="shared" si="69"/>
        <v>0</v>
      </c>
      <c r="AB177">
        <f t="shared" si="70"/>
        <v>0</v>
      </c>
      <c r="AD177" s="11">
        <f t="shared" si="71"/>
        <v>0.23267382027393416</v>
      </c>
      <c r="AE177" s="11">
        <f t="shared" si="72"/>
        <v>9.0353363865734393E-2</v>
      </c>
      <c r="AF177" s="11">
        <f t="shared" si="73"/>
        <v>1.2890129643175952E-2</v>
      </c>
      <c r="AG177" s="11">
        <f t="shared" si="74"/>
        <v>1.0300283480693721E-2</v>
      </c>
      <c r="AH177" s="11">
        <f t="shared" si="75"/>
        <v>3.5366420681637992E-2</v>
      </c>
      <c r="AI177" s="11">
        <f t="shared" si="76"/>
        <v>1.2197704121874145E-2</v>
      </c>
      <c r="AJ177" s="11"/>
    </row>
    <row r="178" spans="1:36">
      <c r="A178" t="s">
        <v>424</v>
      </c>
      <c r="B178">
        <v>6.3277999999999997E-3</v>
      </c>
      <c r="C178">
        <v>0</v>
      </c>
      <c r="D178">
        <v>4574</v>
      </c>
      <c r="E178">
        <v>131728</v>
      </c>
      <c r="F178">
        <v>31804.54</v>
      </c>
      <c r="G178">
        <v>2048.1930000000002</v>
      </c>
      <c r="H178">
        <v>94998</v>
      </c>
      <c r="I178">
        <f t="shared" si="53"/>
        <v>0</v>
      </c>
      <c r="J178">
        <f t="shared" si="54"/>
        <v>0</v>
      </c>
      <c r="K178">
        <f t="shared" si="55"/>
        <v>0</v>
      </c>
      <c r="L178">
        <f t="shared" si="56"/>
        <v>0</v>
      </c>
      <c r="M178">
        <f t="shared" si="57"/>
        <v>0</v>
      </c>
      <c r="N178">
        <f t="shared" si="58"/>
        <v>0</v>
      </c>
      <c r="P178" s="11">
        <f t="shared" si="59"/>
        <v>0.19302327523822216</v>
      </c>
      <c r="Q178" s="11">
        <f t="shared" si="60"/>
        <v>0.1777817581936858</v>
      </c>
      <c r="R178" s="11">
        <f t="shared" si="61"/>
        <v>1.0693489448197507E-2</v>
      </c>
      <c r="S178" s="11">
        <f t="shared" si="62"/>
        <v>2.0267120434080181E-2</v>
      </c>
      <c r="T178" s="11">
        <f t="shared" si="63"/>
        <v>2.9339537836209767E-2</v>
      </c>
      <c r="U178" s="11">
        <f t="shared" si="64"/>
        <v>2.4000537356147586E-2</v>
      </c>
      <c r="W178">
        <f t="shared" si="65"/>
        <v>0</v>
      </c>
      <c r="X178">
        <f t="shared" si="66"/>
        <v>0</v>
      </c>
      <c r="Y178">
        <f t="shared" si="67"/>
        <v>0</v>
      </c>
      <c r="Z178">
        <f t="shared" si="68"/>
        <v>0</v>
      </c>
      <c r="AA178">
        <f t="shared" si="69"/>
        <v>0</v>
      </c>
      <c r="AB178">
        <f t="shared" si="70"/>
        <v>0</v>
      </c>
      <c r="AD178" s="11">
        <f t="shared" si="71"/>
        <v>1.8408185360078342</v>
      </c>
      <c r="AE178" s="11">
        <f t="shared" si="72"/>
        <v>0.71483825210281782</v>
      </c>
      <c r="AF178" s="11">
        <f t="shared" si="73"/>
        <v>0.10198134689483401</v>
      </c>
      <c r="AG178" s="11">
        <f t="shared" si="74"/>
        <v>8.1491560739721233E-2</v>
      </c>
      <c r="AH178" s="11">
        <f t="shared" si="75"/>
        <v>0.27980441747319079</v>
      </c>
      <c r="AI178" s="11">
        <f t="shared" si="76"/>
        <v>9.6503164033880415E-2</v>
      </c>
      <c r="AJ178" s="11"/>
    </row>
    <row r="179" spans="1:36">
      <c r="A179" t="s">
        <v>425</v>
      </c>
      <c r="B179">
        <v>1.27496E-2</v>
      </c>
      <c r="C179">
        <v>0</v>
      </c>
      <c r="D179">
        <v>5907</v>
      </c>
      <c r="E179">
        <v>193753</v>
      </c>
      <c r="F179">
        <v>34471.19</v>
      </c>
      <c r="G179">
        <v>1866.655</v>
      </c>
      <c r="H179">
        <v>116665</v>
      </c>
      <c r="I179">
        <f t="shared" si="53"/>
        <v>0</v>
      </c>
      <c r="J179">
        <f t="shared" si="54"/>
        <v>0</v>
      </c>
      <c r="K179">
        <f t="shared" si="55"/>
        <v>0</v>
      </c>
      <c r="L179">
        <f t="shared" si="56"/>
        <v>0</v>
      </c>
      <c r="M179">
        <f t="shared" si="57"/>
        <v>0</v>
      </c>
      <c r="N179">
        <f t="shared" si="58"/>
        <v>0</v>
      </c>
      <c r="P179" s="11">
        <f t="shared" si="59"/>
        <v>0.42673701554920429</v>
      </c>
      <c r="Q179" s="11">
        <f t="shared" si="60"/>
        <v>0.39304097817754219</v>
      </c>
      <c r="R179" s="11">
        <f t="shared" si="61"/>
        <v>2.3641230661425917E-2</v>
      </c>
      <c r="S179" s="11">
        <f t="shared" si="62"/>
        <v>4.4806671512239812E-2</v>
      </c>
      <c r="T179" s="11">
        <f t="shared" si="63"/>
        <v>6.4864026363479044E-2</v>
      </c>
      <c r="U179" s="11">
        <f t="shared" si="64"/>
        <v>5.3060532053968198E-2</v>
      </c>
      <c r="W179">
        <f t="shared" si="65"/>
        <v>0</v>
      </c>
      <c r="X179">
        <f t="shared" si="66"/>
        <v>0</v>
      </c>
      <c r="Y179">
        <f t="shared" si="67"/>
        <v>0</v>
      </c>
      <c r="Z179">
        <f t="shared" si="68"/>
        <v>0</v>
      </c>
      <c r="AA179">
        <f t="shared" si="69"/>
        <v>0</v>
      </c>
      <c r="AB179">
        <f t="shared" si="70"/>
        <v>0</v>
      </c>
      <c r="AD179" s="11">
        <f t="shared" si="71"/>
        <v>2.5216479645098655</v>
      </c>
      <c r="AE179" s="11">
        <f t="shared" si="72"/>
        <v>0.97922222539005854</v>
      </c>
      <c r="AF179" s="11">
        <f t="shared" si="73"/>
        <v>0.13969929723384655</v>
      </c>
      <c r="AG179" s="11">
        <f t="shared" si="74"/>
        <v>0.11163133369446668</v>
      </c>
      <c r="AH179" s="11">
        <f t="shared" si="75"/>
        <v>0.38329049060549952</v>
      </c>
      <c r="AI179" s="11">
        <f t="shared" si="76"/>
        <v>0.13219500042765792</v>
      </c>
      <c r="AJ179" s="11"/>
    </row>
    <row r="180" spans="1:36">
      <c r="A180" t="s">
        <v>426</v>
      </c>
      <c r="B180">
        <v>3.1616999999999999E-3</v>
      </c>
      <c r="C180">
        <v>0</v>
      </c>
      <c r="D180">
        <v>17423</v>
      </c>
      <c r="E180">
        <v>259773</v>
      </c>
      <c r="F180">
        <v>38536.25</v>
      </c>
      <c r="G180">
        <v>1756.8679999999999</v>
      </c>
      <c r="H180">
        <v>192849</v>
      </c>
      <c r="I180">
        <f t="shared" si="53"/>
        <v>0</v>
      </c>
      <c r="J180">
        <f t="shared" si="54"/>
        <v>0</v>
      </c>
      <c r="K180">
        <f t="shared" si="55"/>
        <v>0</v>
      </c>
      <c r="L180">
        <f t="shared" si="56"/>
        <v>0</v>
      </c>
      <c r="M180">
        <f t="shared" si="57"/>
        <v>0</v>
      </c>
      <c r="N180">
        <f t="shared" si="58"/>
        <v>0</v>
      </c>
      <c r="P180" s="11">
        <f t="shared" si="59"/>
        <v>0.11243702359539817</v>
      </c>
      <c r="Q180" s="11">
        <f t="shared" si="60"/>
        <v>0.10355876365782744</v>
      </c>
      <c r="R180" s="11">
        <f t="shared" si="61"/>
        <v>6.2290111071850581E-3</v>
      </c>
      <c r="S180" s="11">
        <f t="shared" si="62"/>
        <v>1.1805699056992329E-2</v>
      </c>
      <c r="T180" s="11">
        <f t="shared" si="63"/>
        <v>1.709042758650052E-2</v>
      </c>
      <c r="U180" s="11">
        <f t="shared" si="64"/>
        <v>1.3980433093806706E-2</v>
      </c>
      <c r="W180">
        <f t="shared" si="65"/>
        <v>0</v>
      </c>
      <c r="X180">
        <f t="shared" si="66"/>
        <v>0</v>
      </c>
      <c r="Y180">
        <f t="shared" si="67"/>
        <v>0</v>
      </c>
      <c r="Z180">
        <f t="shared" si="68"/>
        <v>0</v>
      </c>
      <c r="AA180">
        <f t="shared" si="69"/>
        <v>0</v>
      </c>
      <c r="AB180">
        <f t="shared" si="70"/>
        <v>0</v>
      </c>
      <c r="AD180" s="11">
        <f t="shared" si="71"/>
        <v>0.46640476859742924</v>
      </c>
      <c r="AE180" s="11">
        <f t="shared" si="72"/>
        <v>0.18111723835618021</v>
      </c>
      <c r="AF180" s="11">
        <f t="shared" si="73"/>
        <v>2.5838824180297579E-2</v>
      </c>
      <c r="AG180" s="11">
        <f t="shared" si="74"/>
        <v>2.0647365172604546E-2</v>
      </c>
      <c r="AH180" s="11">
        <f t="shared" si="75"/>
        <v>7.0893524826809245E-2</v>
      </c>
      <c r="AI180" s="11">
        <f t="shared" si="76"/>
        <v>2.445082717808433E-2</v>
      </c>
      <c r="AJ180" s="11"/>
    </row>
    <row r="181" spans="1:36">
      <c r="A181" t="s">
        <v>989</v>
      </c>
      <c r="B181">
        <v>1.2947E-3</v>
      </c>
      <c r="C181">
        <v>0</v>
      </c>
      <c r="D181">
        <v>11800</v>
      </c>
      <c r="E181">
        <v>192972</v>
      </c>
      <c r="F181">
        <v>36383.14</v>
      </c>
      <c r="G181">
        <v>1277.8389999999999</v>
      </c>
      <c r="H181">
        <v>116954</v>
      </c>
      <c r="I181">
        <f t="shared" si="53"/>
        <v>0</v>
      </c>
      <c r="J181">
        <f t="shared" si="54"/>
        <v>0</v>
      </c>
      <c r="K181">
        <f t="shared" si="55"/>
        <v>0</v>
      </c>
      <c r="L181">
        <f t="shared" si="56"/>
        <v>0</v>
      </c>
      <c r="M181">
        <f t="shared" si="57"/>
        <v>0</v>
      </c>
      <c r="N181">
        <f t="shared" si="58"/>
        <v>0</v>
      </c>
      <c r="P181" s="11">
        <f t="shared" si="59"/>
        <v>6.3302494343966648E-2</v>
      </c>
      <c r="Q181" s="11">
        <f t="shared" si="60"/>
        <v>5.8303998461465022E-2</v>
      </c>
      <c r="R181" s="11">
        <f t="shared" si="61"/>
        <v>3.5069581866557522E-3</v>
      </c>
      <c r="S181" s="11">
        <f t="shared" si="62"/>
        <v>6.6466558246070125E-3</v>
      </c>
      <c r="T181" s="11">
        <f t="shared" si="63"/>
        <v>9.6219791402829304E-3</v>
      </c>
      <c r="U181" s="11">
        <f t="shared" si="64"/>
        <v>7.8710397922977793E-3</v>
      </c>
      <c r="W181">
        <f t="shared" si="65"/>
        <v>0</v>
      </c>
      <c r="X181">
        <f t="shared" si="66"/>
        <v>0</v>
      </c>
      <c r="Y181">
        <f t="shared" si="67"/>
        <v>0</v>
      </c>
      <c r="Z181">
        <f t="shared" si="68"/>
        <v>0</v>
      </c>
      <c r="AA181">
        <f t="shared" si="69"/>
        <v>0</v>
      </c>
      <c r="AB181">
        <f t="shared" si="70"/>
        <v>0</v>
      </c>
      <c r="AD181" s="11">
        <f t="shared" si="71"/>
        <v>0.25710539080415812</v>
      </c>
      <c r="AE181" s="11">
        <f t="shared" si="72"/>
        <v>9.9840785266774451E-2</v>
      </c>
      <c r="AF181" s="11">
        <f t="shared" si="73"/>
        <v>1.424363865055036E-2</v>
      </c>
      <c r="AG181" s="11">
        <f t="shared" si="74"/>
        <v>1.1381849520412287E-2</v>
      </c>
      <c r="AH181" s="11">
        <f t="shared" si="75"/>
        <v>3.9080019402232033E-2</v>
      </c>
      <c r="AI181" s="11">
        <f t="shared" si="76"/>
        <v>1.3478506011014552E-2</v>
      </c>
      <c r="AJ181" s="11"/>
    </row>
    <row r="182" spans="1:36">
      <c r="A182" t="s">
        <v>427</v>
      </c>
      <c r="B182">
        <v>3.3880999999999998E-3</v>
      </c>
      <c r="C182">
        <v>0</v>
      </c>
      <c r="D182">
        <v>14324</v>
      </c>
      <c r="E182">
        <v>580282</v>
      </c>
      <c r="F182">
        <v>33487.68</v>
      </c>
      <c r="G182">
        <v>1403.7729999999999</v>
      </c>
      <c r="H182">
        <v>273280</v>
      </c>
      <c r="I182">
        <f t="shared" si="53"/>
        <v>0</v>
      </c>
      <c r="J182">
        <f t="shared" si="54"/>
        <v>0</v>
      </c>
      <c r="K182">
        <f t="shared" si="55"/>
        <v>0</v>
      </c>
      <c r="L182">
        <f t="shared" si="56"/>
        <v>0</v>
      </c>
      <c r="M182">
        <f t="shared" si="57"/>
        <v>0</v>
      </c>
      <c r="N182">
        <f t="shared" si="58"/>
        <v>0</v>
      </c>
      <c r="P182" s="11">
        <f t="shared" si="59"/>
        <v>0.15079507200238215</v>
      </c>
      <c r="Q182" s="11">
        <f t="shared" si="60"/>
        <v>0.13888798122630938</v>
      </c>
      <c r="R182" s="11">
        <f t="shared" si="61"/>
        <v>8.3540469889319714E-3</v>
      </c>
      <c r="S182" s="11">
        <f t="shared" si="62"/>
        <v>1.5833229859799271E-2</v>
      </c>
      <c r="T182" s="11">
        <f t="shared" si="63"/>
        <v>2.2920850944362088E-2</v>
      </c>
      <c r="U182" s="11">
        <f t="shared" si="64"/>
        <v>1.8749877465551769E-2</v>
      </c>
      <c r="W182">
        <f t="shared" si="65"/>
        <v>0</v>
      </c>
      <c r="X182">
        <f t="shared" si="66"/>
        <v>0</v>
      </c>
      <c r="Y182">
        <f t="shared" si="67"/>
        <v>0</v>
      </c>
      <c r="Z182">
        <f t="shared" si="68"/>
        <v>0</v>
      </c>
      <c r="AA182">
        <f t="shared" si="69"/>
        <v>0</v>
      </c>
      <c r="AB182">
        <f t="shared" si="70"/>
        <v>0</v>
      </c>
      <c r="AD182" s="11">
        <f t="shared" si="71"/>
        <v>0.22374505903333206</v>
      </c>
      <c r="AE182" s="11">
        <f t="shared" si="72"/>
        <v>8.6886091044526631E-2</v>
      </c>
      <c r="AF182" s="11">
        <f t="shared" si="73"/>
        <v>1.2395476270446595E-2</v>
      </c>
      <c r="AG182" s="11">
        <f t="shared" si="74"/>
        <v>9.9050143790760364E-3</v>
      </c>
      <c r="AH182" s="11">
        <f t="shared" si="75"/>
        <v>3.4009248973066473E-2</v>
      </c>
      <c r="AI182" s="11">
        <f t="shared" si="76"/>
        <v>1.1729622291011096E-2</v>
      </c>
      <c r="AJ182" s="11"/>
    </row>
    <row r="183" spans="1:36">
      <c r="A183" t="s">
        <v>428</v>
      </c>
      <c r="B183">
        <v>2.7114000000000001E-3</v>
      </c>
      <c r="C183">
        <v>0</v>
      </c>
      <c r="D183">
        <v>18026</v>
      </c>
      <c r="E183">
        <v>503807</v>
      </c>
      <c r="F183">
        <v>35402.959999999999</v>
      </c>
      <c r="G183">
        <v>5133.7650000000003</v>
      </c>
      <c r="H183">
        <v>310444</v>
      </c>
      <c r="I183">
        <f t="shared" si="53"/>
        <v>0</v>
      </c>
      <c r="J183">
        <f t="shared" si="54"/>
        <v>0</v>
      </c>
      <c r="K183">
        <f t="shared" si="55"/>
        <v>0</v>
      </c>
      <c r="L183">
        <f t="shared" si="56"/>
        <v>0</v>
      </c>
      <c r="M183">
        <f t="shared" si="57"/>
        <v>0</v>
      </c>
      <c r="N183">
        <f t="shared" si="58"/>
        <v>0</v>
      </c>
      <c r="P183" s="11">
        <f t="shared" si="59"/>
        <v>3.2997833040663137E-2</v>
      </c>
      <c r="Q183" s="11">
        <f t="shared" si="60"/>
        <v>3.039225589406605E-2</v>
      </c>
      <c r="R183" s="11">
        <f t="shared" si="61"/>
        <v>1.8280799504527378E-3</v>
      </c>
      <c r="S183" s="11">
        <f t="shared" si="62"/>
        <v>3.4647171719235301E-3</v>
      </c>
      <c r="T183" s="11">
        <f t="shared" si="63"/>
        <v>5.0156706221807963E-3</v>
      </c>
      <c r="U183" s="11">
        <f t="shared" si="64"/>
        <v>4.1029545456989173E-3</v>
      </c>
      <c r="W183">
        <f t="shared" si="65"/>
        <v>0</v>
      </c>
      <c r="X183">
        <f t="shared" si="66"/>
        <v>0</v>
      </c>
      <c r="Y183">
        <f t="shared" si="67"/>
        <v>0</v>
      </c>
      <c r="Z183">
        <f t="shared" si="68"/>
        <v>0</v>
      </c>
      <c r="AA183">
        <f t="shared" si="69"/>
        <v>0</v>
      </c>
      <c r="AB183">
        <f t="shared" si="70"/>
        <v>0</v>
      </c>
      <c r="AD183" s="11">
        <f t="shared" si="71"/>
        <v>0.20623659368790032</v>
      </c>
      <c r="AE183" s="11">
        <f t="shared" si="72"/>
        <v>8.0087093468332121E-2</v>
      </c>
      <c r="AF183" s="11">
        <f t="shared" si="73"/>
        <v>1.1425507290309677E-2</v>
      </c>
      <c r="AG183" s="11">
        <f t="shared" si="74"/>
        <v>9.1299286553898629E-3</v>
      </c>
      <c r="AH183" s="11">
        <f t="shared" si="75"/>
        <v>3.1347962240560849E-2</v>
      </c>
      <c r="AI183" s="11">
        <f t="shared" si="76"/>
        <v>1.0811757618224838E-2</v>
      </c>
      <c r="AJ183" s="11"/>
    </row>
    <row r="184" spans="1:36">
      <c r="A184" t="s">
        <v>429</v>
      </c>
      <c r="B184">
        <v>8.1709999999999994E-3</v>
      </c>
      <c r="C184">
        <v>0</v>
      </c>
      <c r="D184">
        <v>14157</v>
      </c>
      <c r="E184">
        <v>454605</v>
      </c>
      <c r="F184">
        <v>36458.86</v>
      </c>
      <c r="G184">
        <v>2926.3119999999999</v>
      </c>
      <c r="H184">
        <v>283164</v>
      </c>
      <c r="I184">
        <f t="shared" si="53"/>
        <v>0</v>
      </c>
      <c r="J184">
        <f t="shared" si="54"/>
        <v>0</v>
      </c>
      <c r="K184">
        <f t="shared" si="55"/>
        <v>0</v>
      </c>
      <c r="L184">
        <f t="shared" si="56"/>
        <v>0</v>
      </c>
      <c r="M184">
        <f t="shared" si="57"/>
        <v>0</v>
      </c>
      <c r="N184">
        <f t="shared" si="58"/>
        <v>0</v>
      </c>
      <c r="P184" s="11">
        <f t="shared" si="59"/>
        <v>0.17445458826673299</v>
      </c>
      <c r="Q184" s="11">
        <f t="shared" si="60"/>
        <v>0.16067929315124294</v>
      </c>
      <c r="R184" s="11">
        <f t="shared" si="61"/>
        <v>9.6647841899770073E-3</v>
      </c>
      <c r="S184" s="11">
        <f t="shared" si="62"/>
        <v>1.8317439419241695E-2</v>
      </c>
      <c r="T184" s="11">
        <f t="shared" si="63"/>
        <v>2.6517097416543414E-2</v>
      </c>
      <c r="U184" s="11">
        <f t="shared" si="64"/>
        <v>2.1691704575417799E-2</v>
      </c>
      <c r="W184">
        <f t="shared" si="65"/>
        <v>0</v>
      </c>
      <c r="X184">
        <f t="shared" si="66"/>
        <v>0</v>
      </c>
      <c r="Y184">
        <f t="shared" si="67"/>
        <v>0</v>
      </c>
      <c r="Z184">
        <f t="shared" si="68"/>
        <v>0</v>
      </c>
      <c r="AA184">
        <f t="shared" si="69"/>
        <v>0</v>
      </c>
      <c r="AB184">
        <f t="shared" si="70"/>
        <v>0</v>
      </c>
      <c r="AD184" s="11">
        <f t="shared" si="71"/>
        <v>0.68877493613532614</v>
      </c>
      <c r="AE184" s="11">
        <f t="shared" si="72"/>
        <v>0.26746942287260367</v>
      </c>
      <c r="AF184" s="11">
        <f t="shared" si="73"/>
        <v>3.8158131461897067E-2</v>
      </c>
      <c r="AG184" s="11">
        <f t="shared" si="74"/>
        <v>3.0491514207476818E-2</v>
      </c>
      <c r="AH184" s="11">
        <f t="shared" si="75"/>
        <v>0.10469379029256957</v>
      </c>
      <c r="AI184" s="11">
        <f t="shared" si="76"/>
        <v>3.6108372087801495E-2</v>
      </c>
      <c r="AJ184" s="11"/>
    </row>
    <row r="185" spans="1:36">
      <c r="A185" t="s">
        <v>430</v>
      </c>
      <c r="B185">
        <v>7.9836000000000004E-3</v>
      </c>
      <c r="C185">
        <v>0</v>
      </c>
      <c r="D185">
        <v>4781</v>
      </c>
      <c r="E185">
        <v>235937</v>
      </c>
      <c r="F185">
        <v>24407.41</v>
      </c>
      <c r="G185">
        <v>1359.655</v>
      </c>
      <c r="H185">
        <v>115282</v>
      </c>
      <c r="I185">
        <f t="shared" si="53"/>
        <v>0</v>
      </c>
      <c r="J185">
        <f t="shared" si="54"/>
        <v>0</v>
      </c>
      <c r="K185">
        <f t="shared" si="55"/>
        <v>0</v>
      </c>
      <c r="L185">
        <f t="shared" si="56"/>
        <v>0</v>
      </c>
      <c r="M185">
        <f t="shared" si="57"/>
        <v>0</v>
      </c>
      <c r="N185">
        <f t="shared" si="58"/>
        <v>0</v>
      </c>
      <c r="P185" s="11">
        <f t="shared" si="59"/>
        <v>0.3668578861255245</v>
      </c>
      <c r="Q185" s="11">
        <f t="shared" si="60"/>
        <v>0.33789002866168255</v>
      </c>
      <c r="R185" s="11">
        <f t="shared" si="61"/>
        <v>2.0323926891354056E-2</v>
      </c>
      <c r="S185" s="11">
        <f t="shared" si="62"/>
        <v>3.851946326743181E-2</v>
      </c>
      <c r="T185" s="11">
        <f t="shared" si="63"/>
        <v>5.5762398691079726E-2</v>
      </c>
      <c r="U185" s="11">
        <f t="shared" si="64"/>
        <v>4.561515386932715E-2</v>
      </c>
      <c r="W185">
        <f t="shared" si="65"/>
        <v>0</v>
      </c>
      <c r="X185">
        <f t="shared" si="66"/>
        <v>0</v>
      </c>
      <c r="Y185">
        <f t="shared" si="67"/>
        <v>0</v>
      </c>
      <c r="Z185">
        <f t="shared" si="68"/>
        <v>0</v>
      </c>
      <c r="AA185">
        <f t="shared" si="69"/>
        <v>0</v>
      </c>
      <c r="AB185">
        <f t="shared" si="70"/>
        <v>0</v>
      </c>
      <c r="AD185" s="11">
        <f t="shared" si="71"/>
        <v>1.2966986217714052</v>
      </c>
      <c r="AE185" s="11">
        <f t="shared" si="72"/>
        <v>0.50354217874263052</v>
      </c>
      <c r="AF185" s="11">
        <f t="shared" si="73"/>
        <v>7.1837103646135839E-2</v>
      </c>
      <c r="AG185" s="11">
        <f t="shared" si="74"/>
        <v>5.7403808376659884E-2</v>
      </c>
      <c r="AH185" s="11">
        <f t="shared" si="75"/>
        <v>0.19709819050925359</v>
      </c>
      <c r="AI185" s="11">
        <f t="shared" si="76"/>
        <v>6.7978194130255118E-2</v>
      </c>
      <c r="AJ185" s="11"/>
    </row>
    <row r="186" spans="1:36">
      <c r="A186" t="s">
        <v>431</v>
      </c>
      <c r="B186">
        <v>2.7396E-3</v>
      </c>
      <c r="C186">
        <v>0</v>
      </c>
      <c r="D186">
        <v>3628</v>
      </c>
      <c r="E186">
        <v>201428</v>
      </c>
      <c r="F186">
        <v>26746.09</v>
      </c>
      <c r="G186">
        <v>1199.153</v>
      </c>
      <c r="H186">
        <v>91977</v>
      </c>
      <c r="I186">
        <f t="shared" si="53"/>
        <v>0</v>
      </c>
      <c r="J186">
        <f t="shared" si="54"/>
        <v>0</v>
      </c>
      <c r="K186">
        <f t="shared" si="55"/>
        <v>0</v>
      </c>
      <c r="L186">
        <f t="shared" si="56"/>
        <v>0</v>
      </c>
      <c r="M186">
        <f t="shared" si="57"/>
        <v>0</v>
      </c>
      <c r="N186">
        <f t="shared" si="58"/>
        <v>0</v>
      </c>
      <c r="P186" s="11">
        <f t="shared" si="59"/>
        <v>0.14273825171600288</v>
      </c>
      <c r="Q186" s="11">
        <f t="shared" si="60"/>
        <v>0.1314673441337344</v>
      </c>
      <c r="R186" s="11">
        <f t="shared" si="61"/>
        <v>7.9076991450665584E-3</v>
      </c>
      <c r="S186" s="11">
        <f t="shared" si="62"/>
        <v>1.4987277231245722E-2</v>
      </c>
      <c r="T186" s="11">
        <f t="shared" si="63"/>
        <v>2.1696214260832437E-2</v>
      </c>
      <c r="U186" s="11">
        <f t="shared" si="64"/>
        <v>1.7748091458054144E-2</v>
      </c>
      <c r="W186">
        <f t="shared" si="65"/>
        <v>0</v>
      </c>
      <c r="X186">
        <f t="shared" si="66"/>
        <v>0</v>
      </c>
      <c r="Y186">
        <f t="shared" si="67"/>
        <v>0</v>
      </c>
      <c r="Z186">
        <f t="shared" si="68"/>
        <v>0</v>
      </c>
      <c r="AA186">
        <f t="shared" si="69"/>
        <v>0</v>
      </c>
      <c r="AB186">
        <f t="shared" si="70"/>
        <v>0</v>
      </c>
      <c r="AD186" s="11">
        <f t="shared" si="71"/>
        <v>0.52119909103838591</v>
      </c>
      <c r="AE186" s="11">
        <f t="shared" si="72"/>
        <v>0.20239531488174434</v>
      </c>
      <c r="AF186" s="11">
        <f t="shared" si="73"/>
        <v>2.8874429643526579E-2</v>
      </c>
      <c r="AG186" s="11">
        <f t="shared" si="74"/>
        <v>2.3073065896518856E-2</v>
      </c>
      <c r="AH186" s="11">
        <f t="shared" si="75"/>
        <v>7.9222261837834651E-2</v>
      </c>
      <c r="AI186" s="11">
        <f t="shared" si="76"/>
        <v>2.7323367509035489E-2</v>
      </c>
      <c r="AJ186" s="11"/>
    </row>
    <row r="187" spans="1:36">
      <c r="A187" t="s">
        <v>432</v>
      </c>
      <c r="B187">
        <v>1.04844E-2</v>
      </c>
      <c r="C187">
        <v>0</v>
      </c>
      <c r="D187">
        <v>88139</v>
      </c>
      <c r="E187">
        <v>1879093</v>
      </c>
      <c r="F187">
        <v>37940.36</v>
      </c>
      <c r="G187">
        <v>3750.6680000000001</v>
      </c>
      <c r="H187">
        <v>1165516</v>
      </c>
      <c r="I187">
        <f t="shared" si="53"/>
        <v>0</v>
      </c>
      <c r="J187">
        <f t="shared" si="54"/>
        <v>0</v>
      </c>
      <c r="K187">
        <f t="shared" si="55"/>
        <v>0</v>
      </c>
      <c r="L187">
        <f t="shared" si="56"/>
        <v>0</v>
      </c>
      <c r="M187">
        <f t="shared" si="57"/>
        <v>0</v>
      </c>
      <c r="N187">
        <f t="shared" si="58"/>
        <v>0</v>
      </c>
      <c r="P187" s="11">
        <f t="shared" si="59"/>
        <v>0.17464766053407019</v>
      </c>
      <c r="Q187" s="11">
        <f t="shared" si="60"/>
        <v>0.16085712003301811</v>
      </c>
      <c r="R187" s="11">
        <f t="shared" si="61"/>
        <v>9.6754803935874874E-3</v>
      </c>
      <c r="S187" s="11">
        <f t="shared" si="62"/>
        <v>1.8337711683764066E-2</v>
      </c>
      <c r="T187" s="11">
        <f t="shared" si="63"/>
        <v>2.6546444401178669E-2</v>
      </c>
      <c r="U187" s="11">
        <f t="shared" si="64"/>
        <v>2.1715711204457446E-2</v>
      </c>
      <c r="W187">
        <f t="shared" si="65"/>
        <v>0</v>
      </c>
      <c r="X187">
        <f t="shared" si="66"/>
        <v>0</v>
      </c>
      <c r="Y187">
        <f t="shared" si="67"/>
        <v>0</v>
      </c>
      <c r="Z187">
        <f t="shared" si="68"/>
        <v>0</v>
      </c>
      <c r="AA187">
        <f t="shared" si="69"/>
        <v>0</v>
      </c>
      <c r="AB187">
        <f t="shared" si="70"/>
        <v>0</v>
      </c>
      <c r="AD187" s="11">
        <f t="shared" si="71"/>
        <v>0.21381178525465208</v>
      </c>
      <c r="AE187" s="11">
        <f t="shared" si="72"/>
        <v>8.3028739585534084E-2</v>
      </c>
      <c r="AF187" s="11">
        <f t="shared" si="73"/>
        <v>1.1845172903107725E-2</v>
      </c>
      <c r="AG187" s="11">
        <f t="shared" si="74"/>
        <v>9.4652763127508859E-3</v>
      </c>
      <c r="AH187" s="11">
        <f t="shared" si="75"/>
        <v>3.2499391358707115E-2</v>
      </c>
      <c r="AI187" s="11">
        <f t="shared" si="76"/>
        <v>1.1208879844047103E-2</v>
      </c>
      <c r="AJ187" s="11"/>
    </row>
    <row r="188" spans="1:36">
      <c r="A188" t="s">
        <v>433</v>
      </c>
      <c r="B188">
        <v>4.0119999999999999E-3</v>
      </c>
      <c r="C188">
        <v>0</v>
      </c>
      <c r="D188">
        <v>2522</v>
      </c>
      <c r="E188">
        <v>114752</v>
      </c>
      <c r="F188">
        <v>27093.68</v>
      </c>
      <c r="G188">
        <v>1644.049</v>
      </c>
      <c r="H188">
        <v>65768</v>
      </c>
      <c r="I188">
        <f t="shared" si="53"/>
        <v>0</v>
      </c>
      <c r="J188">
        <f t="shared" si="54"/>
        <v>0</v>
      </c>
      <c r="K188">
        <f t="shared" si="55"/>
        <v>0</v>
      </c>
      <c r="L188">
        <f t="shared" si="56"/>
        <v>0</v>
      </c>
      <c r="M188">
        <f t="shared" si="57"/>
        <v>0</v>
      </c>
      <c r="N188">
        <f t="shared" si="58"/>
        <v>0</v>
      </c>
      <c r="P188" s="11">
        <f t="shared" si="59"/>
        <v>0.15246634206158088</v>
      </c>
      <c r="Q188" s="11">
        <f t="shared" si="60"/>
        <v>0.14042728434493132</v>
      </c>
      <c r="R188" s="11">
        <f t="shared" si="61"/>
        <v>8.4466353502115812E-3</v>
      </c>
      <c r="S188" s="11">
        <f t="shared" si="62"/>
        <v>1.6008710415322171E-2</v>
      </c>
      <c r="T188" s="11">
        <f t="shared" si="63"/>
        <v>2.3174883993360294E-2</v>
      </c>
      <c r="U188" s="11">
        <f t="shared" si="64"/>
        <v>1.895768338656573E-2</v>
      </c>
      <c r="W188">
        <f t="shared" si="65"/>
        <v>0</v>
      </c>
      <c r="X188">
        <f t="shared" si="66"/>
        <v>0</v>
      </c>
      <c r="Y188">
        <f t="shared" si="67"/>
        <v>0</v>
      </c>
      <c r="Z188">
        <f t="shared" si="68"/>
        <v>0</v>
      </c>
      <c r="AA188">
        <f t="shared" si="69"/>
        <v>0</v>
      </c>
      <c r="AB188">
        <f t="shared" si="70"/>
        <v>0</v>
      </c>
      <c r="AD188" s="11">
        <f t="shared" si="71"/>
        <v>1.3397908068669826</v>
      </c>
      <c r="AE188" s="11">
        <f t="shared" si="72"/>
        <v>0.52027600756413839</v>
      </c>
      <c r="AF188" s="11">
        <f t="shared" si="73"/>
        <v>7.4224410700430829E-2</v>
      </c>
      <c r="AG188" s="11">
        <f t="shared" si="74"/>
        <v>5.9311464862311779E-2</v>
      </c>
      <c r="AH188" s="11">
        <f t="shared" si="75"/>
        <v>0.20364820264378136</v>
      </c>
      <c r="AI188" s="11">
        <f t="shared" si="76"/>
        <v>7.0237261021158681E-2</v>
      </c>
      <c r="AJ188" s="11"/>
    </row>
    <row r="189" spans="1:36">
      <c r="A189" t="s">
        <v>434</v>
      </c>
      <c r="B189">
        <v>2.5676000000000002E-3</v>
      </c>
      <c r="C189">
        <v>0</v>
      </c>
      <c r="D189">
        <v>2054</v>
      </c>
      <c r="E189">
        <v>112249</v>
      </c>
      <c r="F189">
        <v>28377.43</v>
      </c>
      <c r="G189">
        <v>412.95429999999999</v>
      </c>
      <c r="H189">
        <v>67037</v>
      </c>
      <c r="I189">
        <f t="shared" si="53"/>
        <v>0</v>
      </c>
      <c r="J189">
        <f t="shared" si="54"/>
        <v>0</v>
      </c>
      <c r="K189">
        <f t="shared" si="55"/>
        <v>0</v>
      </c>
      <c r="L189">
        <f t="shared" si="56"/>
        <v>0</v>
      </c>
      <c r="M189">
        <f t="shared" si="57"/>
        <v>0</v>
      </c>
      <c r="N189">
        <f t="shared" si="58"/>
        <v>0</v>
      </c>
      <c r="P189" s="11">
        <f t="shared" si="59"/>
        <v>0.38846615608555235</v>
      </c>
      <c r="Q189" s="11">
        <f t="shared" si="60"/>
        <v>0.35779206493309307</v>
      </c>
      <c r="R189" s="11">
        <f t="shared" si="61"/>
        <v>2.15210250471396E-2</v>
      </c>
      <c r="S189" s="11">
        <f t="shared" si="62"/>
        <v>4.078829540237261E-2</v>
      </c>
      <c r="T189" s="11">
        <f t="shared" si="63"/>
        <v>5.9046855725003955E-2</v>
      </c>
      <c r="U189" s="11">
        <f t="shared" si="64"/>
        <v>4.8301928765967568E-2</v>
      </c>
      <c r="W189">
        <f t="shared" si="65"/>
        <v>0</v>
      </c>
      <c r="X189">
        <f t="shared" si="66"/>
        <v>0</v>
      </c>
      <c r="Y189">
        <f t="shared" si="67"/>
        <v>0</v>
      </c>
      <c r="Z189">
        <f t="shared" si="68"/>
        <v>0</v>
      </c>
      <c r="AA189">
        <f t="shared" si="69"/>
        <v>0</v>
      </c>
      <c r="AB189">
        <f t="shared" si="70"/>
        <v>0</v>
      </c>
      <c r="AD189" s="11">
        <f t="shared" si="71"/>
        <v>0.87655913292840026</v>
      </c>
      <c r="AE189" s="11">
        <f t="shared" si="72"/>
        <v>0.34039096531817659</v>
      </c>
      <c r="AF189" s="11">
        <f t="shared" si="73"/>
        <v>4.8561375964233371E-2</v>
      </c>
      <c r="AG189" s="11">
        <f t="shared" si="74"/>
        <v>3.8804570046272135E-2</v>
      </c>
      <c r="AH189" s="11">
        <f t="shared" si="75"/>
        <v>0.13323698820511684</v>
      </c>
      <c r="AI189" s="11">
        <f t="shared" si="76"/>
        <v>4.5952780317953842E-2</v>
      </c>
      <c r="AJ189" s="11"/>
    </row>
    <row r="190" spans="1:36">
      <c r="A190" t="s">
        <v>435</v>
      </c>
      <c r="B190">
        <v>2.6678000000000001E-3</v>
      </c>
      <c r="C190">
        <v>0</v>
      </c>
      <c r="D190">
        <v>3058</v>
      </c>
      <c r="E190">
        <v>129302</v>
      </c>
      <c r="F190">
        <v>31198.04</v>
      </c>
      <c r="G190">
        <v>1975.604</v>
      </c>
      <c r="H190">
        <v>64007</v>
      </c>
      <c r="I190">
        <f t="shared" si="53"/>
        <v>0</v>
      </c>
      <c r="J190">
        <f t="shared" si="54"/>
        <v>0</v>
      </c>
      <c r="K190">
        <f t="shared" si="55"/>
        <v>0</v>
      </c>
      <c r="L190">
        <f t="shared" si="56"/>
        <v>0</v>
      </c>
      <c r="M190">
        <f t="shared" si="57"/>
        <v>0</v>
      </c>
      <c r="N190">
        <f t="shared" si="58"/>
        <v>0</v>
      </c>
      <c r="P190" s="11">
        <f t="shared" si="59"/>
        <v>8.4368666585003887E-2</v>
      </c>
      <c r="Q190" s="11">
        <f t="shared" si="60"/>
        <v>7.7706742171001889E-2</v>
      </c>
      <c r="R190" s="11">
        <f t="shared" si="61"/>
        <v>4.6740241288092156E-3</v>
      </c>
      <c r="S190" s="11">
        <f t="shared" si="62"/>
        <v>8.8585686074942153E-3</v>
      </c>
      <c r="T190" s="11">
        <f t="shared" si="63"/>
        <v>1.282403732092059E-2</v>
      </c>
      <c r="U190" s="11">
        <f t="shared" si="64"/>
        <v>1.0490410193085256E-2</v>
      </c>
      <c r="W190">
        <f t="shared" si="65"/>
        <v>0</v>
      </c>
      <c r="X190">
        <f t="shared" si="66"/>
        <v>0</v>
      </c>
      <c r="Y190">
        <f t="shared" si="67"/>
        <v>0</v>
      </c>
      <c r="Z190">
        <f t="shared" si="68"/>
        <v>0</v>
      </c>
      <c r="AA190">
        <f t="shared" si="69"/>
        <v>0</v>
      </c>
      <c r="AB190">
        <f t="shared" si="70"/>
        <v>0</v>
      </c>
      <c r="AD190" s="11">
        <f t="shared" si="71"/>
        <v>0.79065015145349637</v>
      </c>
      <c r="AE190" s="11">
        <f t="shared" si="72"/>
        <v>0.30703024835656062</v>
      </c>
      <c r="AF190" s="11">
        <f t="shared" si="73"/>
        <v>4.3802018390523695E-2</v>
      </c>
      <c r="AG190" s="11">
        <f t="shared" si="74"/>
        <v>3.5001448312647912E-2</v>
      </c>
      <c r="AH190" s="11">
        <f t="shared" si="75"/>
        <v>0.12017882302093144</v>
      </c>
      <c r="AI190" s="11">
        <f t="shared" si="76"/>
        <v>4.1449083528135686E-2</v>
      </c>
      <c r="AJ190" s="11"/>
    </row>
    <row r="191" spans="1:36">
      <c r="A191" t="s">
        <v>990</v>
      </c>
      <c r="B191">
        <v>6.1729999999999999E-4</v>
      </c>
      <c r="C191">
        <v>0</v>
      </c>
      <c r="D191">
        <v>1523</v>
      </c>
      <c r="E191">
        <v>60260</v>
      </c>
      <c r="F191">
        <v>32105.39</v>
      </c>
      <c r="G191">
        <v>1057.529</v>
      </c>
      <c r="H191">
        <v>36040</v>
      </c>
      <c r="I191">
        <f t="shared" si="53"/>
        <v>0</v>
      </c>
      <c r="J191">
        <f t="shared" si="54"/>
        <v>0</v>
      </c>
      <c r="K191">
        <f t="shared" si="55"/>
        <v>0</v>
      </c>
      <c r="L191">
        <f t="shared" si="56"/>
        <v>0</v>
      </c>
      <c r="M191">
        <f t="shared" si="57"/>
        <v>0</v>
      </c>
      <c r="N191">
        <f t="shared" si="58"/>
        <v>0</v>
      </c>
      <c r="P191" s="11">
        <f t="shared" si="59"/>
        <v>3.646966762140802E-2</v>
      </c>
      <c r="Q191" s="11">
        <f t="shared" si="60"/>
        <v>3.3589947235489519E-2</v>
      </c>
      <c r="R191" s="11">
        <f t="shared" si="61"/>
        <v>2.0204195862260042E-3</v>
      </c>
      <c r="S191" s="11">
        <f t="shared" si="62"/>
        <v>3.8292539848458051E-3</v>
      </c>
      <c r="T191" s="11">
        <f t="shared" si="63"/>
        <v>5.5433894784540187E-3</v>
      </c>
      <c r="U191" s="11">
        <f t="shared" si="64"/>
        <v>4.5346428767910852E-3</v>
      </c>
      <c r="W191">
        <f t="shared" si="65"/>
        <v>0</v>
      </c>
      <c r="X191">
        <f t="shared" si="66"/>
        <v>0</v>
      </c>
      <c r="Y191">
        <f t="shared" si="67"/>
        <v>0</v>
      </c>
      <c r="Z191">
        <f t="shared" si="68"/>
        <v>0</v>
      </c>
      <c r="AA191">
        <f t="shared" si="69"/>
        <v>0</v>
      </c>
      <c r="AB191">
        <f t="shared" si="70"/>
        <v>0</v>
      </c>
      <c r="AD191" s="11">
        <f t="shared" si="71"/>
        <v>0.39255768362661797</v>
      </c>
      <c r="AE191" s="11">
        <f t="shared" si="72"/>
        <v>0.15244047304181876</v>
      </c>
      <c r="AF191" s="11">
        <f t="shared" si="73"/>
        <v>2.1747695672914635E-2</v>
      </c>
      <c r="AG191" s="11">
        <f t="shared" si="74"/>
        <v>1.737821392676734E-2</v>
      </c>
      <c r="AH191" s="11">
        <f t="shared" si="75"/>
        <v>5.966876791124593E-2</v>
      </c>
      <c r="AI191" s="11">
        <f t="shared" si="76"/>
        <v>2.0579463860645533E-2</v>
      </c>
      <c r="AJ191" s="11"/>
    </row>
    <row r="192" spans="1:36">
      <c r="A192" t="s">
        <v>436</v>
      </c>
      <c r="B192">
        <v>2.6524000000000001E-3</v>
      </c>
      <c r="C192">
        <v>0</v>
      </c>
      <c r="D192">
        <v>3316</v>
      </c>
      <c r="E192">
        <v>107061</v>
      </c>
      <c r="F192">
        <v>33307.03</v>
      </c>
      <c r="G192">
        <v>1523.1949999999999</v>
      </c>
      <c r="H192">
        <v>65807</v>
      </c>
      <c r="I192">
        <f t="shared" si="53"/>
        <v>0</v>
      </c>
      <c r="J192">
        <f t="shared" si="54"/>
        <v>0</v>
      </c>
      <c r="K192">
        <f t="shared" si="55"/>
        <v>0</v>
      </c>
      <c r="L192">
        <f t="shared" si="56"/>
        <v>0</v>
      </c>
      <c r="M192">
        <f t="shared" si="57"/>
        <v>0</v>
      </c>
      <c r="N192">
        <f t="shared" si="58"/>
        <v>0</v>
      </c>
      <c r="P192" s="11">
        <f t="shared" si="59"/>
        <v>0.10879559901391482</v>
      </c>
      <c r="Q192" s="11">
        <f t="shared" si="60"/>
        <v>0.10020487349288831</v>
      </c>
      <c r="R192" s="11">
        <f t="shared" si="61"/>
        <v>6.0272761853708808E-3</v>
      </c>
      <c r="S192" s="11">
        <f t="shared" si="62"/>
        <v>1.1423355578189269E-2</v>
      </c>
      <c r="T192" s="11">
        <f t="shared" si="63"/>
        <v>1.6536931050115052E-2</v>
      </c>
      <c r="U192" s="11">
        <f t="shared" si="64"/>
        <v>1.3527657921539923E-2</v>
      </c>
      <c r="W192">
        <f t="shared" si="65"/>
        <v>0</v>
      </c>
      <c r="X192">
        <f t="shared" si="66"/>
        <v>0</v>
      </c>
      <c r="Y192">
        <f t="shared" si="67"/>
        <v>0</v>
      </c>
      <c r="Z192">
        <f t="shared" si="68"/>
        <v>0</v>
      </c>
      <c r="AA192">
        <f t="shared" si="69"/>
        <v>0</v>
      </c>
      <c r="AB192">
        <f t="shared" si="70"/>
        <v>0</v>
      </c>
      <c r="AD192" s="11">
        <f t="shared" si="71"/>
        <v>0.94938869582686491</v>
      </c>
      <c r="AE192" s="11">
        <f t="shared" si="72"/>
        <v>0.3686726000504385</v>
      </c>
      <c r="AF192" s="11">
        <f t="shared" si="73"/>
        <v>5.2596133748808317E-2</v>
      </c>
      <c r="AG192" s="11">
        <f t="shared" si="74"/>
        <v>4.202867640574999E-2</v>
      </c>
      <c r="AH192" s="11">
        <f t="shared" si="75"/>
        <v>0.14430708176568346</v>
      </c>
      <c r="AI192" s="11">
        <f t="shared" si="76"/>
        <v>4.9770801006809202E-2</v>
      </c>
      <c r="AJ192" s="11"/>
    </row>
    <row r="193" spans="1:36">
      <c r="A193" t="s">
        <v>437</v>
      </c>
      <c r="B193">
        <v>3.8858999999999999E-3</v>
      </c>
      <c r="C193">
        <v>0</v>
      </c>
      <c r="D193">
        <v>19463</v>
      </c>
      <c r="E193">
        <v>464042</v>
      </c>
      <c r="F193">
        <v>37015.699999999997</v>
      </c>
      <c r="G193">
        <v>1926.454</v>
      </c>
      <c r="H193">
        <v>324154</v>
      </c>
      <c r="I193">
        <f t="shared" si="53"/>
        <v>0</v>
      </c>
      <c r="J193">
        <f t="shared" si="54"/>
        <v>0</v>
      </c>
      <c r="K193">
        <f t="shared" si="55"/>
        <v>0</v>
      </c>
      <c r="L193">
        <f t="shared" si="56"/>
        <v>0</v>
      </c>
      <c r="M193">
        <f t="shared" si="57"/>
        <v>0</v>
      </c>
      <c r="N193">
        <f t="shared" si="58"/>
        <v>0</v>
      </c>
      <c r="P193" s="11">
        <f t="shared" si="59"/>
        <v>0.12602618530730553</v>
      </c>
      <c r="Q193" s="11">
        <f t="shared" si="60"/>
        <v>0.11607489705438073</v>
      </c>
      <c r="R193" s="11">
        <f t="shared" si="61"/>
        <v>6.9818506660247262E-3</v>
      </c>
      <c r="S193" s="11">
        <f t="shared" si="62"/>
        <v>1.3232538264199404E-2</v>
      </c>
      <c r="T193" s="11">
        <f t="shared" si="63"/>
        <v>1.915598016671044E-2</v>
      </c>
      <c r="U193" s="11">
        <f t="shared" si="64"/>
        <v>1.56701111023414E-2</v>
      </c>
      <c r="W193">
        <f t="shared" si="65"/>
        <v>0</v>
      </c>
      <c r="X193">
        <f t="shared" si="66"/>
        <v>0</v>
      </c>
      <c r="Y193">
        <f t="shared" si="67"/>
        <v>0</v>
      </c>
      <c r="Z193">
        <f t="shared" si="68"/>
        <v>0</v>
      </c>
      <c r="AA193">
        <f t="shared" si="69"/>
        <v>0</v>
      </c>
      <c r="AB193">
        <f t="shared" si="70"/>
        <v>0</v>
      </c>
      <c r="AD193" s="11">
        <f t="shared" si="71"/>
        <v>0.32090069895229306</v>
      </c>
      <c r="AE193" s="11">
        <f t="shared" si="72"/>
        <v>0.1246141812734623</v>
      </c>
      <c r="AF193" s="11">
        <f t="shared" si="73"/>
        <v>1.7777898721957036E-2</v>
      </c>
      <c r="AG193" s="11">
        <f t="shared" si="74"/>
        <v>1.4206016665174702E-2</v>
      </c>
      <c r="AH193" s="11">
        <f t="shared" si="75"/>
        <v>4.8776906240748541E-2</v>
      </c>
      <c r="AI193" s="11">
        <f t="shared" si="76"/>
        <v>1.6822914471917413E-2</v>
      </c>
      <c r="AJ193" s="11"/>
    </row>
    <row r="194" spans="1:36">
      <c r="A194" t="s">
        <v>991</v>
      </c>
      <c r="B194">
        <v>2.1641E-3</v>
      </c>
      <c r="C194">
        <v>0</v>
      </c>
      <c r="D194">
        <v>3740</v>
      </c>
      <c r="E194">
        <v>104826</v>
      </c>
      <c r="F194">
        <v>33530.730000000003</v>
      </c>
      <c r="G194">
        <v>1372.88</v>
      </c>
      <c r="H194">
        <v>67234</v>
      </c>
      <c r="I194">
        <f t="shared" si="53"/>
        <v>0</v>
      </c>
      <c r="J194">
        <f t="shared" si="54"/>
        <v>0</v>
      </c>
      <c r="K194">
        <f t="shared" si="55"/>
        <v>0</v>
      </c>
      <c r="L194">
        <f t="shared" si="56"/>
        <v>0</v>
      </c>
      <c r="M194">
        <f t="shared" si="57"/>
        <v>0</v>
      </c>
      <c r="N194">
        <f t="shared" si="58"/>
        <v>0</v>
      </c>
      <c r="P194" s="11">
        <f t="shared" si="59"/>
        <v>9.8485560434997954E-2</v>
      </c>
      <c r="Q194" s="11">
        <f t="shared" si="60"/>
        <v>9.0708936884505556E-2</v>
      </c>
      <c r="R194" s="11">
        <f t="shared" si="61"/>
        <v>5.4561000480988862E-3</v>
      </c>
      <c r="S194" s="11">
        <f t="shared" si="62"/>
        <v>1.0340818804833634E-2</v>
      </c>
      <c r="T194" s="11">
        <f t="shared" si="63"/>
        <v>1.4969805186119688E-2</v>
      </c>
      <c r="U194" s="11">
        <f t="shared" si="64"/>
        <v>1.2245706479408251E-2</v>
      </c>
      <c r="W194">
        <f t="shared" si="65"/>
        <v>0</v>
      </c>
      <c r="X194">
        <f t="shared" si="66"/>
        <v>0</v>
      </c>
      <c r="Y194">
        <f t="shared" si="67"/>
        <v>0</v>
      </c>
      <c r="Z194">
        <f t="shared" si="68"/>
        <v>0</v>
      </c>
      <c r="AA194">
        <f t="shared" si="69"/>
        <v>0</v>
      </c>
      <c r="AB194">
        <f t="shared" si="70"/>
        <v>0</v>
      </c>
      <c r="AD194" s="11">
        <f t="shared" si="71"/>
        <v>0.79112415285120097</v>
      </c>
      <c r="AE194" s="11">
        <f t="shared" si="72"/>
        <v>0.3072143155657947</v>
      </c>
      <c r="AF194" s="11">
        <f t="shared" si="73"/>
        <v>4.3828278067956535E-2</v>
      </c>
      <c r="AG194" s="11">
        <f t="shared" si="74"/>
        <v>3.5022431974500598E-2</v>
      </c>
      <c r="AH194" s="11">
        <f t="shared" si="75"/>
        <v>0.12025087123338254</v>
      </c>
      <c r="AI194" s="11">
        <f t="shared" si="76"/>
        <v>4.1473932601382289E-2</v>
      </c>
      <c r="AJ194" s="11"/>
    </row>
    <row r="195" spans="1:36">
      <c r="A195" t="s">
        <v>438</v>
      </c>
      <c r="B195">
        <v>6.8602000000000003E-3</v>
      </c>
      <c r="C195">
        <v>0</v>
      </c>
      <c r="D195">
        <v>11109</v>
      </c>
      <c r="E195">
        <v>294665</v>
      </c>
      <c r="F195">
        <v>33709.550000000003</v>
      </c>
      <c r="G195">
        <v>1645.76</v>
      </c>
      <c r="H195">
        <v>216925</v>
      </c>
      <c r="I195">
        <f t="shared" si="53"/>
        <v>0</v>
      </c>
      <c r="J195">
        <f t="shared" si="54"/>
        <v>0</v>
      </c>
      <c r="K195">
        <f t="shared" si="55"/>
        <v>0</v>
      </c>
      <c r="L195">
        <f t="shared" si="56"/>
        <v>0</v>
      </c>
      <c r="M195">
        <f t="shared" si="57"/>
        <v>0</v>
      </c>
      <c r="N195">
        <f t="shared" si="58"/>
        <v>0</v>
      </c>
      <c r="P195" s="11">
        <f t="shared" si="59"/>
        <v>0.26043424413037142</v>
      </c>
      <c r="Q195" s="11">
        <f t="shared" si="60"/>
        <v>0.23986981755541512</v>
      </c>
      <c r="R195" s="11">
        <f t="shared" si="61"/>
        <v>1.4428057124822575E-2</v>
      </c>
      <c r="S195" s="11">
        <f t="shared" si="62"/>
        <v>2.7345159201317325E-2</v>
      </c>
      <c r="T195" s="11">
        <f t="shared" si="63"/>
        <v>3.9586005107816458E-2</v>
      </c>
      <c r="U195" s="11">
        <f t="shared" si="64"/>
        <v>3.2382425369981045E-2</v>
      </c>
      <c r="W195">
        <f t="shared" si="65"/>
        <v>0</v>
      </c>
      <c r="X195">
        <f t="shared" si="66"/>
        <v>0</v>
      </c>
      <c r="Y195">
        <f t="shared" si="67"/>
        <v>0</v>
      </c>
      <c r="Z195">
        <f t="shared" si="68"/>
        <v>0</v>
      </c>
      <c r="AA195">
        <f t="shared" si="69"/>
        <v>0</v>
      </c>
      <c r="AB195">
        <f t="shared" si="70"/>
        <v>0</v>
      </c>
      <c r="AD195" s="11">
        <f t="shared" si="71"/>
        <v>0.89216371465616884</v>
      </c>
      <c r="AE195" s="11">
        <f t="shared" si="72"/>
        <v>0.34645063481241412</v>
      </c>
      <c r="AF195" s="11">
        <f t="shared" si="73"/>
        <v>4.9425869791951751E-2</v>
      </c>
      <c r="AG195" s="11">
        <f t="shared" si="74"/>
        <v>3.9495372368615209E-2</v>
      </c>
      <c r="AH195" s="11">
        <f t="shared" si="75"/>
        <v>0.13560888462773765</v>
      </c>
      <c r="AI195" s="11">
        <f t="shared" si="76"/>
        <v>4.6770835699675911E-2</v>
      </c>
      <c r="AJ195" s="11"/>
    </row>
    <row r="196" spans="1:36">
      <c r="A196" t="s">
        <v>297</v>
      </c>
      <c r="B196">
        <v>2.9543E-3</v>
      </c>
      <c r="C196">
        <v>3.301E-4</v>
      </c>
      <c r="D196">
        <v>25560</v>
      </c>
      <c r="E196">
        <v>675921</v>
      </c>
      <c r="F196">
        <v>36943.61</v>
      </c>
      <c r="G196">
        <v>1561.5360000000001</v>
      </c>
      <c r="H196">
        <v>436103</v>
      </c>
      <c r="I196">
        <f t="shared" si="53"/>
        <v>1.4366829980224597E-2</v>
      </c>
      <c r="J196">
        <f t="shared" si="54"/>
        <v>3.4642683678122052E-2</v>
      </c>
      <c r="K196">
        <f t="shared" si="55"/>
        <v>7.9592238090444266E-4</v>
      </c>
      <c r="L196">
        <f t="shared" si="56"/>
        <v>3.9492659393059138E-3</v>
      </c>
      <c r="M196">
        <f t="shared" si="57"/>
        <v>2.1837581569941387E-3</v>
      </c>
      <c r="N196">
        <f t="shared" si="58"/>
        <v>4.6767622965464776E-3</v>
      </c>
      <c r="P196" s="11">
        <f t="shared" si="59"/>
        <v>0.11820351937451329</v>
      </c>
      <c r="Q196" s="11">
        <f t="shared" si="60"/>
        <v>0.10886992500333004</v>
      </c>
      <c r="R196" s="11">
        <f t="shared" si="61"/>
        <v>6.5484749733480362E-3</v>
      </c>
      <c r="S196" s="11">
        <f t="shared" si="62"/>
        <v>1.2411171450379625E-2</v>
      </c>
      <c r="T196" s="11">
        <f t="shared" si="63"/>
        <v>1.796693494492602E-2</v>
      </c>
      <c r="U196" s="11">
        <f t="shared" si="64"/>
        <v>1.4697439875449556E-2</v>
      </c>
      <c r="W196">
        <f t="shared" si="65"/>
        <v>0.17829967647969217</v>
      </c>
      <c r="X196">
        <f t="shared" si="66"/>
        <v>0.23636045557674637</v>
      </c>
      <c r="Y196">
        <f t="shared" si="67"/>
        <v>9.8778020769749453E-3</v>
      </c>
      <c r="Z196">
        <f t="shared" si="68"/>
        <v>2.6945091935749087E-2</v>
      </c>
      <c r="AA196">
        <f t="shared" si="69"/>
        <v>2.7101550824913209E-2</v>
      </c>
      <c r="AB196">
        <f t="shared" si="70"/>
        <v>3.1908661502860765E-2</v>
      </c>
      <c r="AD196" s="11">
        <f t="shared" si="71"/>
        <v>0.1674923544614533</v>
      </c>
      <c r="AE196" s="11">
        <f t="shared" si="72"/>
        <v>6.5041686381248701E-2</v>
      </c>
      <c r="AF196" s="11">
        <f t="shared" si="73"/>
        <v>9.2790764371645119E-3</v>
      </c>
      <c r="AG196" s="11">
        <f t="shared" si="74"/>
        <v>7.414752247462352E-3</v>
      </c>
      <c r="AH196" s="11">
        <f t="shared" si="75"/>
        <v>2.5458837878140902E-2</v>
      </c>
      <c r="AI196" s="11">
        <f t="shared" si="76"/>
        <v>8.7806276614685753E-3</v>
      </c>
      <c r="AJ196" s="11"/>
    </row>
    <row r="197" spans="1:36">
      <c r="A197" t="s">
        <v>439</v>
      </c>
      <c r="B197">
        <v>1.23307E-2</v>
      </c>
      <c r="C197">
        <v>0</v>
      </c>
      <c r="D197">
        <v>2474</v>
      </c>
      <c r="E197">
        <v>124362</v>
      </c>
      <c r="F197">
        <v>28090.81</v>
      </c>
      <c r="G197">
        <v>1700.5940000000001</v>
      </c>
      <c r="H197">
        <v>71973</v>
      </c>
      <c r="I197">
        <f t="shared" si="53"/>
        <v>0</v>
      </c>
      <c r="J197">
        <f t="shared" si="54"/>
        <v>0</v>
      </c>
      <c r="K197">
        <f t="shared" si="55"/>
        <v>0</v>
      </c>
      <c r="L197">
        <f t="shared" si="56"/>
        <v>0</v>
      </c>
      <c r="M197">
        <f t="shared" si="57"/>
        <v>0</v>
      </c>
      <c r="N197">
        <f t="shared" si="58"/>
        <v>0</v>
      </c>
      <c r="P197" s="11">
        <f t="shared" si="59"/>
        <v>0.4530174207776812</v>
      </c>
      <c r="Q197" s="11">
        <f t="shared" si="60"/>
        <v>0.4172462282531868</v>
      </c>
      <c r="R197" s="11">
        <f t="shared" si="61"/>
        <v>2.5097165111083536E-2</v>
      </c>
      <c r="S197" s="11">
        <f t="shared" si="62"/>
        <v>4.7566070020863299E-2</v>
      </c>
      <c r="T197" s="11">
        <f t="shared" si="63"/>
        <v>6.8858647958207536E-2</v>
      </c>
      <c r="U197" s="11">
        <f t="shared" si="64"/>
        <v>5.6328240814180225E-2</v>
      </c>
      <c r="W197">
        <f t="shared" si="65"/>
        <v>0</v>
      </c>
      <c r="X197">
        <f t="shared" si="66"/>
        <v>0</v>
      </c>
      <c r="Y197">
        <f t="shared" si="67"/>
        <v>0</v>
      </c>
      <c r="Z197">
        <f t="shared" si="68"/>
        <v>0</v>
      </c>
      <c r="AA197">
        <f t="shared" si="69"/>
        <v>0</v>
      </c>
      <c r="AB197">
        <f t="shared" si="70"/>
        <v>0</v>
      </c>
      <c r="AD197" s="11">
        <f t="shared" si="71"/>
        <v>3.7995867683300362</v>
      </c>
      <c r="AE197" s="11">
        <f t="shared" si="72"/>
        <v>1.4754794734283785</v>
      </c>
      <c r="AF197" s="11">
        <f t="shared" si="73"/>
        <v>0.21049710696548399</v>
      </c>
      <c r="AG197" s="11">
        <f t="shared" si="74"/>
        <v>0.16820465997083514</v>
      </c>
      <c r="AH197" s="11">
        <f t="shared" si="75"/>
        <v>0.57753718878616545</v>
      </c>
      <c r="AI197" s="11">
        <f t="shared" si="76"/>
        <v>0.1991897289128311</v>
      </c>
      <c r="AJ197" s="11"/>
    </row>
    <row r="198" spans="1:36">
      <c r="A198" t="s">
        <v>992</v>
      </c>
      <c r="B198">
        <v>8.4769999999999995E-4</v>
      </c>
      <c r="C198">
        <v>0</v>
      </c>
      <c r="D198">
        <v>9038</v>
      </c>
      <c r="E198">
        <v>204496</v>
      </c>
      <c r="F198">
        <v>35428.879999999997</v>
      </c>
      <c r="G198">
        <v>1070.4390000000001</v>
      </c>
      <c r="H198">
        <v>134466</v>
      </c>
      <c r="I198">
        <f t="shared" si="53"/>
        <v>0</v>
      </c>
      <c r="J198">
        <f t="shared" si="54"/>
        <v>0</v>
      </c>
      <c r="K198">
        <f t="shared" si="55"/>
        <v>0</v>
      </c>
      <c r="L198">
        <f t="shared" si="56"/>
        <v>0</v>
      </c>
      <c r="M198">
        <f t="shared" si="57"/>
        <v>0</v>
      </c>
      <c r="N198">
        <f t="shared" si="58"/>
        <v>0</v>
      </c>
      <c r="P198" s="11">
        <f t="shared" si="59"/>
        <v>4.9477537131961742E-2</v>
      </c>
      <c r="Q198" s="11">
        <f t="shared" si="60"/>
        <v>4.5570688465199786E-2</v>
      </c>
      <c r="R198" s="11">
        <f t="shared" si="61"/>
        <v>2.7410555571106806E-3</v>
      </c>
      <c r="S198" s="11">
        <f t="shared" si="62"/>
        <v>5.1950584850327759E-3</v>
      </c>
      <c r="T198" s="11">
        <f t="shared" si="63"/>
        <v>7.520585644058185E-3</v>
      </c>
      <c r="U198" s="11">
        <f t="shared" si="64"/>
        <v>6.1520429428019718E-3</v>
      </c>
      <c r="W198">
        <f t="shared" si="65"/>
        <v>0</v>
      </c>
      <c r="X198">
        <f t="shared" si="66"/>
        <v>0</v>
      </c>
      <c r="Y198">
        <f t="shared" si="67"/>
        <v>0</v>
      </c>
      <c r="Z198">
        <f t="shared" si="68"/>
        <v>0</v>
      </c>
      <c r="AA198">
        <f t="shared" si="69"/>
        <v>0</v>
      </c>
      <c r="AB198">
        <f t="shared" si="70"/>
        <v>0</v>
      </c>
      <c r="AD198" s="11">
        <f t="shared" si="71"/>
        <v>0.15885236988332288</v>
      </c>
      <c r="AE198" s="11">
        <f t="shared" si="72"/>
        <v>6.168655313306861E-2</v>
      </c>
      <c r="AF198" s="11">
        <f t="shared" si="73"/>
        <v>8.8004212915360879E-3</v>
      </c>
      <c r="AG198" s="11">
        <f t="shared" si="74"/>
        <v>7.0322670571698219E-3</v>
      </c>
      <c r="AH198" s="11">
        <f t="shared" si="75"/>
        <v>2.4145560222265078E-2</v>
      </c>
      <c r="AI198" s="11">
        <f t="shared" si="76"/>
        <v>8.3276846729642626E-3</v>
      </c>
      <c r="AJ198" s="11"/>
    </row>
    <row r="199" spans="1:36">
      <c r="A199" t="s">
        <v>440</v>
      </c>
      <c r="B199">
        <v>2.3768000000000001E-3</v>
      </c>
      <c r="C199">
        <v>0</v>
      </c>
      <c r="D199">
        <v>2519</v>
      </c>
      <c r="E199">
        <v>101537</v>
      </c>
      <c r="F199">
        <v>37439.56</v>
      </c>
      <c r="G199">
        <v>1408.8240000000001</v>
      </c>
      <c r="H199">
        <v>48337</v>
      </c>
      <c r="I199">
        <f t="shared" si="53"/>
        <v>0</v>
      </c>
      <c r="J199">
        <f t="shared" si="54"/>
        <v>0</v>
      </c>
      <c r="K199">
        <f t="shared" si="55"/>
        <v>0</v>
      </c>
      <c r="L199">
        <f t="shared" si="56"/>
        <v>0</v>
      </c>
      <c r="M199">
        <f t="shared" si="57"/>
        <v>0</v>
      </c>
      <c r="N199">
        <f t="shared" si="58"/>
        <v>0</v>
      </c>
      <c r="P199" s="11">
        <f t="shared" si="59"/>
        <v>0.10540560643487051</v>
      </c>
      <c r="Q199" s="11">
        <f t="shared" si="60"/>
        <v>9.7082561739436565E-2</v>
      </c>
      <c r="R199" s="11">
        <f t="shared" si="61"/>
        <v>5.8394705964918258E-3</v>
      </c>
      <c r="S199" s="11">
        <f t="shared" si="62"/>
        <v>1.1067412038295768E-2</v>
      </c>
      <c r="T199" s="11">
        <f t="shared" si="63"/>
        <v>1.6021652178100317E-2</v>
      </c>
      <c r="U199" s="11">
        <f t="shared" si="64"/>
        <v>1.3106145834823937E-2</v>
      </c>
      <c r="W199">
        <f t="shared" si="65"/>
        <v>0</v>
      </c>
      <c r="X199">
        <f t="shared" si="66"/>
        <v>0</v>
      </c>
      <c r="Y199">
        <f t="shared" si="67"/>
        <v>0</v>
      </c>
      <c r="Z199">
        <f t="shared" si="68"/>
        <v>0</v>
      </c>
      <c r="AA199">
        <f t="shared" si="69"/>
        <v>0</v>
      </c>
      <c r="AB199">
        <f t="shared" si="70"/>
        <v>0</v>
      </c>
      <c r="AD199" s="11">
        <f t="shared" si="71"/>
        <v>0.89702520012842601</v>
      </c>
      <c r="AE199" s="11">
        <f t="shared" si="72"/>
        <v>0.34833847748111529</v>
      </c>
      <c r="AF199" s="11">
        <f t="shared" si="73"/>
        <v>4.9695196087114799E-2</v>
      </c>
      <c r="AG199" s="11">
        <f t="shared" si="74"/>
        <v>3.9710586432847146E-2</v>
      </c>
      <c r="AH199" s="11">
        <f t="shared" si="75"/>
        <v>0.13634783041952075</v>
      </c>
      <c r="AI199" s="11">
        <f t="shared" si="76"/>
        <v>4.7025694459950571E-2</v>
      </c>
      <c r="AJ199" s="11"/>
    </row>
    <row r="200" spans="1:36">
      <c r="A200" t="s">
        <v>299</v>
      </c>
      <c r="B200">
        <v>1.6263699999999999E-2</v>
      </c>
      <c r="C200">
        <v>2.9537999999999999E-3</v>
      </c>
      <c r="D200">
        <v>655355</v>
      </c>
      <c r="E200">
        <v>12768395</v>
      </c>
      <c r="F200">
        <v>47279</v>
      </c>
      <c r="G200">
        <v>3572.0419999999999</v>
      </c>
      <c r="H200">
        <v>7823094</v>
      </c>
      <c r="I200">
        <f t="shared" si="53"/>
        <v>5.6199436165644184E-2</v>
      </c>
      <c r="J200">
        <f t="shared" si="54"/>
        <v>0.13551349133072904</v>
      </c>
      <c r="K200">
        <f t="shared" si="55"/>
        <v>3.1134487635766876E-3</v>
      </c>
      <c r="L200">
        <f t="shared" si="56"/>
        <v>1.5448538011703112E-2</v>
      </c>
      <c r="M200">
        <f t="shared" si="57"/>
        <v>8.5423142971779165E-3</v>
      </c>
      <c r="N200">
        <f t="shared" si="58"/>
        <v>1.8294321329648422E-2</v>
      </c>
      <c r="P200" s="11">
        <f t="shared" si="59"/>
        <v>0.28446616108377221</v>
      </c>
      <c r="Q200" s="11">
        <f t="shared" si="60"/>
        <v>0.26200412464075168</v>
      </c>
      <c r="R200" s="11">
        <f t="shared" si="61"/>
        <v>1.5759425324040979E-2</v>
      </c>
      <c r="S200" s="11">
        <f t="shared" si="62"/>
        <v>2.9868470209045692E-2</v>
      </c>
      <c r="T200" s="11">
        <f t="shared" si="63"/>
        <v>4.3238856484733378E-2</v>
      </c>
      <c r="U200" s="11">
        <f t="shared" si="64"/>
        <v>3.5370556826501476E-2</v>
      </c>
      <c r="W200">
        <f t="shared" si="65"/>
        <v>8.4458963462873765E-2</v>
      </c>
      <c r="X200">
        <f t="shared" si="66"/>
        <v>0.11196183569014116</v>
      </c>
      <c r="Y200">
        <f t="shared" si="67"/>
        <v>4.6790265758432066E-3</v>
      </c>
      <c r="Z200">
        <f t="shared" si="68"/>
        <v>1.2763649268676094E-2</v>
      </c>
      <c r="AA200">
        <f t="shared" si="69"/>
        <v>1.2837762446356812E-2</v>
      </c>
      <c r="AB200">
        <f t="shared" si="70"/>
        <v>1.5114847818169058E-2</v>
      </c>
      <c r="AD200" s="11">
        <f t="shared" si="71"/>
        <v>4.8811188003226709E-2</v>
      </c>
      <c r="AE200" s="11">
        <f t="shared" si="72"/>
        <v>1.8954668063566327E-2</v>
      </c>
      <c r="AF200" s="11">
        <f t="shared" si="73"/>
        <v>2.7041398153787597E-3</v>
      </c>
      <c r="AG200" s="11">
        <f t="shared" si="74"/>
        <v>2.1608321592465614E-3</v>
      </c>
      <c r="AH200" s="11">
        <f t="shared" si="75"/>
        <v>7.4193005764904597E-3</v>
      </c>
      <c r="AI200" s="11">
        <f t="shared" si="76"/>
        <v>2.5588801885814542E-3</v>
      </c>
      <c r="AJ200" s="11"/>
    </row>
    <row r="201" spans="1:36">
      <c r="A201" t="s">
        <v>441</v>
      </c>
      <c r="B201">
        <v>7.9044000000000007E-3</v>
      </c>
      <c r="C201">
        <v>0</v>
      </c>
      <c r="D201">
        <v>50792</v>
      </c>
      <c r="E201">
        <v>1249739</v>
      </c>
      <c r="F201">
        <v>36665.47</v>
      </c>
      <c r="G201">
        <v>1311.79</v>
      </c>
      <c r="H201">
        <v>780659</v>
      </c>
      <c r="I201">
        <f t="shared" si="53"/>
        <v>0</v>
      </c>
      <c r="J201">
        <f t="shared" si="54"/>
        <v>0</v>
      </c>
      <c r="K201">
        <f t="shared" si="55"/>
        <v>0</v>
      </c>
      <c r="L201">
        <f t="shared" si="56"/>
        <v>0</v>
      </c>
      <c r="M201">
        <f t="shared" si="57"/>
        <v>0</v>
      </c>
      <c r="N201">
        <f t="shared" si="58"/>
        <v>0</v>
      </c>
      <c r="P201" s="11">
        <f t="shared" si="59"/>
        <v>0.37647176273641364</v>
      </c>
      <c r="Q201" s="11">
        <f t="shared" si="60"/>
        <v>0.34674477369091095</v>
      </c>
      <c r="R201" s="11">
        <f t="shared" si="61"/>
        <v>2.0856535655597315E-2</v>
      </c>
      <c r="S201" s="11">
        <f t="shared" si="62"/>
        <v>3.9528904200763847E-2</v>
      </c>
      <c r="T201" s="11">
        <f t="shared" si="63"/>
        <v>5.722370793593487E-2</v>
      </c>
      <c r="U201" s="11">
        <f t="shared" si="64"/>
        <v>4.6810544448272984E-2</v>
      </c>
      <c r="W201">
        <f t="shared" si="65"/>
        <v>0</v>
      </c>
      <c r="X201">
        <f t="shared" si="66"/>
        <v>0</v>
      </c>
      <c r="Y201">
        <f t="shared" si="67"/>
        <v>0</v>
      </c>
      <c r="Z201">
        <f t="shared" si="68"/>
        <v>0</v>
      </c>
      <c r="AA201">
        <f t="shared" si="69"/>
        <v>0</v>
      </c>
      <c r="AB201">
        <f t="shared" si="70"/>
        <v>0</v>
      </c>
      <c r="AD201" s="11">
        <f t="shared" si="71"/>
        <v>0.24237393809869098</v>
      </c>
      <c r="AE201" s="11">
        <f t="shared" si="72"/>
        <v>9.412017473568482E-2</v>
      </c>
      <c r="AF201" s="11">
        <f t="shared" si="73"/>
        <v>1.3427516170667481E-2</v>
      </c>
      <c r="AG201" s="11">
        <f t="shared" si="74"/>
        <v>1.0729699919868069E-2</v>
      </c>
      <c r="AH201" s="11">
        <f t="shared" si="75"/>
        <v>3.6840838591001027E-2</v>
      </c>
      <c r="AI201" s="11">
        <f t="shared" si="76"/>
        <v>1.2706223589317452E-2</v>
      </c>
      <c r="AJ201" s="11"/>
    </row>
    <row r="202" spans="1:36">
      <c r="A202" t="s">
        <v>442</v>
      </c>
      <c r="B202">
        <v>8.8243000000000002E-3</v>
      </c>
      <c r="C202">
        <v>0</v>
      </c>
      <c r="D202">
        <v>7693</v>
      </c>
      <c r="E202">
        <v>271582</v>
      </c>
      <c r="F202">
        <v>29547.81</v>
      </c>
      <c r="G202">
        <v>1466.5029999999999</v>
      </c>
      <c r="H202">
        <v>170988</v>
      </c>
      <c r="I202">
        <f t="shared" si="53"/>
        <v>0</v>
      </c>
      <c r="J202">
        <f t="shared" si="54"/>
        <v>0</v>
      </c>
      <c r="K202">
        <f t="shared" si="55"/>
        <v>0</v>
      </c>
      <c r="L202">
        <f t="shared" si="56"/>
        <v>0</v>
      </c>
      <c r="M202">
        <f t="shared" si="57"/>
        <v>0</v>
      </c>
      <c r="N202">
        <f t="shared" si="58"/>
        <v>0</v>
      </c>
      <c r="P202" s="11">
        <f t="shared" si="59"/>
        <v>0.37594570064295812</v>
      </c>
      <c r="Q202" s="11">
        <f t="shared" si="60"/>
        <v>0.34626025054841347</v>
      </c>
      <c r="R202" s="11">
        <f t="shared" si="61"/>
        <v>2.0827391815619878E-2</v>
      </c>
      <c r="S202" s="11">
        <f t="shared" si="62"/>
        <v>3.9473668562519139E-2</v>
      </c>
      <c r="T202" s="11">
        <f t="shared" si="63"/>
        <v>5.7143746497729631E-2</v>
      </c>
      <c r="U202" s="11">
        <f t="shared" si="64"/>
        <v>4.674513382403582E-2</v>
      </c>
      <c r="W202">
        <f t="shared" si="65"/>
        <v>0</v>
      </c>
      <c r="X202">
        <f t="shared" si="66"/>
        <v>0</v>
      </c>
      <c r="Y202">
        <f t="shared" si="67"/>
        <v>0</v>
      </c>
      <c r="Z202">
        <f t="shared" si="68"/>
        <v>0</v>
      </c>
      <c r="AA202">
        <f t="shared" si="69"/>
        <v>0</v>
      </c>
      <c r="AB202">
        <f t="shared" si="70"/>
        <v>0</v>
      </c>
      <c r="AD202" s="11">
        <f t="shared" si="71"/>
        <v>1.2451326312713653</v>
      </c>
      <c r="AE202" s="11">
        <f t="shared" si="72"/>
        <v>0.48351774841668449</v>
      </c>
      <c r="AF202" s="11">
        <f t="shared" si="73"/>
        <v>6.8980347772433642E-2</v>
      </c>
      <c r="AG202" s="11">
        <f t="shared" si="74"/>
        <v>5.5121023319502034E-2</v>
      </c>
      <c r="AH202" s="11">
        <f t="shared" si="75"/>
        <v>0.18926015995324752</v>
      </c>
      <c r="AI202" s="11">
        <f t="shared" si="76"/>
        <v>6.5274896036252417E-2</v>
      </c>
      <c r="AJ202" s="11"/>
    </row>
    <row r="203" spans="1:36">
      <c r="A203" t="s">
        <v>443</v>
      </c>
      <c r="B203">
        <v>2.02905E-2</v>
      </c>
      <c r="C203">
        <v>0</v>
      </c>
      <c r="D203">
        <v>7537</v>
      </c>
      <c r="E203">
        <v>245579</v>
      </c>
      <c r="F203">
        <v>34554.089999999997</v>
      </c>
      <c r="G203">
        <v>1047.183</v>
      </c>
      <c r="H203">
        <v>142156</v>
      </c>
      <c r="I203">
        <f t="shared" si="53"/>
        <v>0</v>
      </c>
      <c r="J203">
        <f t="shared" si="54"/>
        <v>0</v>
      </c>
      <c r="K203">
        <f t="shared" si="55"/>
        <v>0</v>
      </c>
      <c r="L203">
        <f t="shared" si="56"/>
        <v>0</v>
      </c>
      <c r="M203">
        <f t="shared" si="57"/>
        <v>0</v>
      </c>
      <c r="N203">
        <f t="shared" si="58"/>
        <v>0</v>
      </c>
      <c r="P203" s="11">
        <f t="shared" si="59"/>
        <v>1.2105925020268664</v>
      </c>
      <c r="Q203" s="11">
        <f t="shared" si="60"/>
        <v>1.1150016141877779</v>
      </c>
      <c r="R203" s="11">
        <f t="shared" si="61"/>
        <v>6.7066824612288398E-2</v>
      </c>
      <c r="S203" s="11">
        <f t="shared" si="62"/>
        <v>0.12711018401740667</v>
      </c>
      <c r="T203" s="11">
        <f t="shared" si="63"/>
        <v>0.1840100603080837</v>
      </c>
      <c r="U203" s="11">
        <f t="shared" si="64"/>
        <v>0.15052521791535003</v>
      </c>
      <c r="W203">
        <f t="shared" si="65"/>
        <v>0</v>
      </c>
      <c r="X203">
        <f t="shared" si="66"/>
        <v>0</v>
      </c>
      <c r="Y203">
        <f t="shared" si="67"/>
        <v>0</v>
      </c>
      <c r="Z203">
        <f t="shared" si="68"/>
        <v>0</v>
      </c>
      <c r="AA203">
        <f t="shared" si="69"/>
        <v>0</v>
      </c>
      <c r="AB203">
        <f t="shared" si="70"/>
        <v>0</v>
      </c>
      <c r="AD203" s="11">
        <f t="shared" si="71"/>
        <v>3.1661964323492642</v>
      </c>
      <c r="AE203" s="11">
        <f t="shared" si="72"/>
        <v>1.2295173474421672</v>
      </c>
      <c r="AF203" s="11">
        <f t="shared" si="73"/>
        <v>0.17540728235214922</v>
      </c>
      <c r="AG203" s="11">
        <f t="shared" si="74"/>
        <v>0.14016497760840707</v>
      </c>
      <c r="AH203" s="11">
        <f t="shared" si="75"/>
        <v>0.48126185771708813</v>
      </c>
      <c r="AI203" s="11">
        <f t="shared" si="76"/>
        <v>0.16598484190469259</v>
      </c>
      <c r="AJ203" s="11"/>
    </row>
    <row r="204" spans="1:36">
      <c r="A204" t="s">
        <v>444</v>
      </c>
      <c r="B204">
        <v>2.8609E-3</v>
      </c>
      <c r="C204">
        <v>0</v>
      </c>
      <c r="D204">
        <v>6573</v>
      </c>
      <c r="E204">
        <v>230735</v>
      </c>
      <c r="F204">
        <v>34164.980000000003</v>
      </c>
      <c r="G204">
        <v>1124.9059999999999</v>
      </c>
      <c r="H204">
        <v>136624</v>
      </c>
      <c r="I204">
        <f t="shared" si="53"/>
        <v>0</v>
      </c>
      <c r="J204">
        <f t="shared" si="54"/>
        <v>0</v>
      </c>
      <c r="K204">
        <f t="shared" si="55"/>
        <v>0</v>
      </c>
      <c r="L204">
        <f t="shared" si="56"/>
        <v>0</v>
      </c>
      <c r="M204">
        <f t="shared" si="57"/>
        <v>0</v>
      </c>
      <c r="N204">
        <f t="shared" si="58"/>
        <v>0</v>
      </c>
      <c r="P204" s="11">
        <f t="shared" si="59"/>
        <v>0.15889647338533175</v>
      </c>
      <c r="Q204" s="11">
        <f t="shared" si="60"/>
        <v>0.14634967919986203</v>
      </c>
      <c r="R204" s="11">
        <f t="shared" si="61"/>
        <v>8.8028646255473783E-3</v>
      </c>
      <c r="S204" s="11">
        <f t="shared" si="62"/>
        <v>1.6683863428784272E-2</v>
      </c>
      <c r="T204" s="11">
        <f t="shared" si="63"/>
        <v>2.4152263954570426E-2</v>
      </c>
      <c r="U204" s="11">
        <f t="shared" si="64"/>
        <v>1.9757206691981374E-2</v>
      </c>
      <c r="W204">
        <f t="shared" si="65"/>
        <v>0</v>
      </c>
      <c r="X204">
        <f t="shared" si="66"/>
        <v>0</v>
      </c>
      <c r="Y204">
        <f t="shared" si="67"/>
        <v>0</v>
      </c>
      <c r="Z204">
        <f t="shared" si="68"/>
        <v>0</v>
      </c>
      <c r="AA204">
        <f t="shared" si="69"/>
        <v>0</v>
      </c>
      <c r="AB204">
        <f t="shared" si="70"/>
        <v>0</v>
      </c>
      <c r="AD204" s="11">
        <f t="shared" si="71"/>
        <v>0.47514431034832166</v>
      </c>
      <c r="AE204" s="11">
        <f t="shared" si="72"/>
        <v>0.18451103227295382</v>
      </c>
      <c r="AF204" s="11">
        <f t="shared" si="73"/>
        <v>2.6322994793297021E-2</v>
      </c>
      <c r="AG204" s="11">
        <f t="shared" si="74"/>
        <v>2.1034257679116736E-2</v>
      </c>
      <c r="AH204" s="11">
        <f t="shared" si="75"/>
        <v>7.2221935172944896E-2</v>
      </c>
      <c r="AI204" s="11">
        <f t="shared" si="76"/>
        <v>2.4908989356848769E-2</v>
      </c>
      <c r="AJ204" s="11"/>
    </row>
    <row r="205" spans="1:36">
      <c r="A205" t="s">
        <v>993</v>
      </c>
      <c r="B205">
        <v>1.4874000000000001E-3</v>
      </c>
      <c r="C205">
        <v>0</v>
      </c>
      <c r="D205">
        <v>2911</v>
      </c>
      <c r="E205">
        <v>147577</v>
      </c>
      <c r="F205">
        <v>34748.39</v>
      </c>
      <c r="G205">
        <v>898.85559999999998</v>
      </c>
      <c r="H205">
        <v>60184</v>
      </c>
      <c r="I205">
        <f t="shared" si="53"/>
        <v>0</v>
      </c>
      <c r="J205">
        <f t="shared" si="54"/>
        <v>0</v>
      </c>
      <c r="K205">
        <f t="shared" si="55"/>
        <v>0</v>
      </c>
      <c r="L205">
        <f t="shared" si="56"/>
        <v>0</v>
      </c>
      <c r="M205">
        <f t="shared" si="57"/>
        <v>0</v>
      </c>
      <c r="N205">
        <f t="shared" si="58"/>
        <v>0</v>
      </c>
      <c r="P205" s="11">
        <f t="shared" si="59"/>
        <v>0.10338693549887212</v>
      </c>
      <c r="Q205" s="11">
        <f t="shared" si="60"/>
        <v>9.5223289235779357E-2</v>
      </c>
      <c r="R205" s="11">
        <f t="shared" si="61"/>
        <v>5.7276362266375155E-3</v>
      </c>
      <c r="S205" s="11">
        <f t="shared" si="62"/>
        <v>1.0855454972878847E-2</v>
      </c>
      <c r="T205" s="11">
        <f t="shared" si="63"/>
        <v>1.5714814195828562E-2</v>
      </c>
      <c r="U205" s="11">
        <f t="shared" si="64"/>
        <v>1.2855144046830214E-2</v>
      </c>
      <c r="W205">
        <f t="shared" si="65"/>
        <v>0</v>
      </c>
      <c r="X205">
        <f t="shared" si="66"/>
        <v>0</v>
      </c>
      <c r="Y205">
        <f t="shared" si="67"/>
        <v>0</v>
      </c>
      <c r="Z205">
        <f t="shared" si="68"/>
        <v>0</v>
      </c>
      <c r="AA205">
        <f t="shared" si="69"/>
        <v>0</v>
      </c>
      <c r="AB205">
        <f t="shared" si="70"/>
        <v>0</v>
      </c>
      <c r="AD205" s="11">
        <f t="shared" si="71"/>
        <v>0.38622949143104957</v>
      </c>
      <c r="AE205" s="11">
        <f t="shared" si="72"/>
        <v>0.14998306957723764</v>
      </c>
      <c r="AF205" s="11">
        <f t="shared" si="73"/>
        <v>2.1397113825280145E-2</v>
      </c>
      <c r="AG205" s="11">
        <f t="shared" si="74"/>
        <v>1.7098069931805092E-2</v>
      </c>
      <c r="AH205" s="11">
        <f t="shared" si="75"/>
        <v>5.870688269751953E-2</v>
      </c>
      <c r="AI205" s="11">
        <f t="shared" si="76"/>
        <v>2.0247714392927083E-2</v>
      </c>
      <c r="AJ205" s="11"/>
    </row>
    <row r="206" spans="1:36">
      <c r="A206" t="s">
        <v>445</v>
      </c>
      <c r="B206">
        <v>1.47724E-2</v>
      </c>
      <c r="C206">
        <v>0</v>
      </c>
      <c r="D206">
        <v>27389</v>
      </c>
      <c r="E206">
        <v>562065</v>
      </c>
      <c r="F206">
        <v>40185.86</v>
      </c>
      <c r="G206">
        <v>3034.5039999999999</v>
      </c>
      <c r="H206">
        <v>444450</v>
      </c>
      <c r="I206">
        <f t="shared" si="53"/>
        <v>0</v>
      </c>
      <c r="J206">
        <f t="shared" si="54"/>
        <v>0</v>
      </c>
      <c r="K206">
        <f t="shared" si="55"/>
        <v>0</v>
      </c>
      <c r="L206">
        <f t="shared" si="56"/>
        <v>0</v>
      </c>
      <c r="M206">
        <f t="shared" si="57"/>
        <v>0</v>
      </c>
      <c r="N206">
        <f t="shared" si="58"/>
        <v>0</v>
      </c>
      <c r="P206" s="11">
        <f t="shared" si="59"/>
        <v>0.30415233739682002</v>
      </c>
      <c r="Q206" s="11">
        <f t="shared" si="60"/>
        <v>0.28013583975503081</v>
      </c>
      <c r="R206" s="11">
        <f t="shared" si="61"/>
        <v>1.685003949178383E-2</v>
      </c>
      <c r="S206" s="11">
        <f t="shared" si="62"/>
        <v>3.1935485732073512E-2</v>
      </c>
      <c r="T206" s="11">
        <f t="shared" si="63"/>
        <v>4.6231155284316643E-2</v>
      </c>
      <c r="U206" s="11">
        <f t="shared" si="64"/>
        <v>3.7818338366929161E-2</v>
      </c>
      <c r="W206">
        <f t="shared" si="65"/>
        <v>0</v>
      </c>
      <c r="X206">
        <f t="shared" si="66"/>
        <v>0</v>
      </c>
      <c r="Y206">
        <f t="shared" si="67"/>
        <v>0</v>
      </c>
      <c r="Z206">
        <f t="shared" si="68"/>
        <v>0</v>
      </c>
      <c r="AA206">
        <f t="shared" si="69"/>
        <v>0</v>
      </c>
      <c r="AB206">
        <f t="shared" si="70"/>
        <v>0</v>
      </c>
      <c r="AD206" s="11">
        <f t="shared" si="71"/>
        <v>1.0071655190412496</v>
      </c>
      <c r="AE206" s="11">
        <f t="shared" si="72"/>
        <v>0.39110886006778572</v>
      </c>
      <c r="AF206" s="11">
        <f t="shared" si="73"/>
        <v>5.5796969754885226E-2</v>
      </c>
      <c r="AG206" s="11">
        <f t="shared" si="74"/>
        <v>4.4586410047727572E-2</v>
      </c>
      <c r="AH206" s="11">
        <f t="shared" si="75"/>
        <v>0.15308915889426994</v>
      </c>
      <c r="AI206" s="11">
        <f t="shared" si="76"/>
        <v>5.2799696109151077E-2</v>
      </c>
      <c r="AJ206" s="11"/>
    </row>
    <row r="207" spans="1:36">
      <c r="A207" t="s">
        <v>446</v>
      </c>
      <c r="B207">
        <v>2.4039999999999999E-3</v>
      </c>
      <c r="C207">
        <v>0</v>
      </c>
      <c r="D207">
        <v>3274</v>
      </c>
      <c r="E207">
        <v>125081</v>
      </c>
      <c r="F207">
        <v>30875.86</v>
      </c>
      <c r="G207">
        <v>1080.6300000000001</v>
      </c>
      <c r="H207">
        <v>69186</v>
      </c>
      <c r="I207">
        <f t="shared" si="53"/>
        <v>0</v>
      </c>
      <c r="J207">
        <f t="shared" si="54"/>
        <v>0</v>
      </c>
      <c r="K207">
        <f t="shared" si="55"/>
        <v>0</v>
      </c>
      <c r="L207">
        <f t="shared" si="56"/>
        <v>0</v>
      </c>
      <c r="M207">
        <f t="shared" si="57"/>
        <v>0</v>
      </c>
      <c r="N207">
        <f t="shared" si="58"/>
        <v>0</v>
      </c>
      <c r="P207" s="11">
        <f t="shared" si="59"/>
        <v>0.13899054477480727</v>
      </c>
      <c r="Q207" s="11">
        <f t="shared" si="60"/>
        <v>0.1280155638840306</v>
      </c>
      <c r="R207" s="11">
        <f t="shared" si="61"/>
        <v>7.7000761805243222E-3</v>
      </c>
      <c r="S207" s="11">
        <f t="shared" si="62"/>
        <v>1.4593774282779489E-2</v>
      </c>
      <c r="T207" s="11">
        <f t="shared" si="63"/>
        <v>2.1126562805770705E-2</v>
      </c>
      <c r="U207" s="11">
        <f t="shared" si="64"/>
        <v>1.7282101124344133E-2</v>
      </c>
      <c r="W207">
        <f t="shared" si="65"/>
        <v>0</v>
      </c>
      <c r="X207">
        <f t="shared" si="66"/>
        <v>0</v>
      </c>
      <c r="Y207">
        <f t="shared" si="67"/>
        <v>0</v>
      </c>
      <c r="Z207">
        <f t="shared" si="68"/>
        <v>0</v>
      </c>
      <c r="AA207">
        <f t="shared" si="69"/>
        <v>0</v>
      </c>
      <c r="AB207">
        <f t="shared" si="70"/>
        <v>0</v>
      </c>
      <c r="AD207" s="11">
        <f t="shared" si="71"/>
        <v>0.73651136258264638</v>
      </c>
      <c r="AE207" s="11">
        <f t="shared" si="72"/>
        <v>0.28600673275717337</v>
      </c>
      <c r="AF207" s="11">
        <f t="shared" si="73"/>
        <v>4.0802729487078609E-2</v>
      </c>
      <c r="AG207" s="11">
        <f t="shared" si="74"/>
        <v>3.2604767534317763E-2</v>
      </c>
      <c r="AH207" s="11">
        <f t="shared" si="75"/>
        <v>0.11194972711256225</v>
      </c>
      <c r="AI207" s="11">
        <f t="shared" si="76"/>
        <v>3.8610908922218405E-2</v>
      </c>
      <c r="AJ207" s="11"/>
    </row>
    <row r="208" spans="1:36">
      <c r="A208" t="s">
        <v>447</v>
      </c>
      <c r="B208">
        <v>9.1330000000000003E-4</v>
      </c>
      <c r="C208">
        <v>0</v>
      </c>
      <c r="D208">
        <v>10714</v>
      </c>
      <c r="E208">
        <v>721275</v>
      </c>
      <c r="F208">
        <v>24364.82</v>
      </c>
      <c r="G208">
        <v>1249.1179999999999</v>
      </c>
      <c r="H208">
        <v>306067</v>
      </c>
      <c r="I208">
        <f t="shared" si="53"/>
        <v>0</v>
      </c>
      <c r="J208">
        <f t="shared" si="54"/>
        <v>0</v>
      </c>
      <c r="K208">
        <f t="shared" si="55"/>
        <v>0</v>
      </c>
      <c r="L208">
        <f t="shared" si="56"/>
        <v>0</v>
      </c>
      <c r="M208">
        <f t="shared" si="57"/>
        <v>0</v>
      </c>
      <c r="N208">
        <f t="shared" si="58"/>
        <v>0</v>
      </c>
      <c r="P208" s="11">
        <f t="shared" si="59"/>
        <v>4.568123166106005E-2</v>
      </c>
      <c r="Q208" s="11">
        <f t="shared" si="60"/>
        <v>4.2074147126212262E-2</v>
      </c>
      <c r="R208" s="11">
        <f t="shared" si="61"/>
        <v>2.5307402340227266E-3</v>
      </c>
      <c r="S208" s="11">
        <f t="shared" si="62"/>
        <v>4.7964527723881982E-3</v>
      </c>
      <c r="T208" s="11">
        <f t="shared" si="63"/>
        <v>6.9435472124811277E-3</v>
      </c>
      <c r="U208" s="11">
        <f t="shared" si="64"/>
        <v>5.6800098620386555E-3</v>
      </c>
      <c r="W208">
        <f t="shared" si="65"/>
        <v>0</v>
      </c>
      <c r="X208">
        <f t="shared" si="66"/>
        <v>0</v>
      </c>
      <c r="Y208">
        <f t="shared" si="67"/>
        <v>0</v>
      </c>
      <c r="Z208">
        <f t="shared" si="68"/>
        <v>0</v>
      </c>
      <c r="AA208">
        <f t="shared" si="69"/>
        <v>0</v>
      </c>
      <c r="AB208">
        <f t="shared" si="70"/>
        <v>0</v>
      </c>
      <c r="AD208" s="11">
        <f t="shared" si="71"/>
        <v>4.8523141564784579E-2</v>
      </c>
      <c r="AE208" s="11">
        <f t="shared" si="72"/>
        <v>1.8842812055734636E-2</v>
      </c>
      <c r="AF208" s="11">
        <f t="shared" si="73"/>
        <v>2.6881820426890657E-3</v>
      </c>
      <c r="AG208" s="11">
        <f t="shared" si="74"/>
        <v>2.1480805743537487E-3</v>
      </c>
      <c r="AH208" s="11">
        <f t="shared" si="75"/>
        <v>7.3755175178472562E-3</v>
      </c>
      <c r="AI208" s="11">
        <f t="shared" si="76"/>
        <v>2.5437796275241762E-3</v>
      </c>
      <c r="AJ208" s="11"/>
    </row>
    <row r="209" spans="1:36">
      <c r="A209" t="s">
        <v>448</v>
      </c>
      <c r="B209">
        <v>4.2551999999999998E-3</v>
      </c>
      <c r="C209">
        <v>0</v>
      </c>
      <c r="D209">
        <v>5439</v>
      </c>
      <c r="E209">
        <v>200298</v>
      </c>
      <c r="F209">
        <v>31390.06</v>
      </c>
      <c r="G209">
        <v>1846.7639999999999</v>
      </c>
      <c r="H209">
        <v>120099</v>
      </c>
      <c r="I209">
        <f t="shared" si="53"/>
        <v>0</v>
      </c>
      <c r="J209">
        <f t="shared" si="54"/>
        <v>0</v>
      </c>
      <c r="K209">
        <f t="shared" si="55"/>
        <v>0</v>
      </c>
      <c r="L209">
        <f t="shared" si="56"/>
        <v>0</v>
      </c>
      <c r="M209">
        <f t="shared" si="57"/>
        <v>0</v>
      </c>
      <c r="N209">
        <f t="shared" si="58"/>
        <v>0</v>
      </c>
      <c r="P209" s="11">
        <f t="shared" si="59"/>
        <v>0.14395819450671551</v>
      </c>
      <c r="Q209" s="11">
        <f t="shared" si="60"/>
        <v>0.13259095771847404</v>
      </c>
      <c r="R209" s="11">
        <f t="shared" si="61"/>
        <v>7.9752839756720394E-3</v>
      </c>
      <c r="S209" s="11">
        <f t="shared" si="62"/>
        <v>1.5115369179906041E-2</v>
      </c>
      <c r="T209" s="11">
        <f t="shared" si="63"/>
        <v>2.1881645565020758E-2</v>
      </c>
      <c r="U209" s="11">
        <f t="shared" si="64"/>
        <v>1.7899779291993996E-2</v>
      </c>
      <c r="W209">
        <f t="shared" si="65"/>
        <v>0</v>
      </c>
      <c r="X209">
        <f t="shared" si="66"/>
        <v>0</v>
      </c>
      <c r="Y209">
        <f t="shared" si="67"/>
        <v>0</v>
      </c>
      <c r="Z209">
        <f t="shared" si="68"/>
        <v>0</v>
      </c>
      <c r="AA209">
        <f t="shared" si="69"/>
        <v>0</v>
      </c>
      <c r="AB209">
        <f t="shared" si="70"/>
        <v>0</v>
      </c>
      <c r="AD209" s="11">
        <f t="shared" si="71"/>
        <v>0.81410364117544842</v>
      </c>
      <c r="AE209" s="11">
        <f t="shared" si="72"/>
        <v>0.31613785525566906</v>
      </c>
      <c r="AF209" s="11">
        <f t="shared" si="73"/>
        <v>4.5101341721119841E-2</v>
      </c>
      <c r="AG209" s="11">
        <f t="shared" si="74"/>
        <v>3.6039715499146273E-2</v>
      </c>
      <c r="AH209" s="11">
        <f t="shared" si="75"/>
        <v>0.12374375345866816</v>
      </c>
      <c r="AI209" s="11">
        <f t="shared" si="76"/>
        <v>4.2678610459515327E-2</v>
      </c>
      <c r="AJ209" s="11"/>
    </row>
    <row r="210" spans="1:36">
      <c r="A210" t="s">
        <v>301</v>
      </c>
      <c r="B210">
        <v>4.2126999999999998E-3</v>
      </c>
      <c r="C210">
        <v>5.2070000000000003E-4</v>
      </c>
      <c r="D210">
        <v>56599</v>
      </c>
      <c r="E210">
        <v>1298529</v>
      </c>
      <c r="F210">
        <v>39486.449999999997</v>
      </c>
      <c r="G210">
        <v>1540.3879999999999</v>
      </c>
      <c r="H210">
        <v>819373</v>
      </c>
      <c r="I210">
        <f t="shared" si="53"/>
        <v>2.2973379135646347E-2</v>
      </c>
      <c r="J210">
        <f t="shared" si="54"/>
        <v>5.5395623635084157E-2</v>
      </c>
      <c r="K210">
        <f t="shared" si="55"/>
        <v>1.2727252041148077E-3</v>
      </c>
      <c r="L210">
        <f t="shared" si="56"/>
        <v>6.3151010943995941E-3</v>
      </c>
      <c r="M210">
        <f t="shared" si="57"/>
        <v>3.4919536286182446E-3</v>
      </c>
      <c r="N210">
        <f t="shared" si="58"/>
        <v>7.4784091907363617E-3</v>
      </c>
      <c r="P210" s="11">
        <f t="shared" si="59"/>
        <v>0.17086701004552099</v>
      </c>
      <c r="Q210" s="11">
        <f t="shared" si="60"/>
        <v>0.15737499752659717</v>
      </c>
      <c r="R210" s="11">
        <f t="shared" si="61"/>
        <v>9.4660323565218616E-3</v>
      </c>
      <c r="S210" s="11">
        <f t="shared" si="62"/>
        <v>1.7940749718032077E-2</v>
      </c>
      <c r="T210" s="11">
        <f t="shared" si="63"/>
        <v>2.597178552691919E-2</v>
      </c>
      <c r="U210" s="11">
        <f t="shared" si="64"/>
        <v>2.1245624666090618E-2</v>
      </c>
      <c r="W210">
        <f t="shared" si="65"/>
        <v>0.14639859034631497</v>
      </c>
      <c r="X210">
        <f t="shared" si="66"/>
        <v>0.19407122992727155</v>
      </c>
      <c r="Y210">
        <f t="shared" si="67"/>
        <v>8.1104819051858491E-3</v>
      </c>
      <c r="Z210">
        <f t="shared" si="68"/>
        <v>2.2124120211708957E-2</v>
      </c>
      <c r="AA210">
        <f t="shared" si="69"/>
        <v>2.2252585732639874E-2</v>
      </c>
      <c r="AB210">
        <f t="shared" si="70"/>
        <v>2.6199616040181662E-2</v>
      </c>
      <c r="AD210" s="11">
        <f t="shared" si="71"/>
        <v>0.12432120537828571</v>
      </c>
      <c r="AE210" s="11">
        <f t="shared" si="72"/>
        <v>4.8277193766562004E-2</v>
      </c>
      <c r="AF210" s="11">
        <f t="shared" si="73"/>
        <v>6.8873947779570285E-3</v>
      </c>
      <c r="AG210" s="11">
        <f t="shared" si="74"/>
        <v>5.503600089388069E-3</v>
      </c>
      <c r="AH210" s="11">
        <f t="shared" si="75"/>
        <v>1.8896823217499428E-2</v>
      </c>
      <c r="AI210" s="11">
        <f t="shared" si="76"/>
        <v>6.5174211584858709E-3</v>
      </c>
      <c r="AJ210" s="11"/>
    </row>
    <row r="211" spans="1:36">
      <c r="A211" t="s">
        <v>449</v>
      </c>
      <c r="B211">
        <v>6.5450999999999999E-3</v>
      </c>
      <c r="C211">
        <v>0</v>
      </c>
      <c r="D211">
        <v>5179</v>
      </c>
      <c r="E211">
        <v>244356</v>
      </c>
      <c r="F211">
        <v>31168.04</v>
      </c>
      <c r="G211">
        <v>1577.1489999999999</v>
      </c>
      <c r="H211">
        <v>93314</v>
      </c>
      <c r="I211">
        <f t="shared" si="53"/>
        <v>0</v>
      </c>
      <c r="J211">
        <f t="shared" si="54"/>
        <v>0</v>
      </c>
      <c r="K211">
        <f t="shared" si="55"/>
        <v>0</v>
      </c>
      <c r="L211">
        <f t="shared" si="56"/>
        <v>0</v>
      </c>
      <c r="M211">
        <f t="shared" si="57"/>
        <v>0</v>
      </c>
      <c r="N211">
        <f t="shared" si="58"/>
        <v>0</v>
      </c>
      <c r="P211" s="11">
        <f t="shared" si="59"/>
        <v>0.25928140734325039</v>
      </c>
      <c r="Q211" s="11">
        <f t="shared" si="60"/>
        <v>0.2388080111454276</v>
      </c>
      <c r="R211" s="11">
        <f t="shared" si="61"/>
        <v>1.4364189966816071E-2</v>
      </c>
      <c r="S211" s="11">
        <f t="shared" si="62"/>
        <v>2.7224113270578748E-2</v>
      </c>
      <c r="T211" s="11">
        <f t="shared" si="63"/>
        <v>3.9410773916174056E-2</v>
      </c>
      <c r="U211" s="11">
        <f t="shared" si="64"/>
        <v>3.2239081504632727E-2</v>
      </c>
      <c r="W211">
        <f t="shared" si="65"/>
        <v>0</v>
      </c>
      <c r="X211">
        <f t="shared" si="66"/>
        <v>0</v>
      </c>
      <c r="Y211">
        <f t="shared" si="67"/>
        <v>0</v>
      </c>
      <c r="Z211">
        <f t="shared" si="68"/>
        <v>0</v>
      </c>
      <c r="AA211">
        <f t="shared" si="69"/>
        <v>0</v>
      </c>
      <c r="AB211">
        <f t="shared" si="70"/>
        <v>0</v>
      </c>
      <c r="AD211" s="11">
        <f t="shared" si="71"/>
        <v>1.0264306495710356</v>
      </c>
      <c r="AE211" s="11">
        <f t="shared" si="72"/>
        <v>0.39859001693635515</v>
      </c>
      <c r="AF211" s="11">
        <f t="shared" si="73"/>
        <v>5.6864257986235366E-2</v>
      </c>
      <c r="AG211" s="11">
        <f t="shared" si="74"/>
        <v>4.543926193074449E-2</v>
      </c>
      <c r="AH211" s="11">
        <f t="shared" si="75"/>
        <v>0.15601745873479742</v>
      </c>
      <c r="AI211" s="11">
        <f t="shared" si="76"/>
        <v>5.3809652286407952E-2</v>
      </c>
      <c r="AJ211" s="11"/>
    </row>
    <row r="212" spans="1:36">
      <c r="A212" t="s">
        <v>303</v>
      </c>
      <c r="B212">
        <v>1.09204E-2</v>
      </c>
      <c r="C212">
        <v>2.5428E-3</v>
      </c>
      <c r="D212">
        <v>233919</v>
      </c>
      <c r="E212">
        <v>5501752</v>
      </c>
      <c r="F212">
        <v>40292.35</v>
      </c>
      <c r="G212">
        <v>3174.2339999999999</v>
      </c>
      <c r="H212">
        <v>3273236</v>
      </c>
      <c r="I212">
        <f t="shared" si="53"/>
        <v>5.4442830037105018E-2</v>
      </c>
      <c r="J212">
        <f t="shared" si="54"/>
        <v>0.13127779350860713</v>
      </c>
      <c r="K212">
        <f t="shared" si="55"/>
        <v>3.0161327840556177E-3</v>
      </c>
      <c r="L212">
        <f t="shared" si="56"/>
        <v>1.4965668459981214E-2</v>
      </c>
      <c r="M212">
        <f t="shared" si="57"/>
        <v>8.2753101656399628E-3</v>
      </c>
      <c r="N212">
        <f t="shared" si="58"/>
        <v>1.7722502123661964E-2</v>
      </c>
      <c r="P212" s="11">
        <f t="shared" si="59"/>
        <v>0.21494503657890376</v>
      </c>
      <c r="Q212" s="11">
        <f t="shared" si="60"/>
        <v>0.19797253191793673</v>
      </c>
      <c r="R212" s="11">
        <f t="shared" si="61"/>
        <v>1.1907955026471267E-2</v>
      </c>
      <c r="S212" s="11">
        <f t="shared" si="62"/>
        <v>2.2568868638644789E-2</v>
      </c>
      <c r="T212" s="11">
        <f t="shared" si="63"/>
        <v>3.267164555999337E-2</v>
      </c>
      <c r="U212" s="11">
        <f t="shared" si="64"/>
        <v>2.672629180892146E-2</v>
      </c>
      <c r="W212">
        <f t="shared" si="65"/>
        <v>0.16873771480670885</v>
      </c>
      <c r="X212">
        <f t="shared" si="66"/>
        <v>0.22368477572215542</v>
      </c>
      <c r="Y212">
        <f t="shared" si="67"/>
        <v>9.3480694002916701E-3</v>
      </c>
      <c r="Z212">
        <f t="shared" si="68"/>
        <v>2.550006443232572E-2</v>
      </c>
      <c r="AA212">
        <f t="shared" si="69"/>
        <v>2.5648132650619746E-2</v>
      </c>
      <c r="AB212">
        <f t="shared" si="70"/>
        <v>3.0197444722490984E-2</v>
      </c>
      <c r="AD212" s="11">
        <f t="shared" si="71"/>
        <v>7.6063073311614188E-2</v>
      </c>
      <c r="AE212" s="11">
        <f t="shared" si="72"/>
        <v>2.9537291868844691E-2</v>
      </c>
      <c r="AF212" s="11">
        <f t="shared" si="73"/>
        <v>4.2138942614634257E-3</v>
      </c>
      <c r="AG212" s="11">
        <f t="shared" si="74"/>
        <v>3.3672512730482948E-3</v>
      </c>
      <c r="AH212" s="11">
        <f t="shared" si="75"/>
        <v>1.1561587143365356E-2</v>
      </c>
      <c r="AI212" s="11">
        <f t="shared" si="76"/>
        <v>3.9875344022940332E-3</v>
      </c>
      <c r="AJ212" s="11"/>
    </row>
    <row r="213" spans="1:36">
      <c r="A213" t="s">
        <v>994</v>
      </c>
      <c r="B213">
        <v>1.5583999999999999E-3</v>
      </c>
      <c r="C213">
        <v>0</v>
      </c>
      <c r="D213">
        <v>2919</v>
      </c>
      <c r="E213">
        <v>110754</v>
      </c>
      <c r="F213">
        <v>31934.83</v>
      </c>
      <c r="G213">
        <v>1089.902</v>
      </c>
      <c r="H213">
        <v>59313</v>
      </c>
      <c r="I213">
        <f t="shared" si="53"/>
        <v>0</v>
      </c>
      <c r="J213">
        <f t="shared" si="54"/>
        <v>0</v>
      </c>
      <c r="K213">
        <f t="shared" si="55"/>
        <v>0</v>
      </c>
      <c r="L213">
        <f t="shared" si="56"/>
        <v>0</v>
      </c>
      <c r="M213">
        <f t="shared" si="57"/>
        <v>0</v>
      </c>
      <c r="N213">
        <f t="shared" si="58"/>
        <v>0</v>
      </c>
      <c r="P213" s="11">
        <f t="shared" si="59"/>
        <v>8.9334519103552418E-2</v>
      </c>
      <c r="Q213" s="11">
        <f t="shared" si="60"/>
        <v>8.2280480703769684E-2</v>
      </c>
      <c r="R213" s="11">
        <f t="shared" si="61"/>
        <v>4.949132358336804E-3</v>
      </c>
      <c r="S213" s="11">
        <f t="shared" si="62"/>
        <v>9.3799748002297446E-3</v>
      </c>
      <c r="T213" s="11">
        <f t="shared" si="63"/>
        <v>1.3578846903739967E-2</v>
      </c>
      <c r="U213" s="11">
        <f t="shared" si="64"/>
        <v>1.1107864895008908E-2</v>
      </c>
      <c r="W213">
        <f t="shared" si="65"/>
        <v>0</v>
      </c>
      <c r="X213">
        <f t="shared" si="66"/>
        <v>0</v>
      </c>
      <c r="Y213">
        <f t="shared" si="67"/>
        <v>0</v>
      </c>
      <c r="Z213">
        <f t="shared" si="68"/>
        <v>0</v>
      </c>
      <c r="AA213">
        <f t="shared" si="69"/>
        <v>0</v>
      </c>
      <c r="AB213">
        <f t="shared" si="70"/>
        <v>0</v>
      </c>
      <c r="AD213" s="11">
        <f t="shared" si="71"/>
        <v>0.53920741028513641</v>
      </c>
      <c r="AE213" s="11">
        <f t="shared" si="72"/>
        <v>0.20938841887426188</v>
      </c>
      <c r="AF213" s="11">
        <f t="shared" si="73"/>
        <v>2.9872090529796558E-2</v>
      </c>
      <c r="AG213" s="11">
        <f t="shared" si="74"/>
        <v>2.3870279751665856E-2</v>
      </c>
      <c r="AH213" s="11">
        <f t="shared" si="75"/>
        <v>8.1959526363340737E-2</v>
      </c>
      <c r="AI213" s="11">
        <f t="shared" si="76"/>
        <v>2.8267436548025354E-2</v>
      </c>
      <c r="AJ213" s="11"/>
    </row>
    <row r="214" spans="1:36">
      <c r="A214" t="s">
        <v>450</v>
      </c>
      <c r="B214">
        <v>1.35149E-2</v>
      </c>
      <c r="C214">
        <v>0</v>
      </c>
      <c r="D214">
        <v>75696</v>
      </c>
      <c r="E214">
        <v>1550451</v>
      </c>
      <c r="F214">
        <v>43313.95</v>
      </c>
      <c r="G214">
        <v>2762.8359999999998</v>
      </c>
      <c r="H214">
        <v>1027088</v>
      </c>
      <c r="I214">
        <f t="shared" si="53"/>
        <v>0</v>
      </c>
      <c r="J214">
        <f t="shared" si="54"/>
        <v>0</v>
      </c>
      <c r="K214">
        <f t="shared" si="55"/>
        <v>0</v>
      </c>
      <c r="L214">
        <f t="shared" si="56"/>
        <v>0</v>
      </c>
      <c r="M214">
        <f t="shared" si="57"/>
        <v>0</v>
      </c>
      <c r="N214">
        <f t="shared" si="58"/>
        <v>0</v>
      </c>
      <c r="P214" s="11">
        <f t="shared" si="59"/>
        <v>0.30562265501462993</v>
      </c>
      <c r="Q214" s="11">
        <f t="shared" si="60"/>
        <v>0.28149005805266758</v>
      </c>
      <c r="R214" s="11">
        <f t="shared" si="61"/>
        <v>1.6931495087810496E-2</v>
      </c>
      <c r="S214" s="11">
        <f t="shared" si="62"/>
        <v>3.2089866618004108E-2</v>
      </c>
      <c r="T214" s="11">
        <f t="shared" si="63"/>
        <v>4.6454643562223751E-2</v>
      </c>
      <c r="U214" s="11">
        <f t="shared" si="64"/>
        <v>3.8001157837110125E-2</v>
      </c>
      <c r="W214">
        <f t="shared" si="65"/>
        <v>0</v>
      </c>
      <c r="X214">
        <f t="shared" si="66"/>
        <v>0</v>
      </c>
      <c r="Y214">
        <f t="shared" si="67"/>
        <v>0</v>
      </c>
      <c r="Z214">
        <f t="shared" si="68"/>
        <v>0</v>
      </c>
      <c r="AA214">
        <f t="shared" si="69"/>
        <v>0</v>
      </c>
      <c r="AB214">
        <f t="shared" si="70"/>
        <v>0</v>
      </c>
      <c r="AD214" s="11">
        <f t="shared" si="71"/>
        <v>0.33403434583964275</v>
      </c>
      <c r="AE214" s="11">
        <f t="shared" si="72"/>
        <v>0.12971432178217823</v>
      </c>
      <c r="AF214" s="11">
        <f t="shared" si="73"/>
        <v>1.8505502759516207E-2</v>
      </c>
      <c r="AG214" s="11">
        <f t="shared" si="74"/>
        <v>1.4787432683168318E-2</v>
      </c>
      <c r="AH214" s="11">
        <f t="shared" si="75"/>
        <v>5.0773220567625697E-2</v>
      </c>
      <c r="AI214" s="11">
        <f t="shared" si="76"/>
        <v>1.7511433440594061E-2</v>
      </c>
      <c r="AJ214" s="11"/>
    </row>
    <row r="215" spans="1:36">
      <c r="A215" t="s">
        <v>305</v>
      </c>
      <c r="B215">
        <v>1.73385E-2</v>
      </c>
      <c r="C215">
        <v>5.5610000000000002E-4</v>
      </c>
      <c r="D215">
        <v>175976</v>
      </c>
      <c r="E215">
        <v>3237612</v>
      </c>
      <c r="F215">
        <v>48866.68</v>
      </c>
      <c r="G215">
        <v>2774.518</v>
      </c>
      <c r="H215">
        <v>2285862</v>
      </c>
      <c r="I215">
        <f t="shared" si="53"/>
        <v>1.3621745982545437E-2</v>
      </c>
      <c r="J215">
        <f t="shared" si="54"/>
        <v>3.2846065406676048E-2</v>
      </c>
      <c r="K215">
        <f t="shared" si="55"/>
        <v>7.546447274330172E-4</v>
      </c>
      <c r="L215">
        <f t="shared" si="56"/>
        <v>3.7444514563610694E-3</v>
      </c>
      <c r="M215">
        <f t="shared" si="57"/>
        <v>2.0705053893469065E-3</v>
      </c>
      <c r="N215">
        <f t="shared" si="58"/>
        <v>4.4342188299012668E-3</v>
      </c>
      <c r="P215" s="11">
        <f t="shared" si="59"/>
        <v>0.3904377397623659</v>
      </c>
      <c r="Q215" s="11">
        <f t="shared" si="60"/>
        <v>0.35960796828494174</v>
      </c>
      <c r="R215" s="11">
        <f t="shared" si="61"/>
        <v>2.1630250782835071E-2</v>
      </c>
      <c r="S215" s="11">
        <f t="shared" si="62"/>
        <v>4.0995308384483363E-2</v>
      </c>
      <c r="T215" s="11">
        <f t="shared" si="63"/>
        <v>5.9346536443879612E-2</v>
      </c>
      <c r="U215" s="11">
        <f t="shared" si="64"/>
        <v>4.8547075718467135E-2</v>
      </c>
      <c r="W215">
        <f t="shared" si="65"/>
        <v>6.2708882924090353E-2</v>
      </c>
      <c r="X215">
        <f t="shared" si="66"/>
        <v>8.3129147675907428E-2</v>
      </c>
      <c r="Y215">
        <f t="shared" si="67"/>
        <v>3.4740721139946053E-3</v>
      </c>
      <c r="Z215">
        <f t="shared" si="68"/>
        <v>9.4767228350534465E-3</v>
      </c>
      <c r="AA215">
        <f t="shared" si="69"/>
        <v>9.5317502044617343E-3</v>
      </c>
      <c r="AB215">
        <f t="shared" si="70"/>
        <v>1.1222434936247503E-2</v>
      </c>
      <c r="AD215" s="11">
        <f t="shared" si="71"/>
        <v>0.20522159299455892</v>
      </c>
      <c r="AE215" s="11">
        <f t="shared" si="72"/>
        <v>7.969294200401407E-2</v>
      </c>
      <c r="AF215" s="11">
        <f t="shared" si="73"/>
        <v>1.1369276251898564E-2</v>
      </c>
      <c r="AG215" s="11">
        <f t="shared" si="74"/>
        <v>9.0849953884576048E-3</v>
      </c>
      <c r="AH215" s="11">
        <f t="shared" si="75"/>
        <v>3.1193682135172953E-2</v>
      </c>
      <c r="AI215" s="11">
        <f t="shared" si="76"/>
        <v>1.07585471705419E-2</v>
      </c>
      <c r="AJ215" s="11"/>
    </row>
    <row r="216" spans="1:36">
      <c r="A216" t="s">
        <v>451</v>
      </c>
      <c r="B216">
        <v>5.7723000000000002E-3</v>
      </c>
      <c r="C216">
        <v>0</v>
      </c>
      <c r="D216">
        <v>3934</v>
      </c>
      <c r="E216">
        <v>107552</v>
      </c>
      <c r="F216">
        <v>29380.82</v>
      </c>
      <c r="G216">
        <v>1428.7380000000001</v>
      </c>
      <c r="H216">
        <v>78700</v>
      </c>
      <c r="I216">
        <f t="shared" si="53"/>
        <v>0</v>
      </c>
      <c r="J216">
        <f t="shared" si="54"/>
        <v>0</v>
      </c>
      <c r="K216">
        <f t="shared" si="55"/>
        <v>0</v>
      </c>
      <c r="L216">
        <f t="shared" si="56"/>
        <v>0</v>
      </c>
      <c r="M216">
        <f t="shared" si="57"/>
        <v>0</v>
      </c>
      <c r="N216">
        <f t="shared" si="58"/>
        <v>0</v>
      </c>
      <c r="P216" s="11">
        <f t="shared" si="59"/>
        <v>0.25242020344527827</v>
      </c>
      <c r="Q216" s="11">
        <f t="shared" si="60"/>
        <v>0.23248858209832732</v>
      </c>
      <c r="R216" s="11">
        <f t="shared" si="61"/>
        <v>1.3984079270868416E-2</v>
      </c>
      <c r="S216" s="11">
        <f t="shared" si="62"/>
        <v>2.6503698359209314E-2</v>
      </c>
      <c r="T216" s="11">
        <f t="shared" si="63"/>
        <v>3.8367870923682296E-2</v>
      </c>
      <c r="U216" s="11">
        <f t="shared" si="64"/>
        <v>3.1385958583274191E-2</v>
      </c>
      <c r="W216">
        <f t="shared" si="65"/>
        <v>0</v>
      </c>
      <c r="X216">
        <f t="shared" si="66"/>
        <v>0</v>
      </c>
      <c r="Y216">
        <f t="shared" si="67"/>
        <v>0</v>
      </c>
      <c r="Z216">
        <f t="shared" si="68"/>
        <v>0</v>
      </c>
      <c r="AA216">
        <f t="shared" si="69"/>
        <v>0</v>
      </c>
      <c r="AB216">
        <f t="shared" si="70"/>
        <v>0</v>
      </c>
      <c r="AD216" s="11">
        <f t="shared" si="71"/>
        <v>2.0566800539677552</v>
      </c>
      <c r="AE216" s="11">
        <f t="shared" si="72"/>
        <v>0.79866295680693999</v>
      </c>
      <c r="AF216" s="11">
        <f t="shared" si="73"/>
        <v>0.11394007498981364</v>
      </c>
      <c r="AG216" s="11">
        <f t="shared" si="74"/>
        <v>9.1047577075991162E-2</v>
      </c>
      <c r="AH216" s="11">
        <f t="shared" si="75"/>
        <v>0.31261536820309876</v>
      </c>
      <c r="AI216" s="11">
        <f t="shared" si="76"/>
        <v>0.10781949916893691</v>
      </c>
      <c r="AJ216" s="11"/>
    </row>
    <row r="217" spans="1:36">
      <c r="A217" t="s">
        <v>452</v>
      </c>
      <c r="B217">
        <v>2.6256000000000001E-3</v>
      </c>
      <c r="C217">
        <v>0</v>
      </c>
      <c r="D217">
        <v>13038</v>
      </c>
      <c r="E217">
        <v>409132</v>
      </c>
      <c r="F217">
        <v>35575.19</v>
      </c>
      <c r="G217">
        <v>1008.193</v>
      </c>
      <c r="H217">
        <v>239691</v>
      </c>
      <c r="I217">
        <f t="shared" si="53"/>
        <v>0</v>
      </c>
      <c r="J217">
        <f t="shared" si="54"/>
        <v>0</v>
      </c>
      <c r="K217">
        <f t="shared" si="55"/>
        <v>0</v>
      </c>
      <c r="L217">
        <f t="shared" si="56"/>
        <v>0</v>
      </c>
      <c r="M217">
        <f t="shared" si="57"/>
        <v>0</v>
      </c>
      <c r="N217">
        <f t="shared" si="58"/>
        <v>0</v>
      </c>
      <c r="P217" s="11">
        <f t="shared" si="59"/>
        <v>0.1627094210731477</v>
      </c>
      <c r="Q217" s="11">
        <f t="shared" si="60"/>
        <v>0.14986154865189502</v>
      </c>
      <c r="R217" s="11">
        <f t="shared" si="61"/>
        <v>9.0141019274523823E-3</v>
      </c>
      <c r="S217" s="11">
        <f t="shared" si="62"/>
        <v>1.7084216546316033E-2</v>
      </c>
      <c r="T217" s="11">
        <f t="shared" si="63"/>
        <v>2.4731832003118449E-2</v>
      </c>
      <c r="U217" s="11">
        <f t="shared" si="64"/>
        <v>2.023130906800583E-2</v>
      </c>
      <c r="W217">
        <f t="shared" si="65"/>
        <v>0</v>
      </c>
      <c r="X217">
        <f t="shared" si="66"/>
        <v>0</v>
      </c>
      <c r="Y217">
        <f t="shared" si="67"/>
        <v>0</v>
      </c>
      <c r="Z217">
        <f t="shared" si="68"/>
        <v>0</v>
      </c>
      <c r="AA217">
        <f t="shared" si="69"/>
        <v>0</v>
      </c>
      <c r="AB217">
        <f t="shared" si="70"/>
        <v>0</v>
      </c>
      <c r="AD217" s="11">
        <f t="shared" si="71"/>
        <v>0.24592430205527799</v>
      </c>
      <c r="AE217" s="11">
        <f t="shared" si="72"/>
        <v>9.5498874436612147E-2</v>
      </c>
      <c r="AF217" s="11">
        <f t="shared" si="73"/>
        <v>1.3624206333862399E-2</v>
      </c>
      <c r="AG217" s="11">
        <f t="shared" si="74"/>
        <v>1.0886871685773784E-2</v>
      </c>
      <c r="AH217" s="11">
        <f t="shared" si="75"/>
        <v>3.7380493912402252E-2</v>
      </c>
      <c r="AI217" s="11">
        <f t="shared" si="76"/>
        <v>1.2892348048942641E-2</v>
      </c>
      <c r="AJ217" s="11"/>
    </row>
    <row r="218" spans="1:36">
      <c r="A218" t="s">
        <v>453</v>
      </c>
      <c r="B218">
        <v>4.3068000000000004E-3</v>
      </c>
      <c r="C218">
        <v>0</v>
      </c>
      <c r="D218">
        <v>13443</v>
      </c>
      <c r="E218">
        <v>507450</v>
      </c>
      <c r="F218">
        <v>36124.019999999997</v>
      </c>
      <c r="G218">
        <v>1779.4</v>
      </c>
      <c r="H218">
        <v>223870</v>
      </c>
      <c r="I218">
        <f t="shared" si="53"/>
        <v>0</v>
      </c>
      <c r="J218">
        <f t="shared" si="54"/>
        <v>0</v>
      </c>
      <c r="K218">
        <f t="shared" si="55"/>
        <v>0</v>
      </c>
      <c r="L218">
        <f t="shared" si="56"/>
        <v>0</v>
      </c>
      <c r="M218">
        <f t="shared" si="57"/>
        <v>0</v>
      </c>
      <c r="N218">
        <f t="shared" si="58"/>
        <v>0</v>
      </c>
      <c r="P218" s="11">
        <f t="shared" si="59"/>
        <v>0.15121989495335508</v>
      </c>
      <c r="Q218" s="11">
        <f t="shared" si="60"/>
        <v>0.13927925927840845</v>
      </c>
      <c r="R218" s="11">
        <f t="shared" si="61"/>
        <v>8.3775821804158712E-3</v>
      </c>
      <c r="S218" s="11">
        <f t="shared" si="62"/>
        <v>1.5877835557738564E-2</v>
      </c>
      <c r="T218" s="11">
        <f t="shared" si="63"/>
        <v>2.2985424032909971E-2</v>
      </c>
      <c r="U218" s="11">
        <f t="shared" si="64"/>
        <v>1.8802700002585142E-2</v>
      </c>
      <c r="W218">
        <f t="shared" si="65"/>
        <v>0</v>
      </c>
      <c r="X218">
        <f t="shared" si="66"/>
        <v>0</v>
      </c>
      <c r="Y218">
        <f t="shared" si="67"/>
        <v>0</v>
      </c>
      <c r="Z218">
        <f t="shared" si="68"/>
        <v>0</v>
      </c>
      <c r="AA218">
        <f t="shared" si="69"/>
        <v>0</v>
      </c>
      <c r="AB218">
        <f t="shared" si="70"/>
        <v>0</v>
      </c>
      <c r="AD218" s="11">
        <f t="shared" si="71"/>
        <v>0.32523537775039907</v>
      </c>
      <c r="AE218" s="11">
        <f t="shared" si="72"/>
        <v>0.1262974510552764</v>
      </c>
      <c r="AF218" s="11">
        <f t="shared" si="73"/>
        <v>1.8018039927372109E-2</v>
      </c>
      <c r="AG218" s="11">
        <f t="shared" si="74"/>
        <v>1.4397909420301509E-2</v>
      </c>
      <c r="AH218" s="11">
        <f t="shared" si="75"/>
        <v>4.9435777418060656E-2</v>
      </c>
      <c r="AI218" s="11">
        <f t="shared" si="76"/>
        <v>1.7050155892462317E-2</v>
      </c>
      <c r="AJ218" s="11"/>
    </row>
    <row r="219" spans="1:36">
      <c r="A219" t="s">
        <v>454</v>
      </c>
      <c r="B219">
        <v>3.6619000000000001E-3</v>
      </c>
      <c r="C219">
        <v>0</v>
      </c>
      <c r="D219">
        <v>5541</v>
      </c>
      <c r="E219">
        <v>172981</v>
      </c>
      <c r="F219">
        <v>30402.61</v>
      </c>
      <c r="G219">
        <v>1541.53</v>
      </c>
      <c r="H219">
        <v>100683</v>
      </c>
      <c r="I219">
        <f t="shared" si="53"/>
        <v>0</v>
      </c>
      <c r="J219">
        <f t="shared" si="54"/>
        <v>0</v>
      </c>
      <c r="K219">
        <f t="shared" si="55"/>
        <v>0</v>
      </c>
      <c r="L219">
        <f t="shared" si="56"/>
        <v>0</v>
      </c>
      <c r="M219">
        <f t="shared" si="57"/>
        <v>0</v>
      </c>
      <c r="N219">
        <f t="shared" si="58"/>
        <v>0</v>
      </c>
      <c r="P219" s="11">
        <f t="shared" si="59"/>
        <v>0.14841654355737482</v>
      </c>
      <c r="Q219" s="11">
        <f t="shared" si="60"/>
        <v>0.136697266306851</v>
      </c>
      <c r="R219" s="11">
        <f t="shared" si="61"/>
        <v>8.2222765130785646E-3</v>
      </c>
      <c r="S219" s="11">
        <f t="shared" si="62"/>
        <v>1.5583488358981015E-2</v>
      </c>
      <c r="T219" s="11">
        <f t="shared" si="63"/>
        <v>2.2559314620720972E-2</v>
      </c>
      <c r="U219" s="11">
        <f t="shared" si="64"/>
        <v>1.8454130951424886E-2</v>
      </c>
      <c r="W219">
        <f t="shared" si="65"/>
        <v>0</v>
      </c>
      <c r="X219">
        <f t="shared" si="66"/>
        <v>0</v>
      </c>
      <c r="Y219">
        <f t="shared" si="67"/>
        <v>0</v>
      </c>
      <c r="Z219">
        <f t="shared" si="68"/>
        <v>0</v>
      </c>
      <c r="AA219">
        <f t="shared" si="69"/>
        <v>0</v>
      </c>
      <c r="AB219">
        <f t="shared" si="70"/>
        <v>0</v>
      </c>
      <c r="AD219" s="11">
        <f t="shared" si="71"/>
        <v>0.81123075970204805</v>
      </c>
      <c r="AE219" s="11">
        <f t="shared" si="72"/>
        <v>0.31502223982113642</v>
      </c>
      <c r="AF219" s="11">
        <f t="shared" si="73"/>
        <v>4.494218408749346E-2</v>
      </c>
      <c r="AG219" s="11">
        <f t="shared" si="74"/>
        <v>3.5912535339609551E-2</v>
      </c>
      <c r="AH219" s="11">
        <f t="shared" si="75"/>
        <v>0.1233070754747113</v>
      </c>
      <c r="AI219" s="11">
        <f t="shared" si="76"/>
        <v>4.252800237585342E-2</v>
      </c>
      <c r="AJ219" s="11"/>
    </row>
    <row r="220" spans="1:36">
      <c r="A220" t="s">
        <v>995</v>
      </c>
      <c r="B220">
        <v>2.1088000000000001E-3</v>
      </c>
      <c r="C220">
        <v>0</v>
      </c>
      <c r="D220">
        <v>11231</v>
      </c>
      <c r="E220">
        <v>365596</v>
      </c>
      <c r="F220">
        <v>32845.410000000003</v>
      </c>
      <c r="G220">
        <v>1108.8599999999999</v>
      </c>
      <c r="H220">
        <v>235414</v>
      </c>
      <c r="I220">
        <f t="shared" si="53"/>
        <v>0</v>
      </c>
      <c r="J220">
        <f t="shared" si="54"/>
        <v>0</v>
      </c>
      <c r="K220">
        <f t="shared" si="55"/>
        <v>0</v>
      </c>
      <c r="L220">
        <f t="shared" si="56"/>
        <v>0</v>
      </c>
      <c r="M220">
        <f t="shared" si="57"/>
        <v>0</v>
      </c>
      <c r="N220">
        <f t="shared" si="58"/>
        <v>0</v>
      </c>
      <c r="P220" s="11">
        <f t="shared" si="59"/>
        <v>0.11881916317659579</v>
      </c>
      <c r="Q220" s="11">
        <f t="shared" si="60"/>
        <v>0.10943695629745866</v>
      </c>
      <c r="R220" s="11">
        <f t="shared" si="61"/>
        <v>6.5825816399834062E-3</v>
      </c>
      <c r="S220" s="11">
        <f t="shared" si="62"/>
        <v>1.2475813017910287E-2</v>
      </c>
      <c r="T220" s="11">
        <f t="shared" si="63"/>
        <v>1.8060512802842561E-2</v>
      </c>
      <c r="U220" s="11">
        <f t="shared" si="64"/>
        <v>1.477398910015692E-2</v>
      </c>
      <c r="W220">
        <f t="shared" si="65"/>
        <v>0</v>
      </c>
      <c r="X220">
        <f t="shared" si="66"/>
        <v>0</v>
      </c>
      <c r="Y220">
        <f t="shared" si="67"/>
        <v>0</v>
      </c>
      <c r="Z220">
        <f t="shared" si="68"/>
        <v>0</v>
      </c>
      <c r="AA220">
        <f t="shared" si="69"/>
        <v>0</v>
      </c>
      <c r="AB220">
        <f t="shared" si="70"/>
        <v>0</v>
      </c>
      <c r="AD220" s="11">
        <f t="shared" si="71"/>
        <v>0.22103970391098368</v>
      </c>
      <c r="AE220" s="11">
        <f t="shared" si="72"/>
        <v>8.583553049814549E-2</v>
      </c>
      <c r="AF220" s="11">
        <f t="shared" si="73"/>
        <v>1.2245599596668495E-2</v>
      </c>
      <c r="AG220" s="11">
        <f t="shared" si="74"/>
        <v>9.7852504767885866E-3</v>
      </c>
      <c r="AH220" s="11">
        <f t="shared" si="75"/>
        <v>3.3598034994469519E-2</v>
      </c>
      <c r="AI220" s="11">
        <f t="shared" si="76"/>
        <v>1.1587796617249641E-2</v>
      </c>
      <c r="AJ220" s="11"/>
    </row>
    <row r="221" spans="1:36">
      <c r="A221" t="s">
        <v>455</v>
      </c>
      <c r="B221">
        <v>5.8425999999999999E-3</v>
      </c>
      <c r="C221">
        <v>0</v>
      </c>
      <c r="D221">
        <v>4036</v>
      </c>
      <c r="E221">
        <v>118931</v>
      </c>
      <c r="F221">
        <v>32752.75</v>
      </c>
      <c r="G221">
        <v>1198.0440000000001</v>
      </c>
      <c r="H221">
        <v>75249</v>
      </c>
      <c r="I221">
        <f t="shared" si="53"/>
        <v>0</v>
      </c>
      <c r="J221">
        <f t="shared" si="54"/>
        <v>0</v>
      </c>
      <c r="K221">
        <f t="shared" si="55"/>
        <v>0</v>
      </c>
      <c r="L221">
        <f t="shared" si="56"/>
        <v>0</v>
      </c>
      <c r="M221">
        <f t="shared" si="57"/>
        <v>0</v>
      </c>
      <c r="N221">
        <f t="shared" si="58"/>
        <v>0</v>
      </c>
      <c r="P221" s="11">
        <f t="shared" si="59"/>
        <v>0.30469210401287428</v>
      </c>
      <c r="Q221" s="11">
        <f t="shared" si="60"/>
        <v>0.28063298528267738</v>
      </c>
      <c r="R221" s="11">
        <f t="shared" si="61"/>
        <v>1.6879942562313233E-2</v>
      </c>
      <c r="S221" s="11">
        <f t="shared" si="62"/>
        <v>3.1992160322225224E-2</v>
      </c>
      <c r="T221" s="11">
        <f t="shared" si="63"/>
        <v>4.6313199809956886E-2</v>
      </c>
      <c r="U221" s="11">
        <f t="shared" si="64"/>
        <v>3.7885453013161451E-2</v>
      </c>
      <c r="W221">
        <f t="shared" si="65"/>
        <v>0</v>
      </c>
      <c r="X221">
        <f t="shared" si="66"/>
        <v>0</v>
      </c>
      <c r="Y221">
        <f t="shared" si="67"/>
        <v>0</v>
      </c>
      <c r="Z221">
        <f t="shared" si="68"/>
        <v>0</v>
      </c>
      <c r="AA221">
        <f t="shared" si="69"/>
        <v>0</v>
      </c>
      <c r="AB221">
        <f t="shared" si="70"/>
        <v>0</v>
      </c>
      <c r="AD221" s="11">
        <f t="shared" si="71"/>
        <v>1.8825538871873606</v>
      </c>
      <c r="AE221" s="11">
        <f t="shared" si="72"/>
        <v>0.73104518662922202</v>
      </c>
      <c r="AF221" s="11">
        <f t="shared" si="73"/>
        <v>0.10429348535017978</v>
      </c>
      <c r="AG221" s="11">
        <f t="shared" si="74"/>
        <v>8.3339151275731313E-2</v>
      </c>
      <c r="AH221" s="11">
        <f t="shared" si="75"/>
        <v>0.28614819085247878</v>
      </c>
      <c r="AI221" s="11">
        <f t="shared" si="76"/>
        <v>9.8691100194944981E-2</v>
      </c>
      <c r="AJ221" s="11"/>
    </row>
    <row r="222" spans="1:36">
      <c r="A222" t="s">
        <v>996</v>
      </c>
      <c r="B222">
        <v>6.2876E-3</v>
      </c>
      <c r="C222">
        <v>0</v>
      </c>
      <c r="D222">
        <v>4061</v>
      </c>
      <c r="E222">
        <v>118373</v>
      </c>
      <c r="F222">
        <v>35154.550000000003</v>
      </c>
      <c r="G222">
        <v>1024.55</v>
      </c>
      <c r="H222">
        <v>68113</v>
      </c>
      <c r="I222">
        <f t="shared" si="53"/>
        <v>0</v>
      </c>
      <c r="J222">
        <f t="shared" si="54"/>
        <v>0</v>
      </c>
      <c r="K222">
        <f t="shared" si="55"/>
        <v>0</v>
      </c>
      <c r="L222">
        <f t="shared" si="56"/>
        <v>0</v>
      </c>
      <c r="M222">
        <f t="shared" si="57"/>
        <v>0</v>
      </c>
      <c r="N222">
        <f t="shared" si="58"/>
        <v>0</v>
      </c>
      <c r="P222" s="11">
        <f t="shared" si="59"/>
        <v>0.38342423655263291</v>
      </c>
      <c r="Q222" s="11">
        <f t="shared" si="60"/>
        <v>0.35314826579473912</v>
      </c>
      <c r="R222" s="11">
        <f t="shared" si="61"/>
        <v>2.1241702705015863E-2</v>
      </c>
      <c r="S222" s="11">
        <f t="shared" si="62"/>
        <v>4.0258902300600259E-2</v>
      </c>
      <c r="T222" s="11">
        <f t="shared" si="63"/>
        <v>5.8280483956000204E-2</v>
      </c>
      <c r="U222" s="11">
        <f t="shared" si="64"/>
        <v>4.7675015882289784E-2</v>
      </c>
      <c r="W222">
        <f t="shared" si="65"/>
        <v>0</v>
      </c>
      <c r="X222">
        <f t="shared" si="66"/>
        <v>0</v>
      </c>
      <c r="Y222">
        <f t="shared" si="67"/>
        <v>0</v>
      </c>
      <c r="Z222">
        <f t="shared" si="68"/>
        <v>0</v>
      </c>
      <c r="AA222">
        <f t="shared" si="69"/>
        <v>0</v>
      </c>
      <c r="AB222">
        <f t="shared" si="70"/>
        <v>0</v>
      </c>
      <c r="AD222" s="11">
        <f t="shared" si="71"/>
        <v>2.0354881745675111</v>
      </c>
      <c r="AE222" s="11">
        <f t="shared" si="72"/>
        <v>0.79043359267738422</v>
      </c>
      <c r="AF222" s="11">
        <f t="shared" si="73"/>
        <v>0.11276604487104011</v>
      </c>
      <c r="AG222" s="11">
        <f t="shared" si="74"/>
        <v>9.0109429565221805E-2</v>
      </c>
      <c r="AH222" s="11">
        <f t="shared" si="75"/>
        <v>0.3093942025342617</v>
      </c>
      <c r="AI222" s="11">
        <f t="shared" si="76"/>
        <v>0.10670853501144688</v>
      </c>
      <c r="AJ222" s="11"/>
    </row>
    <row r="223" spans="1:36">
      <c r="A223" t="s">
        <v>456</v>
      </c>
      <c r="B223">
        <v>9.0031E-3</v>
      </c>
      <c r="C223">
        <v>0</v>
      </c>
      <c r="D223">
        <v>2675</v>
      </c>
      <c r="E223">
        <v>114897</v>
      </c>
      <c r="F223">
        <v>29640.58</v>
      </c>
      <c r="G223">
        <v>1210.3</v>
      </c>
      <c r="H223">
        <v>62966</v>
      </c>
      <c r="I223">
        <f t="shared" si="53"/>
        <v>0</v>
      </c>
      <c r="J223">
        <f t="shared" si="54"/>
        <v>0</v>
      </c>
      <c r="K223">
        <f t="shared" si="55"/>
        <v>0</v>
      </c>
      <c r="L223">
        <f t="shared" si="56"/>
        <v>0</v>
      </c>
      <c r="M223">
        <f t="shared" si="57"/>
        <v>0</v>
      </c>
      <c r="N223">
        <f t="shared" si="58"/>
        <v>0</v>
      </c>
      <c r="P223" s="11">
        <f t="shared" si="59"/>
        <v>0.46475797910435429</v>
      </c>
      <c r="Q223" s="11">
        <f t="shared" si="60"/>
        <v>0.42805972781128643</v>
      </c>
      <c r="R223" s="11">
        <f t="shared" si="61"/>
        <v>2.5747592042381227E-2</v>
      </c>
      <c r="S223" s="11">
        <f t="shared" si="62"/>
        <v>4.8798808970486655E-2</v>
      </c>
      <c r="T223" s="11">
        <f t="shared" si="63"/>
        <v>7.0643212823861851E-2</v>
      </c>
      <c r="U223" s="11">
        <f t="shared" si="64"/>
        <v>5.7788063254523674E-2</v>
      </c>
      <c r="W223">
        <f t="shared" si="65"/>
        <v>0</v>
      </c>
      <c r="X223">
        <f t="shared" si="66"/>
        <v>0</v>
      </c>
      <c r="Y223">
        <f t="shared" si="67"/>
        <v>0</v>
      </c>
      <c r="Z223">
        <f t="shared" si="68"/>
        <v>0</v>
      </c>
      <c r="AA223">
        <f t="shared" si="69"/>
        <v>0</v>
      </c>
      <c r="AB223">
        <f t="shared" si="70"/>
        <v>0</v>
      </c>
      <c r="AD223" s="11">
        <f t="shared" si="71"/>
        <v>3.0027537460767468</v>
      </c>
      <c r="AE223" s="11">
        <f t="shared" si="72"/>
        <v>1.1660482537272514</v>
      </c>
      <c r="AF223" s="11">
        <f t="shared" si="73"/>
        <v>0.16635255753265177</v>
      </c>
      <c r="AG223" s="11">
        <f t="shared" si="74"/>
        <v>0.13292950092490666</v>
      </c>
      <c r="AH223" s="11">
        <f t="shared" si="75"/>
        <v>0.45641856940366549</v>
      </c>
      <c r="AI223" s="11">
        <f t="shared" si="76"/>
        <v>0.15741651425317896</v>
      </c>
      <c r="AJ223" s="11"/>
    </row>
    <row r="224" spans="1:36">
      <c r="A224" t="s">
        <v>457</v>
      </c>
      <c r="B224">
        <v>3.7989E-3</v>
      </c>
      <c r="C224">
        <v>0</v>
      </c>
      <c r="D224">
        <v>4160</v>
      </c>
      <c r="E224">
        <v>174569</v>
      </c>
      <c r="F224">
        <v>33652.78</v>
      </c>
      <c r="G224">
        <v>986.64179999999999</v>
      </c>
      <c r="H224">
        <v>84059</v>
      </c>
      <c r="I224">
        <f t="shared" si="53"/>
        <v>0</v>
      </c>
      <c r="J224">
        <f t="shared" si="54"/>
        <v>0</v>
      </c>
      <c r="K224">
        <f t="shared" si="55"/>
        <v>0</v>
      </c>
      <c r="L224">
        <f t="shared" si="56"/>
        <v>0</v>
      </c>
      <c r="M224">
        <f t="shared" si="57"/>
        <v>0</v>
      </c>
      <c r="N224">
        <f t="shared" si="58"/>
        <v>0</v>
      </c>
      <c r="P224" s="11">
        <f t="shared" si="59"/>
        <v>0.24056152302689793</v>
      </c>
      <c r="Q224" s="11">
        <f t="shared" si="60"/>
        <v>0.22156628761319458</v>
      </c>
      <c r="R224" s="11">
        <f t="shared" si="61"/>
        <v>1.3327108375690145E-2</v>
      </c>
      <c r="S224" s="11">
        <f t="shared" si="62"/>
        <v>2.5258556787904184E-2</v>
      </c>
      <c r="T224" s="11">
        <f t="shared" si="63"/>
        <v>3.6565351500088487E-2</v>
      </c>
      <c r="U224" s="11">
        <f t="shared" si="64"/>
        <v>2.9911448827781271E-2</v>
      </c>
      <c r="W224">
        <f t="shared" si="65"/>
        <v>0</v>
      </c>
      <c r="X224">
        <f t="shared" si="66"/>
        <v>0</v>
      </c>
      <c r="Y224">
        <f t="shared" si="67"/>
        <v>0</v>
      </c>
      <c r="Z224">
        <f t="shared" si="68"/>
        <v>0</v>
      </c>
      <c r="AA224">
        <f t="shared" si="69"/>
        <v>0</v>
      </c>
      <c r="AB224">
        <f t="shared" si="70"/>
        <v>0</v>
      </c>
      <c r="AD224" s="11">
        <f t="shared" si="71"/>
        <v>0.83392514701132492</v>
      </c>
      <c r="AE224" s="11">
        <f t="shared" si="72"/>
        <v>0.3238350672885793</v>
      </c>
      <c r="AF224" s="11">
        <f t="shared" si="73"/>
        <v>4.6199453144427402E-2</v>
      </c>
      <c r="AG224" s="11">
        <f t="shared" si="74"/>
        <v>3.6917197670898044E-2</v>
      </c>
      <c r="AH224" s="11">
        <f t="shared" si="75"/>
        <v>0.12675662234572138</v>
      </c>
      <c r="AI224" s="11">
        <f t="shared" si="76"/>
        <v>4.371773408395821E-2</v>
      </c>
      <c r="AJ224" s="11"/>
    </row>
    <row r="225" spans="1:36">
      <c r="A225" t="s">
        <v>458</v>
      </c>
      <c r="B225">
        <v>1.8653000000000001E-3</v>
      </c>
      <c r="C225">
        <v>0</v>
      </c>
      <c r="D225">
        <v>8383</v>
      </c>
      <c r="E225">
        <v>258790</v>
      </c>
      <c r="F225">
        <v>25575.77</v>
      </c>
      <c r="G225">
        <v>1384.7940000000001</v>
      </c>
      <c r="H225">
        <v>154966</v>
      </c>
      <c r="I225">
        <f t="shared" si="53"/>
        <v>0</v>
      </c>
      <c r="J225">
        <f t="shared" si="54"/>
        <v>0</v>
      </c>
      <c r="K225">
        <f t="shared" si="55"/>
        <v>0</v>
      </c>
      <c r="L225">
        <f t="shared" si="56"/>
        <v>0</v>
      </c>
      <c r="M225">
        <f t="shared" si="57"/>
        <v>0</v>
      </c>
      <c r="N225">
        <f t="shared" si="58"/>
        <v>0</v>
      </c>
      <c r="P225" s="11">
        <f t="shared" si="59"/>
        <v>8.415721033597777E-2</v>
      </c>
      <c r="Q225" s="11">
        <f t="shared" si="60"/>
        <v>7.751198294475567E-2</v>
      </c>
      <c r="R225" s="11">
        <f t="shared" si="61"/>
        <v>4.6623094526131682E-3</v>
      </c>
      <c r="S225" s="11">
        <f t="shared" si="62"/>
        <v>8.836366055702146E-3</v>
      </c>
      <c r="T225" s="11">
        <f t="shared" si="63"/>
        <v>1.2791895971068621E-2</v>
      </c>
      <c r="U225" s="11">
        <f t="shared" si="64"/>
        <v>1.0464117697542016E-2</v>
      </c>
      <c r="W225">
        <f t="shared" si="65"/>
        <v>0</v>
      </c>
      <c r="X225">
        <f t="shared" si="66"/>
        <v>0</v>
      </c>
      <c r="Y225">
        <f t="shared" si="67"/>
        <v>0</v>
      </c>
      <c r="Z225">
        <f t="shared" si="68"/>
        <v>0</v>
      </c>
      <c r="AA225">
        <f t="shared" si="69"/>
        <v>0</v>
      </c>
      <c r="AB225">
        <f t="shared" si="70"/>
        <v>0</v>
      </c>
      <c r="AD225" s="11">
        <f t="shared" si="71"/>
        <v>0.27620881353120286</v>
      </c>
      <c r="AE225" s="11">
        <f t="shared" si="72"/>
        <v>0.10725914674253255</v>
      </c>
      <c r="AF225" s="11">
        <f t="shared" si="73"/>
        <v>1.5301968269628638E-2</v>
      </c>
      <c r="AG225" s="11">
        <f t="shared" si="74"/>
        <v>1.2227542728648712E-2</v>
      </c>
      <c r="AH225" s="11">
        <f t="shared" si="75"/>
        <v>4.1983739656742833E-2</v>
      </c>
      <c r="AI225" s="11">
        <f t="shared" si="76"/>
        <v>1.4479984810241896E-2</v>
      </c>
      <c r="AJ225" s="11"/>
    </row>
    <row r="226" spans="1:36">
      <c r="A226" t="s">
        <v>997</v>
      </c>
      <c r="B226">
        <v>6.8208000000000001E-3</v>
      </c>
      <c r="C226">
        <v>0</v>
      </c>
      <c r="D226">
        <v>6660</v>
      </c>
      <c r="E226">
        <v>133591</v>
      </c>
      <c r="F226">
        <v>43822.07</v>
      </c>
      <c r="G226">
        <v>1559.625</v>
      </c>
      <c r="H226">
        <v>92995</v>
      </c>
      <c r="I226">
        <f t="shared" si="53"/>
        <v>0</v>
      </c>
      <c r="J226">
        <f t="shared" si="54"/>
        <v>0</v>
      </c>
      <c r="K226">
        <f t="shared" si="55"/>
        <v>0</v>
      </c>
      <c r="L226">
        <f t="shared" si="56"/>
        <v>0</v>
      </c>
      <c r="M226">
        <f t="shared" si="57"/>
        <v>0</v>
      </c>
      <c r="N226">
        <f t="shared" si="58"/>
        <v>0</v>
      </c>
      <c r="P226" s="11">
        <f t="shared" si="59"/>
        <v>0.27323915972108681</v>
      </c>
      <c r="Q226" s="11">
        <f t="shared" si="60"/>
        <v>0.25166363052656887</v>
      </c>
      <c r="R226" s="11">
        <f t="shared" si="61"/>
        <v>1.5137449448548208E-2</v>
      </c>
      <c r="S226" s="11">
        <f t="shared" si="62"/>
        <v>2.8689653880028851E-2</v>
      </c>
      <c r="T226" s="11">
        <f t="shared" si="63"/>
        <v>4.1532352277605197E-2</v>
      </c>
      <c r="U226" s="11">
        <f t="shared" si="64"/>
        <v>3.3974590121086799E-2</v>
      </c>
      <c r="W226">
        <f t="shared" si="65"/>
        <v>0</v>
      </c>
      <c r="X226">
        <f t="shared" si="66"/>
        <v>0</v>
      </c>
      <c r="Y226">
        <f t="shared" si="67"/>
        <v>0</v>
      </c>
      <c r="Z226">
        <f t="shared" si="68"/>
        <v>0</v>
      </c>
      <c r="AA226">
        <f t="shared" si="69"/>
        <v>0</v>
      </c>
      <c r="AB226">
        <f t="shared" si="70"/>
        <v>0</v>
      </c>
      <c r="AD226" s="11">
        <f t="shared" si="71"/>
        <v>1.9565657515898527</v>
      </c>
      <c r="AE226" s="11">
        <f t="shared" si="72"/>
        <v>0.75978594013069745</v>
      </c>
      <c r="AF226" s="11">
        <f t="shared" si="73"/>
        <v>0.10839374263807783</v>
      </c>
      <c r="AG226" s="11">
        <f t="shared" si="74"/>
        <v>8.6615597174899514E-2</v>
      </c>
      <c r="AH226" s="11">
        <f t="shared" si="75"/>
        <v>0.29739799424165758</v>
      </c>
      <c r="AI226" s="11">
        <f t="shared" si="76"/>
        <v>0.10257110191764417</v>
      </c>
      <c r="AJ226" s="11"/>
    </row>
    <row r="227" spans="1:36">
      <c r="A227" t="s">
        <v>459</v>
      </c>
      <c r="B227">
        <v>1.4356E-3</v>
      </c>
      <c r="C227">
        <v>0</v>
      </c>
      <c r="D227">
        <v>13120</v>
      </c>
      <c r="E227">
        <v>315533</v>
      </c>
      <c r="F227">
        <v>36657.72</v>
      </c>
      <c r="G227">
        <v>1415.46</v>
      </c>
      <c r="H227">
        <v>186669</v>
      </c>
      <c r="I227">
        <f t="shared" ref="I227:I290" si="77">+$B$17*C227/G227</f>
        <v>0</v>
      </c>
      <c r="J227">
        <f t="shared" ref="J227:J290" si="78">+$C$17*C227/G227</f>
        <v>0</v>
      </c>
      <c r="K227">
        <f t="shared" ref="K227:K290" si="79">+I227*$B$12</f>
        <v>0</v>
      </c>
      <c r="L227">
        <f t="shared" ref="L227:L290" si="80">+J227*$D$12</f>
        <v>0</v>
      </c>
      <c r="M227">
        <f t="shared" ref="M227:M290" si="81">+I227*$C$12</f>
        <v>0</v>
      </c>
      <c r="N227">
        <f t="shared" ref="N227:N290" si="82">+J227*$E$12</f>
        <v>0</v>
      </c>
      <c r="P227" s="11">
        <f t="shared" ref="P227:P290" si="83">+$B$25*B227/G227</f>
        <v>6.33670752688172E-2</v>
      </c>
      <c r="Q227" s="11">
        <f t="shared" ref="Q227:Q290" si="84">+B227/G227*$C$25</f>
        <v>5.8363479942916074E-2</v>
      </c>
      <c r="R227" s="11">
        <f t="shared" ref="R227:R290" si="85">+P227*$B$12</f>
        <v>3.5105359698924727E-3</v>
      </c>
      <c r="S227" s="11">
        <f t="shared" ref="S227:S290" si="86">+Q227*$D$12</f>
        <v>6.6534367134924331E-3</v>
      </c>
      <c r="T227" s="11">
        <f t="shared" ref="T227:T290" si="87">+P227*$C$12</f>
        <v>9.6317954408602149E-3</v>
      </c>
      <c r="U227" s="11">
        <f t="shared" ref="U227:U290" si="88">+Q227*$E$12</f>
        <v>7.8790697922936706E-3</v>
      </c>
      <c r="W227">
        <f t="shared" ref="W227:W290" si="89">+$E$17*C227/E227</f>
        <v>0</v>
      </c>
      <c r="X227">
        <f t="shared" ref="X227:X290" si="90">+$F$17*C227/E227</f>
        <v>0</v>
      </c>
      <c r="Y227">
        <f t="shared" ref="Y227:Y290" si="91">+W227*$B$12</f>
        <v>0</v>
      </c>
      <c r="Z227">
        <f t="shared" ref="Z227:Z290" si="92">+X227*$D$12</f>
        <v>0</v>
      </c>
      <c r="AA227">
        <f t="shared" ref="AA227:AA290" si="93">+W227*$C$12</f>
        <v>0</v>
      </c>
      <c r="AB227">
        <f t="shared" ref="AB227:AB290" si="94">+X227*$E$12</f>
        <v>0</v>
      </c>
      <c r="AD227" s="11">
        <f t="shared" ref="AD227:AD290" si="95">+$E$25*B227/E227</f>
        <v>0.17435122204802664</v>
      </c>
      <c r="AE227" s="11">
        <f t="shared" ref="AE227:AE290" si="96">+B227/E227*$F$25</f>
        <v>6.7705165057220629E-2</v>
      </c>
      <c r="AF227" s="11">
        <f t="shared" ref="AF227:AF290" si="97">+AD227*$B$12</f>
        <v>9.6590577014606747E-3</v>
      </c>
      <c r="AG227" s="11">
        <f t="shared" ref="AG227:AG290" si="98">+AE227*$D$12</f>
        <v>7.7183888165231517E-3</v>
      </c>
      <c r="AH227" s="11">
        <f t="shared" ref="AH227:AH290" si="99">+AD227*$C$12</f>
        <v>2.6501385751300049E-2</v>
      </c>
      <c r="AI227" s="11">
        <f t="shared" ref="AI227:AI290" si="100">+AE227*$E$12</f>
        <v>9.1401972827247855E-3</v>
      </c>
      <c r="AJ227" s="11"/>
    </row>
    <row r="228" spans="1:36">
      <c r="A228" t="s">
        <v>306</v>
      </c>
      <c r="B228">
        <v>3.6625E-3</v>
      </c>
      <c r="C228">
        <v>6.8990000000000002E-4</v>
      </c>
      <c r="D228">
        <v>71966</v>
      </c>
      <c r="E228">
        <v>1556368</v>
      </c>
      <c r="F228">
        <v>40648.57</v>
      </c>
      <c r="G228">
        <v>1446.223</v>
      </c>
      <c r="H228">
        <v>1038536</v>
      </c>
      <c r="I228">
        <f t="shared" si="77"/>
        <v>3.2420395595976557E-2</v>
      </c>
      <c r="J228">
        <f t="shared" si="78"/>
        <v>7.8175179277331378E-2</v>
      </c>
      <c r="K228">
        <f t="shared" si="79"/>
        <v>1.7960899160171012E-3</v>
      </c>
      <c r="L228">
        <f t="shared" si="80"/>
        <v>8.9119704376157769E-3</v>
      </c>
      <c r="M228">
        <f t="shared" si="81"/>
        <v>4.9279001305884366E-3</v>
      </c>
      <c r="N228">
        <f t="shared" si="82"/>
        <v>1.0553649202439737E-2</v>
      </c>
      <c r="P228" s="11">
        <f t="shared" si="83"/>
        <v>0.1582232071056815</v>
      </c>
      <c r="Q228" s="11">
        <f t="shared" si="84"/>
        <v>0.14572957541817549</v>
      </c>
      <c r="R228" s="11">
        <f t="shared" si="85"/>
        <v>8.7655656736547547E-3</v>
      </c>
      <c r="S228" s="11">
        <f t="shared" si="86"/>
        <v>1.6613171597672009E-2</v>
      </c>
      <c r="T228" s="11">
        <f t="shared" si="87"/>
        <v>2.4049927480063588E-2</v>
      </c>
      <c r="U228" s="11">
        <f t="shared" si="88"/>
        <v>1.9673492681453693E-2</v>
      </c>
      <c r="W228">
        <f t="shared" si="89"/>
        <v>0.16183588331305321</v>
      </c>
      <c r="X228">
        <f t="shared" si="90"/>
        <v>0.21453545998382773</v>
      </c>
      <c r="Y228">
        <f t="shared" si="91"/>
        <v>8.965707935543148E-3</v>
      </c>
      <c r="Z228">
        <f t="shared" si="92"/>
        <v>2.445704243815636E-2</v>
      </c>
      <c r="AA228">
        <f t="shared" si="93"/>
        <v>2.4599054263584087E-2</v>
      </c>
      <c r="AB228">
        <f t="shared" si="94"/>
        <v>2.8962287097816744E-2</v>
      </c>
      <c r="AD228" s="11">
        <f t="shared" si="95"/>
        <v>9.0178223027908552E-2</v>
      </c>
      <c r="AE228" s="11">
        <f t="shared" si="96"/>
        <v>3.5018575740120586E-2</v>
      </c>
      <c r="AF228" s="11">
        <f t="shared" si="97"/>
        <v>4.9958735557461336E-3</v>
      </c>
      <c r="AG228" s="11">
        <f t="shared" si="98"/>
        <v>3.992117634373747E-3</v>
      </c>
      <c r="AH228" s="11">
        <f t="shared" si="99"/>
        <v>1.37070899002421E-2</v>
      </c>
      <c r="AI228" s="11">
        <f t="shared" si="100"/>
        <v>4.7275077249162795E-3</v>
      </c>
      <c r="AJ228" s="11"/>
    </row>
    <row r="229" spans="1:36">
      <c r="A229" t="s">
        <v>308</v>
      </c>
      <c r="B229">
        <v>7.6760999999999999E-3</v>
      </c>
      <c r="C229">
        <v>1.6405E-3</v>
      </c>
      <c r="D229">
        <v>65881</v>
      </c>
      <c r="E229">
        <v>1168547</v>
      </c>
      <c r="F229">
        <v>41724.58</v>
      </c>
      <c r="G229">
        <v>2097.4870000000001</v>
      </c>
      <c r="H229">
        <v>710250</v>
      </c>
      <c r="I229">
        <f t="shared" si="77"/>
        <v>5.3155032236195027E-2</v>
      </c>
      <c r="J229">
        <f t="shared" si="78"/>
        <v>0.12817253146265029</v>
      </c>
      <c r="K229">
        <f t="shared" si="79"/>
        <v>2.9447887858852044E-3</v>
      </c>
      <c r="L229">
        <f t="shared" si="80"/>
        <v>1.4611668586742134E-2</v>
      </c>
      <c r="M229">
        <f t="shared" si="81"/>
        <v>8.0795648999016437E-3</v>
      </c>
      <c r="N229">
        <f t="shared" si="82"/>
        <v>1.7303291747457789E-2</v>
      </c>
      <c r="P229" s="11">
        <f t="shared" si="83"/>
        <v>0.22864892293015401</v>
      </c>
      <c r="Q229" s="11">
        <f t="shared" si="84"/>
        <v>0.21059433105902442</v>
      </c>
      <c r="R229" s="11">
        <f t="shared" si="85"/>
        <v>1.2667150330330532E-2</v>
      </c>
      <c r="S229" s="11">
        <f t="shared" si="86"/>
        <v>2.4007753740728784E-2</v>
      </c>
      <c r="T229" s="11">
        <f t="shared" si="87"/>
        <v>3.475463628538341E-2</v>
      </c>
      <c r="U229" s="11">
        <f t="shared" si="88"/>
        <v>2.8430234692968299E-2</v>
      </c>
      <c r="W229">
        <f t="shared" si="89"/>
        <v>0.51254384243522078</v>
      </c>
      <c r="X229">
        <f t="shared" si="90"/>
        <v>0.67944652785078385</v>
      </c>
      <c r="Y229">
        <f t="shared" si="91"/>
        <v>2.8394928870911228E-2</v>
      </c>
      <c r="Z229">
        <f t="shared" si="92"/>
        <v>7.7456904174989363E-2</v>
      </c>
      <c r="AA229">
        <f t="shared" si="93"/>
        <v>7.7906664050153562E-2</v>
      </c>
      <c r="AB229">
        <f t="shared" si="94"/>
        <v>9.1725281259855823E-2</v>
      </c>
      <c r="AD229" s="11">
        <f t="shared" si="95"/>
        <v>0.25172756321857825</v>
      </c>
      <c r="AE229" s="11">
        <f t="shared" si="96"/>
        <v>9.7752433375379852E-2</v>
      </c>
      <c r="AF229" s="11">
        <f t="shared" si="97"/>
        <v>1.3945707002309234E-2</v>
      </c>
      <c r="AG229" s="11">
        <f t="shared" si="98"/>
        <v>1.1143777404793304E-2</v>
      </c>
      <c r="AH229" s="11">
        <f t="shared" si="99"/>
        <v>3.8262589609223893E-2</v>
      </c>
      <c r="AI229" s="11">
        <f t="shared" si="100"/>
        <v>1.3196578505676281E-2</v>
      </c>
      <c r="AJ229" s="11"/>
    </row>
    <row r="230" spans="1:36">
      <c r="A230" t="s">
        <v>310</v>
      </c>
      <c r="B230">
        <v>2.5916100000000001E-2</v>
      </c>
      <c r="C230">
        <v>3.2064299999999997E-2</v>
      </c>
      <c r="D230">
        <v>1157843</v>
      </c>
      <c r="E230">
        <v>18968501</v>
      </c>
      <c r="F230">
        <v>63346.31</v>
      </c>
      <c r="G230">
        <v>8813.7450000000008</v>
      </c>
      <c r="H230">
        <v>11166752</v>
      </c>
      <c r="I230">
        <f t="shared" si="77"/>
        <v>0.24724567927254529</v>
      </c>
      <c r="J230">
        <f t="shared" si="78"/>
        <v>0.596182586528201</v>
      </c>
      <c r="K230">
        <f t="shared" si="79"/>
        <v>1.3697410631699009E-2</v>
      </c>
      <c r="L230">
        <f t="shared" si="80"/>
        <v>6.796481486421492E-2</v>
      </c>
      <c r="M230">
        <f t="shared" si="81"/>
        <v>3.7581343249426885E-2</v>
      </c>
      <c r="N230">
        <f t="shared" si="82"/>
        <v>8.0484649181307141E-2</v>
      </c>
      <c r="P230" s="11">
        <f t="shared" si="83"/>
        <v>0.18371176922068883</v>
      </c>
      <c r="Q230" s="11">
        <f t="shared" si="84"/>
        <v>0.16920550795036615</v>
      </c>
      <c r="R230" s="11">
        <f t="shared" si="85"/>
        <v>1.017763201482616E-2</v>
      </c>
      <c r="S230" s="11">
        <f t="shared" si="86"/>
        <v>1.9289427906341743E-2</v>
      </c>
      <c r="T230" s="11">
        <f t="shared" si="87"/>
        <v>2.7924188921544701E-2</v>
      </c>
      <c r="U230" s="11">
        <f t="shared" si="88"/>
        <v>2.2842743573299431E-2</v>
      </c>
      <c r="W230">
        <f t="shared" si="89"/>
        <v>0.61714856268461538</v>
      </c>
      <c r="X230">
        <f t="shared" si="90"/>
        <v>0.81811430236265203</v>
      </c>
      <c r="Y230">
        <f t="shared" si="91"/>
        <v>3.4190030372727692E-2</v>
      </c>
      <c r="Z230">
        <f t="shared" si="92"/>
        <v>9.3265030469342342E-2</v>
      </c>
      <c r="AA230">
        <f t="shared" si="93"/>
        <v>9.3806581528061539E-2</v>
      </c>
      <c r="AB230">
        <f t="shared" si="94"/>
        <v>0.11044543081895804</v>
      </c>
      <c r="AD230" s="11">
        <f t="shared" si="95"/>
        <v>5.2356784682584034E-2</v>
      </c>
      <c r="AE230" s="11">
        <f t="shared" si="96"/>
        <v>2.0331516505363287E-2</v>
      </c>
      <c r="AF230" s="11">
        <f t="shared" si="97"/>
        <v>2.9005658714151552E-3</v>
      </c>
      <c r="AG230" s="11">
        <f t="shared" si="98"/>
        <v>2.3177928816114149E-3</v>
      </c>
      <c r="AH230" s="11">
        <f t="shared" si="99"/>
        <v>7.9582312717527727E-3</v>
      </c>
      <c r="AI230" s="11">
        <f t="shared" si="100"/>
        <v>2.7447547282240439E-3</v>
      </c>
      <c r="AJ230" s="11"/>
    </row>
    <row r="231" spans="1:36">
      <c r="A231" t="s">
        <v>460</v>
      </c>
      <c r="B231">
        <v>2.9399999999999999E-4</v>
      </c>
      <c r="C231">
        <v>0</v>
      </c>
      <c r="D231">
        <v>4936</v>
      </c>
      <c r="E231">
        <v>160319</v>
      </c>
      <c r="F231">
        <v>35029.129999999997</v>
      </c>
      <c r="G231">
        <v>931.54859999999996</v>
      </c>
      <c r="H231">
        <v>87983</v>
      </c>
      <c r="I231">
        <f t="shared" si="77"/>
        <v>0</v>
      </c>
      <c r="J231">
        <f t="shared" si="78"/>
        <v>0</v>
      </c>
      <c r="K231">
        <f t="shared" si="79"/>
        <v>0</v>
      </c>
      <c r="L231">
        <f t="shared" si="80"/>
        <v>0</v>
      </c>
      <c r="M231">
        <f t="shared" si="81"/>
        <v>0</v>
      </c>
      <c r="N231">
        <f t="shared" si="82"/>
        <v>0</v>
      </c>
      <c r="P231" s="11">
        <f t="shared" si="83"/>
        <v>1.9718307128581372E-2</v>
      </c>
      <c r="Q231" s="11">
        <f t="shared" si="84"/>
        <v>1.8161308814161708E-2</v>
      </c>
      <c r="R231" s="11">
        <f t="shared" si="85"/>
        <v>1.0923942149234081E-3</v>
      </c>
      <c r="S231" s="11">
        <f t="shared" si="86"/>
        <v>2.0703892048144347E-3</v>
      </c>
      <c r="T231" s="11">
        <f t="shared" si="87"/>
        <v>2.9971826835443684E-3</v>
      </c>
      <c r="U231" s="11">
        <f t="shared" si="88"/>
        <v>2.4517766899118309E-3</v>
      </c>
      <c r="W231">
        <f t="shared" si="89"/>
        <v>0</v>
      </c>
      <c r="X231">
        <f t="shared" si="90"/>
        <v>0</v>
      </c>
      <c r="Y231">
        <f t="shared" si="91"/>
        <v>0</v>
      </c>
      <c r="Z231">
        <f t="shared" si="92"/>
        <v>0</v>
      </c>
      <c r="AA231">
        <f t="shared" si="93"/>
        <v>0</v>
      </c>
      <c r="AB231">
        <f t="shared" si="94"/>
        <v>0</v>
      </c>
      <c r="AD231" s="11">
        <f t="shared" si="95"/>
        <v>7.0274646206625532E-2</v>
      </c>
      <c r="AE231" s="11">
        <f t="shared" si="96"/>
        <v>2.7289493385063528E-2</v>
      </c>
      <c r="AF231" s="11">
        <f t="shared" si="97"/>
        <v>3.8932153998470546E-3</v>
      </c>
      <c r="AG231" s="11">
        <f t="shared" si="98"/>
        <v>3.1110022458972421E-3</v>
      </c>
      <c r="AH231" s="11">
        <f t="shared" si="99"/>
        <v>1.068174622340708E-2</v>
      </c>
      <c r="AI231" s="11">
        <f t="shared" si="100"/>
        <v>3.6840816069835763E-3</v>
      </c>
      <c r="AJ231" s="11"/>
    </row>
    <row r="232" spans="1:36">
      <c r="A232" t="s">
        <v>998</v>
      </c>
      <c r="B232">
        <v>1.3868999999999999E-3</v>
      </c>
      <c r="C232">
        <v>0</v>
      </c>
      <c r="D232">
        <v>6485</v>
      </c>
      <c r="E232">
        <v>327172</v>
      </c>
      <c r="F232">
        <v>30394.76</v>
      </c>
      <c r="G232">
        <v>1157.7</v>
      </c>
      <c r="H232">
        <v>144635</v>
      </c>
      <c r="I232">
        <f t="shared" si="77"/>
        <v>0</v>
      </c>
      <c r="J232">
        <f t="shared" si="78"/>
        <v>0</v>
      </c>
      <c r="K232">
        <f t="shared" si="79"/>
        <v>0</v>
      </c>
      <c r="L232">
        <f t="shared" si="80"/>
        <v>0</v>
      </c>
      <c r="M232">
        <f t="shared" si="81"/>
        <v>0</v>
      </c>
      <c r="N232">
        <f t="shared" si="82"/>
        <v>0</v>
      </c>
      <c r="P232" s="11">
        <f t="shared" si="83"/>
        <v>7.4847436201088358E-2</v>
      </c>
      <c r="Q232" s="11">
        <f t="shared" si="84"/>
        <v>6.8937327831044309E-2</v>
      </c>
      <c r="R232" s="11">
        <f t="shared" si="85"/>
        <v>4.1465479655402948E-3</v>
      </c>
      <c r="S232" s="11">
        <f t="shared" si="86"/>
        <v>7.8588553727390511E-3</v>
      </c>
      <c r="T232" s="11">
        <f t="shared" si="87"/>
        <v>1.137681030256543E-2</v>
      </c>
      <c r="U232" s="11">
        <f t="shared" si="88"/>
        <v>9.3065392571909829E-3</v>
      </c>
      <c r="W232">
        <f t="shared" si="89"/>
        <v>0</v>
      </c>
      <c r="X232">
        <f t="shared" si="90"/>
        <v>0</v>
      </c>
      <c r="Y232">
        <f t="shared" si="91"/>
        <v>0</v>
      </c>
      <c r="Z232">
        <f t="shared" si="92"/>
        <v>0</v>
      </c>
      <c r="AA232">
        <f t="shared" si="93"/>
        <v>0</v>
      </c>
      <c r="AB232">
        <f t="shared" si="94"/>
        <v>0</v>
      </c>
      <c r="AD232" s="11">
        <f t="shared" si="95"/>
        <v>0.16244462728784856</v>
      </c>
      <c r="AE232" s="11">
        <f t="shared" si="96"/>
        <v>6.3081521161651971E-2</v>
      </c>
      <c r="AF232" s="11">
        <f t="shared" si="97"/>
        <v>8.9994323517468104E-3</v>
      </c>
      <c r="AG232" s="11">
        <f t="shared" si="98"/>
        <v>7.1912934124283246E-3</v>
      </c>
      <c r="AH232" s="11">
        <f t="shared" si="99"/>
        <v>2.4691583347752979E-2</v>
      </c>
      <c r="AI232" s="11">
        <f t="shared" si="100"/>
        <v>8.5160053568230174E-3</v>
      </c>
      <c r="AJ232" s="11"/>
    </row>
    <row r="233" spans="1:36">
      <c r="A233" t="s">
        <v>461</v>
      </c>
      <c r="B233">
        <v>3.4296999999999999E-3</v>
      </c>
      <c r="C233">
        <v>0</v>
      </c>
      <c r="D233">
        <v>5683</v>
      </c>
      <c r="E233">
        <v>131180</v>
      </c>
      <c r="F233">
        <v>42021.41</v>
      </c>
      <c r="G233">
        <v>1303.277</v>
      </c>
      <c r="H233">
        <v>80386</v>
      </c>
      <c r="I233">
        <f t="shared" si="77"/>
        <v>0</v>
      </c>
      <c r="J233">
        <f t="shared" si="78"/>
        <v>0</v>
      </c>
      <c r="K233">
        <f t="shared" si="79"/>
        <v>0</v>
      </c>
      <c r="L233">
        <f t="shared" si="80"/>
        <v>0</v>
      </c>
      <c r="M233">
        <f t="shared" si="81"/>
        <v>0</v>
      </c>
      <c r="N233">
        <f t="shared" si="82"/>
        <v>0</v>
      </c>
      <c r="P233" s="11">
        <f t="shared" si="83"/>
        <v>0.16441718803447003</v>
      </c>
      <c r="Q233" s="11">
        <f t="shared" si="84"/>
        <v>0.15143446680176201</v>
      </c>
      <c r="R233" s="11">
        <f t="shared" si="85"/>
        <v>9.108712217109639E-3</v>
      </c>
      <c r="S233" s="11">
        <f t="shared" si="86"/>
        <v>1.726352921540087E-2</v>
      </c>
      <c r="T233" s="11">
        <f t="shared" si="87"/>
        <v>2.4991412581239443E-2</v>
      </c>
      <c r="U233" s="11">
        <f t="shared" si="88"/>
        <v>2.0443653018237872E-2</v>
      </c>
      <c r="W233">
        <f t="shared" si="89"/>
        <v>0</v>
      </c>
      <c r="X233">
        <f t="shared" si="90"/>
        <v>0</v>
      </c>
      <c r="Y233">
        <f t="shared" si="91"/>
        <v>0</v>
      </c>
      <c r="Z233">
        <f t="shared" si="92"/>
        <v>0</v>
      </c>
      <c r="AA233">
        <f t="shared" si="93"/>
        <v>0</v>
      </c>
      <c r="AB233">
        <f t="shared" si="94"/>
        <v>0</v>
      </c>
      <c r="AD233" s="11">
        <f t="shared" si="95"/>
        <v>1.0019010680535143</v>
      </c>
      <c r="AE233" s="11">
        <f t="shared" si="96"/>
        <v>0.38906453529120294</v>
      </c>
      <c r="AF233" s="11">
        <f t="shared" si="97"/>
        <v>5.5505319170164692E-2</v>
      </c>
      <c r="AG233" s="11">
        <f t="shared" si="98"/>
        <v>4.4353357023197135E-2</v>
      </c>
      <c r="AH233" s="11">
        <f t="shared" si="99"/>
        <v>0.15228896234413417</v>
      </c>
      <c r="AI233" s="11">
        <f t="shared" si="100"/>
        <v>5.2523712264312399E-2</v>
      </c>
      <c r="AJ233" s="11"/>
    </row>
    <row r="234" spans="1:36">
      <c r="A234" t="s">
        <v>462</v>
      </c>
      <c r="B234">
        <v>2.8500000000000001E-3</v>
      </c>
      <c r="C234">
        <v>0</v>
      </c>
      <c r="D234">
        <v>47797</v>
      </c>
      <c r="E234">
        <v>1207519</v>
      </c>
      <c r="F234">
        <v>36706.5</v>
      </c>
      <c r="G234">
        <v>1460.6420000000001</v>
      </c>
      <c r="H234">
        <v>778170</v>
      </c>
      <c r="I234">
        <f t="shared" si="77"/>
        <v>0</v>
      </c>
      <c r="J234">
        <f t="shared" si="78"/>
        <v>0</v>
      </c>
      <c r="K234">
        <f t="shared" si="79"/>
        <v>0</v>
      </c>
      <c r="L234">
        <f t="shared" si="80"/>
        <v>0</v>
      </c>
      <c r="M234">
        <f t="shared" si="81"/>
        <v>0</v>
      </c>
      <c r="N234">
        <f t="shared" si="82"/>
        <v>0</v>
      </c>
      <c r="P234" s="11">
        <f t="shared" si="83"/>
        <v>0.1219070689463948</v>
      </c>
      <c r="Q234" s="11">
        <f t="shared" si="84"/>
        <v>0.11228103464093186</v>
      </c>
      <c r="R234" s="11">
        <f t="shared" si="85"/>
        <v>6.7536516196302718E-3</v>
      </c>
      <c r="S234" s="11">
        <f t="shared" si="86"/>
        <v>1.2800037949066234E-2</v>
      </c>
      <c r="T234" s="11">
        <f t="shared" si="87"/>
        <v>1.8529874479852011E-2</v>
      </c>
      <c r="U234" s="11">
        <f t="shared" si="88"/>
        <v>1.5157939676525803E-2</v>
      </c>
      <c r="W234">
        <f t="shared" si="89"/>
        <v>0</v>
      </c>
      <c r="X234">
        <f t="shared" si="90"/>
        <v>0</v>
      </c>
      <c r="Y234">
        <f t="shared" si="91"/>
        <v>0</v>
      </c>
      <c r="Z234">
        <f t="shared" si="92"/>
        <v>0</v>
      </c>
      <c r="AA234">
        <f t="shared" si="93"/>
        <v>0</v>
      </c>
      <c r="AB234">
        <f t="shared" si="94"/>
        <v>0</v>
      </c>
      <c r="AD234" s="11">
        <f t="shared" si="95"/>
        <v>9.0445553262515951E-2</v>
      </c>
      <c r="AE234" s="11">
        <f t="shared" si="96"/>
        <v>3.5122387101155346E-2</v>
      </c>
      <c r="AF234" s="11">
        <f t="shared" si="97"/>
        <v>5.0106836507433838E-3</v>
      </c>
      <c r="AG234" s="11">
        <f t="shared" si="98"/>
        <v>4.0039521295317099E-3</v>
      </c>
      <c r="AH234" s="11">
        <f t="shared" si="99"/>
        <v>1.3747724095902424E-2</v>
      </c>
      <c r="AI234" s="11">
        <f t="shared" si="100"/>
        <v>4.7415222586559723E-3</v>
      </c>
      <c r="AJ234" s="11"/>
    </row>
    <row r="235" spans="1:36">
      <c r="A235" t="s">
        <v>463</v>
      </c>
      <c r="B235">
        <v>1.1151299999999999E-2</v>
      </c>
      <c r="C235">
        <v>0</v>
      </c>
      <c r="D235">
        <v>5738</v>
      </c>
      <c r="E235">
        <v>245571</v>
      </c>
      <c r="F235">
        <v>33295.160000000003</v>
      </c>
      <c r="G235">
        <v>2489.7579999999998</v>
      </c>
      <c r="H235">
        <v>136087</v>
      </c>
      <c r="I235">
        <f t="shared" si="77"/>
        <v>0</v>
      </c>
      <c r="J235">
        <f t="shared" si="78"/>
        <v>0</v>
      </c>
      <c r="K235">
        <f t="shared" si="79"/>
        <v>0</v>
      </c>
      <c r="L235">
        <f t="shared" si="80"/>
        <v>0</v>
      </c>
      <c r="M235">
        <f t="shared" si="81"/>
        <v>0</v>
      </c>
      <c r="N235">
        <f t="shared" si="82"/>
        <v>0</v>
      </c>
      <c r="P235" s="11">
        <f t="shared" si="83"/>
        <v>0.27983122718352549</v>
      </c>
      <c r="Q235" s="11">
        <f t="shared" si="84"/>
        <v>0.25773517470774265</v>
      </c>
      <c r="R235" s="11">
        <f t="shared" si="85"/>
        <v>1.5502649985967312E-2</v>
      </c>
      <c r="S235" s="11">
        <f t="shared" si="86"/>
        <v>2.9381809916682662E-2</v>
      </c>
      <c r="T235" s="11">
        <f t="shared" si="87"/>
        <v>4.2534346531895875E-2</v>
      </c>
      <c r="U235" s="11">
        <f t="shared" si="88"/>
        <v>3.4794248585545258E-2</v>
      </c>
      <c r="W235">
        <f t="shared" si="89"/>
        <v>0</v>
      </c>
      <c r="X235">
        <f t="shared" si="90"/>
        <v>0</v>
      </c>
      <c r="Y235">
        <f t="shared" si="91"/>
        <v>0</v>
      </c>
      <c r="Z235">
        <f t="shared" si="92"/>
        <v>0</v>
      </c>
      <c r="AA235">
        <f t="shared" si="93"/>
        <v>0</v>
      </c>
      <c r="AB235">
        <f t="shared" si="94"/>
        <v>0</v>
      </c>
      <c r="AD235" s="11">
        <f t="shared" si="95"/>
        <v>1.7401422578909558</v>
      </c>
      <c r="AE235" s="11">
        <f t="shared" si="96"/>
        <v>0.67574300546685073</v>
      </c>
      <c r="AF235" s="11">
        <f t="shared" si="97"/>
        <v>9.6403881087158944E-2</v>
      </c>
      <c r="AG235" s="11">
        <f t="shared" si="98"/>
        <v>7.7034702623220985E-2</v>
      </c>
      <c r="AH235" s="11">
        <f t="shared" si="99"/>
        <v>0.26450162319942527</v>
      </c>
      <c r="AI235" s="11">
        <f t="shared" si="100"/>
        <v>9.1225305738024856E-2</v>
      </c>
      <c r="AJ235" s="11"/>
    </row>
    <row r="236" spans="1:36">
      <c r="A236" t="s">
        <v>464</v>
      </c>
      <c r="B236">
        <v>6.9091999999999999E-3</v>
      </c>
      <c r="C236">
        <v>0</v>
      </c>
      <c r="D236">
        <v>39510</v>
      </c>
      <c r="E236">
        <v>839265</v>
      </c>
      <c r="F236">
        <v>39681.230000000003</v>
      </c>
      <c r="G236">
        <v>1856.673</v>
      </c>
      <c r="H236">
        <v>586818</v>
      </c>
      <c r="I236">
        <f t="shared" si="77"/>
        <v>0</v>
      </c>
      <c r="J236">
        <f t="shared" si="78"/>
        <v>0</v>
      </c>
      <c r="K236">
        <f t="shared" si="79"/>
        <v>0</v>
      </c>
      <c r="L236">
        <f t="shared" si="80"/>
        <v>0</v>
      </c>
      <c r="M236">
        <f t="shared" si="81"/>
        <v>0</v>
      </c>
      <c r="N236">
        <f t="shared" si="82"/>
        <v>0</v>
      </c>
      <c r="P236" s="11">
        <f t="shared" si="83"/>
        <v>0.23249850055448643</v>
      </c>
      <c r="Q236" s="11">
        <f t="shared" si="84"/>
        <v>0.2141399380720245</v>
      </c>
      <c r="R236" s="11">
        <f t="shared" si="85"/>
        <v>1.2880416930718548E-2</v>
      </c>
      <c r="S236" s="11">
        <f t="shared" si="86"/>
        <v>2.4411952940210795E-2</v>
      </c>
      <c r="T236" s="11">
        <f t="shared" si="87"/>
        <v>3.5339772084281934E-2</v>
      </c>
      <c r="U236" s="11">
        <f t="shared" si="88"/>
        <v>2.8908891639723308E-2</v>
      </c>
      <c r="W236">
        <f t="shared" si="89"/>
        <v>0</v>
      </c>
      <c r="X236">
        <f t="shared" si="90"/>
        <v>0</v>
      </c>
      <c r="Y236">
        <f t="shared" si="91"/>
        <v>0</v>
      </c>
      <c r="Z236">
        <f t="shared" si="92"/>
        <v>0</v>
      </c>
      <c r="AA236">
        <f t="shared" si="93"/>
        <v>0</v>
      </c>
      <c r="AB236">
        <f t="shared" si="94"/>
        <v>0</v>
      </c>
      <c r="AD236" s="11">
        <f t="shared" si="95"/>
        <v>0.3154750261399677</v>
      </c>
      <c r="AE236" s="11">
        <f t="shared" si="96"/>
        <v>0.12250724982216582</v>
      </c>
      <c r="AF236" s="11">
        <f t="shared" si="97"/>
        <v>1.7477316448154211E-2</v>
      </c>
      <c r="AG236" s="11">
        <f t="shared" si="98"/>
        <v>1.3965826479726905E-2</v>
      </c>
      <c r="AH236" s="11">
        <f t="shared" si="99"/>
        <v>4.7952203973275091E-2</v>
      </c>
      <c r="AI236" s="11">
        <f t="shared" si="100"/>
        <v>1.6538478725992387E-2</v>
      </c>
      <c r="AJ236" s="11"/>
    </row>
    <row r="237" spans="1:36">
      <c r="A237" t="s">
        <v>465</v>
      </c>
      <c r="B237">
        <v>5.7920000000000003E-3</v>
      </c>
      <c r="C237">
        <v>0</v>
      </c>
      <c r="D237">
        <v>95674</v>
      </c>
      <c r="E237">
        <v>2060968</v>
      </c>
      <c r="F237">
        <v>36216.47</v>
      </c>
      <c r="G237">
        <v>2555.8890000000001</v>
      </c>
      <c r="H237">
        <v>1311657</v>
      </c>
      <c r="I237">
        <f t="shared" si="77"/>
        <v>0</v>
      </c>
      <c r="J237">
        <f t="shared" si="78"/>
        <v>0</v>
      </c>
      <c r="K237">
        <f t="shared" si="79"/>
        <v>0</v>
      </c>
      <c r="L237">
        <f t="shared" si="80"/>
        <v>0</v>
      </c>
      <c r="M237">
        <f t="shared" si="81"/>
        <v>0</v>
      </c>
      <c r="N237">
        <f t="shared" si="82"/>
        <v>0</v>
      </c>
      <c r="P237" s="11">
        <f t="shared" si="83"/>
        <v>0.14158406534869081</v>
      </c>
      <c r="Q237" s="11">
        <f t="shared" si="84"/>
        <v>0.13040429470919901</v>
      </c>
      <c r="R237" s="11">
        <f t="shared" si="85"/>
        <v>7.8437572203174707E-3</v>
      </c>
      <c r="S237" s="11">
        <f t="shared" si="86"/>
        <v>1.4866089596848688E-2</v>
      </c>
      <c r="T237" s="11">
        <f t="shared" si="87"/>
        <v>2.1520777933001001E-2</v>
      </c>
      <c r="U237" s="11">
        <f t="shared" si="88"/>
        <v>1.7604579785741866E-2</v>
      </c>
      <c r="W237">
        <f t="shared" si="89"/>
        <v>0</v>
      </c>
      <c r="X237">
        <f t="shared" si="90"/>
        <v>0</v>
      </c>
      <c r="Y237">
        <f t="shared" si="91"/>
        <v>0</v>
      </c>
      <c r="Z237">
        <f t="shared" si="92"/>
        <v>0</v>
      </c>
      <c r="AA237">
        <f t="shared" si="93"/>
        <v>0</v>
      </c>
      <c r="AB237">
        <f t="shared" si="94"/>
        <v>0</v>
      </c>
      <c r="AD237" s="11">
        <f t="shared" si="95"/>
        <v>0.10769452800509276</v>
      </c>
      <c r="AE237" s="11">
        <f t="shared" si="96"/>
        <v>4.1820617651511328E-2</v>
      </c>
      <c r="AF237" s="11">
        <f t="shared" si="97"/>
        <v>5.9662768514821387E-3</v>
      </c>
      <c r="AG237" s="11">
        <f t="shared" si="98"/>
        <v>4.7675504122722916E-3</v>
      </c>
      <c r="AH237" s="11">
        <f t="shared" si="99"/>
        <v>1.63695682567741E-2</v>
      </c>
      <c r="AI237" s="11">
        <f t="shared" si="100"/>
        <v>5.6457833829540293E-3</v>
      </c>
      <c r="AJ237" s="11"/>
    </row>
    <row r="238" spans="1:36">
      <c r="A238" t="s">
        <v>466</v>
      </c>
      <c r="B238">
        <v>4.0441000000000001E-3</v>
      </c>
      <c r="C238">
        <v>0</v>
      </c>
      <c r="D238">
        <v>6777</v>
      </c>
      <c r="E238">
        <v>162099</v>
      </c>
      <c r="F238">
        <v>42682.17</v>
      </c>
      <c r="G238">
        <v>1909.0530000000001</v>
      </c>
      <c r="H238">
        <v>110144</v>
      </c>
      <c r="I238">
        <f t="shared" si="77"/>
        <v>0</v>
      </c>
      <c r="J238">
        <f t="shared" si="78"/>
        <v>0</v>
      </c>
      <c r="K238">
        <f t="shared" si="79"/>
        <v>0</v>
      </c>
      <c r="L238">
        <f t="shared" si="80"/>
        <v>0</v>
      </c>
      <c r="M238">
        <f t="shared" si="81"/>
        <v>0</v>
      </c>
      <c r="N238">
        <f t="shared" si="82"/>
        <v>0</v>
      </c>
      <c r="P238" s="11">
        <f t="shared" si="83"/>
        <v>0.13235236748796392</v>
      </c>
      <c r="Q238" s="11">
        <f t="shared" si="84"/>
        <v>0.12190155080555645</v>
      </c>
      <c r="R238" s="11">
        <f t="shared" si="85"/>
        <v>7.3323211588332011E-3</v>
      </c>
      <c r="S238" s="11">
        <f t="shared" si="86"/>
        <v>1.3896776791833435E-2</v>
      </c>
      <c r="T238" s="11">
        <f t="shared" si="87"/>
        <v>2.0117559858170514E-2</v>
      </c>
      <c r="U238" s="11">
        <f t="shared" si="88"/>
        <v>1.6456709358750123E-2</v>
      </c>
      <c r="W238">
        <f t="shared" si="89"/>
        <v>0</v>
      </c>
      <c r="X238">
        <f t="shared" si="90"/>
        <v>0</v>
      </c>
      <c r="Y238">
        <f t="shared" si="91"/>
        <v>0</v>
      </c>
      <c r="Z238">
        <f t="shared" si="92"/>
        <v>0</v>
      </c>
      <c r="AA238">
        <f t="shared" si="93"/>
        <v>0</v>
      </c>
      <c r="AB238">
        <f t="shared" si="94"/>
        <v>0</v>
      </c>
      <c r="AD238" s="11">
        <f t="shared" si="95"/>
        <v>0.95604400613686702</v>
      </c>
      <c r="AE238" s="11">
        <f t="shared" si="96"/>
        <v>0.37125703208224603</v>
      </c>
      <c r="AF238" s="11">
        <f t="shared" si="97"/>
        <v>5.2964837939982433E-2</v>
      </c>
      <c r="AG238" s="11">
        <f t="shared" si="98"/>
        <v>4.232330165737605E-2</v>
      </c>
      <c r="AH238" s="11">
        <f t="shared" si="99"/>
        <v>0.14531868893280378</v>
      </c>
      <c r="AI238" s="11">
        <f t="shared" si="100"/>
        <v>5.0119699331103218E-2</v>
      </c>
      <c r="AJ238" s="11"/>
    </row>
    <row r="239" spans="1:36">
      <c r="A239" t="s">
        <v>999</v>
      </c>
      <c r="B239">
        <v>1.7102E-3</v>
      </c>
      <c r="C239">
        <v>0</v>
      </c>
      <c r="D239">
        <v>3649</v>
      </c>
      <c r="E239">
        <v>112945</v>
      </c>
      <c r="F239">
        <v>32536.45</v>
      </c>
      <c r="G239">
        <v>1402.0540000000001</v>
      </c>
      <c r="H239">
        <v>66169</v>
      </c>
      <c r="I239">
        <f t="shared" si="77"/>
        <v>0</v>
      </c>
      <c r="J239">
        <f t="shared" si="78"/>
        <v>0</v>
      </c>
      <c r="K239">
        <f t="shared" si="79"/>
        <v>0</v>
      </c>
      <c r="L239">
        <f t="shared" si="80"/>
        <v>0</v>
      </c>
      <c r="M239">
        <f t="shared" si="81"/>
        <v>0</v>
      </c>
      <c r="N239">
        <f t="shared" si="82"/>
        <v>0</v>
      </c>
      <c r="P239" s="11">
        <f t="shared" si="83"/>
        <v>7.6209651425694011E-2</v>
      </c>
      <c r="Q239" s="11">
        <f t="shared" si="84"/>
        <v>7.0191979724033446E-2</v>
      </c>
      <c r="R239" s="11">
        <f t="shared" si="85"/>
        <v>4.222014688983448E-3</v>
      </c>
      <c r="S239" s="11">
        <f t="shared" si="86"/>
        <v>8.001885688539814E-3</v>
      </c>
      <c r="T239" s="11">
        <f t="shared" si="87"/>
        <v>1.1583867016705489E-2</v>
      </c>
      <c r="U239" s="11">
        <f t="shared" si="88"/>
        <v>9.4759172627445157E-3</v>
      </c>
      <c r="W239">
        <f t="shared" si="89"/>
        <v>0</v>
      </c>
      <c r="X239">
        <f t="shared" si="90"/>
        <v>0</v>
      </c>
      <c r="Y239">
        <f t="shared" si="91"/>
        <v>0</v>
      </c>
      <c r="Z239">
        <f t="shared" si="92"/>
        <v>0</v>
      </c>
      <c r="AA239">
        <f t="shared" si="93"/>
        <v>0</v>
      </c>
      <c r="AB239">
        <f t="shared" si="94"/>
        <v>0</v>
      </c>
      <c r="AD239" s="11">
        <f t="shared" si="95"/>
        <v>0.58025143750639696</v>
      </c>
      <c r="AE239" s="11">
        <f t="shared" si="96"/>
        <v>0.22532689412545928</v>
      </c>
      <c r="AF239" s="11">
        <f t="shared" si="97"/>
        <v>3.2145929637854391E-2</v>
      </c>
      <c r="AG239" s="11">
        <f t="shared" si="98"/>
        <v>2.568726593030236E-2</v>
      </c>
      <c r="AH239" s="11">
        <f t="shared" si="99"/>
        <v>8.8198218500972342E-2</v>
      </c>
      <c r="AI239" s="11">
        <f t="shared" si="100"/>
        <v>3.0419130706937005E-2</v>
      </c>
      <c r="AJ239" s="11"/>
    </row>
    <row r="240" spans="1:36">
      <c r="A240" t="s">
        <v>467</v>
      </c>
      <c r="B240">
        <v>4.9020000000000001E-3</v>
      </c>
      <c r="C240">
        <v>0</v>
      </c>
      <c r="D240">
        <v>30922</v>
      </c>
      <c r="E240">
        <v>794778</v>
      </c>
      <c r="F240">
        <v>44984.92</v>
      </c>
      <c r="G240">
        <v>1397.7360000000001</v>
      </c>
      <c r="H240">
        <v>440871</v>
      </c>
      <c r="I240">
        <f t="shared" si="77"/>
        <v>0</v>
      </c>
      <c r="J240">
        <f t="shared" si="78"/>
        <v>0</v>
      </c>
      <c r="K240">
        <f t="shared" si="79"/>
        <v>0</v>
      </c>
      <c r="L240">
        <f t="shared" si="80"/>
        <v>0</v>
      </c>
      <c r="M240">
        <f t="shared" si="81"/>
        <v>0</v>
      </c>
      <c r="N240">
        <f t="shared" si="82"/>
        <v>0</v>
      </c>
      <c r="P240" s="11">
        <f t="shared" si="83"/>
        <v>0.21911694783564276</v>
      </c>
      <c r="Q240" s="11">
        <f t="shared" si="84"/>
        <v>0.20181502043304311</v>
      </c>
      <c r="R240" s="11">
        <f t="shared" si="85"/>
        <v>1.2139078910094608E-2</v>
      </c>
      <c r="S240" s="11">
        <f t="shared" si="86"/>
        <v>2.3006912329366917E-2</v>
      </c>
      <c r="T240" s="11">
        <f t="shared" si="87"/>
        <v>3.3305776071017701E-2</v>
      </c>
      <c r="U240" s="11">
        <f t="shared" si="88"/>
        <v>2.7245027758460823E-2</v>
      </c>
      <c r="W240">
        <f t="shared" si="89"/>
        <v>0</v>
      </c>
      <c r="X240">
        <f t="shared" si="90"/>
        <v>0</v>
      </c>
      <c r="Y240">
        <f t="shared" si="91"/>
        <v>0</v>
      </c>
      <c r="Z240">
        <f t="shared" si="92"/>
        <v>0</v>
      </c>
      <c r="AA240">
        <f t="shared" si="93"/>
        <v>0</v>
      </c>
      <c r="AB240">
        <f t="shared" si="94"/>
        <v>0</v>
      </c>
      <c r="AD240" s="11">
        <f t="shared" si="95"/>
        <v>0.23635446040479224</v>
      </c>
      <c r="AE240" s="11">
        <f t="shared" si="96"/>
        <v>9.1782653231468406E-2</v>
      </c>
      <c r="AF240" s="11">
        <f t="shared" si="97"/>
        <v>1.3094037106425489E-2</v>
      </c>
      <c r="AG240" s="11">
        <f t="shared" si="98"/>
        <v>1.0463222468387398E-2</v>
      </c>
      <c r="AH240" s="11">
        <f t="shared" si="99"/>
        <v>3.5925877981528423E-2</v>
      </c>
      <c r="AI240" s="11">
        <f t="shared" si="100"/>
        <v>1.2390658186248236E-2</v>
      </c>
      <c r="AJ240" s="11"/>
    </row>
    <row r="241" spans="1:36">
      <c r="A241" t="s">
        <v>468</v>
      </c>
      <c r="B241">
        <v>1.5904999999999999E-3</v>
      </c>
      <c r="C241">
        <v>0</v>
      </c>
      <c r="D241">
        <v>14950</v>
      </c>
      <c r="E241">
        <v>536314</v>
      </c>
      <c r="F241">
        <v>37999.870000000003</v>
      </c>
      <c r="G241">
        <v>760.06979999999999</v>
      </c>
      <c r="H241">
        <v>281209</v>
      </c>
      <c r="I241">
        <f t="shared" si="77"/>
        <v>0</v>
      </c>
      <c r="J241">
        <f t="shared" si="78"/>
        <v>0</v>
      </c>
      <c r="K241">
        <f t="shared" si="79"/>
        <v>0</v>
      </c>
      <c r="L241">
        <f t="shared" si="80"/>
        <v>0</v>
      </c>
      <c r="M241">
        <f t="shared" si="81"/>
        <v>0</v>
      </c>
      <c r="N241">
        <f t="shared" si="82"/>
        <v>0</v>
      </c>
      <c r="P241" s="11">
        <f t="shared" si="83"/>
        <v>0.130739858431423</v>
      </c>
      <c r="Q241" s="11">
        <f t="shared" si="84"/>
        <v>0.12041636879928659</v>
      </c>
      <c r="R241" s="11">
        <f t="shared" si="85"/>
        <v>7.2429881571008338E-3</v>
      </c>
      <c r="S241" s="11">
        <f t="shared" si="86"/>
        <v>1.3727466043118672E-2</v>
      </c>
      <c r="T241" s="11">
        <f t="shared" si="87"/>
        <v>1.9872458481576295E-2</v>
      </c>
      <c r="U241" s="11">
        <f t="shared" si="88"/>
        <v>1.6256209787903691E-2</v>
      </c>
      <c r="W241">
        <f t="shared" si="89"/>
        <v>0</v>
      </c>
      <c r="X241">
        <f t="shared" si="90"/>
        <v>0</v>
      </c>
      <c r="Y241">
        <f t="shared" si="91"/>
        <v>0</v>
      </c>
      <c r="Z241">
        <f t="shared" si="92"/>
        <v>0</v>
      </c>
      <c r="AA241">
        <f t="shared" si="93"/>
        <v>0</v>
      </c>
      <c r="AB241">
        <f t="shared" si="94"/>
        <v>0</v>
      </c>
      <c r="AD241" s="11">
        <f t="shared" si="95"/>
        <v>0.1136451410925316</v>
      </c>
      <c r="AE241" s="11">
        <f t="shared" si="96"/>
        <v>4.4131397217861176E-2</v>
      </c>
      <c r="AF241" s="11">
        <f t="shared" si="97"/>
        <v>6.2959408165262501E-3</v>
      </c>
      <c r="AG241" s="11">
        <f t="shared" si="98"/>
        <v>5.0309792828361743E-3</v>
      </c>
      <c r="AH241" s="11">
        <f t="shared" si="99"/>
        <v>1.7274061446064803E-2</v>
      </c>
      <c r="AI241" s="11">
        <f t="shared" si="100"/>
        <v>5.9577386244112594E-3</v>
      </c>
      <c r="AJ241" s="11"/>
    </row>
    <row r="242" spans="1:36">
      <c r="A242" t="s">
        <v>469</v>
      </c>
      <c r="B242">
        <v>2.0024000000000001E-3</v>
      </c>
      <c r="C242">
        <v>0</v>
      </c>
      <c r="D242">
        <v>5009</v>
      </c>
      <c r="E242">
        <v>163802</v>
      </c>
      <c r="F242">
        <v>32162.14</v>
      </c>
      <c r="G242">
        <v>1250.057</v>
      </c>
      <c r="H242">
        <v>101769</v>
      </c>
      <c r="I242">
        <f t="shared" si="77"/>
        <v>0</v>
      </c>
      <c r="J242">
        <f t="shared" si="78"/>
        <v>0</v>
      </c>
      <c r="K242">
        <f t="shared" si="79"/>
        <v>0</v>
      </c>
      <c r="L242">
        <f t="shared" si="80"/>
        <v>0</v>
      </c>
      <c r="M242">
        <f t="shared" si="81"/>
        <v>0</v>
      </c>
      <c r="N242">
        <f t="shared" si="82"/>
        <v>0</v>
      </c>
      <c r="P242" s="11">
        <f t="shared" si="83"/>
        <v>0.10008035428784447</v>
      </c>
      <c r="Q242" s="11">
        <f t="shared" si="84"/>
        <v>9.2177802516205262E-2</v>
      </c>
      <c r="R242" s="11">
        <f t="shared" si="85"/>
        <v>5.544451627546583E-3</v>
      </c>
      <c r="S242" s="11">
        <f t="shared" si="86"/>
        <v>1.05082694868474E-2</v>
      </c>
      <c r="T242" s="11">
        <f t="shared" si="87"/>
        <v>1.5212213851752358E-2</v>
      </c>
      <c r="U242" s="11">
        <f t="shared" si="88"/>
        <v>1.2444003339687711E-2</v>
      </c>
      <c r="W242">
        <f t="shared" si="89"/>
        <v>0</v>
      </c>
      <c r="X242">
        <f t="shared" si="90"/>
        <v>0</v>
      </c>
      <c r="Y242">
        <f t="shared" si="91"/>
        <v>0</v>
      </c>
      <c r="Z242">
        <f t="shared" si="92"/>
        <v>0</v>
      </c>
      <c r="AA242">
        <f t="shared" si="93"/>
        <v>0</v>
      </c>
      <c r="AB242">
        <f t="shared" si="94"/>
        <v>0</v>
      </c>
      <c r="AD242" s="11">
        <f t="shared" si="95"/>
        <v>0.46845509758073772</v>
      </c>
      <c r="AE242" s="11">
        <f t="shared" si="96"/>
        <v>0.18191343502521337</v>
      </c>
      <c r="AF242" s="11">
        <f t="shared" si="97"/>
        <v>2.5952412405972868E-2</v>
      </c>
      <c r="AG242" s="11">
        <f t="shared" si="98"/>
        <v>2.0738131592874326E-2</v>
      </c>
      <c r="AH242" s="11">
        <f t="shared" si="99"/>
        <v>7.1205174832272136E-2</v>
      </c>
      <c r="AI242" s="11">
        <f t="shared" si="100"/>
        <v>2.4558313728403808E-2</v>
      </c>
      <c r="AJ242" s="11"/>
    </row>
    <row r="243" spans="1:36">
      <c r="A243" t="s">
        <v>1000</v>
      </c>
      <c r="B243">
        <v>1.6343E-3</v>
      </c>
      <c r="C243">
        <v>0</v>
      </c>
      <c r="D243">
        <v>4890</v>
      </c>
      <c r="E243">
        <v>160921</v>
      </c>
      <c r="F243">
        <v>31874.94</v>
      </c>
      <c r="G243">
        <v>1336.9349999999999</v>
      </c>
      <c r="H243">
        <v>91382</v>
      </c>
      <c r="I243">
        <f t="shared" si="77"/>
        <v>0</v>
      </c>
      <c r="J243">
        <f t="shared" si="78"/>
        <v>0</v>
      </c>
      <c r="K243">
        <f t="shared" si="79"/>
        <v>0</v>
      </c>
      <c r="L243">
        <f t="shared" si="80"/>
        <v>0</v>
      </c>
      <c r="M243">
        <f t="shared" si="81"/>
        <v>0</v>
      </c>
      <c r="N243">
        <f t="shared" si="82"/>
        <v>0</v>
      </c>
      <c r="P243" s="11">
        <f t="shared" si="83"/>
        <v>7.6374662066592616E-2</v>
      </c>
      <c r="Q243" s="11">
        <f t="shared" si="84"/>
        <v>7.0343960783433745E-2</v>
      </c>
      <c r="R243" s="11">
        <f t="shared" si="85"/>
        <v>4.2311562784892306E-3</v>
      </c>
      <c r="S243" s="11">
        <f t="shared" si="86"/>
        <v>8.0192115293114472E-3</v>
      </c>
      <c r="T243" s="11">
        <f t="shared" si="87"/>
        <v>1.1608948634122077E-2</v>
      </c>
      <c r="U243" s="11">
        <f t="shared" si="88"/>
        <v>9.4964347057635567E-3</v>
      </c>
      <c r="W243">
        <f t="shared" si="89"/>
        <v>0</v>
      </c>
      <c r="X243">
        <f t="shared" si="90"/>
        <v>0</v>
      </c>
      <c r="Y243">
        <f t="shared" si="91"/>
        <v>0</v>
      </c>
      <c r="Z243">
        <f t="shared" si="92"/>
        <v>0</v>
      </c>
      <c r="AA243">
        <f t="shared" si="93"/>
        <v>0</v>
      </c>
      <c r="AB243">
        <f t="shared" si="94"/>
        <v>0</v>
      </c>
      <c r="AD243" s="11">
        <f t="shared" si="95"/>
        <v>0.38918437036769593</v>
      </c>
      <c r="AE243" s="11">
        <f t="shared" si="96"/>
        <v>0.15113052678332847</v>
      </c>
      <c r="AF243" s="11">
        <f t="shared" si="97"/>
        <v>2.1560814118370353E-2</v>
      </c>
      <c r="AG243" s="11">
        <f t="shared" si="98"/>
        <v>1.7228880053299447E-2</v>
      </c>
      <c r="AH243" s="11">
        <f t="shared" si="99"/>
        <v>5.9156024295889779E-2</v>
      </c>
      <c r="AI243" s="11">
        <f t="shared" si="100"/>
        <v>2.0402621115749347E-2</v>
      </c>
      <c r="AJ243" s="11"/>
    </row>
    <row r="244" spans="1:36">
      <c r="A244" t="s">
        <v>470</v>
      </c>
      <c r="B244">
        <v>3.0821999999999998E-3</v>
      </c>
      <c r="C244">
        <v>0</v>
      </c>
      <c r="D244">
        <v>9925</v>
      </c>
      <c r="E244">
        <v>453132</v>
      </c>
      <c r="F244">
        <v>31701.14</v>
      </c>
      <c r="G244">
        <v>2189.5630000000001</v>
      </c>
      <c r="H244">
        <v>230530</v>
      </c>
      <c r="I244">
        <f t="shared" si="77"/>
        <v>0</v>
      </c>
      <c r="J244">
        <f t="shared" si="78"/>
        <v>0</v>
      </c>
      <c r="K244">
        <f t="shared" si="79"/>
        <v>0</v>
      </c>
      <c r="L244">
        <f t="shared" si="80"/>
        <v>0</v>
      </c>
      <c r="M244">
        <f t="shared" si="81"/>
        <v>0</v>
      </c>
      <c r="N244">
        <f t="shared" si="82"/>
        <v>0</v>
      </c>
      <c r="P244" s="11">
        <f t="shared" si="83"/>
        <v>8.7949056419020594E-2</v>
      </c>
      <c r="Q244" s="11">
        <f t="shared" si="84"/>
        <v>8.1004417018373048E-2</v>
      </c>
      <c r="R244" s="11">
        <f t="shared" si="85"/>
        <v>4.8723777256137408E-3</v>
      </c>
      <c r="S244" s="11">
        <f t="shared" si="86"/>
        <v>9.2345035400945279E-3</v>
      </c>
      <c r="T244" s="11">
        <f t="shared" si="87"/>
        <v>1.336825657569113E-2</v>
      </c>
      <c r="U244" s="11">
        <f t="shared" si="88"/>
        <v>1.0935596297480362E-2</v>
      </c>
      <c r="W244">
        <f t="shared" si="89"/>
        <v>0</v>
      </c>
      <c r="X244">
        <f t="shared" si="90"/>
        <v>0</v>
      </c>
      <c r="Y244">
        <f t="shared" si="91"/>
        <v>0</v>
      </c>
      <c r="Z244">
        <f t="shared" si="92"/>
        <v>0</v>
      </c>
      <c r="AA244">
        <f t="shared" si="93"/>
        <v>0</v>
      </c>
      <c r="AB244">
        <f t="shared" si="94"/>
        <v>0</v>
      </c>
      <c r="AD244" s="11">
        <f t="shared" si="95"/>
        <v>0.26065881457667961</v>
      </c>
      <c r="AE244" s="11">
        <f t="shared" si="96"/>
        <v>0.10122067317470405</v>
      </c>
      <c r="AF244" s="11">
        <f t="shared" si="97"/>
        <v>1.4440498327548049E-2</v>
      </c>
      <c r="AG244" s="11">
        <f t="shared" si="98"/>
        <v>1.1539156741916263E-2</v>
      </c>
      <c r="AH244" s="11">
        <f t="shared" si="99"/>
        <v>3.9620139815655299E-2</v>
      </c>
      <c r="AI244" s="11">
        <f t="shared" si="100"/>
        <v>1.3664790878585048E-2</v>
      </c>
      <c r="AJ244" s="11"/>
    </row>
    <row r="245" spans="1:36">
      <c r="A245" t="s">
        <v>471</v>
      </c>
      <c r="B245">
        <v>4.803E-3</v>
      </c>
      <c r="C245">
        <v>0</v>
      </c>
      <c r="D245">
        <v>16036</v>
      </c>
      <c r="E245">
        <v>372638</v>
      </c>
      <c r="F245">
        <v>42859.7</v>
      </c>
      <c r="G245">
        <v>1567.3</v>
      </c>
      <c r="H245">
        <v>234083</v>
      </c>
      <c r="I245">
        <f t="shared" si="77"/>
        <v>0</v>
      </c>
      <c r="J245">
        <f t="shared" si="78"/>
        <v>0</v>
      </c>
      <c r="K245">
        <f t="shared" si="79"/>
        <v>0</v>
      </c>
      <c r="L245">
        <f t="shared" si="80"/>
        <v>0</v>
      </c>
      <c r="M245">
        <f t="shared" si="81"/>
        <v>0</v>
      </c>
      <c r="N245">
        <f t="shared" si="82"/>
        <v>0</v>
      </c>
      <c r="P245" s="11">
        <f t="shared" si="83"/>
        <v>0.19146450220123781</v>
      </c>
      <c r="Q245" s="11">
        <f t="shared" si="84"/>
        <v>0.17634606909972564</v>
      </c>
      <c r="R245" s="11">
        <f t="shared" si="85"/>
        <v>1.0607133421948575E-2</v>
      </c>
      <c r="S245" s="11">
        <f t="shared" si="86"/>
        <v>2.0103451877368724E-2</v>
      </c>
      <c r="T245" s="11">
        <f t="shared" si="87"/>
        <v>2.9102604334588146E-2</v>
      </c>
      <c r="U245" s="11">
        <f t="shared" si="88"/>
        <v>2.3806719328462962E-2</v>
      </c>
      <c r="W245">
        <f t="shared" si="89"/>
        <v>0</v>
      </c>
      <c r="X245">
        <f t="shared" si="90"/>
        <v>0</v>
      </c>
      <c r="Y245">
        <f t="shared" si="91"/>
        <v>0</v>
      </c>
      <c r="Z245">
        <f t="shared" si="92"/>
        <v>0</v>
      </c>
      <c r="AA245">
        <f t="shared" si="93"/>
        <v>0</v>
      </c>
      <c r="AB245">
        <f t="shared" si="94"/>
        <v>0</v>
      </c>
      <c r="AD245" s="11">
        <f t="shared" si="95"/>
        <v>0.49392587633950374</v>
      </c>
      <c r="AE245" s="11">
        <f t="shared" si="96"/>
        <v>0.19180440831316181</v>
      </c>
      <c r="AF245" s="11">
        <f t="shared" si="97"/>
        <v>2.7363493549208508E-2</v>
      </c>
      <c r="AG245" s="11">
        <f t="shared" si="98"/>
        <v>2.1865702547700448E-2</v>
      </c>
      <c r="AH245" s="11">
        <f t="shared" si="99"/>
        <v>7.507673320360457E-2</v>
      </c>
      <c r="AI245" s="11">
        <f t="shared" si="100"/>
        <v>2.5893595122276847E-2</v>
      </c>
      <c r="AJ245" s="11"/>
    </row>
    <row r="246" spans="1:36">
      <c r="A246" t="s">
        <v>312</v>
      </c>
      <c r="B246">
        <v>1.1127099999999999E-2</v>
      </c>
      <c r="C246">
        <v>1.3748099999999999E-2</v>
      </c>
      <c r="D246">
        <v>303279</v>
      </c>
      <c r="E246">
        <v>5940496</v>
      </c>
      <c r="F246">
        <v>48715.18</v>
      </c>
      <c r="G246">
        <v>4244.8509999999997</v>
      </c>
      <c r="H246">
        <v>3532815</v>
      </c>
      <c r="I246">
        <f t="shared" si="77"/>
        <v>0.22011399736292275</v>
      </c>
      <c r="J246">
        <f t="shared" si="78"/>
        <v>0.53076006288559952</v>
      </c>
      <c r="K246">
        <f t="shared" si="79"/>
        <v>1.2194315453905921E-2</v>
      </c>
      <c r="L246">
        <f t="shared" si="80"/>
        <v>6.0506647168958344E-2</v>
      </c>
      <c r="M246">
        <f t="shared" si="81"/>
        <v>3.3457327599164255E-2</v>
      </c>
      <c r="N246">
        <f t="shared" si="82"/>
        <v>7.1652608489555944E-2</v>
      </c>
      <c r="P246" s="11">
        <f t="shared" si="83"/>
        <v>0.16377490435117747</v>
      </c>
      <c r="Q246" s="11">
        <f t="shared" si="84"/>
        <v>0.1508428991665432</v>
      </c>
      <c r="R246" s="11">
        <f t="shared" si="85"/>
        <v>9.0731297010552322E-3</v>
      </c>
      <c r="S246" s="11">
        <f t="shared" si="86"/>
        <v>1.7196090504985925E-2</v>
      </c>
      <c r="T246" s="11">
        <f t="shared" si="87"/>
        <v>2.4893785461378975E-2</v>
      </c>
      <c r="U246" s="11">
        <f t="shared" si="88"/>
        <v>2.0363791387483333E-2</v>
      </c>
      <c r="W246">
        <f t="shared" si="89"/>
        <v>0.84493041767475807</v>
      </c>
      <c r="X246">
        <f t="shared" si="90"/>
        <v>1.1200701111479732</v>
      </c>
      <c r="Y246">
        <f t="shared" si="91"/>
        <v>4.6809145139181593E-2</v>
      </c>
      <c r="Z246">
        <f t="shared" si="92"/>
        <v>0.12768799267086894</v>
      </c>
      <c r="AA246">
        <f t="shared" si="93"/>
        <v>0.12842942348656322</v>
      </c>
      <c r="AB246">
        <f t="shared" si="94"/>
        <v>0.1512094650049764</v>
      </c>
      <c r="AD246" s="11">
        <f t="shared" si="95"/>
        <v>7.1778704552983449E-2</v>
      </c>
      <c r="AE246" s="11">
        <f t="shared" si="96"/>
        <v>2.7873558798541399E-2</v>
      </c>
      <c r="AF246" s="11">
        <f t="shared" si="97"/>
        <v>3.9765402322352828E-3</v>
      </c>
      <c r="AG246" s="11">
        <f t="shared" si="98"/>
        <v>3.1775857030337195E-3</v>
      </c>
      <c r="AH246" s="11">
        <f t="shared" si="99"/>
        <v>1.0910363092053484E-2</v>
      </c>
      <c r="AI246" s="11">
        <f t="shared" si="100"/>
        <v>3.7629304378030892E-3</v>
      </c>
      <c r="AJ246" s="11"/>
    </row>
    <row r="247" spans="1:36">
      <c r="A247" t="s">
        <v>472</v>
      </c>
      <c r="B247">
        <v>7.1879999999999999E-3</v>
      </c>
      <c r="C247">
        <v>0</v>
      </c>
      <c r="D247">
        <v>169027</v>
      </c>
      <c r="E247">
        <v>4287323</v>
      </c>
      <c r="F247">
        <v>40903.370000000003</v>
      </c>
      <c r="G247">
        <v>2221.2820000000002</v>
      </c>
      <c r="H247">
        <v>2382340</v>
      </c>
      <c r="I247">
        <f t="shared" si="77"/>
        <v>0</v>
      </c>
      <c r="J247">
        <f t="shared" si="78"/>
        <v>0</v>
      </c>
      <c r="K247">
        <f t="shared" si="79"/>
        <v>0</v>
      </c>
      <c r="L247">
        <f t="shared" si="80"/>
        <v>0</v>
      </c>
      <c r="M247">
        <f t="shared" si="81"/>
        <v>0</v>
      </c>
      <c r="N247">
        <f t="shared" si="82"/>
        <v>0</v>
      </c>
      <c r="P247" s="11">
        <f t="shared" si="83"/>
        <v>0.20217720343477324</v>
      </c>
      <c r="Q247" s="11">
        <f t="shared" si="84"/>
        <v>0.18621287328668756</v>
      </c>
      <c r="R247" s="11">
        <f t="shared" si="85"/>
        <v>1.1200617070286438E-2</v>
      </c>
      <c r="S247" s="11">
        <f t="shared" si="86"/>
        <v>2.1228267554682382E-2</v>
      </c>
      <c r="T247" s="11">
        <f t="shared" si="87"/>
        <v>3.0730934922085531E-2</v>
      </c>
      <c r="U247" s="11">
        <f t="shared" si="88"/>
        <v>2.5138737893702821E-2</v>
      </c>
      <c r="W247">
        <f t="shared" si="89"/>
        <v>0</v>
      </c>
      <c r="X247">
        <f t="shared" si="90"/>
        <v>0</v>
      </c>
      <c r="Y247">
        <f t="shared" si="91"/>
        <v>0</v>
      </c>
      <c r="Z247">
        <f t="shared" si="92"/>
        <v>0</v>
      </c>
      <c r="AA247">
        <f t="shared" si="93"/>
        <v>0</v>
      </c>
      <c r="AB247">
        <f t="shared" si="94"/>
        <v>0</v>
      </c>
      <c r="AD247" s="11">
        <f t="shared" si="95"/>
        <v>6.4247790588765993E-2</v>
      </c>
      <c r="AE247" s="11">
        <f t="shared" si="96"/>
        <v>2.494910683892956E-2</v>
      </c>
      <c r="AF247" s="11">
        <f t="shared" si="97"/>
        <v>3.5593275986176361E-3</v>
      </c>
      <c r="AG247" s="11">
        <f t="shared" si="98"/>
        <v>2.8441981796379699E-3</v>
      </c>
      <c r="AH247" s="11">
        <f t="shared" si="99"/>
        <v>9.7656641694924308E-3</v>
      </c>
      <c r="AI247" s="11">
        <f t="shared" si="100"/>
        <v>3.3681294232554906E-3</v>
      </c>
      <c r="AJ247" s="11"/>
    </row>
    <row r="248" spans="1:36">
      <c r="A248" t="s">
        <v>1001</v>
      </c>
      <c r="B248">
        <v>1.9735999999999998E-3</v>
      </c>
      <c r="C248">
        <v>0</v>
      </c>
      <c r="D248">
        <v>2202</v>
      </c>
      <c r="E248">
        <v>101307</v>
      </c>
      <c r="F248">
        <v>31347.94</v>
      </c>
      <c r="G248">
        <v>664.86440000000005</v>
      </c>
      <c r="H248">
        <v>48042</v>
      </c>
      <c r="I248">
        <f t="shared" si="77"/>
        <v>0</v>
      </c>
      <c r="J248">
        <f t="shared" si="78"/>
        <v>0</v>
      </c>
      <c r="K248">
        <f t="shared" si="79"/>
        <v>0</v>
      </c>
      <c r="L248">
        <f t="shared" si="80"/>
        <v>0</v>
      </c>
      <c r="M248">
        <f t="shared" si="81"/>
        <v>0</v>
      </c>
      <c r="N248">
        <f t="shared" si="82"/>
        <v>0</v>
      </c>
      <c r="P248" s="11">
        <f t="shared" si="83"/>
        <v>0.18546154397799008</v>
      </c>
      <c r="Q248" s="11">
        <f t="shared" si="84"/>
        <v>0.17081711687375647</v>
      </c>
      <c r="R248" s="11">
        <f t="shared" si="85"/>
        <v>1.0274569536380651E-2</v>
      </c>
      <c r="S248" s="11">
        <f t="shared" si="86"/>
        <v>1.9473151323608238E-2</v>
      </c>
      <c r="T248" s="11">
        <f t="shared" si="87"/>
        <v>2.8190154684654491E-2</v>
      </c>
      <c r="U248" s="11">
        <f t="shared" si="88"/>
        <v>2.3060310777957126E-2</v>
      </c>
      <c r="W248">
        <f t="shared" si="89"/>
        <v>0</v>
      </c>
      <c r="X248">
        <f t="shared" si="90"/>
        <v>0</v>
      </c>
      <c r="Y248">
        <f t="shared" si="91"/>
        <v>0</v>
      </c>
      <c r="Z248">
        <f t="shared" si="92"/>
        <v>0</v>
      </c>
      <c r="AA248">
        <f t="shared" si="93"/>
        <v>0</v>
      </c>
      <c r="AB248">
        <f t="shared" si="94"/>
        <v>0</v>
      </c>
      <c r="AD248" s="11">
        <f t="shared" si="95"/>
        <v>0.74654503999605148</v>
      </c>
      <c r="AE248" s="11">
        <f t="shared" si="96"/>
        <v>0.28990307358820216</v>
      </c>
      <c r="AF248" s="11">
        <f t="shared" si="97"/>
        <v>4.1358595215781252E-2</v>
      </c>
      <c r="AG248" s="11">
        <f t="shared" si="98"/>
        <v>3.3048950389055046E-2</v>
      </c>
      <c r="AH248" s="11">
        <f t="shared" si="99"/>
        <v>0.11347484607939982</v>
      </c>
      <c r="AI248" s="11">
        <f t="shared" si="100"/>
        <v>3.9136914934407296E-2</v>
      </c>
      <c r="AJ248" s="11"/>
    </row>
    <row r="249" spans="1:36">
      <c r="A249" t="s">
        <v>313</v>
      </c>
      <c r="B249">
        <v>1.63126E-2</v>
      </c>
      <c r="C249">
        <v>1.8675E-3</v>
      </c>
      <c r="D249">
        <v>105749</v>
      </c>
      <c r="E249">
        <v>2355391</v>
      </c>
      <c r="F249">
        <v>40947</v>
      </c>
      <c r="G249">
        <v>4012.5479999999998</v>
      </c>
      <c r="H249">
        <v>1452482</v>
      </c>
      <c r="I249">
        <f t="shared" si="77"/>
        <v>3.1630626848576017E-2</v>
      </c>
      <c r="J249">
        <f t="shared" si="78"/>
        <v>7.627081283513619E-2</v>
      </c>
      <c r="K249">
        <f t="shared" si="79"/>
        <v>1.7523367274111113E-3</v>
      </c>
      <c r="L249">
        <f t="shared" si="80"/>
        <v>8.6948726632055263E-3</v>
      </c>
      <c r="M249">
        <f t="shared" si="81"/>
        <v>4.8078552809835548E-3</v>
      </c>
      <c r="N249">
        <f t="shared" si="82"/>
        <v>1.0296559732743387E-2</v>
      </c>
      <c r="P249" s="11">
        <f t="shared" si="83"/>
        <v>0.25399827093906413</v>
      </c>
      <c r="Q249" s="11">
        <f t="shared" si="84"/>
        <v>0.23394204211887309</v>
      </c>
      <c r="R249" s="11">
        <f t="shared" si="85"/>
        <v>1.4071504210024153E-2</v>
      </c>
      <c r="S249" s="11">
        <f t="shared" si="86"/>
        <v>2.6669392801551534E-2</v>
      </c>
      <c r="T249" s="11">
        <f t="shared" si="87"/>
        <v>3.8607737182737745E-2</v>
      </c>
      <c r="U249" s="11">
        <f t="shared" si="88"/>
        <v>3.1582175686047868E-2</v>
      </c>
      <c r="W249">
        <f t="shared" si="89"/>
        <v>0.2894666730705221</v>
      </c>
      <c r="X249">
        <f t="shared" si="90"/>
        <v>0.38372741932050775</v>
      </c>
      <c r="Y249">
        <f t="shared" si="91"/>
        <v>1.6036453688106925E-2</v>
      </c>
      <c r="Z249">
        <f t="shared" si="92"/>
        <v>4.3744925802537887E-2</v>
      </c>
      <c r="AA249">
        <f t="shared" si="93"/>
        <v>4.3998934306719355E-2</v>
      </c>
      <c r="AB249">
        <f t="shared" si="94"/>
        <v>5.1803201608268547E-2</v>
      </c>
      <c r="AD249" s="11">
        <f t="shared" si="95"/>
        <v>0.26539730498379249</v>
      </c>
      <c r="AE249" s="11">
        <f t="shared" si="96"/>
        <v>0.10306075362476973</v>
      </c>
      <c r="AF249" s="11">
        <f t="shared" si="97"/>
        <v>1.4703010696102104E-2</v>
      </c>
      <c r="AG249" s="11">
        <f t="shared" si="98"/>
        <v>1.1748925913223749E-2</v>
      </c>
      <c r="AH249" s="11">
        <f t="shared" si="99"/>
        <v>4.0340390357536456E-2</v>
      </c>
      <c r="AI249" s="11">
        <f t="shared" si="100"/>
        <v>1.3913201739343914E-2</v>
      </c>
      <c r="AJ249" s="11"/>
    </row>
    <row r="250" spans="1:36">
      <c r="A250" t="s">
        <v>473</v>
      </c>
      <c r="B250">
        <v>3.9598999999999997E-3</v>
      </c>
      <c r="C250">
        <v>0</v>
      </c>
      <c r="D250">
        <v>2014</v>
      </c>
      <c r="E250">
        <v>88984</v>
      </c>
      <c r="F250">
        <v>28777.56</v>
      </c>
      <c r="G250">
        <v>1072.039</v>
      </c>
      <c r="H250">
        <v>52972</v>
      </c>
      <c r="I250">
        <f t="shared" si="77"/>
        <v>0</v>
      </c>
      <c r="J250">
        <f t="shared" si="78"/>
        <v>0</v>
      </c>
      <c r="K250">
        <f t="shared" si="79"/>
        <v>0</v>
      </c>
      <c r="L250">
        <f t="shared" si="80"/>
        <v>0</v>
      </c>
      <c r="M250">
        <f t="shared" si="81"/>
        <v>0</v>
      </c>
      <c r="N250">
        <f t="shared" si="82"/>
        <v>0</v>
      </c>
      <c r="P250" s="11">
        <f t="shared" si="83"/>
        <v>0.23078174225937673</v>
      </c>
      <c r="Q250" s="11">
        <f t="shared" si="84"/>
        <v>0.21255873856268287</v>
      </c>
      <c r="R250" s="11">
        <f t="shared" si="85"/>
        <v>1.2785308521169471E-2</v>
      </c>
      <c r="S250" s="11">
        <f t="shared" si="86"/>
        <v>2.4231696196145847E-2</v>
      </c>
      <c r="T250" s="11">
        <f t="shared" si="87"/>
        <v>3.507882482342526E-2</v>
      </c>
      <c r="U250" s="11">
        <f t="shared" si="88"/>
        <v>2.8695429705962189E-2</v>
      </c>
      <c r="W250">
        <f t="shared" si="89"/>
        <v>0</v>
      </c>
      <c r="X250">
        <f t="shared" si="90"/>
        <v>0</v>
      </c>
      <c r="Y250">
        <f t="shared" si="91"/>
        <v>0</v>
      </c>
      <c r="Z250">
        <f t="shared" si="92"/>
        <v>0</v>
      </c>
      <c r="AA250">
        <f t="shared" si="93"/>
        <v>0</v>
      </c>
      <c r="AB250">
        <f t="shared" si="94"/>
        <v>0</v>
      </c>
      <c r="AD250" s="11">
        <f t="shared" si="95"/>
        <v>1.7053307658952168</v>
      </c>
      <c r="AE250" s="11">
        <f t="shared" si="96"/>
        <v>0.66222478756293257</v>
      </c>
      <c r="AF250" s="11">
        <f t="shared" si="97"/>
        <v>9.4475324430595004E-2</v>
      </c>
      <c r="AG250" s="11">
        <f t="shared" si="98"/>
        <v>7.549362578217432E-2</v>
      </c>
      <c r="AH250" s="11">
        <f t="shared" si="99"/>
        <v>0.25921027641607297</v>
      </c>
      <c r="AI250" s="11">
        <f t="shared" si="100"/>
        <v>8.9400346320995902E-2</v>
      </c>
      <c r="AJ250" s="11"/>
    </row>
    <row r="251" spans="1:36">
      <c r="A251" t="s">
        <v>474</v>
      </c>
      <c r="B251">
        <v>6.8369999999999998E-4</v>
      </c>
      <c r="C251">
        <v>0</v>
      </c>
      <c r="D251">
        <v>9961</v>
      </c>
      <c r="E251">
        <v>404726</v>
      </c>
      <c r="F251">
        <v>31359.47</v>
      </c>
      <c r="G251">
        <v>282.39150000000001</v>
      </c>
      <c r="H251">
        <v>188921</v>
      </c>
      <c r="I251">
        <f t="shared" si="77"/>
        <v>0</v>
      </c>
      <c r="J251">
        <f t="shared" si="78"/>
        <v>0</v>
      </c>
      <c r="K251">
        <f t="shared" si="79"/>
        <v>0</v>
      </c>
      <c r="L251">
        <f t="shared" si="80"/>
        <v>0</v>
      </c>
      <c r="M251">
        <f t="shared" si="81"/>
        <v>0</v>
      </c>
      <c r="N251">
        <f t="shared" si="82"/>
        <v>0</v>
      </c>
      <c r="P251" s="11">
        <f t="shared" si="83"/>
        <v>0.15126615698418683</v>
      </c>
      <c r="Q251" s="11">
        <f t="shared" si="84"/>
        <v>0.13932186836360158</v>
      </c>
      <c r="R251" s="11">
        <f t="shared" si="85"/>
        <v>8.3801450969239501E-3</v>
      </c>
      <c r="S251" s="11">
        <f t="shared" si="86"/>
        <v>1.5882692993450579E-2</v>
      </c>
      <c r="T251" s="11">
        <f t="shared" si="87"/>
        <v>2.2992455861596397E-2</v>
      </c>
      <c r="U251" s="11">
        <f t="shared" si="88"/>
        <v>1.8808452229086215E-2</v>
      </c>
      <c r="W251">
        <f t="shared" si="89"/>
        <v>0</v>
      </c>
      <c r="X251">
        <f t="shared" si="90"/>
        <v>0</v>
      </c>
      <c r="Y251">
        <f t="shared" si="91"/>
        <v>0</v>
      </c>
      <c r="Z251">
        <f t="shared" si="92"/>
        <v>0</v>
      </c>
      <c r="AA251">
        <f t="shared" si="93"/>
        <v>0</v>
      </c>
      <c r="AB251">
        <f t="shared" si="94"/>
        <v>0</v>
      </c>
      <c r="AD251" s="11">
        <f t="shared" si="95"/>
        <v>6.4735246760672646E-2</v>
      </c>
      <c r="AE251" s="11">
        <f t="shared" si="96"/>
        <v>2.5138398890854553E-2</v>
      </c>
      <c r="AF251" s="11">
        <f t="shared" si="97"/>
        <v>3.5863326705412642E-3</v>
      </c>
      <c r="AG251" s="11">
        <f t="shared" si="98"/>
        <v>2.8657774735574193E-3</v>
      </c>
      <c r="AH251" s="11">
        <f t="shared" si="99"/>
        <v>9.8397575076222422E-3</v>
      </c>
      <c r="AI251" s="11">
        <f t="shared" si="100"/>
        <v>3.3936838502653648E-3</v>
      </c>
      <c r="AJ251" s="11"/>
    </row>
    <row r="252" spans="1:36">
      <c r="A252" t="s">
        <v>1002</v>
      </c>
      <c r="B252">
        <v>2.6917999999999998E-3</v>
      </c>
      <c r="C252">
        <v>1.1521999999999999E-3</v>
      </c>
      <c r="D252">
        <v>21759</v>
      </c>
      <c r="E252">
        <v>516026</v>
      </c>
      <c r="F252">
        <v>38003.480000000003</v>
      </c>
      <c r="G252">
        <v>2394.7890000000002</v>
      </c>
      <c r="H252">
        <v>356333</v>
      </c>
      <c r="I252">
        <f t="shared" si="77"/>
        <v>3.2698516169900556E-2</v>
      </c>
      <c r="J252">
        <f t="shared" si="78"/>
        <v>7.8845810382459566E-2</v>
      </c>
      <c r="K252">
        <f t="shared" si="79"/>
        <v>1.8114977958124908E-3</v>
      </c>
      <c r="L252">
        <f t="shared" si="80"/>
        <v>8.9884223836003904E-3</v>
      </c>
      <c r="M252">
        <f t="shared" si="81"/>
        <v>4.9701744578248847E-3</v>
      </c>
      <c r="N252">
        <f t="shared" si="82"/>
        <v>1.0644184401632043E-2</v>
      </c>
      <c r="P252" s="11">
        <f t="shared" si="83"/>
        <v>7.0226875762332289E-2</v>
      </c>
      <c r="Q252" s="11">
        <f t="shared" si="84"/>
        <v>6.4681616401277925E-2</v>
      </c>
      <c r="R252" s="11">
        <f t="shared" si="85"/>
        <v>3.8905689172332087E-3</v>
      </c>
      <c r="S252" s="11">
        <f t="shared" si="86"/>
        <v>7.3737042697456833E-3</v>
      </c>
      <c r="T252" s="11">
        <f t="shared" si="87"/>
        <v>1.0674485115874507E-2</v>
      </c>
      <c r="U252" s="11">
        <f t="shared" si="88"/>
        <v>8.7320182141725211E-3</v>
      </c>
      <c r="W252">
        <f t="shared" si="89"/>
        <v>0.81518702246642605</v>
      </c>
      <c r="X252">
        <f t="shared" si="90"/>
        <v>1.0806411980919177</v>
      </c>
      <c r="Y252">
        <f t="shared" si="91"/>
        <v>4.5161361044640004E-2</v>
      </c>
      <c r="Z252">
        <f t="shared" si="92"/>
        <v>0.12319309658247862</v>
      </c>
      <c r="AA252">
        <f t="shared" si="93"/>
        <v>0.12390842741489676</v>
      </c>
      <c r="AB252">
        <f t="shared" si="94"/>
        <v>0.14588656174240891</v>
      </c>
      <c r="AD252" s="11">
        <f t="shared" si="95"/>
        <v>0.19989758039796443</v>
      </c>
      <c r="AE252" s="11">
        <f t="shared" si="96"/>
        <v>7.7625487888207167E-2</v>
      </c>
      <c r="AF252" s="11">
        <f t="shared" si="97"/>
        <v>1.107432595404723E-2</v>
      </c>
      <c r="AG252" s="11">
        <f t="shared" si="98"/>
        <v>8.8493056192556173E-3</v>
      </c>
      <c r="AH252" s="11">
        <f t="shared" si="99"/>
        <v>3.0384432220490594E-2</v>
      </c>
      <c r="AI252" s="11">
        <f t="shared" si="100"/>
        <v>1.0479440864907968E-2</v>
      </c>
      <c r="AJ252" s="11"/>
    </row>
    <row r="253" spans="1:36">
      <c r="A253" t="s">
        <v>315</v>
      </c>
      <c r="B253">
        <v>1.3317799999999999E-2</v>
      </c>
      <c r="C253">
        <v>3.4397E-3</v>
      </c>
      <c r="D253">
        <v>101230</v>
      </c>
      <c r="E253">
        <v>2203745</v>
      </c>
      <c r="F253">
        <v>43022.45</v>
      </c>
      <c r="G253">
        <v>2596.1419999999998</v>
      </c>
      <c r="H253">
        <v>1388060</v>
      </c>
      <c r="I253">
        <f t="shared" si="77"/>
        <v>9.0044989580693194E-2</v>
      </c>
      <c r="J253">
        <f t="shared" si="78"/>
        <v>0.217125148354751</v>
      </c>
      <c r="K253">
        <f t="shared" si="79"/>
        <v>4.9884924227704026E-3</v>
      </c>
      <c r="L253">
        <f t="shared" si="80"/>
        <v>2.4752266912441614E-2</v>
      </c>
      <c r="M253">
        <f t="shared" si="81"/>
        <v>1.3686838416265366E-2</v>
      </c>
      <c r="N253">
        <f t="shared" si="82"/>
        <v>2.9311895027891388E-2</v>
      </c>
      <c r="P253" s="11">
        <f t="shared" si="83"/>
        <v>0.32050282310443723</v>
      </c>
      <c r="Q253" s="11">
        <f t="shared" si="84"/>
        <v>0.29519525729332213</v>
      </c>
      <c r="R253" s="11">
        <f t="shared" si="85"/>
        <v>1.7755856399985823E-2</v>
      </c>
      <c r="S253" s="11">
        <f t="shared" si="86"/>
        <v>3.3652259331438727E-2</v>
      </c>
      <c r="T253" s="11">
        <f t="shared" si="87"/>
        <v>4.871642911187446E-2</v>
      </c>
      <c r="U253" s="11">
        <f t="shared" si="88"/>
        <v>3.9851359734598489E-2</v>
      </c>
      <c r="W253">
        <f t="shared" si="89"/>
        <v>0.56984953326791887</v>
      </c>
      <c r="X253">
        <f t="shared" si="90"/>
        <v>0.7554130100103823</v>
      </c>
      <c r="Y253">
        <f t="shared" si="91"/>
        <v>3.1569664143042707E-2</v>
      </c>
      <c r="Z253">
        <f t="shared" si="92"/>
        <v>8.611708314118359E-2</v>
      </c>
      <c r="AA253">
        <f t="shared" si="93"/>
        <v>8.6617129056723668E-2</v>
      </c>
      <c r="AB253">
        <f t="shared" si="94"/>
        <v>0.10198075635140162</v>
      </c>
      <c r="AD253" s="11">
        <f t="shared" si="95"/>
        <v>0.23158342964056183</v>
      </c>
      <c r="AE253" s="11">
        <f t="shared" si="96"/>
        <v>8.9929936504904148E-2</v>
      </c>
      <c r="AF253" s="11">
        <f t="shared" si="97"/>
        <v>1.2829722002087126E-2</v>
      </c>
      <c r="AG253" s="11">
        <f t="shared" si="98"/>
        <v>1.0252012761559074E-2</v>
      </c>
      <c r="AH253" s="11">
        <f t="shared" si="99"/>
        <v>3.5200681305365397E-2</v>
      </c>
      <c r="AI253" s="11">
        <f t="shared" si="100"/>
        <v>1.2140541428162061E-2</v>
      </c>
      <c r="AJ253" s="11"/>
    </row>
    <row r="254" spans="1:36">
      <c r="A254" t="s">
        <v>475</v>
      </c>
      <c r="B254">
        <v>4.9159E-3</v>
      </c>
      <c r="C254">
        <v>0</v>
      </c>
      <c r="D254">
        <v>16549</v>
      </c>
      <c r="E254">
        <v>672020</v>
      </c>
      <c r="F254">
        <v>37933.53</v>
      </c>
      <c r="G254">
        <v>1962.7149999999999</v>
      </c>
      <c r="H254">
        <v>340746</v>
      </c>
      <c r="I254">
        <f t="shared" si="77"/>
        <v>0</v>
      </c>
      <c r="J254">
        <f t="shared" si="78"/>
        <v>0</v>
      </c>
      <c r="K254">
        <f t="shared" si="79"/>
        <v>0</v>
      </c>
      <c r="L254">
        <f t="shared" si="80"/>
        <v>0</v>
      </c>
      <c r="M254">
        <f t="shared" si="81"/>
        <v>0</v>
      </c>
      <c r="N254">
        <f t="shared" si="82"/>
        <v>0</v>
      </c>
      <c r="P254" s="11">
        <f t="shared" si="83"/>
        <v>0.15648532353907724</v>
      </c>
      <c r="Q254" s="11">
        <f t="shared" si="84"/>
        <v>0.14412891873247008</v>
      </c>
      <c r="R254" s="11">
        <f t="shared" si="85"/>
        <v>8.6692869240648784E-3</v>
      </c>
      <c r="S254" s="11">
        <f t="shared" si="86"/>
        <v>1.6430696735501588E-2</v>
      </c>
      <c r="T254" s="11">
        <f t="shared" si="87"/>
        <v>2.3785769177939741E-2</v>
      </c>
      <c r="U254" s="11">
        <f t="shared" si="88"/>
        <v>1.9457404028883463E-2</v>
      </c>
      <c r="W254">
        <f t="shared" si="89"/>
        <v>0</v>
      </c>
      <c r="X254">
        <f t="shared" si="90"/>
        <v>0</v>
      </c>
      <c r="Y254">
        <f t="shared" si="91"/>
        <v>0</v>
      </c>
      <c r="Z254">
        <f t="shared" si="92"/>
        <v>0</v>
      </c>
      <c r="AA254">
        <f t="shared" si="93"/>
        <v>0</v>
      </c>
      <c r="AB254">
        <f t="shared" si="94"/>
        <v>0</v>
      </c>
      <c r="AD254" s="11">
        <f t="shared" si="95"/>
        <v>0.28032199431150856</v>
      </c>
      <c r="AE254" s="11">
        <f t="shared" si="96"/>
        <v>0.10885640301851135</v>
      </c>
      <c r="AF254" s="11">
        <f t="shared" si="97"/>
        <v>1.5529838484857573E-2</v>
      </c>
      <c r="AG254" s="11">
        <f t="shared" si="98"/>
        <v>1.2409629944110294E-2</v>
      </c>
      <c r="AH254" s="11">
        <f t="shared" si="99"/>
        <v>4.2608943135349298E-2</v>
      </c>
      <c r="AI254" s="11">
        <f t="shared" si="100"/>
        <v>1.4695614407499034E-2</v>
      </c>
      <c r="AJ254" s="11"/>
    </row>
    <row r="255" spans="1:36">
      <c r="A255" t="s">
        <v>317</v>
      </c>
      <c r="B255">
        <v>9.1266000000000003E-3</v>
      </c>
      <c r="C255">
        <v>0</v>
      </c>
      <c r="D255">
        <v>57032</v>
      </c>
      <c r="E255">
        <v>1599312</v>
      </c>
      <c r="F255">
        <v>39287.08</v>
      </c>
      <c r="G255">
        <v>2469.1010000000001</v>
      </c>
      <c r="H255">
        <v>890702</v>
      </c>
      <c r="I255">
        <f t="shared" si="77"/>
        <v>0</v>
      </c>
      <c r="J255">
        <f t="shared" si="78"/>
        <v>0</v>
      </c>
      <c r="K255">
        <f t="shared" si="79"/>
        <v>0</v>
      </c>
      <c r="L255">
        <f t="shared" si="80"/>
        <v>0</v>
      </c>
      <c r="M255">
        <f t="shared" si="81"/>
        <v>0</v>
      </c>
      <c r="N255">
        <f t="shared" si="82"/>
        <v>0</v>
      </c>
      <c r="P255" s="11">
        <f t="shared" si="83"/>
        <v>0.23093936921170904</v>
      </c>
      <c r="Q255" s="11">
        <f t="shared" si="84"/>
        <v>0.21270391896483778</v>
      </c>
      <c r="R255" s="11">
        <f t="shared" si="85"/>
        <v>1.2794041054328681E-2</v>
      </c>
      <c r="S255" s="11">
        <f t="shared" si="86"/>
        <v>2.4248246761991509E-2</v>
      </c>
      <c r="T255" s="11">
        <f t="shared" si="87"/>
        <v>3.5102784120179774E-2</v>
      </c>
      <c r="U255" s="11">
        <f t="shared" si="88"/>
        <v>2.8715029060253104E-2</v>
      </c>
      <c r="W255">
        <f t="shared" si="89"/>
        <v>0</v>
      </c>
      <c r="X255">
        <f t="shared" si="90"/>
        <v>0</v>
      </c>
      <c r="Y255">
        <f t="shared" si="91"/>
        <v>0</v>
      </c>
      <c r="Z255">
        <f t="shared" si="92"/>
        <v>0</v>
      </c>
      <c r="AA255">
        <f t="shared" si="93"/>
        <v>0</v>
      </c>
      <c r="AB255">
        <f t="shared" si="94"/>
        <v>0</v>
      </c>
      <c r="AD255" s="11">
        <f t="shared" si="95"/>
        <v>0.21868155507135567</v>
      </c>
      <c r="AE255" s="11">
        <f t="shared" si="96"/>
        <v>8.4919799283066727E-2</v>
      </c>
      <c r="AF255" s="11">
        <f t="shared" si="97"/>
        <v>1.2114958150953105E-2</v>
      </c>
      <c r="AG255" s="11">
        <f t="shared" si="98"/>
        <v>9.680857118269607E-3</v>
      </c>
      <c r="AH255" s="11">
        <f t="shared" si="99"/>
        <v>3.3239596370846058E-2</v>
      </c>
      <c r="AI255" s="11">
        <f t="shared" si="100"/>
        <v>1.1464172903214009E-2</v>
      </c>
      <c r="AJ255" s="11"/>
    </row>
    <row r="256" spans="1:36">
      <c r="A256" t="s">
        <v>476</v>
      </c>
      <c r="B256">
        <v>3.5828000000000001E-3</v>
      </c>
      <c r="C256">
        <v>0</v>
      </c>
      <c r="D256">
        <v>3174</v>
      </c>
      <c r="E256">
        <v>156009</v>
      </c>
      <c r="F256">
        <v>30336.55</v>
      </c>
      <c r="G256">
        <v>1193.5129999999999</v>
      </c>
      <c r="H256">
        <v>77291</v>
      </c>
      <c r="I256">
        <f t="shared" si="77"/>
        <v>0</v>
      </c>
      <c r="J256">
        <f t="shared" si="78"/>
        <v>0</v>
      </c>
      <c r="K256">
        <f t="shared" si="79"/>
        <v>0</v>
      </c>
      <c r="L256">
        <f t="shared" si="80"/>
        <v>0</v>
      </c>
      <c r="M256">
        <f t="shared" si="81"/>
        <v>0</v>
      </c>
      <c r="N256">
        <f t="shared" si="82"/>
        <v>0</v>
      </c>
      <c r="P256" s="11">
        <f t="shared" si="83"/>
        <v>0.18755265898234877</v>
      </c>
      <c r="Q256" s="11">
        <f t="shared" si="84"/>
        <v>0.17274311311229956</v>
      </c>
      <c r="R256" s="11">
        <f t="shared" si="85"/>
        <v>1.0390417307622121E-2</v>
      </c>
      <c r="S256" s="11">
        <f t="shared" si="86"/>
        <v>1.9692714894802149E-2</v>
      </c>
      <c r="T256" s="11">
        <f t="shared" si="87"/>
        <v>2.8508004165317014E-2</v>
      </c>
      <c r="U256" s="11">
        <f t="shared" si="88"/>
        <v>2.3320320270160441E-2</v>
      </c>
      <c r="W256">
        <f t="shared" si="89"/>
        <v>0</v>
      </c>
      <c r="X256">
        <f t="shared" si="90"/>
        <v>0</v>
      </c>
      <c r="Y256">
        <f t="shared" si="91"/>
        <v>0</v>
      </c>
      <c r="Z256">
        <f t="shared" si="92"/>
        <v>0</v>
      </c>
      <c r="AA256">
        <f t="shared" si="93"/>
        <v>0</v>
      </c>
      <c r="AB256">
        <f t="shared" si="94"/>
        <v>0</v>
      </c>
      <c r="AD256" s="11">
        <f t="shared" si="95"/>
        <v>0.88005384586940494</v>
      </c>
      <c r="AE256" s="11">
        <f t="shared" si="96"/>
        <v>0.34174805426610005</v>
      </c>
      <c r="AF256" s="11">
        <f t="shared" si="97"/>
        <v>4.8754983061165033E-2</v>
      </c>
      <c r="AG256" s="11">
        <f t="shared" si="98"/>
        <v>3.8959278186335405E-2</v>
      </c>
      <c r="AH256" s="11">
        <f t="shared" si="99"/>
        <v>0.13376818457214953</v>
      </c>
      <c r="AI256" s="11">
        <f t="shared" si="100"/>
        <v>4.6135987325923514E-2</v>
      </c>
      <c r="AJ256" s="11"/>
    </row>
    <row r="257" spans="1:36">
      <c r="A257" t="s">
        <v>477</v>
      </c>
      <c r="B257">
        <v>5.9918999999999997E-3</v>
      </c>
      <c r="C257">
        <v>0</v>
      </c>
      <c r="D257">
        <v>6467</v>
      </c>
      <c r="E257">
        <v>200109</v>
      </c>
      <c r="F257">
        <v>40663.699999999997</v>
      </c>
      <c r="G257">
        <v>1965.6610000000001</v>
      </c>
      <c r="H257">
        <v>94881</v>
      </c>
      <c r="I257">
        <f t="shared" si="77"/>
        <v>0</v>
      </c>
      <c r="J257">
        <f t="shared" si="78"/>
        <v>0</v>
      </c>
      <c r="K257">
        <f t="shared" si="79"/>
        <v>0</v>
      </c>
      <c r="L257">
        <f t="shared" si="80"/>
        <v>0</v>
      </c>
      <c r="M257">
        <f t="shared" si="81"/>
        <v>0</v>
      </c>
      <c r="N257">
        <f t="shared" si="82"/>
        <v>0</v>
      </c>
      <c r="P257" s="11">
        <f t="shared" si="83"/>
        <v>0.19045121584545857</v>
      </c>
      <c r="Q257" s="11">
        <f t="shared" si="84"/>
        <v>0.17541279393038778</v>
      </c>
      <c r="R257" s="11">
        <f t="shared" si="85"/>
        <v>1.0550997357838404E-2</v>
      </c>
      <c r="S257" s="11">
        <f t="shared" si="86"/>
        <v>1.9997058508064207E-2</v>
      </c>
      <c r="T257" s="11">
        <f t="shared" si="87"/>
        <v>2.8948584808509703E-2</v>
      </c>
      <c r="U257" s="11">
        <f t="shared" si="88"/>
        <v>2.3680727180602351E-2</v>
      </c>
      <c r="W257">
        <f t="shared" si="89"/>
        <v>0</v>
      </c>
      <c r="X257">
        <f t="shared" si="90"/>
        <v>0</v>
      </c>
      <c r="Y257">
        <f t="shared" si="91"/>
        <v>0</v>
      </c>
      <c r="Z257">
        <f t="shared" si="92"/>
        <v>0</v>
      </c>
      <c r="AA257">
        <f t="shared" si="93"/>
        <v>0</v>
      </c>
      <c r="AB257">
        <f t="shared" si="94"/>
        <v>0</v>
      </c>
      <c r="AD257" s="11">
        <f t="shared" si="95"/>
        <v>1.1474513143237934</v>
      </c>
      <c r="AE257" s="11">
        <f t="shared" si="96"/>
        <v>0.44558552397193524</v>
      </c>
      <c r="AF257" s="11">
        <f t="shared" si="97"/>
        <v>6.3568802813538147E-2</v>
      </c>
      <c r="AG257" s="11">
        <f t="shared" si="98"/>
        <v>5.0796749732800621E-2</v>
      </c>
      <c r="AH257" s="11">
        <f t="shared" si="99"/>
        <v>0.1744125997772166</v>
      </c>
      <c r="AI257" s="11">
        <f t="shared" si="100"/>
        <v>6.0154045736211262E-2</v>
      </c>
      <c r="AJ257" s="11"/>
    </row>
    <row r="258" spans="1:36">
      <c r="A258" t="s">
        <v>478</v>
      </c>
      <c r="B258">
        <v>2.0067000000000002E-3</v>
      </c>
      <c r="C258">
        <v>0</v>
      </c>
      <c r="D258">
        <v>3934</v>
      </c>
      <c r="E258">
        <v>122697</v>
      </c>
      <c r="F258">
        <v>31293.37</v>
      </c>
      <c r="G258">
        <v>1182.1220000000001</v>
      </c>
      <c r="H258">
        <v>83022</v>
      </c>
      <c r="I258">
        <f t="shared" si="77"/>
        <v>0</v>
      </c>
      <c r="J258">
        <f t="shared" si="78"/>
        <v>0</v>
      </c>
      <c r="K258">
        <f t="shared" si="79"/>
        <v>0</v>
      </c>
      <c r="L258">
        <f t="shared" si="80"/>
        <v>0</v>
      </c>
      <c r="M258">
        <f t="shared" si="81"/>
        <v>0</v>
      </c>
      <c r="N258">
        <f t="shared" si="82"/>
        <v>0</v>
      </c>
      <c r="P258" s="11">
        <f t="shared" si="83"/>
        <v>0.10605910664889072</v>
      </c>
      <c r="Q258" s="11">
        <f t="shared" si="84"/>
        <v>9.7684460224917571E-2</v>
      </c>
      <c r="R258" s="11">
        <f t="shared" si="85"/>
        <v>5.8756745083485456E-3</v>
      </c>
      <c r="S258" s="11">
        <f t="shared" si="86"/>
        <v>1.1136028465640603E-2</v>
      </c>
      <c r="T258" s="11">
        <f t="shared" si="87"/>
        <v>1.6120984210631389E-2</v>
      </c>
      <c r="U258" s="11">
        <f t="shared" si="88"/>
        <v>1.3187402130363873E-2</v>
      </c>
      <c r="W258">
        <f t="shared" si="89"/>
        <v>0</v>
      </c>
      <c r="X258">
        <f t="shared" si="90"/>
        <v>0</v>
      </c>
      <c r="Y258">
        <f t="shared" si="91"/>
        <v>0</v>
      </c>
      <c r="Z258">
        <f t="shared" si="92"/>
        <v>0</v>
      </c>
      <c r="AA258">
        <f t="shared" si="93"/>
        <v>0</v>
      </c>
      <c r="AB258">
        <f t="shared" si="94"/>
        <v>0</v>
      </c>
      <c r="AD258" s="11">
        <f t="shared" si="95"/>
        <v>0.62673628535220904</v>
      </c>
      <c r="AE258" s="11">
        <f t="shared" si="96"/>
        <v>0.24337818312183676</v>
      </c>
      <c r="AF258" s="11">
        <f t="shared" si="97"/>
        <v>3.472119020851238E-2</v>
      </c>
      <c r="AG258" s="11">
        <f t="shared" si="98"/>
        <v>2.7745112875889391E-2</v>
      </c>
      <c r="AH258" s="11">
        <f t="shared" si="99"/>
        <v>9.5263915373535776E-2</v>
      </c>
      <c r="AI258" s="11">
        <f t="shared" si="100"/>
        <v>3.2856054721447966E-2</v>
      </c>
      <c r="AJ258" s="11"/>
    </row>
    <row r="259" spans="1:36">
      <c r="A259" t="s">
        <v>479</v>
      </c>
      <c r="B259">
        <v>4.9443999999999998E-3</v>
      </c>
      <c r="C259">
        <v>0</v>
      </c>
      <c r="D259">
        <v>13399</v>
      </c>
      <c r="E259">
        <v>404771</v>
      </c>
      <c r="F259">
        <v>39030.93</v>
      </c>
      <c r="G259">
        <v>3339.4479999999999</v>
      </c>
      <c r="H259">
        <v>229249</v>
      </c>
      <c r="I259">
        <f t="shared" si="77"/>
        <v>0</v>
      </c>
      <c r="J259">
        <f t="shared" si="78"/>
        <v>0</v>
      </c>
      <c r="K259">
        <f t="shared" si="79"/>
        <v>0</v>
      </c>
      <c r="L259">
        <f t="shared" si="80"/>
        <v>0</v>
      </c>
      <c r="M259">
        <f t="shared" si="81"/>
        <v>0</v>
      </c>
      <c r="N259">
        <f t="shared" si="82"/>
        <v>0</v>
      </c>
      <c r="P259" s="11">
        <f t="shared" si="83"/>
        <v>9.2505323526522951E-2</v>
      </c>
      <c r="Q259" s="11">
        <f t="shared" si="84"/>
        <v>8.5200911851299979E-2</v>
      </c>
      <c r="R259" s="11">
        <f t="shared" si="85"/>
        <v>5.1247949233693716E-3</v>
      </c>
      <c r="S259" s="11">
        <f t="shared" si="86"/>
        <v>9.7129039510481987E-3</v>
      </c>
      <c r="T259" s="11">
        <f t="shared" si="87"/>
        <v>1.4060809176031488E-2</v>
      </c>
      <c r="U259" s="11">
        <f t="shared" si="88"/>
        <v>1.1502123099925498E-2</v>
      </c>
      <c r="W259">
        <f t="shared" si="89"/>
        <v>0</v>
      </c>
      <c r="X259">
        <f t="shared" si="90"/>
        <v>0</v>
      </c>
      <c r="Y259">
        <f t="shared" si="91"/>
        <v>0</v>
      </c>
      <c r="Z259">
        <f t="shared" si="92"/>
        <v>0</v>
      </c>
      <c r="AA259">
        <f t="shared" si="93"/>
        <v>0</v>
      </c>
      <c r="AB259">
        <f t="shared" si="94"/>
        <v>0</v>
      </c>
      <c r="AD259" s="11">
        <f t="shared" si="95"/>
        <v>0.46810204747257084</v>
      </c>
      <c r="AE259" s="11">
        <f t="shared" si="96"/>
        <v>0.1817763363827942</v>
      </c>
      <c r="AF259" s="11">
        <f t="shared" si="97"/>
        <v>2.5932853429980425E-2</v>
      </c>
      <c r="AG259" s="11">
        <f t="shared" si="98"/>
        <v>2.072250234763854E-2</v>
      </c>
      <c r="AH259" s="11">
        <f t="shared" si="99"/>
        <v>7.1151511215830771E-2</v>
      </c>
      <c r="AI259" s="11">
        <f t="shared" si="100"/>
        <v>2.4539805411677218E-2</v>
      </c>
      <c r="AJ259" s="11"/>
    </row>
    <row r="260" spans="1:36">
      <c r="A260" t="s">
        <v>480</v>
      </c>
      <c r="B260">
        <v>3.5017999999999998E-3</v>
      </c>
      <c r="C260">
        <v>0</v>
      </c>
      <c r="D260">
        <v>4515</v>
      </c>
      <c r="E260">
        <v>180515</v>
      </c>
      <c r="F260">
        <v>32991.9</v>
      </c>
      <c r="G260">
        <v>879.68340000000001</v>
      </c>
      <c r="H260">
        <v>93524</v>
      </c>
      <c r="I260">
        <f t="shared" si="77"/>
        <v>0</v>
      </c>
      <c r="J260">
        <f t="shared" si="78"/>
        <v>0</v>
      </c>
      <c r="K260">
        <f t="shared" si="79"/>
        <v>0</v>
      </c>
      <c r="L260">
        <f t="shared" si="80"/>
        <v>0</v>
      </c>
      <c r="M260">
        <f t="shared" si="81"/>
        <v>0</v>
      </c>
      <c r="N260">
        <f t="shared" si="82"/>
        <v>0</v>
      </c>
      <c r="P260" s="11">
        <f t="shared" si="83"/>
        <v>0.24870971826909541</v>
      </c>
      <c r="Q260" s="11">
        <f t="shared" si="84"/>
        <v>0.22907108450608477</v>
      </c>
      <c r="R260" s="11">
        <f t="shared" si="85"/>
        <v>1.3778518392107884E-2</v>
      </c>
      <c r="S260" s="11">
        <f t="shared" si="86"/>
        <v>2.6114103633693663E-2</v>
      </c>
      <c r="T260" s="11">
        <f t="shared" si="87"/>
        <v>3.7803877176902499E-2</v>
      </c>
      <c r="U260" s="11">
        <f t="shared" si="88"/>
        <v>3.0924596408321445E-2</v>
      </c>
      <c r="W260">
        <f t="shared" si="89"/>
        <v>0</v>
      </c>
      <c r="X260">
        <f t="shared" si="90"/>
        <v>0</v>
      </c>
      <c r="Y260">
        <f t="shared" si="91"/>
        <v>0</v>
      </c>
      <c r="Z260">
        <f t="shared" si="92"/>
        <v>0</v>
      </c>
      <c r="AA260">
        <f t="shared" si="93"/>
        <v>0</v>
      </c>
      <c r="AB260">
        <f t="shared" si="94"/>
        <v>0</v>
      </c>
      <c r="AD260" s="11">
        <f t="shared" si="95"/>
        <v>0.74338599573686381</v>
      </c>
      <c r="AE260" s="11">
        <f t="shared" si="96"/>
        <v>0.28867633361770489</v>
      </c>
      <c r="AF260" s="11">
        <f t="shared" si="97"/>
        <v>4.1183584163822257E-2</v>
      </c>
      <c r="AG260" s="11">
        <f t="shared" si="98"/>
        <v>3.2909102032418362E-2</v>
      </c>
      <c r="AH260" s="11">
        <f t="shared" si="99"/>
        <v>0.11299467135200329</v>
      </c>
      <c r="AI260" s="11">
        <f t="shared" si="100"/>
        <v>3.8971305038390164E-2</v>
      </c>
      <c r="AJ260" s="11"/>
    </row>
    <row r="261" spans="1:36">
      <c r="A261" t="s">
        <v>481</v>
      </c>
      <c r="B261">
        <v>7.6860000000000001E-3</v>
      </c>
      <c r="C261">
        <v>0</v>
      </c>
      <c r="D261">
        <v>18248</v>
      </c>
      <c r="E261">
        <v>416657</v>
      </c>
      <c r="F261">
        <v>38358.839999999997</v>
      </c>
      <c r="G261">
        <v>1707.673</v>
      </c>
      <c r="H261">
        <v>281187</v>
      </c>
      <c r="I261">
        <f t="shared" si="77"/>
        <v>0</v>
      </c>
      <c r="J261">
        <f t="shared" si="78"/>
        <v>0</v>
      </c>
      <c r="K261">
        <f t="shared" si="79"/>
        <v>0</v>
      </c>
      <c r="L261">
        <f t="shared" si="80"/>
        <v>0</v>
      </c>
      <c r="M261">
        <f t="shared" si="81"/>
        <v>0</v>
      </c>
      <c r="N261">
        <f t="shared" si="82"/>
        <v>0</v>
      </c>
      <c r="P261" s="11">
        <f t="shared" si="83"/>
        <v>0.2812052873120322</v>
      </c>
      <c r="Q261" s="11">
        <f t="shared" si="84"/>
        <v>0.25900073620652198</v>
      </c>
      <c r="R261" s="11">
        <f t="shared" si="85"/>
        <v>1.5578772917086583E-2</v>
      </c>
      <c r="S261" s="11">
        <f t="shared" si="86"/>
        <v>2.9526083927543505E-2</v>
      </c>
      <c r="T261" s="11">
        <f t="shared" si="87"/>
        <v>4.2743203671428892E-2</v>
      </c>
      <c r="U261" s="11">
        <f t="shared" si="88"/>
        <v>3.496509938788047E-2</v>
      </c>
      <c r="W261">
        <f t="shared" si="89"/>
        <v>0</v>
      </c>
      <c r="X261">
        <f t="shared" si="90"/>
        <v>0</v>
      </c>
      <c r="Y261">
        <f t="shared" si="91"/>
        <v>0</v>
      </c>
      <c r="Z261">
        <f t="shared" si="92"/>
        <v>0</v>
      </c>
      <c r="AA261">
        <f t="shared" si="93"/>
        <v>0</v>
      </c>
      <c r="AB261">
        <f t="shared" si="94"/>
        <v>0</v>
      </c>
      <c r="AD261" s="11">
        <f t="shared" si="95"/>
        <v>0.70690007915095632</v>
      </c>
      <c r="AE261" s="11">
        <f t="shared" si="96"/>
        <v>0.27450789260710851</v>
      </c>
      <c r="AF261" s="11">
        <f t="shared" si="97"/>
        <v>3.916226438496298E-2</v>
      </c>
      <c r="AG261" s="11">
        <f t="shared" si="98"/>
        <v>3.1293899757210371E-2</v>
      </c>
      <c r="AH261" s="11">
        <f t="shared" si="99"/>
        <v>0.10744881203094536</v>
      </c>
      <c r="AI261" s="11">
        <f t="shared" si="100"/>
        <v>3.7058565501959649E-2</v>
      </c>
      <c r="AJ261" s="11"/>
    </row>
    <row r="262" spans="1:36">
      <c r="A262" t="s">
        <v>482</v>
      </c>
      <c r="B262">
        <v>6.4888000000000003E-3</v>
      </c>
      <c r="C262">
        <v>0</v>
      </c>
      <c r="D262">
        <v>52573</v>
      </c>
      <c r="E262">
        <v>1227115</v>
      </c>
      <c r="F262">
        <v>43093.29</v>
      </c>
      <c r="G262">
        <v>2448.163</v>
      </c>
      <c r="H262">
        <v>783366</v>
      </c>
      <c r="I262">
        <f t="shared" si="77"/>
        <v>0</v>
      </c>
      <c r="J262">
        <f t="shared" si="78"/>
        <v>0</v>
      </c>
      <c r="K262">
        <f t="shared" si="79"/>
        <v>0</v>
      </c>
      <c r="L262">
        <f t="shared" si="80"/>
        <v>0</v>
      </c>
      <c r="M262">
        <f t="shared" si="81"/>
        <v>0</v>
      </c>
      <c r="N262">
        <f t="shared" si="82"/>
        <v>0</v>
      </c>
      <c r="P262" s="11">
        <f t="shared" si="83"/>
        <v>0.16559677410368509</v>
      </c>
      <c r="Q262" s="11">
        <f t="shared" si="84"/>
        <v>0.15252091031520368</v>
      </c>
      <c r="R262" s="11">
        <f t="shared" si="85"/>
        <v>9.1740612853441535E-3</v>
      </c>
      <c r="S262" s="11">
        <f t="shared" si="86"/>
        <v>1.738738377593322E-2</v>
      </c>
      <c r="T262" s="11">
        <f t="shared" si="87"/>
        <v>2.5170709663760133E-2</v>
      </c>
      <c r="U262" s="11">
        <f t="shared" si="88"/>
        <v>2.0590322892552498E-2</v>
      </c>
      <c r="W262">
        <f t="shared" si="89"/>
        <v>0</v>
      </c>
      <c r="X262">
        <f t="shared" si="90"/>
        <v>0</v>
      </c>
      <c r="Y262">
        <f t="shared" si="91"/>
        <v>0</v>
      </c>
      <c r="Z262">
        <f t="shared" si="92"/>
        <v>0</v>
      </c>
      <c r="AA262">
        <f t="shared" si="93"/>
        <v>0</v>
      </c>
      <c r="AB262">
        <f t="shared" si="94"/>
        <v>0</v>
      </c>
      <c r="AD262" s="11">
        <f t="shared" si="95"/>
        <v>0.20263546447972683</v>
      </c>
      <c r="AE262" s="11">
        <f t="shared" si="96"/>
        <v>7.8688680285058862E-2</v>
      </c>
      <c r="AF262" s="11">
        <f t="shared" si="97"/>
        <v>1.1226004732176866E-2</v>
      </c>
      <c r="AG262" s="11">
        <f t="shared" si="98"/>
        <v>8.9705095524967114E-3</v>
      </c>
      <c r="AH262" s="11">
        <f t="shared" si="99"/>
        <v>3.0800590600918477E-2</v>
      </c>
      <c r="AI262" s="11">
        <f t="shared" si="100"/>
        <v>1.0622971838482946E-2</v>
      </c>
      <c r="AJ262" s="11"/>
    </row>
    <row r="263" spans="1:36">
      <c r="A263" t="s">
        <v>483</v>
      </c>
      <c r="B263">
        <v>3.8760999999999999E-3</v>
      </c>
      <c r="C263">
        <v>0</v>
      </c>
      <c r="D263">
        <v>93376</v>
      </c>
      <c r="E263">
        <v>4092831</v>
      </c>
      <c r="F263">
        <v>33652.25</v>
      </c>
      <c r="G263">
        <v>1428.6559999999999</v>
      </c>
      <c r="H263">
        <v>1744551</v>
      </c>
      <c r="I263">
        <f t="shared" si="77"/>
        <v>0</v>
      </c>
      <c r="J263">
        <f t="shared" si="78"/>
        <v>0</v>
      </c>
      <c r="K263">
        <f t="shared" si="79"/>
        <v>0</v>
      </c>
      <c r="L263">
        <f t="shared" si="80"/>
        <v>0</v>
      </c>
      <c r="M263">
        <f t="shared" si="81"/>
        <v>0</v>
      </c>
      <c r="N263">
        <f t="shared" si="82"/>
        <v>0</v>
      </c>
      <c r="P263" s="11">
        <f t="shared" si="83"/>
        <v>0.16950991939977153</v>
      </c>
      <c r="Q263" s="11">
        <f t="shared" si="84"/>
        <v>0.15612506556511854</v>
      </c>
      <c r="R263" s="11">
        <f t="shared" si="85"/>
        <v>9.3908495347473416E-3</v>
      </c>
      <c r="S263" s="11">
        <f t="shared" si="86"/>
        <v>1.7798257474423516E-2</v>
      </c>
      <c r="T263" s="11">
        <f t="shared" si="87"/>
        <v>2.5765507748765272E-2</v>
      </c>
      <c r="U263" s="11">
        <f t="shared" si="88"/>
        <v>2.1076883851291004E-2</v>
      </c>
      <c r="W263">
        <f t="shared" si="89"/>
        <v>0</v>
      </c>
      <c r="X263">
        <f t="shared" si="90"/>
        <v>0</v>
      </c>
      <c r="Y263">
        <f t="shared" si="91"/>
        <v>0</v>
      </c>
      <c r="Z263">
        <f t="shared" si="92"/>
        <v>0</v>
      </c>
      <c r="AA263">
        <f t="shared" si="93"/>
        <v>0</v>
      </c>
      <c r="AB263">
        <f t="shared" si="94"/>
        <v>0</v>
      </c>
      <c r="AD263" s="11">
        <f t="shared" si="95"/>
        <v>3.629171514200806E-2</v>
      </c>
      <c r="AE263" s="11">
        <f t="shared" si="96"/>
        <v>1.4093027482322136E-2</v>
      </c>
      <c r="AF263" s="11">
        <f t="shared" si="97"/>
        <v>2.0105610188672464E-3</v>
      </c>
      <c r="AG263" s="11">
        <f t="shared" si="98"/>
        <v>1.6066051329847236E-3</v>
      </c>
      <c r="AH263" s="11">
        <f t="shared" si="99"/>
        <v>5.5163407015852246E-3</v>
      </c>
      <c r="AI263" s="11">
        <f t="shared" si="100"/>
        <v>1.9025587101134886E-3</v>
      </c>
      <c r="AJ263" s="11"/>
    </row>
    <row r="264" spans="1:36">
      <c r="A264" t="s">
        <v>484</v>
      </c>
      <c r="B264">
        <v>8.3694000000000008E-3</v>
      </c>
      <c r="C264">
        <v>0</v>
      </c>
      <c r="D264">
        <v>10948</v>
      </c>
      <c r="E264">
        <v>298920</v>
      </c>
      <c r="F264">
        <v>34645.519999999997</v>
      </c>
      <c r="G264">
        <v>1640.6189999999999</v>
      </c>
      <c r="H264">
        <v>206153</v>
      </c>
      <c r="I264">
        <f t="shared" si="77"/>
        <v>0</v>
      </c>
      <c r="J264">
        <f t="shared" si="78"/>
        <v>0</v>
      </c>
      <c r="K264">
        <f t="shared" si="79"/>
        <v>0</v>
      </c>
      <c r="L264">
        <f t="shared" si="80"/>
        <v>0</v>
      </c>
      <c r="M264">
        <f t="shared" si="81"/>
        <v>0</v>
      </c>
      <c r="N264">
        <f t="shared" si="82"/>
        <v>0</v>
      </c>
      <c r="P264" s="11">
        <f t="shared" si="83"/>
        <v>0.3187237317987906</v>
      </c>
      <c r="Q264" s="11">
        <f t="shared" si="84"/>
        <v>0.29355664671687942</v>
      </c>
      <c r="R264" s="11">
        <f t="shared" si="85"/>
        <v>1.7657294741653E-2</v>
      </c>
      <c r="S264" s="11">
        <f t="shared" si="86"/>
        <v>3.3465457725724256E-2</v>
      </c>
      <c r="T264" s="11">
        <f t="shared" si="87"/>
        <v>4.8446007233416168E-2</v>
      </c>
      <c r="U264" s="11">
        <f t="shared" si="88"/>
        <v>3.9630147306778725E-2</v>
      </c>
      <c r="W264">
        <f t="shared" si="89"/>
        <v>0</v>
      </c>
      <c r="X264">
        <f t="shared" si="90"/>
        <v>0</v>
      </c>
      <c r="Y264">
        <f t="shared" si="91"/>
        <v>0</v>
      </c>
      <c r="Z264">
        <f t="shared" si="92"/>
        <v>0</v>
      </c>
      <c r="AA264">
        <f t="shared" si="93"/>
        <v>0</v>
      </c>
      <c r="AB264">
        <f t="shared" si="94"/>
        <v>0</v>
      </c>
      <c r="AD264" s="11">
        <f t="shared" si="95"/>
        <v>1.0729406111083903</v>
      </c>
      <c r="AE264" s="11">
        <f t="shared" si="96"/>
        <v>0.41665105823966286</v>
      </c>
      <c r="AF264" s="11">
        <f t="shared" si="97"/>
        <v>5.9440909855404823E-2</v>
      </c>
      <c r="AG264" s="11">
        <f t="shared" si="98"/>
        <v>4.7498220639321569E-2</v>
      </c>
      <c r="AH264" s="11">
        <f t="shared" si="99"/>
        <v>0.16308697288847532</v>
      </c>
      <c r="AI264" s="11">
        <f t="shared" si="100"/>
        <v>5.6247892862354487E-2</v>
      </c>
      <c r="AJ264" s="11"/>
    </row>
    <row r="265" spans="1:36">
      <c r="A265" t="s">
        <v>486</v>
      </c>
      <c r="B265">
        <v>1.05906E-2</v>
      </c>
      <c r="C265">
        <v>0</v>
      </c>
      <c r="D265">
        <v>40373</v>
      </c>
      <c r="E265">
        <v>1033155</v>
      </c>
      <c r="F265">
        <v>39006.65</v>
      </c>
      <c r="G265">
        <v>3743.2310000000002</v>
      </c>
      <c r="H265">
        <v>635709</v>
      </c>
      <c r="I265">
        <f t="shared" si="77"/>
        <v>0</v>
      </c>
      <c r="J265">
        <f t="shared" si="78"/>
        <v>0</v>
      </c>
      <c r="K265">
        <f t="shared" si="79"/>
        <v>0</v>
      </c>
      <c r="L265">
        <f t="shared" si="80"/>
        <v>0</v>
      </c>
      <c r="M265">
        <f t="shared" si="81"/>
        <v>0</v>
      </c>
      <c r="N265">
        <f t="shared" si="82"/>
        <v>0</v>
      </c>
      <c r="P265" s="11">
        <f t="shared" si="83"/>
        <v>0.17676722752616655</v>
      </c>
      <c r="Q265" s="11">
        <f t="shared" si="84"/>
        <v>0.16280932163149961</v>
      </c>
      <c r="R265" s="11">
        <f t="shared" si="85"/>
        <v>9.7929044049496275E-3</v>
      </c>
      <c r="S265" s="11">
        <f t="shared" si="86"/>
        <v>1.8560262665990958E-2</v>
      </c>
      <c r="T265" s="11">
        <f t="shared" si="87"/>
        <v>2.6868618583977315E-2</v>
      </c>
      <c r="U265" s="11">
        <f t="shared" si="88"/>
        <v>2.1979258420252449E-2</v>
      </c>
      <c r="W265">
        <f t="shared" si="89"/>
        <v>0</v>
      </c>
      <c r="X265">
        <f t="shared" si="90"/>
        <v>0</v>
      </c>
      <c r="Y265">
        <f t="shared" si="91"/>
        <v>0</v>
      </c>
      <c r="Z265">
        <f t="shared" si="92"/>
        <v>0</v>
      </c>
      <c r="AA265">
        <f t="shared" si="93"/>
        <v>0</v>
      </c>
      <c r="AB265">
        <f t="shared" si="94"/>
        <v>0</v>
      </c>
      <c r="AD265" s="11">
        <f t="shared" si="95"/>
        <v>0.39281803262383663</v>
      </c>
      <c r="AE265" s="11">
        <f t="shared" si="96"/>
        <v>0.15254157340476501</v>
      </c>
      <c r="AF265" s="11">
        <f t="shared" si="97"/>
        <v>2.176211900736055E-2</v>
      </c>
      <c r="AG265" s="11">
        <f t="shared" si="98"/>
        <v>1.7389739368143212E-2</v>
      </c>
      <c r="AH265" s="11">
        <f t="shared" si="99"/>
        <v>5.9708340958823165E-2</v>
      </c>
      <c r="AI265" s="11">
        <f t="shared" si="100"/>
        <v>2.0593112409643278E-2</v>
      </c>
      <c r="AJ265" s="11"/>
    </row>
    <row r="266" spans="1:36">
      <c r="A266" t="s">
        <v>487</v>
      </c>
      <c r="B266">
        <v>3.29E-3</v>
      </c>
      <c r="C266">
        <v>0</v>
      </c>
      <c r="D266">
        <v>11375</v>
      </c>
      <c r="E266">
        <v>353381</v>
      </c>
      <c r="F266">
        <v>36955.879999999997</v>
      </c>
      <c r="G266">
        <v>1441.4880000000001</v>
      </c>
      <c r="H266">
        <v>195403</v>
      </c>
      <c r="I266">
        <f t="shared" si="77"/>
        <v>0</v>
      </c>
      <c r="J266">
        <f t="shared" si="78"/>
        <v>0</v>
      </c>
      <c r="K266">
        <f t="shared" si="79"/>
        <v>0</v>
      </c>
      <c r="L266">
        <f t="shared" si="80"/>
        <v>0</v>
      </c>
      <c r="M266">
        <f t="shared" si="81"/>
        <v>0</v>
      </c>
      <c r="N266">
        <f t="shared" si="82"/>
        <v>0</v>
      </c>
      <c r="P266" s="11">
        <f t="shared" si="83"/>
        <v>0.14259775246134548</v>
      </c>
      <c r="Q266" s="11">
        <f t="shared" si="84"/>
        <v>0.13133793899082058</v>
      </c>
      <c r="R266" s="11">
        <f t="shared" si="85"/>
        <v>7.8999154863585389E-3</v>
      </c>
      <c r="S266" s="11">
        <f t="shared" si="86"/>
        <v>1.4972525044953547E-2</v>
      </c>
      <c r="T266" s="11">
        <f t="shared" si="87"/>
        <v>2.1674858374124514E-2</v>
      </c>
      <c r="U266" s="11">
        <f t="shared" si="88"/>
        <v>1.7730621763760779E-2</v>
      </c>
      <c r="W266">
        <f t="shared" si="89"/>
        <v>0</v>
      </c>
      <c r="X266">
        <f t="shared" si="90"/>
        <v>0</v>
      </c>
      <c r="Y266">
        <f t="shared" si="91"/>
        <v>0</v>
      </c>
      <c r="Z266">
        <f t="shared" si="92"/>
        <v>0</v>
      </c>
      <c r="AA266">
        <f t="shared" si="93"/>
        <v>0</v>
      </c>
      <c r="AB266">
        <f t="shared" si="94"/>
        <v>0</v>
      </c>
      <c r="AD266" s="11">
        <f t="shared" si="95"/>
        <v>0.35677058071033807</v>
      </c>
      <c r="AE266" s="11">
        <f t="shared" si="96"/>
        <v>0.13854339975833449</v>
      </c>
      <c r="AF266" s="11">
        <f t="shared" si="97"/>
        <v>1.976509017135273E-2</v>
      </c>
      <c r="AG266" s="11">
        <f t="shared" si="98"/>
        <v>1.5793947572450132E-2</v>
      </c>
      <c r="AH266" s="11">
        <f t="shared" si="99"/>
        <v>5.4229128267971383E-2</v>
      </c>
      <c r="AI266" s="11">
        <f t="shared" si="100"/>
        <v>1.8703358967375159E-2</v>
      </c>
      <c r="AJ266" s="11"/>
    </row>
    <row r="267" spans="1:36">
      <c r="A267" t="s">
        <v>488</v>
      </c>
      <c r="B267">
        <v>1.63483E-2</v>
      </c>
      <c r="C267">
        <v>0</v>
      </c>
      <c r="D267">
        <v>2550</v>
      </c>
      <c r="E267">
        <v>95696</v>
      </c>
      <c r="F267">
        <v>31276.95</v>
      </c>
      <c r="G267">
        <v>974.5521</v>
      </c>
      <c r="H267">
        <v>54438</v>
      </c>
      <c r="I267">
        <f t="shared" si="77"/>
        <v>0</v>
      </c>
      <c r="J267">
        <f t="shared" si="78"/>
        <v>0</v>
      </c>
      <c r="K267">
        <f t="shared" si="79"/>
        <v>0</v>
      </c>
      <c r="L267">
        <f t="shared" si="80"/>
        <v>0</v>
      </c>
      <c r="M267">
        <f t="shared" si="81"/>
        <v>0</v>
      </c>
      <c r="N267">
        <f t="shared" si="82"/>
        <v>0</v>
      </c>
      <c r="P267" s="11">
        <f t="shared" si="83"/>
        <v>1.0480822135933008</v>
      </c>
      <c r="Q267" s="11">
        <f t="shared" si="84"/>
        <v>0.96532347425037612</v>
      </c>
      <c r="R267" s="11">
        <f t="shared" si="85"/>
        <v>5.8063754633068863E-2</v>
      </c>
      <c r="S267" s="11">
        <f t="shared" si="86"/>
        <v>0.11004687606454289</v>
      </c>
      <c r="T267" s="11">
        <f t="shared" si="87"/>
        <v>0.15930849646618173</v>
      </c>
      <c r="U267" s="11">
        <f t="shared" si="88"/>
        <v>0.13031866902380079</v>
      </c>
      <c r="W267">
        <f t="shared" si="89"/>
        <v>0</v>
      </c>
      <c r="X267">
        <f t="shared" si="90"/>
        <v>0</v>
      </c>
      <c r="Y267">
        <f t="shared" si="91"/>
        <v>0</v>
      </c>
      <c r="Z267">
        <f t="shared" si="92"/>
        <v>0</v>
      </c>
      <c r="AA267">
        <f t="shared" si="93"/>
        <v>0</v>
      </c>
      <c r="AB267">
        <f t="shared" si="94"/>
        <v>0</v>
      </c>
      <c r="AD267" s="11">
        <f t="shared" si="95"/>
        <v>6.5465900529294849</v>
      </c>
      <c r="AE267" s="11">
        <f t="shared" si="96"/>
        <v>2.5422130965818841</v>
      </c>
      <c r="AF267" s="11">
        <f t="shared" si="97"/>
        <v>0.36268108893229345</v>
      </c>
      <c r="AG267" s="11">
        <f t="shared" si="98"/>
        <v>0.28981229301033479</v>
      </c>
      <c r="AH267" s="11">
        <f t="shared" si="99"/>
        <v>0.99508168804528163</v>
      </c>
      <c r="AI267" s="11">
        <f t="shared" si="100"/>
        <v>0.34319876803855437</v>
      </c>
      <c r="AJ267" s="11"/>
    </row>
    <row r="268" spans="1:36">
      <c r="A268" t="s">
        <v>319</v>
      </c>
      <c r="B268">
        <v>8.2053000000000004E-3</v>
      </c>
      <c r="C268">
        <v>2.3440000000000002E-3</v>
      </c>
      <c r="D268">
        <v>72228</v>
      </c>
      <c r="E268">
        <v>2101138</v>
      </c>
      <c r="F268">
        <v>42165.06</v>
      </c>
      <c r="G268">
        <v>2124.5520000000001</v>
      </c>
      <c r="H268">
        <v>1227055</v>
      </c>
      <c r="I268">
        <f t="shared" si="77"/>
        <v>7.498211237004318E-2</v>
      </c>
      <c r="J268">
        <f t="shared" si="78"/>
        <v>0.18080408857961586</v>
      </c>
      <c r="K268">
        <f t="shared" si="79"/>
        <v>4.1540090253003922E-3</v>
      </c>
      <c r="L268">
        <f t="shared" si="80"/>
        <v>2.0611666098076208E-2</v>
      </c>
      <c r="M268">
        <f t="shared" si="81"/>
        <v>1.1397281080246563E-2</v>
      </c>
      <c r="N268">
        <f t="shared" si="82"/>
        <v>2.4408551958248141E-2</v>
      </c>
      <c r="P268" s="11">
        <f t="shared" si="83"/>
        <v>0.24129866152016988</v>
      </c>
      <c r="Q268" s="11">
        <f t="shared" si="84"/>
        <v>0.22224522012640782</v>
      </c>
      <c r="R268" s="11">
        <f t="shared" si="85"/>
        <v>1.336794584821741E-2</v>
      </c>
      <c r="S268" s="11">
        <f t="shared" si="86"/>
        <v>2.5335955094410494E-2</v>
      </c>
      <c r="T268" s="11">
        <f t="shared" si="87"/>
        <v>3.6677396551065819E-2</v>
      </c>
      <c r="U268" s="11">
        <f t="shared" si="88"/>
        <v>3.0003104717065059E-2</v>
      </c>
      <c r="W268">
        <f t="shared" si="89"/>
        <v>0.4072902376213271</v>
      </c>
      <c r="X268">
        <f t="shared" si="90"/>
        <v>0.53991856865260635</v>
      </c>
      <c r="Y268">
        <f t="shared" si="91"/>
        <v>2.256387916422152E-2</v>
      </c>
      <c r="Z268">
        <f t="shared" si="92"/>
        <v>6.1550716826397123E-2</v>
      </c>
      <c r="AA268">
        <f t="shared" si="93"/>
        <v>6.1908116118441721E-2</v>
      </c>
      <c r="AB268">
        <f t="shared" si="94"/>
        <v>7.2889006768101866E-2</v>
      </c>
      <c r="AD268" s="11">
        <f t="shared" si="95"/>
        <v>0.14964982720113576</v>
      </c>
      <c r="AE268" s="11">
        <f t="shared" si="96"/>
        <v>5.8112963777486294E-2</v>
      </c>
      <c r="AF268" s="11">
        <f t="shared" si="97"/>
        <v>8.2906004269429207E-3</v>
      </c>
      <c r="AG268" s="11">
        <f t="shared" si="98"/>
        <v>6.6248778706334381E-3</v>
      </c>
      <c r="AH268" s="11">
        <f t="shared" si="99"/>
        <v>2.2746773734572633E-2</v>
      </c>
      <c r="AI268" s="11">
        <f t="shared" si="100"/>
        <v>7.8452501099606498E-3</v>
      </c>
      <c r="AJ268" s="11"/>
    </row>
    <row r="269" spans="1:36">
      <c r="A269" t="s">
        <v>489</v>
      </c>
      <c r="B269">
        <v>5.9949000000000001E-3</v>
      </c>
      <c r="C269">
        <v>0</v>
      </c>
      <c r="D269">
        <v>5534</v>
      </c>
      <c r="E269">
        <v>200858</v>
      </c>
      <c r="F269">
        <v>34359.43</v>
      </c>
      <c r="G269">
        <v>1336.4090000000001</v>
      </c>
      <c r="H269">
        <v>107289</v>
      </c>
      <c r="I269">
        <f t="shared" si="77"/>
        <v>0</v>
      </c>
      <c r="J269">
        <f t="shared" si="78"/>
        <v>0</v>
      </c>
      <c r="K269">
        <f t="shared" si="79"/>
        <v>0</v>
      </c>
      <c r="L269">
        <f t="shared" si="80"/>
        <v>0</v>
      </c>
      <c r="M269">
        <f t="shared" si="81"/>
        <v>0</v>
      </c>
      <c r="N269">
        <f t="shared" si="82"/>
        <v>0</v>
      </c>
      <c r="P269" s="11">
        <f t="shared" si="83"/>
        <v>0.28026596774640095</v>
      </c>
      <c r="Q269" s="11">
        <f t="shared" si="84"/>
        <v>0.25813558725659586</v>
      </c>
      <c r="R269" s="11">
        <f t="shared" si="85"/>
        <v>1.5526734613150612E-2</v>
      </c>
      <c r="S269" s="11">
        <f t="shared" si="86"/>
        <v>2.9427456947251927E-2</v>
      </c>
      <c r="T269" s="11">
        <f t="shared" si="87"/>
        <v>4.2600427097452945E-2</v>
      </c>
      <c r="U269" s="11">
        <f t="shared" si="88"/>
        <v>3.4848304279640439E-2</v>
      </c>
      <c r="W269">
        <f t="shared" si="89"/>
        <v>0</v>
      </c>
      <c r="X269">
        <f t="shared" si="90"/>
        <v>0</v>
      </c>
      <c r="Y269">
        <f t="shared" si="91"/>
        <v>0</v>
      </c>
      <c r="Z269">
        <f t="shared" si="92"/>
        <v>0</v>
      </c>
      <c r="AA269">
        <f t="shared" si="93"/>
        <v>0</v>
      </c>
      <c r="AB269">
        <f t="shared" si="94"/>
        <v>0</v>
      </c>
      <c r="AD269" s="11">
        <f t="shared" si="95"/>
        <v>1.1437448243307211</v>
      </c>
      <c r="AE269" s="11">
        <f t="shared" si="96"/>
        <v>0.44414619642483749</v>
      </c>
      <c r="AF269" s="11">
        <f t="shared" si="97"/>
        <v>6.3363463267921943E-2</v>
      </c>
      <c r="AG269" s="11">
        <f t="shared" si="98"/>
        <v>5.0632666392431476E-2</v>
      </c>
      <c r="AH269" s="11">
        <f t="shared" si="99"/>
        <v>0.17384921329826961</v>
      </c>
      <c r="AI269" s="11">
        <f t="shared" si="100"/>
        <v>5.9959736517353063E-2</v>
      </c>
      <c r="AJ269" s="11"/>
    </row>
    <row r="270" spans="1:36">
      <c r="A270" t="s">
        <v>490</v>
      </c>
      <c r="B270">
        <v>6.6845999999999997E-3</v>
      </c>
      <c r="C270">
        <v>0</v>
      </c>
      <c r="D270">
        <v>9081</v>
      </c>
      <c r="E270">
        <v>390561</v>
      </c>
      <c r="F270">
        <v>31322.09</v>
      </c>
      <c r="G270">
        <v>1788.91</v>
      </c>
      <c r="H270">
        <v>208890</v>
      </c>
      <c r="I270">
        <f t="shared" si="77"/>
        <v>0</v>
      </c>
      <c r="J270">
        <f t="shared" si="78"/>
        <v>0</v>
      </c>
      <c r="K270">
        <f t="shared" si="79"/>
        <v>0</v>
      </c>
      <c r="L270">
        <f t="shared" si="80"/>
        <v>0</v>
      </c>
      <c r="M270">
        <f t="shared" si="81"/>
        <v>0</v>
      </c>
      <c r="N270">
        <f t="shared" si="82"/>
        <v>0</v>
      </c>
      <c r="P270" s="11">
        <f t="shared" si="83"/>
        <v>0.23346121787009963</v>
      </c>
      <c r="Q270" s="11">
        <f t="shared" si="84"/>
        <v>0.21502663723720028</v>
      </c>
      <c r="R270" s="11">
        <f t="shared" si="85"/>
        <v>1.2933751470003519E-2</v>
      </c>
      <c r="S270" s="11">
        <f t="shared" si="86"/>
        <v>2.4513036645040832E-2</v>
      </c>
      <c r="T270" s="11">
        <f t="shared" si="87"/>
        <v>3.5486105116255141E-2</v>
      </c>
      <c r="U270" s="11">
        <f t="shared" si="88"/>
        <v>2.9028596027022041E-2</v>
      </c>
      <c r="W270">
        <f t="shared" si="89"/>
        <v>0</v>
      </c>
      <c r="X270">
        <f t="shared" si="90"/>
        <v>0</v>
      </c>
      <c r="Y270">
        <f t="shared" si="91"/>
        <v>0</v>
      </c>
      <c r="Z270">
        <f t="shared" si="92"/>
        <v>0</v>
      </c>
      <c r="AA270">
        <f t="shared" si="93"/>
        <v>0</v>
      </c>
      <c r="AB270">
        <f t="shared" si="94"/>
        <v>0</v>
      </c>
      <c r="AD270" s="11">
        <f t="shared" si="95"/>
        <v>0.65587772752701878</v>
      </c>
      <c r="AE270" s="11">
        <f t="shared" si="96"/>
        <v>0.25469457155476349</v>
      </c>
      <c r="AF270" s="11">
        <f t="shared" si="97"/>
        <v>3.633562610499684E-2</v>
      </c>
      <c r="AG270" s="11">
        <f t="shared" si="98"/>
        <v>2.9035181157243038E-2</v>
      </c>
      <c r="AH270" s="11">
        <f t="shared" si="99"/>
        <v>9.9693414584106854E-2</v>
      </c>
      <c r="AI270" s="11">
        <f t="shared" si="100"/>
        <v>3.4383767159893074E-2</v>
      </c>
      <c r="AJ270" s="11"/>
    </row>
    <row r="271" spans="1:36">
      <c r="A271" t="s">
        <v>1004</v>
      </c>
      <c r="B271">
        <v>7.8359999999999992E-3</v>
      </c>
      <c r="C271">
        <v>0</v>
      </c>
      <c r="D271">
        <v>15589</v>
      </c>
      <c r="E271">
        <v>405660</v>
      </c>
      <c r="F271">
        <v>39199.199999999997</v>
      </c>
      <c r="G271">
        <v>2498.0659999999998</v>
      </c>
      <c r="H271">
        <v>229157</v>
      </c>
      <c r="I271">
        <f t="shared" si="77"/>
        <v>0</v>
      </c>
      <c r="J271">
        <f t="shared" si="78"/>
        <v>0</v>
      </c>
      <c r="K271">
        <f t="shared" si="79"/>
        <v>0</v>
      </c>
      <c r="L271">
        <f t="shared" si="80"/>
        <v>0</v>
      </c>
      <c r="M271">
        <f t="shared" si="81"/>
        <v>0</v>
      </c>
      <c r="N271">
        <f t="shared" si="82"/>
        <v>0</v>
      </c>
      <c r="P271" s="11">
        <f t="shared" si="83"/>
        <v>0.19598296906486856</v>
      </c>
      <c r="Q271" s="11">
        <f t="shared" si="84"/>
        <v>0.18050774847421963</v>
      </c>
      <c r="R271" s="11">
        <f t="shared" si="85"/>
        <v>1.0857456486193719E-2</v>
      </c>
      <c r="S271" s="11">
        <f t="shared" si="86"/>
        <v>2.0577883326061037E-2</v>
      </c>
      <c r="T271" s="11">
        <f t="shared" si="87"/>
        <v>2.978941129786002E-2</v>
      </c>
      <c r="U271" s="11">
        <f t="shared" si="88"/>
        <v>2.436854604401965E-2</v>
      </c>
      <c r="W271">
        <f t="shared" si="89"/>
        <v>0</v>
      </c>
      <c r="X271">
        <f t="shared" si="90"/>
        <v>0</v>
      </c>
      <c r="Y271">
        <f t="shared" si="91"/>
        <v>0</v>
      </c>
      <c r="Z271">
        <f t="shared" si="92"/>
        <v>0</v>
      </c>
      <c r="AA271">
        <f t="shared" si="93"/>
        <v>0</v>
      </c>
      <c r="AB271">
        <f t="shared" si="94"/>
        <v>0</v>
      </c>
      <c r="AD271" s="11">
        <f t="shared" si="95"/>
        <v>0.74023322400236635</v>
      </c>
      <c r="AE271" s="11">
        <f t="shared" si="96"/>
        <v>0.28745202943351572</v>
      </c>
      <c r="AF271" s="11">
        <f t="shared" si="97"/>
        <v>4.1008920609731096E-2</v>
      </c>
      <c r="AG271" s="11">
        <f t="shared" si="98"/>
        <v>3.2769531355420795E-2</v>
      </c>
      <c r="AH271" s="11">
        <f t="shared" si="99"/>
        <v>0.11251545004835968</v>
      </c>
      <c r="AI271" s="11">
        <f t="shared" si="100"/>
        <v>3.8806023973524624E-2</v>
      </c>
      <c r="AJ271" s="11"/>
    </row>
    <row r="272" spans="1:36">
      <c r="A272" t="s">
        <v>1005</v>
      </c>
      <c r="B272">
        <v>4.0312999999999998E-3</v>
      </c>
      <c r="C272">
        <v>0</v>
      </c>
      <c r="D272">
        <v>3310</v>
      </c>
      <c r="E272">
        <v>119990</v>
      </c>
      <c r="F272">
        <v>32843.11</v>
      </c>
      <c r="G272">
        <v>1713.673</v>
      </c>
      <c r="H272">
        <v>70971</v>
      </c>
      <c r="I272">
        <f t="shared" si="77"/>
        <v>0</v>
      </c>
      <c r="J272">
        <f t="shared" si="78"/>
        <v>0</v>
      </c>
      <c r="K272">
        <f t="shared" si="79"/>
        <v>0</v>
      </c>
      <c r="L272">
        <f t="shared" si="80"/>
        <v>0</v>
      </c>
      <c r="M272">
        <f t="shared" si="81"/>
        <v>0</v>
      </c>
      <c r="N272">
        <f t="shared" si="82"/>
        <v>0</v>
      </c>
      <c r="P272" s="11">
        <f t="shared" si="83"/>
        <v>0.14697551080632068</v>
      </c>
      <c r="Q272" s="11">
        <f t="shared" si="84"/>
        <v>0.13537002048232069</v>
      </c>
      <c r="R272" s="11">
        <f t="shared" si="85"/>
        <v>8.1424432986701659E-3</v>
      </c>
      <c r="S272" s="11">
        <f t="shared" si="86"/>
        <v>1.543218233498456E-2</v>
      </c>
      <c r="T272" s="11">
        <f t="shared" si="87"/>
        <v>2.2340277642560743E-2</v>
      </c>
      <c r="U272" s="11">
        <f t="shared" si="88"/>
        <v>1.8274952765113296E-2</v>
      </c>
      <c r="W272">
        <f t="shared" si="89"/>
        <v>0</v>
      </c>
      <c r="X272">
        <f t="shared" si="90"/>
        <v>0</v>
      </c>
      <c r="Y272">
        <f t="shared" si="91"/>
        <v>0</v>
      </c>
      <c r="Z272">
        <f t="shared" si="92"/>
        <v>0</v>
      </c>
      <c r="AA272">
        <f t="shared" si="93"/>
        <v>0</v>
      </c>
      <c r="AB272">
        <f t="shared" si="94"/>
        <v>0</v>
      </c>
      <c r="AD272" s="11">
        <f t="shared" si="95"/>
        <v>1.2874678649599132</v>
      </c>
      <c r="AE272" s="11">
        <f t="shared" si="96"/>
        <v>0.49995763309859148</v>
      </c>
      <c r="AF272" s="11">
        <f t="shared" si="97"/>
        <v>7.1325719718779185E-2</v>
      </c>
      <c r="AG272" s="11">
        <f t="shared" si="98"/>
        <v>5.6995170173239428E-2</v>
      </c>
      <c r="AH272" s="11">
        <f t="shared" si="99"/>
        <v>0.19569511547390681</v>
      </c>
      <c r="AI272" s="11">
        <f t="shared" si="100"/>
        <v>6.7494280468309853E-2</v>
      </c>
      <c r="AJ272" s="11"/>
    </row>
    <row r="273" spans="1:36">
      <c r="A273" t="s">
        <v>323</v>
      </c>
      <c r="B273">
        <v>1.7421800000000001E-2</v>
      </c>
      <c r="C273">
        <v>3.2089000000000002E-3</v>
      </c>
      <c r="D273">
        <v>55270</v>
      </c>
      <c r="E273">
        <v>1111600</v>
      </c>
      <c r="F273">
        <v>39217.54</v>
      </c>
      <c r="G273">
        <v>3390.0940000000001</v>
      </c>
      <c r="H273">
        <v>834207</v>
      </c>
      <c r="I273">
        <f t="shared" si="77"/>
        <v>6.4329751204538876E-2</v>
      </c>
      <c r="J273">
        <f t="shared" si="78"/>
        <v>0.15511808973438496</v>
      </c>
      <c r="K273">
        <f t="shared" si="79"/>
        <v>3.5638682167314535E-3</v>
      </c>
      <c r="L273">
        <f t="shared" si="80"/>
        <v>1.7683462229719886E-2</v>
      </c>
      <c r="M273">
        <f t="shared" si="81"/>
        <v>9.7781221830899098E-3</v>
      </c>
      <c r="N273">
        <f t="shared" si="82"/>
        <v>2.0940942114141971E-2</v>
      </c>
      <c r="P273" s="11">
        <f t="shared" si="83"/>
        <v>0.32107692665159138</v>
      </c>
      <c r="Q273" s="11">
        <f t="shared" si="84"/>
        <v>0.2957240284369696</v>
      </c>
      <c r="R273" s="11">
        <f t="shared" si="85"/>
        <v>1.7787661736498161E-2</v>
      </c>
      <c r="S273" s="11">
        <f t="shared" si="86"/>
        <v>3.3712539241814533E-2</v>
      </c>
      <c r="T273" s="11">
        <f t="shared" si="87"/>
        <v>4.8803692851041885E-2</v>
      </c>
      <c r="U273" s="11">
        <f t="shared" si="88"/>
        <v>3.9922743838990901E-2</v>
      </c>
      <c r="W273">
        <f t="shared" si="89"/>
        <v>1.0539223527238846</v>
      </c>
      <c r="X273">
        <f t="shared" si="90"/>
        <v>1.3971173271349497</v>
      </c>
      <c r="Y273">
        <f t="shared" si="91"/>
        <v>5.8387298340903206E-2</v>
      </c>
      <c r="Z273">
        <f t="shared" si="92"/>
        <v>0.15927137529338428</v>
      </c>
      <c r="AA273">
        <f t="shared" si="93"/>
        <v>0.16019619761403045</v>
      </c>
      <c r="AB273">
        <f t="shared" si="94"/>
        <v>0.18861083916321822</v>
      </c>
      <c r="AD273" s="11">
        <f t="shared" si="95"/>
        <v>0.60059376372475715</v>
      </c>
      <c r="AE273" s="11">
        <f t="shared" si="96"/>
        <v>0.23322635441075931</v>
      </c>
      <c r="AF273" s="11">
        <f t="shared" si="97"/>
        <v>3.3272894510351543E-2</v>
      </c>
      <c r="AG273" s="11">
        <f t="shared" si="98"/>
        <v>2.6587804402826563E-2</v>
      </c>
      <c r="AH273" s="11">
        <f t="shared" si="99"/>
        <v>9.1290252086163079E-2</v>
      </c>
      <c r="AI273" s="11">
        <f t="shared" si="100"/>
        <v>3.1485557845452511E-2</v>
      </c>
      <c r="AJ273" s="11"/>
    </row>
    <row r="274" spans="1:36">
      <c r="A274" t="s">
        <v>491</v>
      </c>
      <c r="B274">
        <v>9.6080000000000004E-4</v>
      </c>
      <c r="C274">
        <v>0</v>
      </c>
      <c r="D274">
        <v>2888</v>
      </c>
      <c r="E274">
        <v>109152</v>
      </c>
      <c r="F274">
        <v>29170.97</v>
      </c>
      <c r="G274">
        <v>738.72879999999998</v>
      </c>
      <c r="H274">
        <v>67417</v>
      </c>
      <c r="I274">
        <f t="shared" si="77"/>
        <v>0</v>
      </c>
      <c r="J274">
        <f t="shared" si="78"/>
        <v>0</v>
      </c>
      <c r="K274">
        <f t="shared" si="79"/>
        <v>0</v>
      </c>
      <c r="L274">
        <f t="shared" si="80"/>
        <v>0</v>
      </c>
      <c r="M274">
        <f t="shared" si="81"/>
        <v>0</v>
      </c>
      <c r="N274">
        <f t="shared" si="82"/>
        <v>0</v>
      </c>
      <c r="P274" s="11">
        <f t="shared" si="83"/>
        <v>8.1259805330454155E-2</v>
      </c>
      <c r="Q274" s="11">
        <f t="shared" si="84"/>
        <v>7.4843363031196292E-2</v>
      </c>
      <c r="R274" s="11">
        <f t="shared" si="85"/>
        <v>4.5017932153071597E-3</v>
      </c>
      <c r="S274" s="11">
        <f t="shared" si="86"/>
        <v>8.5321433855563775E-3</v>
      </c>
      <c r="T274" s="11">
        <f t="shared" si="87"/>
        <v>1.2351490410229031E-2</v>
      </c>
      <c r="U274" s="11">
        <f t="shared" si="88"/>
        <v>1.01038540092115E-2</v>
      </c>
      <c r="W274">
        <f t="shared" si="89"/>
        <v>0</v>
      </c>
      <c r="X274">
        <f t="shared" si="90"/>
        <v>0</v>
      </c>
      <c r="Y274">
        <f t="shared" si="91"/>
        <v>0</v>
      </c>
      <c r="Z274">
        <f t="shared" si="92"/>
        <v>0</v>
      </c>
      <c r="AA274">
        <f t="shared" si="93"/>
        <v>0</v>
      </c>
      <c r="AB274">
        <f t="shared" si="94"/>
        <v>0</v>
      </c>
      <c r="AD274" s="11">
        <f t="shared" si="95"/>
        <v>0.33731653412342422</v>
      </c>
      <c r="AE274" s="11">
        <f t="shared" si="96"/>
        <v>0.13098888181618296</v>
      </c>
      <c r="AF274" s="11">
        <f t="shared" si="97"/>
        <v>1.86873359904377E-2</v>
      </c>
      <c r="AG274" s="11">
        <f t="shared" si="98"/>
        <v>1.4932732527044858E-2</v>
      </c>
      <c r="AH274" s="11">
        <f t="shared" si="99"/>
        <v>5.1272113186760476E-2</v>
      </c>
      <c r="AI274" s="11">
        <f t="shared" si="100"/>
        <v>1.7683499045184702E-2</v>
      </c>
      <c r="AJ274" s="11"/>
    </row>
    <row r="275" spans="1:36">
      <c r="A275" t="s">
        <v>492</v>
      </c>
      <c r="B275">
        <v>8.2267E-3</v>
      </c>
      <c r="C275">
        <v>0</v>
      </c>
      <c r="D275">
        <v>66816</v>
      </c>
      <c r="E275">
        <v>2030691</v>
      </c>
      <c r="F275">
        <v>36215.96</v>
      </c>
      <c r="G275">
        <v>1682.1120000000001</v>
      </c>
      <c r="H275">
        <v>1186323</v>
      </c>
      <c r="I275">
        <f t="shared" si="77"/>
        <v>0</v>
      </c>
      <c r="J275">
        <f t="shared" si="78"/>
        <v>0</v>
      </c>
      <c r="K275">
        <f t="shared" si="79"/>
        <v>0</v>
      </c>
      <c r="L275">
        <f t="shared" si="80"/>
        <v>0</v>
      </c>
      <c r="M275">
        <f t="shared" si="81"/>
        <v>0</v>
      </c>
      <c r="N275">
        <f t="shared" si="82"/>
        <v>0</v>
      </c>
      <c r="P275" s="11">
        <f t="shared" si="83"/>
        <v>0.30556145207334584</v>
      </c>
      <c r="Q275" s="11">
        <f t="shared" si="84"/>
        <v>0.28143368782221395</v>
      </c>
      <c r="R275" s="11">
        <f t="shared" si="85"/>
        <v>1.6928104444863357E-2</v>
      </c>
      <c r="S275" s="11">
        <f t="shared" si="86"/>
        <v>3.2083440411732389E-2</v>
      </c>
      <c r="T275" s="11">
        <f t="shared" si="87"/>
        <v>4.6445340715148567E-2</v>
      </c>
      <c r="U275" s="11">
        <f t="shared" si="88"/>
        <v>3.7993547855998885E-2</v>
      </c>
      <c r="W275">
        <f t="shared" si="89"/>
        <v>0</v>
      </c>
      <c r="X275">
        <f t="shared" si="90"/>
        <v>0</v>
      </c>
      <c r="Y275">
        <f t="shared" si="91"/>
        <v>0</v>
      </c>
      <c r="Z275">
        <f t="shared" si="92"/>
        <v>0</v>
      </c>
      <c r="AA275">
        <f t="shared" si="93"/>
        <v>0</v>
      </c>
      <c r="AB275">
        <f t="shared" si="94"/>
        <v>0</v>
      </c>
      <c r="AD275" s="11">
        <f t="shared" si="95"/>
        <v>0.1552451884998062</v>
      </c>
      <c r="AE275" s="11">
        <f t="shared" si="96"/>
        <v>6.0285789730933945E-2</v>
      </c>
      <c r="AF275" s="11">
        <f t="shared" si="97"/>
        <v>8.6005834428892636E-3</v>
      </c>
      <c r="AG275" s="11">
        <f t="shared" si="98"/>
        <v>6.8725800293264697E-3</v>
      </c>
      <c r="AH275" s="11">
        <f t="shared" si="99"/>
        <v>2.3597268651970541E-2</v>
      </c>
      <c r="AI275" s="11">
        <f t="shared" si="100"/>
        <v>8.1385816136760828E-3</v>
      </c>
      <c r="AJ275" s="11"/>
    </row>
    <row r="276" spans="1:36">
      <c r="A276" t="s">
        <v>325</v>
      </c>
      <c r="B276">
        <v>9.3018000000000007E-3</v>
      </c>
      <c r="C276">
        <v>4.2512000000000001E-3</v>
      </c>
      <c r="D276">
        <v>140538</v>
      </c>
      <c r="E276">
        <v>3019274</v>
      </c>
      <c r="F276">
        <v>44562.98</v>
      </c>
      <c r="G276">
        <v>2396.4549999999999</v>
      </c>
      <c r="H276">
        <v>1920205</v>
      </c>
      <c r="I276">
        <f t="shared" si="77"/>
        <v>0.12056179007742687</v>
      </c>
      <c r="J276">
        <f t="shared" si="78"/>
        <v>0.29071019585178942</v>
      </c>
      <c r="K276">
        <f t="shared" si="79"/>
        <v>6.6791231702894487E-3</v>
      </c>
      <c r="L276">
        <f t="shared" si="80"/>
        <v>3.3140962327103993E-2</v>
      </c>
      <c r="M276">
        <f t="shared" si="81"/>
        <v>1.8325392091768884E-2</v>
      </c>
      <c r="N276">
        <f t="shared" si="82"/>
        <v>3.9245876439991577E-2</v>
      </c>
      <c r="P276" s="11">
        <f t="shared" si="83"/>
        <v>0.2425077001571071</v>
      </c>
      <c r="Q276" s="11">
        <f t="shared" si="84"/>
        <v>0.22335879057190725</v>
      </c>
      <c r="R276" s="11">
        <f t="shared" si="85"/>
        <v>1.3434926588703733E-2</v>
      </c>
      <c r="S276" s="11">
        <f t="shared" si="86"/>
        <v>2.5462902125197428E-2</v>
      </c>
      <c r="T276" s="11">
        <f t="shared" si="87"/>
        <v>3.6861170423880277E-2</v>
      </c>
      <c r="U276" s="11">
        <f t="shared" si="88"/>
        <v>3.015343672720748E-2</v>
      </c>
      <c r="W276">
        <f t="shared" si="89"/>
        <v>0.51405546476303909</v>
      </c>
      <c r="X276">
        <f t="shared" si="90"/>
        <v>0.68145038870525831</v>
      </c>
      <c r="Y276">
        <f t="shared" si="91"/>
        <v>2.8478672747872365E-2</v>
      </c>
      <c r="Z276">
        <f t="shared" si="92"/>
        <v>7.7685344312399457E-2</v>
      </c>
      <c r="AA276">
        <f t="shared" si="93"/>
        <v>7.8136430643981944E-2</v>
      </c>
      <c r="AB276">
        <f t="shared" si="94"/>
        <v>9.1995802475209873E-2</v>
      </c>
      <c r="AD276" s="11">
        <f t="shared" si="95"/>
        <v>0.11805946285777309</v>
      </c>
      <c r="AE276" s="11">
        <f t="shared" si="96"/>
        <v>4.5845594458469155E-2</v>
      </c>
      <c r="AF276" s="11">
        <f t="shared" si="97"/>
        <v>6.5404942423206288E-3</v>
      </c>
      <c r="AG276" s="11">
        <f t="shared" si="98"/>
        <v>5.226397768265484E-3</v>
      </c>
      <c r="AH276" s="11">
        <f t="shared" si="99"/>
        <v>1.794503835438151E-2</v>
      </c>
      <c r="AI276" s="11">
        <f t="shared" si="100"/>
        <v>6.1891552518933361E-3</v>
      </c>
      <c r="AJ276" s="11"/>
    </row>
    <row r="277" spans="1:36">
      <c r="A277" t="s">
        <v>327</v>
      </c>
      <c r="B277">
        <v>2.12613E-2</v>
      </c>
      <c r="C277">
        <v>1.6639899999999999E-2</v>
      </c>
      <c r="D277">
        <v>283010</v>
      </c>
      <c r="E277">
        <v>4260236</v>
      </c>
      <c r="F277">
        <v>61146.07</v>
      </c>
      <c r="G277">
        <v>4110.7539999999999</v>
      </c>
      <c r="H277">
        <v>2849527</v>
      </c>
      <c r="I277">
        <f t="shared" si="77"/>
        <v>0.27510384026385426</v>
      </c>
      <c r="J277">
        <f t="shared" si="78"/>
        <v>0.66335686647753667</v>
      </c>
      <c r="K277">
        <f t="shared" si="79"/>
        <v>1.5240752750617526E-2</v>
      </c>
      <c r="L277">
        <f t="shared" si="80"/>
        <v>7.5622682778439185E-2</v>
      </c>
      <c r="M277">
        <f t="shared" si="81"/>
        <v>4.1815783720105845E-2</v>
      </c>
      <c r="N277">
        <f t="shared" si="82"/>
        <v>8.9553176974467449E-2</v>
      </c>
      <c r="P277" s="11">
        <f t="shared" si="83"/>
        <v>0.32314403331602914</v>
      </c>
      <c r="Q277" s="11">
        <f t="shared" si="84"/>
        <v>0.2976279120837686</v>
      </c>
      <c r="R277" s="11">
        <f t="shared" si="85"/>
        <v>1.7902179445708013E-2</v>
      </c>
      <c r="S277" s="11">
        <f t="shared" si="86"/>
        <v>3.3929581977549618E-2</v>
      </c>
      <c r="T277" s="11">
        <f t="shared" si="87"/>
        <v>4.9117893064036432E-2</v>
      </c>
      <c r="U277" s="11">
        <f t="shared" si="88"/>
        <v>4.017976813130876E-2</v>
      </c>
      <c r="W277">
        <f t="shared" si="89"/>
        <v>1.4259950714996001</v>
      </c>
      <c r="X277">
        <f t="shared" si="90"/>
        <v>1.8903502878101375</v>
      </c>
      <c r="Y277">
        <f t="shared" si="91"/>
        <v>7.9000126961077846E-2</v>
      </c>
      <c r="Z277">
        <f t="shared" si="92"/>
        <v>0.21549993281035568</v>
      </c>
      <c r="AA277">
        <f t="shared" si="93"/>
        <v>0.21675125086793923</v>
      </c>
      <c r="AB277">
        <f t="shared" si="94"/>
        <v>0.2551972888543686</v>
      </c>
      <c r="AD277" s="11">
        <f t="shared" si="95"/>
        <v>0.19124605715517637</v>
      </c>
      <c r="AE277" s="11">
        <f t="shared" si="96"/>
        <v>7.4265873873067129E-2</v>
      </c>
      <c r="AF277" s="11">
        <f t="shared" si="97"/>
        <v>1.0595031566396771E-2</v>
      </c>
      <c r="AG277" s="11">
        <f t="shared" si="98"/>
        <v>8.4663096215296524E-3</v>
      </c>
      <c r="AH277" s="11">
        <f t="shared" si="99"/>
        <v>2.9069400687586806E-2</v>
      </c>
      <c r="AI277" s="11">
        <f t="shared" si="100"/>
        <v>1.0025892972864063E-2</v>
      </c>
      <c r="AJ277" s="11"/>
    </row>
    <row r="278" spans="1:36">
      <c r="A278" t="s">
        <v>329</v>
      </c>
      <c r="B278">
        <v>1.27551E-2</v>
      </c>
      <c r="C278">
        <v>3.9585000000000002E-3</v>
      </c>
      <c r="D278">
        <v>138071</v>
      </c>
      <c r="E278">
        <v>1810646</v>
      </c>
      <c r="F278">
        <v>76360.73</v>
      </c>
      <c r="G278">
        <v>3030.3789999999999</v>
      </c>
      <c r="H278">
        <v>1208681</v>
      </c>
      <c r="I278">
        <f t="shared" si="77"/>
        <v>8.8777136028199768E-2</v>
      </c>
      <c r="J278">
        <f t="shared" si="78"/>
        <v>0.21406797780079653</v>
      </c>
      <c r="K278">
        <f t="shared" si="79"/>
        <v>4.9182533359622667E-3</v>
      </c>
      <c r="L278">
        <f t="shared" si="80"/>
        <v>2.4403749469290806E-2</v>
      </c>
      <c r="M278">
        <f t="shared" si="81"/>
        <v>1.3494124676286365E-2</v>
      </c>
      <c r="N278">
        <f t="shared" si="82"/>
        <v>2.8899177003107533E-2</v>
      </c>
      <c r="P278" s="11">
        <f t="shared" si="83"/>
        <v>0.26297516360494844</v>
      </c>
      <c r="Q278" s="11">
        <f t="shared" si="84"/>
        <v>0.24221010077287361</v>
      </c>
      <c r="R278" s="11">
        <f t="shared" si="85"/>
        <v>1.4568824063714143E-2</v>
      </c>
      <c r="S278" s="11">
        <f t="shared" si="86"/>
        <v>2.7611951488107592E-2</v>
      </c>
      <c r="T278" s="11">
        <f t="shared" si="87"/>
        <v>3.9972224867952162E-2</v>
      </c>
      <c r="U278" s="11">
        <f t="shared" si="88"/>
        <v>3.2698363604337942E-2</v>
      </c>
      <c r="W278">
        <f t="shared" si="89"/>
        <v>0.79817490672696378</v>
      </c>
      <c r="X278">
        <f t="shared" si="90"/>
        <v>1.0580893264009916</v>
      </c>
      <c r="Y278">
        <f t="shared" si="91"/>
        <v>4.4218889832673795E-2</v>
      </c>
      <c r="Z278">
        <f t="shared" si="92"/>
        <v>0.12062218320971305</v>
      </c>
      <c r="AA278">
        <f t="shared" si="93"/>
        <v>0.1213225858224985</v>
      </c>
      <c r="AB278">
        <f t="shared" si="94"/>
        <v>0.14284205906413389</v>
      </c>
      <c r="AD278" s="11">
        <f t="shared" si="95"/>
        <v>0.26995206314463455</v>
      </c>
      <c r="AE278" s="11">
        <f t="shared" si="96"/>
        <v>0.10482948601134623</v>
      </c>
      <c r="AF278" s="11">
        <f t="shared" si="97"/>
        <v>1.4955344298212754E-2</v>
      </c>
      <c r="AG278" s="11">
        <f t="shared" si="98"/>
        <v>1.1950561405293471E-2</v>
      </c>
      <c r="AH278" s="11">
        <f t="shared" si="99"/>
        <v>4.1032713597984452E-2</v>
      </c>
      <c r="AI278" s="11">
        <f t="shared" si="100"/>
        <v>1.4151980611531742E-2</v>
      </c>
      <c r="AJ278" s="11"/>
    </row>
    <row r="279" spans="1:36">
      <c r="A279" t="s">
        <v>493</v>
      </c>
      <c r="B279">
        <v>5.5138000000000001E-3</v>
      </c>
      <c r="C279">
        <v>0</v>
      </c>
      <c r="D279">
        <v>9069</v>
      </c>
      <c r="E279">
        <v>265134</v>
      </c>
      <c r="F279">
        <v>34095.480000000003</v>
      </c>
      <c r="G279">
        <v>1614.5719999999999</v>
      </c>
      <c r="H279">
        <v>156781</v>
      </c>
      <c r="I279">
        <f t="shared" si="77"/>
        <v>0</v>
      </c>
      <c r="J279">
        <f t="shared" si="78"/>
        <v>0</v>
      </c>
      <c r="K279">
        <f t="shared" si="79"/>
        <v>0</v>
      </c>
      <c r="L279">
        <f t="shared" si="80"/>
        <v>0</v>
      </c>
      <c r="M279">
        <f t="shared" si="81"/>
        <v>0</v>
      </c>
      <c r="N279">
        <f t="shared" si="82"/>
        <v>0</v>
      </c>
      <c r="P279" s="11">
        <f t="shared" si="83"/>
        <v>0.21336412856162504</v>
      </c>
      <c r="Q279" s="11">
        <f t="shared" si="84"/>
        <v>0.19651645566750817</v>
      </c>
      <c r="R279" s="11">
        <f t="shared" si="85"/>
        <v>1.1820372722314027E-2</v>
      </c>
      <c r="S279" s="11">
        <f t="shared" si="86"/>
        <v>2.2402875946095933E-2</v>
      </c>
      <c r="T279" s="11">
        <f t="shared" si="87"/>
        <v>3.2431347541367006E-2</v>
      </c>
      <c r="U279" s="11">
        <f t="shared" si="88"/>
        <v>2.6529721515113604E-2</v>
      </c>
      <c r="W279">
        <f t="shared" si="89"/>
        <v>0</v>
      </c>
      <c r="X279">
        <f t="shared" si="90"/>
        <v>0</v>
      </c>
      <c r="Y279">
        <f t="shared" si="91"/>
        <v>0</v>
      </c>
      <c r="Z279">
        <f t="shared" si="92"/>
        <v>0</v>
      </c>
      <c r="AA279">
        <f t="shared" si="93"/>
        <v>0</v>
      </c>
      <c r="AB279">
        <f t="shared" si="94"/>
        <v>0</v>
      </c>
      <c r="AD279" s="11">
        <f t="shared" si="95"/>
        <v>0.79693319638386617</v>
      </c>
      <c r="AE279" s="11">
        <f t="shared" si="96"/>
        <v>0.30947011995066648</v>
      </c>
      <c r="AF279" s="11">
        <f t="shared" si="97"/>
        <v>4.4150099079666182E-2</v>
      </c>
      <c r="AG279" s="11">
        <f t="shared" si="98"/>
        <v>3.5279593674375977E-2</v>
      </c>
      <c r="AH279" s="11">
        <f t="shared" si="99"/>
        <v>0.12113384585034766</v>
      </c>
      <c r="AI279" s="11">
        <f t="shared" si="100"/>
        <v>4.1778466193339976E-2</v>
      </c>
      <c r="AJ279" s="11"/>
    </row>
    <row r="280" spans="1:36">
      <c r="A280" t="s">
        <v>494</v>
      </c>
      <c r="B280">
        <v>1.29613E-2</v>
      </c>
      <c r="C280">
        <v>0</v>
      </c>
      <c r="D280">
        <v>16784</v>
      </c>
      <c r="E280">
        <v>403655</v>
      </c>
      <c r="F280">
        <v>40883.230000000003</v>
      </c>
      <c r="G280">
        <v>2062.3240000000001</v>
      </c>
      <c r="H280">
        <v>265036</v>
      </c>
      <c r="I280">
        <f t="shared" si="77"/>
        <v>0</v>
      </c>
      <c r="J280">
        <f t="shared" si="78"/>
        <v>0</v>
      </c>
      <c r="K280">
        <f t="shared" si="79"/>
        <v>0</v>
      </c>
      <c r="L280">
        <f t="shared" si="80"/>
        <v>0</v>
      </c>
      <c r="M280">
        <f t="shared" si="81"/>
        <v>0</v>
      </c>
      <c r="N280">
        <f t="shared" si="82"/>
        <v>0</v>
      </c>
      <c r="P280" s="11">
        <f t="shared" si="83"/>
        <v>0.3926625484307994</v>
      </c>
      <c r="Q280" s="11">
        <f t="shared" si="84"/>
        <v>0.3616571014593245</v>
      </c>
      <c r="R280" s="11">
        <f t="shared" si="85"/>
        <v>2.1753505183066287E-2</v>
      </c>
      <c r="S280" s="11">
        <f t="shared" si="86"/>
        <v>4.1228909566362992E-2</v>
      </c>
      <c r="T280" s="11">
        <f t="shared" si="87"/>
        <v>5.9684707361481508E-2</v>
      </c>
      <c r="U280" s="11">
        <f t="shared" si="88"/>
        <v>4.8823708697008812E-2</v>
      </c>
      <c r="W280">
        <f t="shared" si="89"/>
        <v>0</v>
      </c>
      <c r="X280">
        <f t="shared" si="90"/>
        <v>0</v>
      </c>
      <c r="Y280">
        <f t="shared" si="91"/>
        <v>0</v>
      </c>
      <c r="Z280">
        <f t="shared" si="92"/>
        <v>0</v>
      </c>
      <c r="AA280">
        <f t="shared" si="93"/>
        <v>0</v>
      </c>
      <c r="AB280">
        <f t="shared" si="94"/>
        <v>0</v>
      </c>
      <c r="AD280" s="11">
        <f t="shared" si="95"/>
        <v>1.2304800000261114</v>
      </c>
      <c r="AE280" s="11">
        <f t="shared" si="96"/>
        <v>0.4778277463316446</v>
      </c>
      <c r="AF280" s="11">
        <f t="shared" si="97"/>
        <v>6.8168592001446565E-2</v>
      </c>
      <c r="AG280" s="11">
        <f t="shared" si="98"/>
        <v>5.4472363081807487E-2</v>
      </c>
      <c r="AH280" s="11">
        <f t="shared" si="99"/>
        <v>0.18703296000396893</v>
      </c>
      <c r="AI280" s="11">
        <f t="shared" si="100"/>
        <v>6.4506745754772027E-2</v>
      </c>
      <c r="AJ280" s="11"/>
    </row>
    <row r="281" spans="1:36">
      <c r="A281" t="s">
        <v>495</v>
      </c>
      <c r="B281">
        <v>1.55362E-2</v>
      </c>
      <c r="C281">
        <v>0</v>
      </c>
      <c r="D281">
        <v>8567</v>
      </c>
      <c r="E281">
        <v>252929</v>
      </c>
      <c r="F281">
        <v>39533.06</v>
      </c>
      <c r="G281">
        <v>2392.5749999999998</v>
      </c>
      <c r="H281">
        <v>145801</v>
      </c>
      <c r="I281">
        <f t="shared" si="77"/>
        <v>0</v>
      </c>
      <c r="J281">
        <f t="shared" si="78"/>
        <v>0</v>
      </c>
      <c r="K281">
        <f t="shared" si="79"/>
        <v>0</v>
      </c>
      <c r="L281">
        <f t="shared" si="80"/>
        <v>0</v>
      </c>
      <c r="M281">
        <f t="shared" si="81"/>
        <v>0</v>
      </c>
      <c r="N281">
        <f t="shared" si="82"/>
        <v>0</v>
      </c>
      <c r="P281" s="11">
        <f t="shared" si="83"/>
        <v>0.40570191413853279</v>
      </c>
      <c r="Q281" s="11">
        <f t="shared" si="84"/>
        <v>0.37366685188134124</v>
      </c>
      <c r="R281" s="11">
        <f t="shared" si="85"/>
        <v>2.2475886043274714E-2</v>
      </c>
      <c r="S281" s="11">
        <f t="shared" si="86"/>
        <v>4.2598021114472903E-2</v>
      </c>
      <c r="T281" s="11">
        <f t="shared" si="87"/>
        <v>6.1666690949056982E-2</v>
      </c>
      <c r="U281" s="11">
        <f t="shared" si="88"/>
        <v>5.044502500398107E-2</v>
      </c>
      <c r="W281">
        <f t="shared" si="89"/>
        <v>0</v>
      </c>
      <c r="X281">
        <f t="shared" si="90"/>
        <v>0</v>
      </c>
      <c r="Y281">
        <f t="shared" si="91"/>
        <v>0</v>
      </c>
      <c r="Z281">
        <f t="shared" si="92"/>
        <v>0</v>
      </c>
      <c r="AA281">
        <f t="shared" si="93"/>
        <v>0</v>
      </c>
      <c r="AB281">
        <f t="shared" si="94"/>
        <v>0</v>
      </c>
      <c r="AD281" s="11">
        <f t="shared" si="95"/>
        <v>2.3538701908439128</v>
      </c>
      <c r="AE281" s="11">
        <f t="shared" si="96"/>
        <v>0.91406970322501568</v>
      </c>
      <c r="AF281" s="11">
        <f t="shared" si="97"/>
        <v>0.13040440857275276</v>
      </c>
      <c r="AG281" s="11">
        <f t="shared" si="98"/>
        <v>0.10420394616765179</v>
      </c>
      <c r="AH281" s="11">
        <f t="shared" si="99"/>
        <v>0.35778826900827476</v>
      </c>
      <c r="AI281" s="11">
        <f t="shared" si="100"/>
        <v>0.12339940993537712</v>
      </c>
      <c r="AJ281" s="11"/>
    </row>
    <row r="282" spans="1:36">
      <c r="A282" t="s">
        <v>496</v>
      </c>
      <c r="B282">
        <v>5.3987000000000002E-3</v>
      </c>
      <c r="C282">
        <v>0</v>
      </c>
      <c r="D282">
        <v>5514</v>
      </c>
      <c r="E282">
        <v>145362</v>
      </c>
      <c r="F282">
        <v>34556.25</v>
      </c>
      <c r="G282">
        <v>1424.011</v>
      </c>
      <c r="H282">
        <v>94627</v>
      </c>
      <c r="I282">
        <f t="shared" si="77"/>
        <v>0</v>
      </c>
      <c r="J282">
        <f t="shared" si="78"/>
        <v>0</v>
      </c>
      <c r="K282">
        <f t="shared" si="79"/>
        <v>0</v>
      </c>
      <c r="L282">
        <f t="shared" si="80"/>
        <v>0</v>
      </c>
      <c r="M282">
        <f t="shared" si="81"/>
        <v>0</v>
      </c>
      <c r="N282">
        <f t="shared" si="82"/>
        <v>0</v>
      </c>
      <c r="P282" s="11">
        <f t="shared" si="83"/>
        <v>0.23686651189492217</v>
      </c>
      <c r="Q282" s="11">
        <f t="shared" si="84"/>
        <v>0.21816304220262345</v>
      </c>
      <c r="R282" s="11">
        <f t="shared" si="85"/>
        <v>1.3122404758978688E-2</v>
      </c>
      <c r="S282" s="11">
        <f t="shared" si="86"/>
        <v>2.4870586811099073E-2</v>
      </c>
      <c r="T282" s="11">
        <f t="shared" si="87"/>
        <v>3.6003709808028167E-2</v>
      </c>
      <c r="U282" s="11">
        <f t="shared" si="88"/>
        <v>2.9452010697354168E-2</v>
      </c>
      <c r="W282">
        <f t="shared" si="89"/>
        <v>0</v>
      </c>
      <c r="X282">
        <f t="shared" si="90"/>
        <v>0</v>
      </c>
      <c r="Y282">
        <f t="shared" si="91"/>
        <v>0</v>
      </c>
      <c r="Z282">
        <f t="shared" si="92"/>
        <v>0</v>
      </c>
      <c r="AA282">
        <f t="shared" si="93"/>
        <v>0</v>
      </c>
      <c r="AB282">
        <f t="shared" si="94"/>
        <v>0</v>
      </c>
      <c r="AD282" s="11">
        <f t="shared" si="95"/>
        <v>1.4232285196781829</v>
      </c>
      <c r="AE282" s="11">
        <f t="shared" si="96"/>
        <v>0.55267706590787136</v>
      </c>
      <c r="AF282" s="11">
        <f t="shared" si="97"/>
        <v>7.8846859990171325E-2</v>
      </c>
      <c r="AG282" s="11">
        <f t="shared" si="98"/>
        <v>6.3005185513497333E-2</v>
      </c>
      <c r="AH282" s="11">
        <f t="shared" si="99"/>
        <v>0.2163307349910838</v>
      </c>
      <c r="AI282" s="11">
        <f t="shared" si="100"/>
        <v>7.4611403897562642E-2</v>
      </c>
      <c r="AJ282" s="11"/>
    </row>
    <row r="283" spans="1:36">
      <c r="A283" t="s">
        <v>497</v>
      </c>
      <c r="B283">
        <v>7.1495999999999999E-3</v>
      </c>
      <c r="C283">
        <v>0</v>
      </c>
      <c r="D283">
        <v>18173</v>
      </c>
      <c r="E283">
        <v>466424</v>
      </c>
      <c r="F283">
        <v>42048.5</v>
      </c>
      <c r="G283">
        <v>1626.4090000000001</v>
      </c>
      <c r="H283">
        <v>282137</v>
      </c>
      <c r="I283">
        <f t="shared" si="77"/>
        <v>0</v>
      </c>
      <c r="J283">
        <f t="shared" si="78"/>
        <v>0</v>
      </c>
      <c r="K283">
        <f t="shared" si="79"/>
        <v>0</v>
      </c>
      <c r="L283">
        <f t="shared" si="80"/>
        <v>0</v>
      </c>
      <c r="M283">
        <f t="shared" si="81"/>
        <v>0</v>
      </c>
      <c r="N283">
        <f t="shared" si="82"/>
        <v>0</v>
      </c>
      <c r="P283" s="11">
        <f t="shared" si="83"/>
        <v>0.27465011799614975</v>
      </c>
      <c r="Q283" s="11">
        <f t="shared" si="84"/>
        <v>0.25296317661793555</v>
      </c>
      <c r="R283" s="11">
        <f t="shared" si="85"/>
        <v>1.5215616536986696E-2</v>
      </c>
      <c r="S283" s="11">
        <f t="shared" si="86"/>
        <v>2.8837802134444653E-2</v>
      </c>
      <c r="T283" s="11">
        <f t="shared" si="87"/>
        <v>4.1746817935414758E-2</v>
      </c>
      <c r="U283" s="11">
        <f t="shared" si="88"/>
        <v>3.4150028843421304E-2</v>
      </c>
      <c r="W283">
        <f t="shared" si="89"/>
        <v>0</v>
      </c>
      <c r="X283">
        <f t="shared" si="90"/>
        <v>0</v>
      </c>
      <c r="Y283">
        <f t="shared" si="91"/>
        <v>0</v>
      </c>
      <c r="Z283">
        <f t="shared" si="92"/>
        <v>0</v>
      </c>
      <c r="AA283">
        <f t="shared" si="93"/>
        <v>0</v>
      </c>
      <c r="AB283">
        <f t="shared" si="94"/>
        <v>0</v>
      </c>
      <c r="AD283" s="11">
        <f t="shared" si="95"/>
        <v>0.58740439082825924</v>
      </c>
      <c r="AE283" s="11">
        <f t="shared" si="96"/>
        <v>0.22810457402706549</v>
      </c>
      <c r="AF283" s="11">
        <f t="shared" si="97"/>
        <v>3.254220325188556E-2</v>
      </c>
      <c r="AG283" s="11">
        <f t="shared" si="98"/>
        <v>2.6003921439085469E-2</v>
      </c>
      <c r="AH283" s="11">
        <f t="shared" si="99"/>
        <v>8.9285467405895408E-2</v>
      </c>
      <c r="AI283" s="11">
        <f t="shared" si="100"/>
        <v>3.0794117493653843E-2</v>
      </c>
      <c r="AJ283" s="11"/>
    </row>
    <row r="284" spans="1:36">
      <c r="A284" t="s">
        <v>498</v>
      </c>
      <c r="B284">
        <v>5.4443E-3</v>
      </c>
      <c r="C284">
        <v>0</v>
      </c>
      <c r="D284">
        <v>10897</v>
      </c>
      <c r="E284">
        <v>334562</v>
      </c>
      <c r="F284">
        <v>34542.33</v>
      </c>
      <c r="G284">
        <v>1710.9369999999999</v>
      </c>
      <c r="H284">
        <v>212887</v>
      </c>
      <c r="I284">
        <f t="shared" si="77"/>
        <v>0</v>
      </c>
      <c r="J284">
        <f t="shared" si="78"/>
        <v>0</v>
      </c>
      <c r="K284">
        <f t="shared" si="79"/>
        <v>0</v>
      </c>
      <c r="L284">
        <f t="shared" si="80"/>
        <v>0</v>
      </c>
      <c r="M284">
        <f t="shared" si="81"/>
        <v>0</v>
      </c>
      <c r="N284">
        <f t="shared" si="82"/>
        <v>0</v>
      </c>
      <c r="P284" s="11">
        <f t="shared" si="83"/>
        <v>0.19880890987219282</v>
      </c>
      <c r="Q284" s="11">
        <f t="shared" si="84"/>
        <v>0.18311054715047953</v>
      </c>
      <c r="R284" s="11">
        <f t="shared" si="85"/>
        <v>1.1014013606919481E-2</v>
      </c>
      <c r="S284" s="11">
        <f t="shared" si="86"/>
        <v>2.0874602375154667E-2</v>
      </c>
      <c r="T284" s="11">
        <f t="shared" si="87"/>
        <v>3.0218954300573309E-2</v>
      </c>
      <c r="U284" s="11">
        <f t="shared" si="88"/>
        <v>2.4719923865314738E-2</v>
      </c>
      <c r="W284">
        <f t="shared" si="89"/>
        <v>0</v>
      </c>
      <c r="X284">
        <f t="shared" si="90"/>
        <v>0</v>
      </c>
      <c r="Y284">
        <f t="shared" si="91"/>
        <v>0</v>
      </c>
      <c r="Z284">
        <f t="shared" si="92"/>
        <v>0</v>
      </c>
      <c r="AA284">
        <f t="shared" si="93"/>
        <v>0</v>
      </c>
      <c r="AB284">
        <f t="shared" si="94"/>
        <v>0</v>
      </c>
      <c r="AD284" s="11">
        <f t="shared" si="95"/>
        <v>0.62359377234097113</v>
      </c>
      <c r="AE284" s="11">
        <f t="shared" si="96"/>
        <v>0.24215786266969949</v>
      </c>
      <c r="AF284" s="11">
        <f t="shared" si="97"/>
        <v>3.4547094987689798E-2</v>
      </c>
      <c r="AG284" s="11">
        <f t="shared" si="98"/>
        <v>2.7605996344345744E-2</v>
      </c>
      <c r="AH284" s="11">
        <f t="shared" si="99"/>
        <v>9.4786253395827608E-2</v>
      </c>
      <c r="AI284" s="11">
        <f t="shared" si="100"/>
        <v>3.2691311460409433E-2</v>
      </c>
      <c r="AJ284" s="11"/>
    </row>
    <row r="285" spans="1:36">
      <c r="A285" t="s">
        <v>499</v>
      </c>
      <c r="B285">
        <v>5.2439000000000001E-3</v>
      </c>
      <c r="C285">
        <v>0</v>
      </c>
      <c r="D285">
        <v>16955</v>
      </c>
      <c r="E285">
        <v>549321</v>
      </c>
      <c r="F285">
        <v>31606.3</v>
      </c>
      <c r="G285">
        <v>2501.2950000000001</v>
      </c>
      <c r="H285">
        <v>322332</v>
      </c>
      <c r="I285">
        <f t="shared" si="77"/>
        <v>0</v>
      </c>
      <c r="J285">
        <f t="shared" si="78"/>
        <v>0</v>
      </c>
      <c r="K285">
        <f t="shared" si="79"/>
        <v>0</v>
      </c>
      <c r="L285">
        <f t="shared" si="80"/>
        <v>0</v>
      </c>
      <c r="M285">
        <f t="shared" si="81"/>
        <v>0</v>
      </c>
      <c r="N285">
        <f t="shared" si="82"/>
        <v>0</v>
      </c>
      <c r="P285" s="11">
        <f t="shared" si="83"/>
        <v>0.13098371387221419</v>
      </c>
      <c r="Q285" s="11">
        <f t="shared" si="84"/>
        <v>0.12064096891010455</v>
      </c>
      <c r="R285" s="11">
        <f t="shared" si="85"/>
        <v>7.2564977485206662E-3</v>
      </c>
      <c r="S285" s="11">
        <f t="shared" si="86"/>
        <v>1.375307045575192E-2</v>
      </c>
      <c r="T285" s="11">
        <f t="shared" si="87"/>
        <v>1.9909524508576557E-2</v>
      </c>
      <c r="U285" s="11">
        <f t="shared" si="88"/>
        <v>1.6286530802864116E-2</v>
      </c>
      <c r="W285">
        <f t="shared" si="89"/>
        <v>0</v>
      </c>
      <c r="X285">
        <f t="shared" si="90"/>
        <v>0</v>
      </c>
      <c r="Y285">
        <f t="shared" si="91"/>
        <v>0</v>
      </c>
      <c r="Z285">
        <f t="shared" si="92"/>
        <v>0</v>
      </c>
      <c r="AA285">
        <f t="shared" si="93"/>
        <v>0</v>
      </c>
      <c r="AB285">
        <f t="shared" si="94"/>
        <v>0</v>
      </c>
      <c r="AD285" s="11">
        <f t="shared" si="95"/>
        <v>0.36581754587867565</v>
      </c>
      <c r="AE285" s="11">
        <f t="shared" si="96"/>
        <v>0.1420565742735122</v>
      </c>
      <c r="AF285" s="11">
        <f t="shared" si="97"/>
        <v>2.0266292041678631E-2</v>
      </c>
      <c r="AG285" s="11">
        <f t="shared" si="98"/>
        <v>1.6194449467180391E-2</v>
      </c>
      <c r="AH285" s="11">
        <f t="shared" si="99"/>
        <v>5.5604266973558698E-2</v>
      </c>
      <c r="AI285" s="11">
        <f t="shared" si="100"/>
        <v>1.9177637526924148E-2</v>
      </c>
      <c r="AJ285" s="11"/>
    </row>
    <row r="286" spans="1:36">
      <c r="A286" t="s">
        <v>331</v>
      </c>
      <c r="B286">
        <v>2.68749E-2</v>
      </c>
      <c r="C286">
        <v>1.7026000000000001E-3</v>
      </c>
      <c r="D286">
        <v>194038</v>
      </c>
      <c r="E286">
        <v>3356637</v>
      </c>
      <c r="F286">
        <v>51606.48</v>
      </c>
      <c r="G286">
        <v>3449.1709999999998</v>
      </c>
      <c r="H286">
        <v>2306396</v>
      </c>
      <c r="I286">
        <f t="shared" si="77"/>
        <v>3.3547899399594863E-2</v>
      </c>
      <c r="J286">
        <f t="shared" si="78"/>
        <v>8.089392500400823E-2</v>
      </c>
      <c r="K286">
        <f t="shared" si="79"/>
        <v>1.8585536267375553E-3</v>
      </c>
      <c r="L286">
        <f t="shared" si="80"/>
        <v>9.2219074504569388E-3</v>
      </c>
      <c r="M286">
        <f t="shared" si="81"/>
        <v>5.099280708738419E-3</v>
      </c>
      <c r="N286">
        <f t="shared" si="82"/>
        <v>1.0920679875541111E-2</v>
      </c>
      <c r="P286" s="11">
        <f t="shared" si="83"/>
        <v>0.48681050887010247</v>
      </c>
      <c r="Q286" s="11">
        <f t="shared" si="84"/>
        <v>0.44837094421529111</v>
      </c>
      <c r="R286" s="11">
        <f t="shared" si="85"/>
        <v>2.6969302191403675E-2</v>
      </c>
      <c r="S286" s="11">
        <f t="shared" si="86"/>
        <v>5.1114287640543189E-2</v>
      </c>
      <c r="T286" s="11">
        <f t="shared" si="87"/>
        <v>7.3995197348255576E-2</v>
      </c>
      <c r="U286" s="11">
        <f t="shared" si="88"/>
        <v>6.0530077469064303E-2</v>
      </c>
      <c r="W286">
        <f t="shared" si="89"/>
        <v>0.18518645667302722</v>
      </c>
      <c r="X286">
        <f t="shared" si="90"/>
        <v>0.24548981877073392</v>
      </c>
      <c r="Y286">
        <f t="shared" si="91"/>
        <v>1.0259329699685708E-2</v>
      </c>
      <c r="Z286">
        <f t="shared" si="92"/>
        <v>2.7985839339863667E-2</v>
      </c>
      <c r="AA286">
        <f t="shared" si="93"/>
        <v>2.8148341414300136E-2</v>
      </c>
      <c r="AB286">
        <f t="shared" si="94"/>
        <v>3.3141125534049083E-2</v>
      </c>
      <c r="AD286" s="11">
        <f t="shared" si="95"/>
        <v>0.30681657117806299</v>
      </c>
      <c r="AE286" s="11">
        <f t="shared" si="96"/>
        <v>0.11914494403818465</v>
      </c>
      <c r="AF286" s="11">
        <f t="shared" si="97"/>
        <v>1.6997638043264689E-2</v>
      </c>
      <c r="AG286" s="11">
        <f t="shared" si="98"/>
        <v>1.3582523620353051E-2</v>
      </c>
      <c r="AH286" s="11">
        <f t="shared" si="99"/>
        <v>4.6636118819065576E-2</v>
      </c>
      <c r="AI286" s="11">
        <f t="shared" si="100"/>
        <v>1.6084567445154928E-2</v>
      </c>
      <c r="AJ286" s="11"/>
    </row>
    <row r="287" spans="1:36">
      <c r="A287" t="s">
        <v>500</v>
      </c>
      <c r="B287">
        <v>1.7691E-3</v>
      </c>
      <c r="C287">
        <v>0</v>
      </c>
      <c r="D287">
        <v>4079</v>
      </c>
      <c r="E287">
        <v>134293</v>
      </c>
      <c r="F287">
        <v>34252.230000000003</v>
      </c>
      <c r="G287">
        <v>846.12559999999996</v>
      </c>
      <c r="H287">
        <v>69017</v>
      </c>
      <c r="I287">
        <f t="shared" si="77"/>
        <v>0</v>
      </c>
      <c r="J287">
        <f t="shared" si="78"/>
        <v>0</v>
      </c>
      <c r="K287">
        <f t="shared" si="79"/>
        <v>0</v>
      </c>
      <c r="L287">
        <f t="shared" si="80"/>
        <v>0</v>
      </c>
      <c r="M287">
        <f t="shared" si="81"/>
        <v>0</v>
      </c>
      <c r="N287">
        <f t="shared" si="82"/>
        <v>0</v>
      </c>
      <c r="P287" s="11">
        <f t="shared" si="83"/>
        <v>0.13063073225771682</v>
      </c>
      <c r="Q287" s="11">
        <f t="shared" si="84"/>
        <v>0.12031585945396286</v>
      </c>
      <c r="R287" s="11">
        <f t="shared" si="85"/>
        <v>7.2369425670775114E-3</v>
      </c>
      <c r="S287" s="11">
        <f t="shared" si="86"/>
        <v>1.3716007977751767E-2</v>
      </c>
      <c r="T287" s="11">
        <f t="shared" si="87"/>
        <v>1.9855871303172956E-2</v>
      </c>
      <c r="U287" s="11">
        <f t="shared" si="88"/>
        <v>1.6242641026284987E-2</v>
      </c>
      <c r="W287">
        <f t="shared" si="89"/>
        <v>0</v>
      </c>
      <c r="X287">
        <f t="shared" si="90"/>
        <v>0</v>
      </c>
      <c r="Y287">
        <f t="shared" si="91"/>
        <v>0</v>
      </c>
      <c r="Z287">
        <f t="shared" si="92"/>
        <v>0</v>
      </c>
      <c r="AA287">
        <f t="shared" si="93"/>
        <v>0</v>
      </c>
      <c r="AB287">
        <f t="shared" si="94"/>
        <v>0</v>
      </c>
      <c r="AD287" s="11">
        <f t="shared" si="95"/>
        <v>0.50481858999188334</v>
      </c>
      <c r="AE287" s="11">
        <f t="shared" si="96"/>
        <v>0.19603433550892452</v>
      </c>
      <c r="AF287" s="11">
        <f t="shared" si="97"/>
        <v>2.7966949885550336E-2</v>
      </c>
      <c r="AG287" s="11">
        <f t="shared" si="98"/>
        <v>2.2347914248017395E-2</v>
      </c>
      <c r="AH287" s="11">
        <f t="shared" si="99"/>
        <v>7.6732425678766272E-2</v>
      </c>
      <c r="AI287" s="11">
        <f t="shared" si="100"/>
        <v>2.6464635293704811E-2</v>
      </c>
      <c r="AJ287" s="11"/>
    </row>
    <row r="288" spans="1:36">
      <c r="A288" t="s">
        <v>501</v>
      </c>
      <c r="B288">
        <v>6.1254999999999999E-3</v>
      </c>
      <c r="C288">
        <v>0</v>
      </c>
      <c r="D288">
        <v>4868</v>
      </c>
      <c r="E288">
        <v>114458</v>
      </c>
      <c r="F288">
        <v>35009.449999999997</v>
      </c>
      <c r="G288">
        <v>1449.5830000000001</v>
      </c>
      <c r="H288">
        <v>79209</v>
      </c>
      <c r="I288">
        <f t="shared" si="77"/>
        <v>0</v>
      </c>
      <c r="J288">
        <f t="shared" si="78"/>
        <v>0</v>
      </c>
      <c r="K288">
        <f t="shared" si="79"/>
        <v>0</v>
      </c>
      <c r="L288">
        <f t="shared" si="80"/>
        <v>0</v>
      </c>
      <c r="M288">
        <f t="shared" si="81"/>
        <v>0</v>
      </c>
      <c r="N288">
        <f t="shared" si="82"/>
        <v>0</v>
      </c>
      <c r="P288" s="11">
        <f t="shared" si="83"/>
        <v>0.26401358290625648</v>
      </c>
      <c r="Q288" s="11">
        <f t="shared" si="84"/>
        <v>0.24316652433837865</v>
      </c>
      <c r="R288" s="11">
        <f t="shared" si="85"/>
        <v>1.4626352493006608E-2</v>
      </c>
      <c r="S288" s="11">
        <f t="shared" si="86"/>
        <v>2.7720983774575169E-2</v>
      </c>
      <c r="T288" s="11">
        <f t="shared" si="87"/>
        <v>4.0130064601750982E-2</v>
      </c>
      <c r="U288" s="11">
        <f t="shared" si="88"/>
        <v>3.2827480785681123E-2</v>
      </c>
      <c r="W288">
        <f t="shared" si="89"/>
        <v>0</v>
      </c>
      <c r="X288">
        <f t="shared" si="90"/>
        <v>0</v>
      </c>
      <c r="Y288">
        <f t="shared" si="91"/>
        <v>0</v>
      </c>
      <c r="Z288">
        <f t="shared" si="92"/>
        <v>0</v>
      </c>
      <c r="AA288">
        <f t="shared" si="93"/>
        <v>0</v>
      </c>
      <c r="AB288">
        <f t="shared" si="94"/>
        <v>0</v>
      </c>
      <c r="AD288" s="11">
        <f t="shared" si="95"/>
        <v>2.0508397381825643</v>
      </c>
      <c r="AE288" s="11">
        <f t="shared" si="96"/>
        <v>0.79639500858393475</v>
      </c>
      <c r="AF288" s="11">
        <f t="shared" si="97"/>
        <v>0.11361652149531405</v>
      </c>
      <c r="AG288" s="11">
        <f t="shared" si="98"/>
        <v>9.0789030978568566E-2</v>
      </c>
      <c r="AH288" s="11">
        <f t="shared" si="99"/>
        <v>0.31172764020374977</v>
      </c>
      <c r="AI288" s="11">
        <f t="shared" si="100"/>
        <v>0.1075133261588312</v>
      </c>
      <c r="AJ288" s="11"/>
    </row>
    <row r="289" spans="1:36">
      <c r="A289" t="s">
        <v>502</v>
      </c>
      <c r="B289">
        <v>9.6449999999999997E-4</v>
      </c>
      <c r="C289">
        <v>0</v>
      </c>
      <c r="D289">
        <v>2850</v>
      </c>
      <c r="E289">
        <v>118786</v>
      </c>
      <c r="F289">
        <v>32448.17</v>
      </c>
      <c r="G289">
        <v>747.45309999999995</v>
      </c>
      <c r="H289">
        <v>59552</v>
      </c>
      <c r="I289">
        <f t="shared" si="77"/>
        <v>0</v>
      </c>
      <c r="J289">
        <f t="shared" si="78"/>
        <v>0</v>
      </c>
      <c r="K289">
        <f t="shared" si="79"/>
        <v>0</v>
      </c>
      <c r="L289">
        <f t="shared" si="80"/>
        <v>0</v>
      </c>
      <c r="M289">
        <f t="shared" si="81"/>
        <v>0</v>
      </c>
      <c r="N289">
        <f t="shared" si="82"/>
        <v>0</v>
      </c>
      <c r="P289" s="11">
        <f t="shared" si="83"/>
        <v>8.0620613453874237E-2</v>
      </c>
      <c r="Q289" s="11">
        <f t="shared" si="84"/>
        <v>7.4254643067237266E-2</v>
      </c>
      <c r="R289" s="11">
        <f t="shared" si="85"/>
        <v>4.4663819853446324E-3</v>
      </c>
      <c r="S289" s="11">
        <f t="shared" si="86"/>
        <v>8.4650293096650495E-3</v>
      </c>
      <c r="T289" s="11">
        <f t="shared" si="87"/>
        <v>1.2254333244988884E-2</v>
      </c>
      <c r="U289" s="11">
        <f t="shared" si="88"/>
        <v>1.0024376814077031E-2</v>
      </c>
      <c r="W289">
        <f t="shared" si="89"/>
        <v>0</v>
      </c>
      <c r="X289">
        <f t="shared" si="90"/>
        <v>0</v>
      </c>
      <c r="Y289">
        <f t="shared" si="91"/>
        <v>0</v>
      </c>
      <c r="Z289">
        <f t="shared" si="92"/>
        <v>0</v>
      </c>
      <c r="AA289">
        <f t="shared" si="93"/>
        <v>0</v>
      </c>
      <c r="AB289">
        <f t="shared" si="94"/>
        <v>0</v>
      </c>
      <c r="AD289" s="11">
        <f t="shared" si="95"/>
        <v>0.31115250845301634</v>
      </c>
      <c r="AE289" s="11">
        <f t="shared" si="96"/>
        <v>0.1208287025196572</v>
      </c>
      <c r="AF289" s="11">
        <f t="shared" si="97"/>
        <v>1.7237848968297106E-2</v>
      </c>
      <c r="AG289" s="11">
        <f t="shared" si="98"/>
        <v>1.3774472087240922E-2</v>
      </c>
      <c r="AH289" s="11">
        <f t="shared" si="99"/>
        <v>4.7295181284858483E-2</v>
      </c>
      <c r="AI289" s="11">
        <f t="shared" si="100"/>
        <v>1.6311874840153725E-2</v>
      </c>
      <c r="AJ289" s="11"/>
    </row>
    <row r="290" spans="1:36">
      <c r="A290" t="s">
        <v>503</v>
      </c>
      <c r="B290">
        <v>4.6715999999999997E-3</v>
      </c>
      <c r="C290">
        <v>0</v>
      </c>
      <c r="D290">
        <v>19604</v>
      </c>
      <c r="E290">
        <v>389389</v>
      </c>
      <c r="F290">
        <v>33095.78</v>
      </c>
      <c r="G290">
        <v>901.35580000000004</v>
      </c>
      <c r="H290">
        <v>239993</v>
      </c>
      <c r="I290">
        <f t="shared" si="77"/>
        <v>0</v>
      </c>
      <c r="J290">
        <f t="shared" si="78"/>
        <v>0</v>
      </c>
      <c r="K290">
        <f t="shared" si="79"/>
        <v>0</v>
      </c>
      <c r="L290">
        <f t="shared" si="80"/>
        <v>0</v>
      </c>
      <c r="M290">
        <f t="shared" si="81"/>
        <v>0</v>
      </c>
      <c r="N290">
        <f t="shared" si="82"/>
        <v>0</v>
      </c>
      <c r="P290" s="11">
        <f t="shared" si="83"/>
        <v>0.32381518148549104</v>
      </c>
      <c r="Q290" s="11">
        <f t="shared" si="84"/>
        <v>0.29824606500562817</v>
      </c>
      <c r="R290" s="11">
        <f t="shared" si="85"/>
        <v>1.7939361054296204E-2</v>
      </c>
      <c r="S290" s="11">
        <f t="shared" si="86"/>
        <v>3.4000051410641614E-2</v>
      </c>
      <c r="T290" s="11">
        <f t="shared" si="87"/>
        <v>4.9219907585794635E-2</v>
      </c>
      <c r="U290" s="11">
        <f t="shared" si="88"/>
        <v>4.0263218775759807E-2</v>
      </c>
      <c r="W290">
        <f t="shared" si="89"/>
        <v>0</v>
      </c>
      <c r="X290">
        <f t="shared" si="90"/>
        <v>0</v>
      </c>
      <c r="Y290">
        <f t="shared" si="91"/>
        <v>0</v>
      </c>
      <c r="Z290">
        <f t="shared" si="92"/>
        <v>0</v>
      </c>
      <c r="AA290">
        <f t="shared" si="93"/>
        <v>0</v>
      </c>
      <c r="AB290">
        <f t="shared" si="94"/>
        <v>0</v>
      </c>
      <c r="AD290" s="11">
        <f t="shared" si="95"/>
        <v>0.45974636447172357</v>
      </c>
      <c r="AE290" s="11">
        <f t="shared" si="96"/>
        <v>0.17853160491436582</v>
      </c>
      <c r="AF290" s="11">
        <f t="shared" si="97"/>
        <v>2.5469948591733484E-2</v>
      </c>
      <c r="AG290" s="11">
        <f t="shared" si="98"/>
        <v>2.0352602960237703E-2</v>
      </c>
      <c r="AH290" s="11">
        <f t="shared" si="99"/>
        <v>6.9881447399701979E-2</v>
      </c>
      <c r="AI290" s="11">
        <f t="shared" si="100"/>
        <v>2.4101766663439387E-2</v>
      </c>
      <c r="AJ290" s="11"/>
    </row>
    <row r="291" spans="1:36">
      <c r="A291" t="s">
        <v>504</v>
      </c>
      <c r="B291">
        <v>4.875E-3</v>
      </c>
      <c r="C291">
        <v>0</v>
      </c>
      <c r="D291">
        <v>5817</v>
      </c>
      <c r="E291">
        <v>142764</v>
      </c>
      <c r="F291">
        <v>32321.68</v>
      </c>
      <c r="G291">
        <v>1002.984</v>
      </c>
      <c r="H291">
        <v>95115</v>
      </c>
      <c r="I291">
        <f t="shared" ref="I291:I336" si="101">+$B$17*C291/G291</f>
        <v>0</v>
      </c>
      <c r="J291">
        <f t="shared" ref="J291:J336" si="102">+$C$17*C291/G291</f>
        <v>0</v>
      </c>
      <c r="K291">
        <f t="shared" ref="K291:K336" si="103">+I291*$B$12</f>
        <v>0</v>
      </c>
      <c r="L291">
        <f t="shared" ref="L291:L336" si="104">+J291*$D$12</f>
        <v>0</v>
      </c>
      <c r="M291">
        <f t="shared" ref="M291:M336" si="105">+I291*$C$12</f>
        <v>0</v>
      </c>
      <c r="N291">
        <f t="shared" ref="N291:N336" si="106">+J291*$E$12</f>
        <v>0</v>
      </c>
      <c r="P291" s="11">
        <f t="shared" ref="P291:P336" si="107">+$B$25*B291/G291</f>
        <v>0.3036745725754349</v>
      </c>
      <c r="Q291" s="11">
        <f t="shared" ref="Q291:Q336" si="108">+B291/G291*$C$25</f>
        <v>0.27969580023210738</v>
      </c>
      <c r="R291" s="11">
        <f t="shared" ref="R291:R336" si="109">+P291*$B$12</f>
        <v>1.6823571320679093E-2</v>
      </c>
      <c r="S291" s="11">
        <f t="shared" ref="S291:S336" si="110">+Q291*$D$12</f>
        <v>3.1885321226460241E-2</v>
      </c>
      <c r="T291" s="11">
        <f t="shared" ref="T291:T336" si="111">+P291*$C$12</f>
        <v>4.6158535031466101E-2</v>
      </c>
      <c r="U291" s="11">
        <f t="shared" ref="U291:U336" si="112">+Q291*$E$12</f>
        <v>3.7758933031334499E-2</v>
      </c>
      <c r="W291">
        <f t="shared" ref="W291:W336" si="113">+$E$17*C291/E291</f>
        <v>0</v>
      </c>
      <c r="X291">
        <f t="shared" ref="X291:X336" si="114">+$F$17*C291/E291</f>
        <v>0</v>
      </c>
      <c r="Y291">
        <f t="shared" ref="Y291:Y336" si="115">+W291*$B$12</f>
        <v>0</v>
      </c>
      <c r="Z291">
        <f t="shared" ref="Z291:Z336" si="116">+X291*$D$12</f>
        <v>0</v>
      </c>
      <c r="AA291">
        <f t="shared" ref="AA291:AA336" si="117">+W291*$C$12</f>
        <v>0</v>
      </c>
      <c r="AB291">
        <f t="shared" ref="AB291:AB336" si="118">+X291*$E$12</f>
        <v>0</v>
      </c>
      <c r="AD291" s="11">
        <f t="shared" ref="AD291:AD336" si="119">+$E$25*B291/E291</f>
        <v>1.3085557950533748</v>
      </c>
      <c r="AE291" s="11">
        <f t="shared" ref="AE291:AE336" si="120">+B291/E291*$F$25</f>
        <v>0.50814663097839796</v>
      </c>
      <c r="AF291" s="11">
        <f t="shared" ref="AF291:AF336" si="121">+AD291*$B$12</f>
        <v>7.2493991045956968E-2</v>
      </c>
      <c r="AG291" s="11">
        <f t="shared" ref="AG291:AG336" si="122">+AE291*$D$12</f>
        <v>5.7928715931537367E-2</v>
      </c>
      <c r="AH291" s="11">
        <f t="shared" ref="AH291:AH336" si="123">+AD291*$C$12</f>
        <v>0.19890048084811296</v>
      </c>
      <c r="AI291" s="11">
        <f t="shared" ref="AI291:AI336" si="124">+AE291*$E$12</f>
        <v>6.8599795182083728E-2</v>
      </c>
      <c r="AJ291" s="11"/>
    </row>
    <row r="292" spans="1:36">
      <c r="A292" t="s">
        <v>505</v>
      </c>
      <c r="B292">
        <v>3.5839000000000001E-3</v>
      </c>
      <c r="C292">
        <v>0</v>
      </c>
      <c r="D292">
        <v>13366</v>
      </c>
      <c r="E292">
        <v>233503</v>
      </c>
      <c r="F292">
        <v>35230.29</v>
      </c>
      <c r="G292">
        <v>1784.328</v>
      </c>
      <c r="H292">
        <v>176693</v>
      </c>
      <c r="I292">
        <f t="shared" si="101"/>
        <v>0</v>
      </c>
      <c r="J292">
        <f t="shared" si="102"/>
        <v>0</v>
      </c>
      <c r="K292">
        <f t="shared" si="103"/>
        <v>0</v>
      </c>
      <c r="L292">
        <f t="shared" si="104"/>
        <v>0</v>
      </c>
      <c r="M292">
        <f t="shared" si="105"/>
        <v>0</v>
      </c>
      <c r="N292">
        <f t="shared" si="106"/>
        <v>0</v>
      </c>
      <c r="P292" s="11">
        <f t="shared" si="107"/>
        <v>0.12548996742190899</v>
      </c>
      <c r="Q292" s="11">
        <f t="shared" si="108"/>
        <v>0.11558102004227921</v>
      </c>
      <c r="R292" s="11">
        <f t="shared" si="109"/>
        <v>6.9521441951737577E-3</v>
      </c>
      <c r="S292" s="11">
        <f t="shared" si="110"/>
        <v>1.317623628481983E-2</v>
      </c>
      <c r="T292" s="11">
        <f t="shared" si="111"/>
        <v>1.9074475048130167E-2</v>
      </c>
      <c r="U292" s="11">
        <f t="shared" si="112"/>
        <v>1.5603437705707695E-2</v>
      </c>
      <c r="W292">
        <f t="shared" si="113"/>
        <v>0</v>
      </c>
      <c r="X292">
        <f t="shared" si="114"/>
        <v>0</v>
      </c>
      <c r="Y292">
        <f t="shared" si="115"/>
        <v>0</v>
      </c>
      <c r="Z292">
        <f t="shared" si="116"/>
        <v>0</v>
      </c>
      <c r="AA292">
        <f t="shared" si="117"/>
        <v>0</v>
      </c>
      <c r="AB292">
        <f t="shared" si="118"/>
        <v>0</v>
      </c>
      <c r="AD292" s="11">
        <f t="shared" si="119"/>
        <v>0.58816577727746533</v>
      </c>
      <c r="AE292" s="11">
        <f t="shared" si="120"/>
        <v>0.22840024041018747</v>
      </c>
      <c r="AF292" s="11">
        <f t="shared" si="121"/>
        <v>3.2584384061171576E-2</v>
      </c>
      <c r="AG292" s="11">
        <f t="shared" si="122"/>
        <v>2.6037627406761372E-2</v>
      </c>
      <c r="AH292" s="11">
        <f t="shared" si="123"/>
        <v>8.9401198146174726E-2</v>
      </c>
      <c r="AI292" s="11">
        <f t="shared" si="124"/>
        <v>3.0834032455375311E-2</v>
      </c>
      <c r="AJ292" s="11"/>
    </row>
    <row r="293" spans="1:36">
      <c r="A293" t="s">
        <v>506</v>
      </c>
      <c r="B293">
        <v>5.4584000000000004E-3</v>
      </c>
      <c r="C293">
        <v>0</v>
      </c>
      <c r="D293">
        <v>11351</v>
      </c>
      <c r="E293">
        <v>318129</v>
      </c>
      <c r="F293">
        <v>34269.46</v>
      </c>
      <c r="G293">
        <v>1270.9190000000001</v>
      </c>
      <c r="H293">
        <v>173864</v>
      </c>
      <c r="I293">
        <f t="shared" si="101"/>
        <v>0</v>
      </c>
      <c r="J293">
        <f t="shared" si="102"/>
        <v>0</v>
      </c>
      <c r="K293">
        <f t="shared" si="103"/>
        <v>0</v>
      </c>
      <c r="L293">
        <f t="shared" si="104"/>
        <v>0</v>
      </c>
      <c r="M293">
        <f t="shared" si="105"/>
        <v>0</v>
      </c>
      <c r="N293">
        <f t="shared" si="106"/>
        <v>0</v>
      </c>
      <c r="P293" s="11">
        <f t="shared" si="107"/>
        <v>0.2683337498613208</v>
      </c>
      <c r="Q293" s="11">
        <f t="shared" si="108"/>
        <v>0.2471455619752321</v>
      </c>
      <c r="R293" s="11">
        <f t="shared" si="109"/>
        <v>1.4865689742317173E-2</v>
      </c>
      <c r="S293" s="11">
        <f t="shared" si="110"/>
        <v>2.8174594065176462E-2</v>
      </c>
      <c r="T293" s="11">
        <f t="shared" si="111"/>
        <v>4.0786729978920758E-2</v>
      </c>
      <c r="U293" s="11">
        <f t="shared" si="112"/>
        <v>3.3364650866656333E-2</v>
      </c>
      <c r="W293">
        <f t="shared" si="113"/>
        <v>0</v>
      </c>
      <c r="X293">
        <f t="shared" si="114"/>
        <v>0</v>
      </c>
      <c r="Y293">
        <f t="shared" si="115"/>
        <v>0</v>
      </c>
      <c r="Z293">
        <f t="shared" si="116"/>
        <v>0</v>
      </c>
      <c r="AA293">
        <f t="shared" si="117"/>
        <v>0</v>
      </c>
      <c r="AB293">
        <f t="shared" si="118"/>
        <v>0</v>
      </c>
      <c r="AD293" s="11">
        <f t="shared" si="119"/>
        <v>0.65750404753643965</v>
      </c>
      <c r="AE293" s="11">
        <f t="shared" si="120"/>
        <v>0.25532611438755981</v>
      </c>
      <c r="AF293" s="11">
        <f t="shared" si="121"/>
        <v>3.6425724233518753E-2</v>
      </c>
      <c r="AG293" s="11">
        <f t="shared" si="122"/>
        <v>2.9107177040181821E-2</v>
      </c>
      <c r="AH293" s="11">
        <f t="shared" si="123"/>
        <v>9.994061522553882E-2</v>
      </c>
      <c r="AI293" s="11">
        <f t="shared" si="124"/>
        <v>3.4469025442320576E-2</v>
      </c>
      <c r="AJ293" s="11"/>
    </row>
    <row r="294" spans="1:36">
      <c r="A294" t="s">
        <v>507</v>
      </c>
      <c r="B294">
        <v>1.3913E-3</v>
      </c>
      <c r="C294">
        <v>0</v>
      </c>
      <c r="D294">
        <v>8900</v>
      </c>
      <c r="E294">
        <v>282520</v>
      </c>
      <c r="F294">
        <v>37056.980000000003</v>
      </c>
      <c r="G294">
        <v>1300.7360000000001</v>
      </c>
      <c r="H294">
        <v>157940</v>
      </c>
      <c r="I294">
        <f t="shared" si="101"/>
        <v>0</v>
      </c>
      <c r="J294">
        <f t="shared" si="102"/>
        <v>0</v>
      </c>
      <c r="K294">
        <f t="shared" si="103"/>
        <v>0</v>
      </c>
      <c r="L294">
        <f t="shared" si="104"/>
        <v>0</v>
      </c>
      <c r="M294">
        <f t="shared" si="105"/>
        <v>0</v>
      </c>
      <c r="N294">
        <f t="shared" si="106"/>
        <v>0</v>
      </c>
      <c r="P294" s="11">
        <f t="shared" si="107"/>
        <v>6.6828150008918022E-2</v>
      </c>
      <c r="Q294" s="11">
        <f t="shared" si="108"/>
        <v>6.1551261062967419E-2</v>
      </c>
      <c r="R294" s="11">
        <f t="shared" si="109"/>
        <v>3.7022795104940582E-3</v>
      </c>
      <c r="S294" s="11">
        <f t="shared" si="110"/>
        <v>7.0168437611782862E-3</v>
      </c>
      <c r="T294" s="11">
        <f t="shared" si="111"/>
        <v>1.015787880135554E-2</v>
      </c>
      <c r="U294" s="11">
        <f t="shared" si="112"/>
        <v>8.3094202435006013E-3</v>
      </c>
      <c r="W294">
        <f t="shared" si="113"/>
        <v>0</v>
      </c>
      <c r="X294">
        <f t="shared" si="114"/>
        <v>0</v>
      </c>
      <c r="Y294">
        <f t="shared" si="115"/>
        <v>0</v>
      </c>
      <c r="Z294">
        <f t="shared" si="116"/>
        <v>0</v>
      </c>
      <c r="AA294">
        <f t="shared" si="117"/>
        <v>0</v>
      </c>
      <c r="AB294">
        <f t="shared" si="118"/>
        <v>0</v>
      </c>
      <c r="AD294" s="11">
        <f t="shared" si="119"/>
        <v>0.18871565129739487</v>
      </c>
      <c r="AE294" s="11">
        <f t="shared" si="120"/>
        <v>7.3283250727382135E-2</v>
      </c>
      <c r="AF294" s="11">
        <f t="shared" si="121"/>
        <v>1.0454847081875676E-2</v>
      </c>
      <c r="AG294" s="11">
        <f t="shared" si="122"/>
        <v>8.3542905829215638E-3</v>
      </c>
      <c r="AH294" s="11">
        <f t="shared" si="123"/>
        <v>2.8684778997204018E-2</v>
      </c>
      <c r="AI294" s="11">
        <f t="shared" si="124"/>
        <v>9.893238848196588E-3</v>
      </c>
      <c r="AJ294" s="11"/>
    </row>
    <row r="295" spans="1:36">
      <c r="A295" t="s">
        <v>508</v>
      </c>
      <c r="B295">
        <v>1.3455E-2</v>
      </c>
      <c r="C295">
        <v>0</v>
      </c>
      <c r="D295">
        <v>14912</v>
      </c>
      <c r="E295">
        <v>462408</v>
      </c>
      <c r="F295">
        <v>36279.089999999997</v>
      </c>
      <c r="G295">
        <v>2071.498</v>
      </c>
      <c r="H295">
        <v>282327</v>
      </c>
      <c r="I295">
        <f t="shared" si="101"/>
        <v>0</v>
      </c>
      <c r="J295">
        <f t="shared" si="102"/>
        <v>0</v>
      </c>
      <c r="K295">
        <f t="shared" si="103"/>
        <v>0</v>
      </c>
      <c r="L295">
        <f t="shared" si="104"/>
        <v>0</v>
      </c>
      <c r="M295">
        <f t="shared" si="105"/>
        <v>0</v>
      </c>
      <c r="N295">
        <f t="shared" si="106"/>
        <v>0</v>
      </c>
      <c r="P295" s="11">
        <f t="shared" si="107"/>
        <v>0.40581397399369923</v>
      </c>
      <c r="Q295" s="11">
        <f t="shared" si="108"/>
        <v>0.37377006325856937</v>
      </c>
      <c r="R295" s="11">
        <f t="shared" si="109"/>
        <v>2.2482094159250936E-2</v>
      </c>
      <c r="S295" s="11">
        <f t="shared" si="110"/>
        <v>4.2609787211476909E-2</v>
      </c>
      <c r="T295" s="11">
        <f t="shared" si="111"/>
        <v>6.1683724047042282E-2</v>
      </c>
      <c r="U295" s="11">
        <f t="shared" si="112"/>
        <v>5.0458958539906867E-2</v>
      </c>
      <c r="W295">
        <f t="shared" si="113"/>
        <v>0</v>
      </c>
      <c r="X295">
        <f t="shared" si="114"/>
        <v>0</v>
      </c>
      <c r="Y295">
        <f t="shared" si="115"/>
        <v>0</v>
      </c>
      <c r="Z295">
        <f t="shared" si="116"/>
        <v>0</v>
      </c>
      <c r="AA295">
        <f t="shared" si="117"/>
        <v>0</v>
      </c>
      <c r="AB295">
        <f t="shared" si="118"/>
        <v>0</v>
      </c>
      <c r="AD295" s="11">
        <f t="shared" si="119"/>
        <v>1.1150509080487361</v>
      </c>
      <c r="AE295" s="11">
        <f t="shared" si="120"/>
        <v>0.43300359406627914</v>
      </c>
      <c r="AF295" s="11">
        <f t="shared" si="121"/>
        <v>6.1773820305899979E-2</v>
      </c>
      <c r="AG295" s="11">
        <f t="shared" si="122"/>
        <v>4.9362409723555822E-2</v>
      </c>
      <c r="AH295" s="11">
        <f t="shared" si="123"/>
        <v>0.16948773802340789</v>
      </c>
      <c r="AI295" s="11">
        <f t="shared" si="124"/>
        <v>5.8455485198947686E-2</v>
      </c>
      <c r="AJ295" s="11"/>
    </row>
    <row r="296" spans="1:36">
      <c r="A296" t="s">
        <v>509</v>
      </c>
      <c r="B296">
        <v>8.4802000000000002E-3</v>
      </c>
      <c r="C296">
        <v>0</v>
      </c>
      <c r="D296">
        <v>6374</v>
      </c>
      <c r="E296">
        <v>207305</v>
      </c>
      <c r="F296">
        <v>34693.75</v>
      </c>
      <c r="G296">
        <v>1755.325</v>
      </c>
      <c r="H296">
        <v>138600</v>
      </c>
      <c r="I296">
        <f t="shared" si="101"/>
        <v>0</v>
      </c>
      <c r="J296">
        <f t="shared" si="102"/>
        <v>0</v>
      </c>
      <c r="K296">
        <f t="shared" si="103"/>
        <v>0</v>
      </c>
      <c r="L296">
        <f t="shared" si="104"/>
        <v>0</v>
      </c>
      <c r="M296">
        <f t="shared" si="105"/>
        <v>0</v>
      </c>
      <c r="N296">
        <f t="shared" si="106"/>
        <v>0</v>
      </c>
      <c r="P296" s="11">
        <f t="shared" si="107"/>
        <v>0.30183970696024953</v>
      </c>
      <c r="Q296" s="11">
        <f t="shared" si="108"/>
        <v>0.27800581940096564</v>
      </c>
      <c r="R296" s="11">
        <f t="shared" si="109"/>
        <v>1.6721919765597823E-2</v>
      </c>
      <c r="S296" s="11">
        <f t="shared" si="110"/>
        <v>3.1692663411710086E-2</v>
      </c>
      <c r="T296" s="11">
        <f t="shared" si="111"/>
        <v>4.587963545795793E-2</v>
      </c>
      <c r="U296" s="11">
        <f t="shared" si="112"/>
        <v>3.7530785619130362E-2</v>
      </c>
      <c r="W296">
        <f t="shared" si="113"/>
        <v>0</v>
      </c>
      <c r="X296">
        <f t="shared" si="114"/>
        <v>0</v>
      </c>
      <c r="Y296">
        <f t="shared" si="115"/>
        <v>0</v>
      </c>
      <c r="Z296">
        <f t="shared" si="116"/>
        <v>0</v>
      </c>
      <c r="AA296">
        <f t="shared" si="117"/>
        <v>0</v>
      </c>
      <c r="AB296">
        <f t="shared" si="118"/>
        <v>0</v>
      </c>
      <c r="AD296" s="11">
        <f t="shared" si="119"/>
        <v>1.5675906002033717</v>
      </c>
      <c r="AE296" s="11">
        <f t="shared" si="120"/>
        <v>0.60873665858035264</v>
      </c>
      <c r="AF296" s="11">
        <f t="shared" si="121"/>
        <v>8.6844519251266794E-2</v>
      </c>
      <c r="AG296" s="11">
        <f t="shared" si="122"/>
        <v>6.9395979078160197E-2</v>
      </c>
      <c r="AH296" s="11">
        <f t="shared" si="123"/>
        <v>0.23827377123091251</v>
      </c>
      <c r="AI296" s="11">
        <f t="shared" si="124"/>
        <v>8.2179448908347608E-2</v>
      </c>
      <c r="AJ296" s="11"/>
    </row>
    <row r="297" spans="1:36">
      <c r="A297" t="s">
        <v>510</v>
      </c>
      <c r="B297">
        <v>1.5024000000000001E-3</v>
      </c>
      <c r="C297">
        <v>0</v>
      </c>
      <c r="D297">
        <v>12666</v>
      </c>
      <c r="E297">
        <v>426125</v>
      </c>
      <c r="F297">
        <v>30982.34</v>
      </c>
      <c r="G297">
        <v>1673.2919999999999</v>
      </c>
      <c r="H297">
        <v>270951</v>
      </c>
      <c r="I297">
        <f t="shared" si="101"/>
        <v>0</v>
      </c>
      <c r="J297">
        <f t="shared" si="102"/>
        <v>0</v>
      </c>
      <c r="K297">
        <f t="shared" si="103"/>
        <v>0</v>
      </c>
      <c r="L297">
        <f t="shared" si="104"/>
        <v>0</v>
      </c>
      <c r="M297">
        <f t="shared" si="105"/>
        <v>0</v>
      </c>
      <c r="N297">
        <f t="shared" si="106"/>
        <v>0</v>
      </c>
      <c r="P297" s="11">
        <f t="shared" si="107"/>
        <v>5.60972606335296E-2</v>
      </c>
      <c r="Q297" s="11">
        <f t="shared" si="108"/>
        <v>5.16677049074519E-2</v>
      </c>
      <c r="R297" s="11">
        <f t="shared" si="109"/>
        <v>3.1077882390975397E-3</v>
      </c>
      <c r="S297" s="11">
        <f t="shared" si="110"/>
        <v>5.8901183594495168E-3</v>
      </c>
      <c r="T297" s="11">
        <f t="shared" si="111"/>
        <v>8.5267836162964995E-3</v>
      </c>
      <c r="U297" s="11">
        <f t="shared" si="112"/>
        <v>6.9751401625060072E-3</v>
      </c>
      <c r="W297">
        <f t="shared" si="113"/>
        <v>0</v>
      </c>
      <c r="X297">
        <f t="shared" si="114"/>
        <v>0</v>
      </c>
      <c r="Y297">
        <f t="shared" si="115"/>
        <v>0</v>
      </c>
      <c r="Z297">
        <f t="shared" si="116"/>
        <v>0</v>
      </c>
      <c r="AA297">
        <f t="shared" si="117"/>
        <v>0</v>
      </c>
      <c r="AB297">
        <f t="shared" si="118"/>
        <v>0</v>
      </c>
      <c r="AD297" s="11">
        <f t="shared" si="119"/>
        <v>0.1351091909508243</v>
      </c>
      <c r="AE297" s="11">
        <f t="shared" si="120"/>
        <v>5.2466452294514528E-2</v>
      </c>
      <c r="AF297" s="11">
        <f t="shared" si="121"/>
        <v>7.485049178675666E-3</v>
      </c>
      <c r="AG297" s="11">
        <f t="shared" si="122"/>
        <v>5.9811755615746566E-3</v>
      </c>
      <c r="AH297" s="11">
        <f t="shared" si="123"/>
        <v>2.0536597024525292E-2</v>
      </c>
      <c r="AI297" s="11">
        <f t="shared" si="124"/>
        <v>7.0829710597594617E-3</v>
      </c>
      <c r="AJ297" s="11"/>
    </row>
    <row r="298" spans="1:36">
      <c r="A298" t="s">
        <v>511</v>
      </c>
      <c r="B298">
        <v>2.8533E-3</v>
      </c>
      <c r="C298">
        <v>0</v>
      </c>
      <c r="D298">
        <v>3072</v>
      </c>
      <c r="E298">
        <v>139818</v>
      </c>
      <c r="F298">
        <v>31100.98</v>
      </c>
      <c r="G298">
        <v>1096.127</v>
      </c>
      <c r="H298">
        <v>67417</v>
      </c>
      <c r="I298">
        <f t="shared" si="101"/>
        <v>0</v>
      </c>
      <c r="J298">
        <f t="shared" si="102"/>
        <v>0</v>
      </c>
      <c r="K298">
        <f t="shared" si="103"/>
        <v>0</v>
      </c>
      <c r="L298">
        <f t="shared" si="104"/>
        <v>0</v>
      </c>
      <c r="M298">
        <f t="shared" si="105"/>
        <v>0</v>
      </c>
      <c r="N298">
        <f t="shared" si="106"/>
        <v>0</v>
      </c>
      <c r="P298" s="11">
        <f t="shared" si="107"/>
        <v>0.16263513509839644</v>
      </c>
      <c r="Q298" s="11">
        <f t="shared" si="108"/>
        <v>0.14979312845135645</v>
      </c>
      <c r="R298" s="11">
        <f t="shared" si="109"/>
        <v>9.0099864844511626E-3</v>
      </c>
      <c r="S298" s="11">
        <f t="shared" si="110"/>
        <v>1.7076416643454637E-2</v>
      </c>
      <c r="T298" s="11">
        <f t="shared" si="111"/>
        <v>2.4720540534956259E-2</v>
      </c>
      <c r="U298" s="11">
        <f t="shared" si="112"/>
        <v>2.0222072340933123E-2</v>
      </c>
      <c r="W298">
        <f t="shared" si="113"/>
        <v>0</v>
      </c>
      <c r="X298">
        <f t="shared" si="114"/>
        <v>0</v>
      </c>
      <c r="Y298">
        <f t="shared" si="115"/>
        <v>0</v>
      </c>
      <c r="Z298">
        <f t="shared" si="116"/>
        <v>0</v>
      </c>
      <c r="AA298">
        <f t="shared" si="117"/>
        <v>0</v>
      </c>
      <c r="AB298">
        <f t="shared" si="118"/>
        <v>0</v>
      </c>
      <c r="AD298" s="11">
        <f t="shared" si="119"/>
        <v>0.78202508392438741</v>
      </c>
      <c r="AE298" s="11">
        <f t="shared" si="120"/>
        <v>0.30368090779084239</v>
      </c>
      <c r="AF298" s="11">
        <f t="shared" si="121"/>
        <v>4.3324189649411059E-2</v>
      </c>
      <c r="AG298" s="11">
        <f t="shared" si="122"/>
        <v>3.4619623488156032E-2</v>
      </c>
      <c r="AH298" s="11">
        <f t="shared" si="123"/>
        <v>0.11886781275650689</v>
      </c>
      <c r="AI298" s="11">
        <f t="shared" si="124"/>
        <v>4.0996922551763723E-2</v>
      </c>
      <c r="AJ298" s="11"/>
    </row>
    <row r="299" spans="1:36">
      <c r="A299" t="s">
        <v>512</v>
      </c>
      <c r="B299">
        <v>6.0029999999999997E-3</v>
      </c>
      <c r="C299">
        <v>0</v>
      </c>
      <c r="D299">
        <v>6589</v>
      </c>
      <c r="E299">
        <v>187672</v>
      </c>
      <c r="F299">
        <v>33679.86</v>
      </c>
      <c r="G299">
        <v>1807.9159999999999</v>
      </c>
      <c r="H299">
        <v>130785</v>
      </c>
      <c r="I299">
        <f t="shared" si="101"/>
        <v>0</v>
      </c>
      <c r="J299">
        <f t="shared" si="102"/>
        <v>0</v>
      </c>
      <c r="K299">
        <f t="shared" si="103"/>
        <v>0</v>
      </c>
      <c r="L299">
        <f t="shared" si="104"/>
        <v>0</v>
      </c>
      <c r="M299">
        <f t="shared" si="105"/>
        <v>0</v>
      </c>
      <c r="N299">
        <f t="shared" si="106"/>
        <v>0</v>
      </c>
      <c r="P299" s="11">
        <f t="shared" si="107"/>
        <v>0.20745213511025953</v>
      </c>
      <c r="Q299" s="11">
        <f t="shared" si="108"/>
        <v>0.1910712854468902</v>
      </c>
      <c r="R299" s="11">
        <f t="shared" si="109"/>
        <v>1.1492848285108378E-2</v>
      </c>
      <c r="S299" s="11">
        <f t="shared" si="110"/>
        <v>2.1782126540945482E-2</v>
      </c>
      <c r="T299" s="11">
        <f t="shared" si="111"/>
        <v>3.1532724536759447E-2</v>
      </c>
      <c r="U299" s="11">
        <f t="shared" si="112"/>
        <v>2.5794623535330179E-2</v>
      </c>
      <c r="W299">
        <f t="shared" si="113"/>
        <v>0</v>
      </c>
      <c r="X299">
        <f t="shared" si="114"/>
        <v>0</v>
      </c>
      <c r="Y299">
        <f t="shared" si="115"/>
        <v>0</v>
      </c>
      <c r="Z299">
        <f t="shared" si="116"/>
        <v>0</v>
      </c>
      <c r="AA299">
        <f t="shared" si="117"/>
        <v>0</v>
      </c>
      <c r="AB299">
        <f t="shared" si="118"/>
        <v>0</v>
      </c>
      <c r="AD299" s="11">
        <f t="shared" si="119"/>
        <v>1.225759291036489</v>
      </c>
      <c r="AE299" s="11">
        <f t="shared" si="120"/>
        <v>0.47599457087365188</v>
      </c>
      <c r="AF299" s="11">
        <f t="shared" si="121"/>
        <v>6.7907064723421479E-2</v>
      </c>
      <c r="AG299" s="11">
        <f t="shared" si="122"/>
        <v>5.4263381079596315E-2</v>
      </c>
      <c r="AH299" s="11">
        <f t="shared" si="123"/>
        <v>0.18631541223754633</v>
      </c>
      <c r="AI299" s="11">
        <f t="shared" si="124"/>
        <v>6.4259267067943007E-2</v>
      </c>
      <c r="AJ299" s="11"/>
    </row>
    <row r="300" spans="1:36">
      <c r="A300" t="s">
        <v>1003</v>
      </c>
      <c r="B300">
        <v>1.0129E-3</v>
      </c>
      <c r="C300">
        <v>0</v>
      </c>
      <c r="D300">
        <v>3052</v>
      </c>
      <c r="E300">
        <v>135678</v>
      </c>
      <c r="F300">
        <v>26837.3</v>
      </c>
      <c r="G300">
        <v>1286.4390000000001</v>
      </c>
      <c r="H300">
        <v>74358</v>
      </c>
      <c r="I300">
        <f t="shared" si="101"/>
        <v>0</v>
      </c>
      <c r="J300">
        <f t="shared" si="102"/>
        <v>0</v>
      </c>
      <c r="K300">
        <f t="shared" si="103"/>
        <v>0</v>
      </c>
      <c r="L300">
        <f t="shared" si="104"/>
        <v>0</v>
      </c>
      <c r="M300">
        <f t="shared" si="105"/>
        <v>0</v>
      </c>
      <c r="N300">
        <f t="shared" si="106"/>
        <v>0</v>
      </c>
      <c r="P300" s="11">
        <f t="shared" si="107"/>
        <v>4.9193212806825662E-2</v>
      </c>
      <c r="Q300" s="11">
        <f t="shared" si="108"/>
        <v>4.5308814976846933E-2</v>
      </c>
      <c r="R300" s="11">
        <f t="shared" si="109"/>
        <v>2.7253039894981415E-3</v>
      </c>
      <c r="S300" s="11">
        <f t="shared" si="110"/>
        <v>5.1652049073605509E-3</v>
      </c>
      <c r="T300" s="11">
        <f t="shared" si="111"/>
        <v>7.4773683466375007E-3</v>
      </c>
      <c r="U300" s="11">
        <f t="shared" si="112"/>
        <v>6.1166900218743367E-3</v>
      </c>
      <c r="W300">
        <f t="shared" si="113"/>
        <v>0</v>
      </c>
      <c r="X300">
        <f t="shared" si="114"/>
        <v>0</v>
      </c>
      <c r="Y300">
        <f t="shared" si="115"/>
        <v>0</v>
      </c>
      <c r="Z300">
        <f t="shared" si="116"/>
        <v>0</v>
      </c>
      <c r="AA300">
        <f t="shared" si="117"/>
        <v>0</v>
      </c>
      <c r="AB300">
        <f t="shared" si="118"/>
        <v>0</v>
      </c>
      <c r="AD300" s="11">
        <f t="shared" si="119"/>
        <v>0.28608393497707807</v>
      </c>
      <c r="AE300" s="11">
        <f t="shared" si="120"/>
        <v>0.11109391612125767</v>
      </c>
      <c r="AF300" s="11">
        <f t="shared" si="121"/>
        <v>1.5849049997730125E-2</v>
      </c>
      <c r="AG300" s="11">
        <f t="shared" si="122"/>
        <v>1.2664706437823374E-2</v>
      </c>
      <c r="AH300" s="11">
        <f t="shared" si="123"/>
        <v>4.3484758116515865E-2</v>
      </c>
      <c r="AI300" s="11">
        <f t="shared" si="124"/>
        <v>1.4997678676369787E-2</v>
      </c>
      <c r="AJ300" s="11"/>
    </row>
    <row r="301" spans="1:36">
      <c r="A301" t="s">
        <v>513</v>
      </c>
      <c r="B301">
        <v>3.9766000000000003E-3</v>
      </c>
      <c r="C301">
        <v>0</v>
      </c>
      <c r="D301">
        <v>3657</v>
      </c>
      <c r="E301">
        <v>126051</v>
      </c>
      <c r="F301">
        <v>32280.68</v>
      </c>
      <c r="G301">
        <v>1139.3240000000001</v>
      </c>
      <c r="H301">
        <v>76449</v>
      </c>
      <c r="I301">
        <f t="shared" si="101"/>
        <v>0</v>
      </c>
      <c r="J301">
        <f t="shared" si="102"/>
        <v>0</v>
      </c>
      <c r="K301">
        <f t="shared" si="103"/>
        <v>0</v>
      </c>
      <c r="L301">
        <f t="shared" si="104"/>
        <v>0</v>
      </c>
      <c r="M301">
        <f t="shared" si="105"/>
        <v>0</v>
      </c>
      <c r="N301">
        <f t="shared" si="106"/>
        <v>0</v>
      </c>
      <c r="P301" s="11">
        <f t="shared" si="107"/>
        <v>0.21806826895597742</v>
      </c>
      <c r="Q301" s="11">
        <f t="shared" si="108"/>
        <v>0.20084914740670781</v>
      </c>
      <c r="R301" s="11">
        <f t="shared" si="109"/>
        <v>1.2080982100161149E-2</v>
      </c>
      <c r="S301" s="11">
        <f t="shared" si="110"/>
        <v>2.289680280436469E-2</v>
      </c>
      <c r="T301" s="11">
        <f t="shared" si="111"/>
        <v>3.3146376881308566E-2</v>
      </c>
      <c r="U301" s="11">
        <f t="shared" si="112"/>
        <v>2.7114634899905555E-2</v>
      </c>
      <c r="W301">
        <f t="shared" si="113"/>
        <v>0</v>
      </c>
      <c r="X301">
        <f t="shared" si="114"/>
        <v>0</v>
      </c>
      <c r="Y301">
        <f t="shared" si="115"/>
        <v>0</v>
      </c>
      <c r="Z301">
        <f t="shared" si="116"/>
        <v>0</v>
      </c>
      <c r="AA301">
        <f t="shared" si="117"/>
        <v>0</v>
      </c>
      <c r="AB301">
        <f t="shared" si="118"/>
        <v>0</v>
      </c>
      <c r="AD301" s="11">
        <f t="shared" si="119"/>
        <v>1.2089322007304981</v>
      </c>
      <c r="AE301" s="11">
        <f t="shared" si="120"/>
        <v>0.46946016914582195</v>
      </c>
      <c r="AF301" s="11">
        <f t="shared" si="121"/>
        <v>6.6974843920469596E-2</v>
      </c>
      <c r="AG301" s="11">
        <f t="shared" si="122"/>
        <v>5.3518459282623707E-2</v>
      </c>
      <c r="AH301" s="11">
        <f t="shared" si="123"/>
        <v>0.18375769451103571</v>
      </c>
      <c r="AI301" s="11">
        <f t="shared" si="124"/>
        <v>6.3377122834685967E-2</v>
      </c>
      <c r="AJ301" s="11"/>
    </row>
    <row r="302" spans="1:36">
      <c r="A302" t="s">
        <v>321</v>
      </c>
      <c r="B302">
        <v>6.4111000000000003E-3</v>
      </c>
      <c r="C302">
        <v>2.2320999999999999E-3</v>
      </c>
      <c r="D302">
        <v>116061</v>
      </c>
      <c r="E302">
        <v>2818688</v>
      </c>
      <c r="F302">
        <v>42578.1</v>
      </c>
      <c r="G302">
        <v>2932.011</v>
      </c>
      <c r="H302">
        <v>1731976</v>
      </c>
      <c r="I302">
        <f t="shared" si="101"/>
        <v>5.173869628047098E-2</v>
      </c>
      <c r="J302">
        <f t="shared" si="102"/>
        <v>0.12475732584222911</v>
      </c>
      <c r="K302">
        <f t="shared" si="103"/>
        <v>2.866323773938092E-3</v>
      </c>
      <c r="L302">
        <f t="shared" si="104"/>
        <v>1.4222335146014118E-2</v>
      </c>
      <c r="M302">
        <f t="shared" si="105"/>
        <v>7.8642818346315885E-3</v>
      </c>
      <c r="N302">
        <f t="shared" si="106"/>
        <v>1.6842238988700929E-2</v>
      </c>
      <c r="P302" s="11">
        <f t="shared" si="107"/>
        <v>0.13661386226381825</v>
      </c>
      <c r="Q302" s="11">
        <f t="shared" si="108"/>
        <v>0.12582654913982247</v>
      </c>
      <c r="R302" s="11">
        <f t="shared" si="109"/>
        <v>7.5684079694155306E-3</v>
      </c>
      <c r="S302" s="11">
        <f t="shared" si="110"/>
        <v>1.4344226601939762E-2</v>
      </c>
      <c r="T302" s="11">
        <f t="shared" si="111"/>
        <v>2.0765307064100375E-2</v>
      </c>
      <c r="U302" s="11">
        <f t="shared" si="112"/>
        <v>1.6986584133876034E-2</v>
      </c>
      <c r="W302">
        <f t="shared" si="113"/>
        <v>0.28911299410663044</v>
      </c>
      <c r="X302">
        <f t="shared" si="114"/>
        <v>0.38325856978200135</v>
      </c>
      <c r="Y302">
        <f t="shared" si="115"/>
        <v>1.6016859873507327E-2</v>
      </c>
      <c r="Z302">
        <f t="shared" si="116"/>
        <v>4.3691476955148155E-2</v>
      </c>
      <c r="AA302">
        <f t="shared" si="117"/>
        <v>4.3945175104207826E-2</v>
      </c>
      <c r="AB302">
        <f t="shared" si="118"/>
        <v>5.1739906920570185E-2</v>
      </c>
      <c r="AD302" s="11">
        <f t="shared" si="119"/>
        <v>8.7160934352925892E-2</v>
      </c>
      <c r="AE302" s="11">
        <f t="shared" si="120"/>
        <v>3.3846883191222303E-2</v>
      </c>
      <c r="AF302" s="11">
        <f t="shared" si="121"/>
        <v>4.8287157631520944E-3</v>
      </c>
      <c r="AG302" s="11">
        <f t="shared" si="122"/>
        <v>3.8585446837993429E-3</v>
      </c>
      <c r="AH302" s="11">
        <f t="shared" si="123"/>
        <v>1.3248462021644735E-2</v>
      </c>
      <c r="AI302" s="11">
        <f t="shared" si="124"/>
        <v>4.5693292308150116E-3</v>
      </c>
      <c r="AJ302" s="11"/>
    </row>
    <row r="303" spans="1:36">
      <c r="A303" t="s">
        <v>514</v>
      </c>
      <c r="B303">
        <v>1.2880900000000001E-2</v>
      </c>
      <c r="C303">
        <v>0</v>
      </c>
      <c r="D303">
        <v>3502</v>
      </c>
      <c r="E303">
        <v>145550</v>
      </c>
      <c r="F303">
        <v>31585.439999999999</v>
      </c>
      <c r="G303">
        <v>2113.8180000000002</v>
      </c>
      <c r="H303">
        <v>110365</v>
      </c>
      <c r="I303">
        <f t="shared" si="101"/>
        <v>0</v>
      </c>
      <c r="J303">
        <f t="shared" si="102"/>
        <v>0</v>
      </c>
      <c r="K303">
        <f t="shared" si="103"/>
        <v>0</v>
      </c>
      <c r="L303">
        <f t="shared" si="104"/>
        <v>0</v>
      </c>
      <c r="M303">
        <f t="shared" si="105"/>
        <v>0</v>
      </c>
      <c r="N303">
        <f t="shared" si="106"/>
        <v>0</v>
      </c>
      <c r="P303" s="11">
        <f t="shared" si="107"/>
        <v>0.3807206477993848</v>
      </c>
      <c r="Q303" s="11">
        <f t="shared" si="108"/>
        <v>0.35065815800130379</v>
      </c>
      <c r="R303" s="11">
        <f t="shared" si="109"/>
        <v>2.1091923888085916E-2</v>
      </c>
      <c r="S303" s="11">
        <f t="shared" si="110"/>
        <v>3.9975030012148631E-2</v>
      </c>
      <c r="T303" s="11">
        <f t="shared" si="111"/>
        <v>5.7869538465506486E-2</v>
      </c>
      <c r="U303" s="11">
        <f t="shared" si="112"/>
        <v>4.7338851330176013E-2</v>
      </c>
      <c r="W303">
        <f t="shared" si="113"/>
        <v>0</v>
      </c>
      <c r="X303">
        <f t="shared" si="114"/>
        <v>0</v>
      </c>
      <c r="Y303">
        <f t="shared" si="115"/>
        <v>0</v>
      </c>
      <c r="Z303">
        <f t="shared" si="116"/>
        <v>0</v>
      </c>
      <c r="AA303">
        <f t="shared" si="117"/>
        <v>0</v>
      </c>
      <c r="AB303">
        <f t="shared" si="118"/>
        <v>0</v>
      </c>
      <c r="AD303" s="11">
        <f t="shared" si="119"/>
        <v>3.3913321852574372</v>
      </c>
      <c r="AE303" s="11">
        <f t="shared" si="120"/>
        <v>1.3169434814943319</v>
      </c>
      <c r="AF303" s="11">
        <f t="shared" si="121"/>
        <v>0.18787980306326202</v>
      </c>
      <c r="AG303" s="11">
        <f t="shared" si="122"/>
        <v>0.15013155689035385</v>
      </c>
      <c r="AH303" s="11">
        <f t="shared" si="123"/>
        <v>0.51548249215913045</v>
      </c>
      <c r="AI303" s="11">
        <f t="shared" si="124"/>
        <v>0.17778737000173483</v>
      </c>
      <c r="AJ303" s="11"/>
    </row>
    <row r="304" spans="1:36">
      <c r="A304" t="s">
        <v>515</v>
      </c>
      <c r="B304">
        <v>7.5386000000000003E-3</v>
      </c>
      <c r="C304">
        <v>5.1333999999999998E-3</v>
      </c>
      <c r="D304">
        <v>16604</v>
      </c>
      <c r="E304">
        <v>668753</v>
      </c>
      <c r="F304">
        <v>35977.360000000001</v>
      </c>
      <c r="G304">
        <v>1793.8979999999999</v>
      </c>
      <c r="H304">
        <v>289244</v>
      </c>
      <c r="I304">
        <f t="shared" si="101"/>
        <v>0.19447993000716876</v>
      </c>
      <c r="J304">
        <f t="shared" si="102"/>
        <v>0.46894873164472001</v>
      </c>
      <c r="K304">
        <f t="shared" si="103"/>
        <v>1.0774188122397148E-2</v>
      </c>
      <c r="L304">
        <f t="shared" si="104"/>
        <v>5.3460155407498086E-2</v>
      </c>
      <c r="M304">
        <f t="shared" si="105"/>
        <v>2.9560949361089651E-2</v>
      </c>
      <c r="N304">
        <f t="shared" si="106"/>
        <v>6.3308078772037202E-2</v>
      </c>
      <c r="P304" s="11">
        <f t="shared" si="107"/>
        <v>0.26255528723483723</v>
      </c>
      <c r="Q304" s="11">
        <f t="shared" si="108"/>
        <v>0.24182337870938037</v>
      </c>
      <c r="R304" s="11">
        <f t="shared" si="109"/>
        <v>1.4545562912809982E-2</v>
      </c>
      <c r="S304" s="11">
        <f t="shared" si="110"/>
        <v>2.7567865172869362E-2</v>
      </c>
      <c r="T304" s="11">
        <f t="shared" si="111"/>
        <v>3.9908403659695259E-2</v>
      </c>
      <c r="U304" s="11">
        <f t="shared" si="112"/>
        <v>3.2646156125766351E-2</v>
      </c>
      <c r="W304">
        <f t="shared" si="113"/>
        <v>2.8024658780315304</v>
      </c>
      <c r="X304">
        <f t="shared" si="114"/>
        <v>3.7150494310922864</v>
      </c>
      <c r="Y304">
        <f t="shared" si="115"/>
        <v>0.15525660964294677</v>
      </c>
      <c r="Z304">
        <f t="shared" si="116"/>
        <v>0.42351563514452067</v>
      </c>
      <c r="AA304">
        <f t="shared" si="117"/>
        <v>0.42597481346079258</v>
      </c>
      <c r="AB304">
        <f t="shared" si="118"/>
        <v>0.50153167319745873</v>
      </c>
      <c r="AD304" s="11">
        <f t="shared" si="119"/>
        <v>0.43197766199759846</v>
      </c>
      <c r="AE304" s="11">
        <f t="shared" si="120"/>
        <v>0.16774828741104714</v>
      </c>
      <c r="AF304" s="11">
        <f t="shared" si="121"/>
        <v>2.3931562474666955E-2</v>
      </c>
      <c r="AG304" s="11">
        <f t="shared" si="122"/>
        <v>1.9123304764859374E-2</v>
      </c>
      <c r="AH304" s="11">
        <f t="shared" si="123"/>
        <v>6.5660604623634961E-2</v>
      </c>
      <c r="AI304" s="11">
        <f t="shared" si="124"/>
        <v>2.2646018800491365E-2</v>
      </c>
      <c r="AJ304" s="11"/>
    </row>
    <row r="305" spans="1:36">
      <c r="A305" t="s">
        <v>516</v>
      </c>
      <c r="B305">
        <v>6.7546999999999998E-3</v>
      </c>
      <c r="C305">
        <v>0</v>
      </c>
      <c r="D305">
        <v>2056</v>
      </c>
      <c r="E305">
        <v>104313</v>
      </c>
      <c r="F305">
        <v>28898.97</v>
      </c>
      <c r="G305">
        <v>792.28989999999999</v>
      </c>
      <c r="H305">
        <v>55277</v>
      </c>
      <c r="I305">
        <f t="shared" si="101"/>
        <v>0</v>
      </c>
      <c r="J305">
        <f t="shared" si="102"/>
        <v>0</v>
      </c>
      <c r="K305">
        <f t="shared" si="103"/>
        <v>0</v>
      </c>
      <c r="L305">
        <f t="shared" si="104"/>
        <v>0</v>
      </c>
      <c r="M305">
        <f t="shared" si="105"/>
        <v>0</v>
      </c>
      <c r="N305">
        <f t="shared" si="106"/>
        <v>0</v>
      </c>
      <c r="P305" s="11">
        <f t="shared" si="107"/>
        <v>0.5326596010753134</v>
      </c>
      <c r="Q305" s="11">
        <f t="shared" si="108"/>
        <v>0.49059969726990077</v>
      </c>
      <c r="R305" s="11">
        <f t="shared" si="109"/>
        <v>2.9509341899572362E-2</v>
      </c>
      <c r="S305" s="11">
        <f t="shared" si="110"/>
        <v>5.5928365488768693E-2</v>
      </c>
      <c r="T305" s="11">
        <f t="shared" si="111"/>
        <v>8.096425936344763E-2</v>
      </c>
      <c r="U305" s="11">
        <f t="shared" si="112"/>
        <v>6.6230959131436604E-2</v>
      </c>
      <c r="W305">
        <f t="shared" si="113"/>
        <v>0</v>
      </c>
      <c r="X305">
        <f t="shared" si="114"/>
        <v>0</v>
      </c>
      <c r="Y305">
        <f t="shared" si="115"/>
        <v>0</v>
      </c>
      <c r="Z305">
        <f t="shared" si="116"/>
        <v>0</v>
      </c>
      <c r="AA305">
        <f t="shared" si="117"/>
        <v>0</v>
      </c>
      <c r="AB305">
        <f t="shared" si="118"/>
        <v>0</v>
      </c>
      <c r="AD305" s="11">
        <f t="shared" si="119"/>
        <v>2.4814410489800882</v>
      </c>
      <c r="AE305" s="11">
        <f t="shared" si="120"/>
        <v>0.96360882262517611</v>
      </c>
      <c r="AF305" s="11">
        <f t="shared" si="121"/>
        <v>0.13747183411349689</v>
      </c>
      <c r="AG305" s="11">
        <f t="shared" si="122"/>
        <v>0.10985140577927008</v>
      </c>
      <c r="AH305" s="11">
        <f t="shared" si="123"/>
        <v>0.37717903944497339</v>
      </c>
      <c r="AI305" s="11">
        <f t="shared" si="124"/>
        <v>0.13008719105439878</v>
      </c>
      <c r="AJ305" s="11"/>
    </row>
    <row r="306" spans="1:36">
      <c r="A306" t="s">
        <v>517</v>
      </c>
      <c r="B306">
        <v>1.28065E-2</v>
      </c>
      <c r="C306">
        <v>0</v>
      </c>
      <c r="D306">
        <v>23241</v>
      </c>
      <c r="E306">
        <v>645016</v>
      </c>
      <c r="F306">
        <v>37228.97</v>
      </c>
      <c r="G306">
        <v>3837.5250000000001</v>
      </c>
      <c r="H306">
        <v>389267</v>
      </c>
      <c r="I306">
        <f t="shared" si="101"/>
        <v>0</v>
      </c>
      <c r="J306">
        <f t="shared" si="102"/>
        <v>0</v>
      </c>
      <c r="K306">
        <f t="shared" si="103"/>
        <v>0</v>
      </c>
      <c r="L306">
        <f t="shared" si="104"/>
        <v>0</v>
      </c>
      <c r="M306">
        <f t="shared" si="105"/>
        <v>0</v>
      </c>
      <c r="N306">
        <f t="shared" si="106"/>
        <v>0</v>
      </c>
      <c r="P306" s="11">
        <f t="shared" si="107"/>
        <v>0.20850047560602211</v>
      </c>
      <c r="Q306" s="11">
        <f t="shared" si="108"/>
        <v>0.19203684680881558</v>
      </c>
      <c r="R306" s="11">
        <f t="shared" si="109"/>
        <v>1.1550926348573624E-2</v>
      </c>
      <c r="S306" s="11">
        <f t="shared" si="110"/>
        <v>2.1892200536204977E-2</v>
      </c>
      <c r="T306" s="11">
        <f t="shared" si="111"/>
        <v>3.1692072292115361E-2</v>
      </c>
      <c r="U306" s="11">
        <f t="shared" si="112"/>
        <v>2.5924974319190105E-2</v>
      </c>
      <c r="W306">
        <f t="shared" si="113"/>
        <v>0</v>
      </c>
      <c r="X306">
        <f t="shared" si="114"/>
        <v>0</v>
      </c>
      <c r="Y306">
        <f t="shared" si="115"/>
        <v>0</v>
      </c>
      <c r="Z306">
        <f t="shared" si="116"/>
        <v>0</v>
      </c>
      <c r="AA306">
        <f t="shared" si="117"/>
        <v>0</v>
      </c>
      <c r="AB306">
        <f t="shared" si="118"/>
        <v>0</v>
      </c>
      <c r="AD306" s="11">
        <f t="shared" si="119"/>
        <v>0.76084518903825638</v>
      </c>
      <c r="AE306" s="11">
        <f t="shared" si="120"/>
        <v>0.29545619756331626</v>
      </c>
      <c r="AF306" s="11">
        <f t="shared" si="121"/>
        <v>4.2150823472719402E-2</v>
      </c>
      <c r="AG306" s="11">
        <f t="shared" si="122"/>
        <v>3.3682006522218054E-2</v>
      </c>
      <c r="AH306" s="11">
        <f t="shared" si="123"/>
        <v>0.11564846873381497</v>
      </c>
      <c r="AI306" s="11">
        <f t="shared" si="124"/>
        <v>3.9886586671047698E-2</v>
      </c>
      <c r="AJ306" s="11"/>
    </row>
    <row r="307" spans="1:36">
      <c r="A307" t="s">
        <v>518</v>
      </c>
      <c r="B307">
        <v>6.2338999999999997E-3</v>
      </c>
      <c r="C307">
        <v>0</v>
      </c>
      <c r="D307">
        <v>8736</v>
      </c>
      <c r="E307">
        <v>357171</v>
      </c>
      <c r="F307">
        <v>33525.43</v>
      </c>
      <c r="G307">
        <v>1784.8910000000001</v>
      </c>
      <c r="H307">
        <v>219628</v>
      </c>
      <c r="I307">
        <f t="shared" si="101"/>
        <v>0</v>
      </c>
      <c r="J307">
        <f t="shared" si="102"/>
        <v>0</v>
      </c>
      <c r="K307">
        <f t="shared" si="103"/>
        <v>0</v>
      </c>
      <c r="L307">
        <f t="shared" si="104"/>
        <v>0</v>
      </c>
      <c r="M307">
        <f t="shared" si="105"/>
        <v>0</v>
      </c>
      <c r="N307">
        <f t="shared" si="106"/>
        <v>0</v>
      </c>
      <c r="P307" s="11">
        <f t="shared" si="107"/>
        <v>0.2182106512890703</v>
      </c>
      <c r="Q307" s="11">
        <f t="shared" si="108"/>
        <v>0.20098028693628908</v>
      </c>
      <c r="R307" s="11">
        <f t="shared" si="109"/>
        <v>1.2088870081414495E-2</v>
      </c>
      <c r="S307" s="11">
        <f t="shared" si="110"/>
        <v>2.2911752710736956E-2</v>
      </c>
      <c r="T307" s="11">
        <f t="shared" si="111"/>
        <v>3.3168018995938686E-2</v>
      </c>
      <c r="U307" s="11">
        <f t="shared" si="112"/>
        <v>2.7132338736399027E-2</v>
      </c>
      <c r="W307">
        <f t="shared" si="113"/>
        <v>0</v>
      </c>
      <c r="X307">
        <f t="shared" si="114"/>
        <v>0</v>
      </c>
      <c r="Y307">
        <f t="shared" si="115"/>
        <v>0</v>
      </c>
      <c r="Z307">
        <f t="shared" si="116"/>
        <v>0</v>
      </c>
      <c r="AA307">
        <f t="shared" si="117"/>
        <v>0</v>
      </c>
      <c r="AB307">
        <f t="shared" si="118"/>
        <v>0</v>
      </c>
      <c r="AD307" s="11">
        <f t="shared" si="119"/>
        <v>0.66883651349527251</v>
      </c>
      <c r="AE307" s="11">
        <f t="shared" si="120"/>
        <v>0.25972680896965317</v>
      </c>
      <c r="AF307" s="11">
        <f t="shared" si="121"/>
        <v>3.7053542847638093E-2</v>
      </c>
      <c r="AG307" s="11">
        <f t="shared" si="122"/>
        <v>2.9608856222540461E-2</v>
      </c>
      <c r="AH307" s="11">
        <f t="shared" si="123"/>
        <v>0.10166315005128142</v>
      </c>
      <c r="AI307" s="11">
        <f t="shared" si="124"/>
        <v>3.5063119210903181E-2</v>
      </c>
      <c r="AJ307" s="11"/>
    </row>
    <row r="308" spans="1:36">
      <c r="A308" t="s">
        <v>333</v>
      </c>
      <c r="B308">
        <v>5.5868000000000003E-3</v>
      </c>
      <c r="C308">
        <v>1.7479999999999999E-4</v>
      </c>
      <c r="D308">
        <v>98666</v>
      </c>
      <c r="E308">
        <v>2730007</v>
      </c>
      <c r="F308">
        <v>38033.29</v>
      </c>
      <c r="G308">
        <v>2468.732</v>
      </c>
      <c r="H308">
        <v>1576110</v>
      </c>
      <c r="I308">
        <f t="shared" si="101"/>
        <v>4.8121029581177704E-3</v>
      </c>
      <c r="J308">
        <f t="shared" si="102"/>
        <v>1.1603405959010537E-2</v>
      </c>
      <c r="K308">
        <f t="shared" si="103"/>
        <v>2.6659050387972449E-4</v>
      </c>
      <c r="L308">
        <f t="shared" si="104"/>
        <v>1.3227882793272012E-3</v>
      </c>
      <c r="M308">
        <f t="shared" si="105"/>
        <v>7.314396496339011E-4</v>
      </c>
      <c r="N308">
        <f t="shared" si="106"/>
        <v>1.5664598044664226E-3</v>
      </c>
      <c r="P308" s="11">
        <f t="shared" si="107"/>
        <v>0.14138944570735099</v>
      </c>
      <c r="Q308" s="11">
        <f t="shared" si="108"/>
        <v>0.13022504263727291</v>
      </c>
      <c r="R308" s="11">
        <f t="shared" si="109"/>
        <v>7.8329752921872439E-3</v>
      </c>
      <c r="S308" s="11">
        <f t="shared" si="110"/>
        <v>1.4845654860649113E-2</v>
      </c>
      <c r="T308" s="11">
        <f t="shared" si="111"/>
        <v>2.1491195747517348E-2</v>
      </c>
      <c r="U308" s="11">
        <f t="shared" si="112"/>
        <v>1.7580380756031844E-2</v>
      </c>
      <c r="W308">
        <f t="shared" si="113"/>
        <v>2.3376454265076976E-2</v>
      </c>
      <c r="X308">
        <f t="shared" si="114"/>
        <v>3.0988667444339882E-2</v>
      </c>
      <c r="Y308">
        <f t="shared" si="115"/>
        <v>1.2950555662852644E-3</v>
      </c>
      <c r="Z308">
        <f t="shared" si="116"/>
        <v>3.5327080886547466E-3</v>
      </c>
      <c r="AA308">
        <f t="shared" si="117"/>
        <v>3.5532210482917001E-3</v>
      </c>
      <c r="AB308">
        <f t="shared" si="118"/>
        <v>4.1834701049858845E-3</v>
      </c>
      <c r="AD308" s="11">
        <f t="shared" si="119"/>
        <v>7.8421599601554134E-2</v>
      </c>
      <c r="AE308" s="11">
        <f t="shared" si="120"/>
        <v>3.0453169657806738E-2</v>
      </c>
      <c r="AF308" s="11">
        <f t="shared" si="121"/>
        <v>4.3445566179260986E-3</v>
      </c>
      <c r="AG308" s="11">
        <f t="shared" si="122"/>
        <v>3.4716613409899685E-3</v>
      </c>
      <c r="AH308" s="11">
        <f t="shared" si="123"/>
        <v>1.1920083139436228E-2</v>
      </c>
      <c r="AI308" s="11">
        <f t="shared" si="124"/>
        <v>4.1111779038039099E-3</v>
      </c>
      <c r="AJ308" s="11"/>
    </row>
    <row r="309" spans="1:36">
      <c r="A309" t="s">
        <v>519</v>
      </c>
      <c r="B309">
        <v>1.3648E-3</v>
      </c>
      <c r="C309">
        <v>0</v>
      </c>
      <c r="D309">
        <v>4604</v>
      </c>
      <c r="E309">
        <v>169812</v>
      </c>
      <c r="F309">
        <v>32112.61</v>
      </c>
      <c r="G309">
        <v>1080.779</v>
      </c>
      <c r="H309">
        <v>90217</v>
      </c>
      <c r="I309">
        <f t="shared" si="101"/>
        <v>0</v>
      </c>
      <c r="J309">
        <f t="shared" si="102"/>
        <v>0</v>
      </c>
      <c r="K309">
        <f t="shared" si="103"/>
        <v>0</v>
      </c>
      <c r="L309">
        <f t="shared" si="104"/>
        <v>0</v>
      </c>
      <c r="M309">
        <f t="shared" si="105"/>
        <v>0</v>
      </c>
      <c r="N309">
        <f t="shared" si="106"/>
        <v>0</v>
      </c>
      <c r="P309" s="11">
        <f t="shared" si="107"/>
        <v>7.8896898329815807E-2</v>
      </c>
      <c r="Q309" s="11">
        <f t="shared" si="108"/>
        <v>7.2667036054549536E-2</v>
      </c>
      <c r="R309" s="11">
        <f t="shared" si="109"/>
        <v>4.3708881674717958E-3</v>
      </c>
      <c r="S309" s="11">
        <f t="shared" si="110"/>
        <v>8.2840421102186469E-3</v>
      </c>
      <c r="T309" s="11">
        <f t="shared" si="111"/>
        <v>1.1992328546132002E-2</v>
      </c>
      <c r="U309" s="11">
        <f t="shared" si="112"/>
        <v>9.8100498673641887E-3</v>
      </c>
      <c r="W309">
        <f t="shared" si="113"/>
        <v>0</v>
      </c>
      <c r="X309">
        <f t="shared" si="114"/>
        <v>0</v>
      </c>
      <c r="Y309">
        <f t="shared" si="115"/>
        <v>0</v>
      </c>
      <c r="Z309">
        <f t="shared" si="116"/>
        <v>0</v>
      </c>
      <c r="AA309">
        <f t="shared" si="117"/>
        <v>0</v>
      </c>
      <c r="AB309">
        <f t="shared" si="118"/>
        <v>0</v>
      </c>
      <c r="AD309" s="11">
        <f t="shared" si="119"/>
        <v>0.30799025084116549</v>
      </c>
      <c r="AE309" s="11">
        <f t="shared" si="120"/>
        <v>0.11960071471980779</v>
      </c>
      <c r="AF309" s="11">
        <f t="shared" si="121"/>
        <v>1.7062659896600569E-2</v>
      </c>
      <c r="AG309" s="11">
        <f t="shared" si="122"/>
        <v>1.3634481478058088E-2</v>
      </c>
      <c r="AH309" s="11">
        <f t="shared" si="123"/>
        <v>4.6814518127857155E-2</v>
      </c>
      <c r="AI309" s="11">
        <f t="shared" si="124"/>
        <v>1.6146096487174053E-2</v>
      </c>
      <c r="AJ309" s="11"/>
    </row>
    <row r="310" spans="1:36">
      <c r="A310" t="s">
        <v>1006</v>
      </c>
      <c r="B310">
        <v>1.0931999999999999E-3</v>
      </c>
      <c r="C310">
        <v>0</v>
      </c>
      <c r="D310">
        <v>3339</v>
      </c>
      <c r="E310">
        <v>135981</v>
      </c>
      <c r="F310">
        <v>30133.7</v>
      </c>
      <c r="G310">
        <v>948.29570000000001</v>
      </c>
      <c r="H310">
        <v>75372</v>
      </c>
      <c r="I310">
        <f t="shared" si="101"/>
        <v>0</v>
      </c>
      <c r="J310">
        <f t="shared" si="102"/>
        <v>0</v>
      </c>
      <c r="K310">
        <f t="shared" si="103"/>
        <v>0</v>
      </c>
      <c r="L310">
        <f t="shared" si="104"/>
        <v>0</v>
      </c>
      <c r="M310">
        <f t="shared" si="105"/>
        <v>0</v>
      </c>
      <c r="N310">
        <f t="shared" si="106"/>
        <v>0</v>
      </c>
      <c r="P310" s="11">
        <f t="shared" si="107"/>
        <v>7.2025064460378749E-2</v>
      </c>
      <c r="Q310" s="11">
        <f t="shared" si="108"/>
        <v>6.6337816400517252E-2</v>
      </c>
      <c r="R310" s="11">
        <f t="shared" si="109"/>
        <v>3.9901885711049823E-3</v>
      </c>
      <c r="S310" s="11">
        <f t="shared" si="110"/>
        <v>7.562511069658967E-3</v>
      </c>
      <c r="T310" s="11">
        <f t="shared" si="111"/>
        <v>1.0947809797977569E-2</v>
      </c>
      <c r="U310" s="11">
        <f t="shared" si="112"/>
        <v>8.9556052140698297E-3</v>
      </c>
      <c r="W310">
        <f t="shared" si="113"/>
        <v>0</v>
      </c>
      <c r="X310">
        <f t="shared" si="114"/>
        <v>0</v>
      </c>
      <c r="Y310">
        <f t="shared" si="115"/>
        <v>0</v>
      </c>
      <c r="Z310">
        <f t="shared" si="116"/>
        <v>0</v>
      </c>
      <c r="AA310">
        <f t="shared" si="117"/>
        <v>0</v>
      </c>
      <c r="AB310">
        <f t="shared" si="118"/>
        <v>0</v>
      </c>
      <c r="AD310" s="11">
        <f t="shared" si="119"/>
        <v>0.30807589943124403</v>
      </c>
      <c r="AE310" s="11">
        <f t="shared" si="120"/>
        <v>0.11963397431994174</v>
      </c>
      <c r="AF310" s="11">
        <f t="shared" si="121"/>
        <v>1.706740482849092E-2</v>
      </c>
      <c r="AG310" s="11">
        <f t="shared" si="122"/>
        <v>1.363827307247336E-2</v>
      </c>
      <c r="AH310" s="11">
        <f t="shared" si="123"/>
        <v>4.6827536713549091E-2</v>
      </c>
      <c r="AI310" s="11">
        <f t="shared" si="124"/>
        <v>1.6150586533192138E-2</v>
      </c>
      <c r="AJ310" s="11"/>
    </row>
    <row r="311" spans="1:36">
      <c r="A311" t="s">
        <v>521</v>
      </c>
      <c r="B311">
        <v>5.6382999999999997E-3</v>
      </c>
      <c r="C311">
        <v>0</v>
      </c>
      <c r="D311">
        <v>6905</v>
      </c>
      <c r="E311">
        <v>229774</v>
      </c>
      <c r="F311">
        <v>34260.03</v>
      </c>
      <c r="G311">
        <v>1452.838</v>
      </c>
      <c r="H311">
        <v>144846</v>
      </c>
      <c r="I311">
        <f t="shared" si="101"/>
        <v>0</v>
      </c>
      <c r="J311">
        <f t="shared" si="102"/>
        <v>0</v>
      </c>
      <c r="K311">
        <f t="shared" si="103"/>
        <v>0</v>
      </c>
      <c r="L311">
        <f t="shared" si="104"/>
        <v>0</v>
      </c>
      <c r="M311">
        <f t="shared" si="105"/>
        <v>0</v>
      </c>
      <c r="N311">
        <f t="shared" si="106"/>
        <v>0</v>
      </c>
      <c r="P311" s="11">
        <f t="shared" si="107"/>
        <v>0.24247044146009397</v>
      </c>
      <c r="Q311" s="11">
        <f t="shared" si="108"/>
        <v>0.22332447389867277</v>
      </c>
      <c r="R311" s="11">
        <f t="shared" si="109"/>
        <v>1.3432862456889206E-2</v>
      </c>
      <c r="S311" s="11">
        <f t="shared" si="110"/>
        <v>2.5458990024448697E-2</v>
      </c>
      <c r="T311" s="11">
        <f t="shared" si="111"/>
        <v>3.6855507101934283E-2</v>
      </c>
      <c r="U311" s="11">
        <f t="shared" si="112"/>
        <v>3.0148803976320825E-2</v>
      </c>
      <c r="W311">
        <f t="shared" si="113"/>
        <v>0</v>
      </c>
      <c r="X311">
        <f t="shared" si="114"/>
        <v>0</v>
      </c>
      <c r="Y311">
        <f t="shared" si="115"/>
        <v>0</v>
      </c>
      <c r="Z311">
        <f t="shared" si="116"/>
        <v>0</v>
      </c>
      <c r="AA311">
        <f t="shared" si="117"/>
        <v>0</v>
      </c>
      <c r="AB311">
        <f t="shared" si="118"/>
        <v>0</v>
      </c>
      <c r="AD311" s="11">
        <f t="shared" si="119"/>
        <v>0.94033722304151024</v>
      </c>
      <c r="AE311" s="11">
        <f t="shared" si="120"/>
        <v>0.36515767510902014</v>
      </c>
      <c r="AF311" s="11">
        <f t="shared" si="121"/>
        <v>5.2094682156499664E-2</v>
      </c>
      <c r="AG311" s="11">
        <f t="shared" si="122"/>
        <v>4.1627974962428295E-2</v>
      </c>
      <c r="AH311" s="11">
        <f t="shared" si="123"/>
        <v>0.14293125790230957</v>
      </c>
      <c r="AI311" s="11">
        <f t="shared" si="124"/>
        <v>4.9296286139717725E-2</v>
      </c>
      <c r="AJ311" s="11"/>
    </row>
    <row r="312" spans="1:36">
      <c r="A312" t="s">
        <v>522</v>
      </c>
      <c r="B312">
        <v>8.2550999999999996E-3</v>
      </c>
      <c r="C312">
        <v>0</v>
      </c>
      <c r="D312">
        <v>25595</v>
      </c>
      <c r="E312">
        <v>1009832</v>
      </c>
      <c r="F312">
        <v>35391.06</v>
      </c>
      <c r="G312">
        <v>1550.8910000000001</v>
      </c>
      <c r="H312">
        <v>520444</v>
      </c>
      <c r="I312">
        <f t="shared" si="101"/>
        <v>0</v>
      </c>
      <c r="J312">
        <f t="shared" si="102"/>
        <v>0</v>
      </c>
      <c r="K312">
        <f t="shared" si="103"/>
        <v>0</v>
      </c>
      <c r="L312">
        <f t="shared" si="104"/>
        <v>0</v>
      </c>
      <c r="M312">
        <f t="shared" si="105"/>
        <v>0</v>
      </c>
      <c r="N312">
        <f t="shared" si="106"/>
        <v>0</v>
      </c>
      <c r="P312" s="11">
        <f t="shared" si="107"/>
        <v>0.33255913104789431</v>
      </c>
      <c r="Q312" s="11">
        <f t="shared" si="108"/>
        <v>0.30629957422539683</v>
      </c>
      <c r="R312" s="11">
        <f t="shared" si="109"/>
        <v>1.8423775860053344E-2</v>
      </c>
      <c r="S312" s="11">
        <f t="shared" si="110"/>
        <v>3.4918151461695239E-2</v>
      </c>
      <c r="T312" s="11">
        <f t="shared" si="111"/>
        <v>5.0548987919279934E-2</v>
      </c>
      <c r="U312" s="11">
        <f t="shared" si="112"/>
        <v>4.1350442520428576E-2</v>
      </c>
      <c r="W312">
        <f t="shared" si="113"/>
        <v>0</v>
      </c>
      <c r="X312">
        <f t="shared" si="114"/>
        <v>0</v>
      </c>
      <c r="Y312">
        <f t="shared" si="115"/>
        <v>0</v>
      </c>
      <c r="Z312">
        <f t="shared" si="116"/>
        <v>0</v>
      </c>
      <c r="AA312">
        <f t="shared" si="117"/>
        <v>0</v>
      </c>
      <c r="AB312">
        <f t="shared" si="118"/>
        <v>0</v>
      </c>
      <c r="AD312" s="11">
        <f t="shared" si="119"/>
        <v>0.31326331728899459</v>
      </c>
      <c r="AE312" s="11">
        <f t="shared" si="120"/>
        <v>0.12164838510613646</v>
      </c>
      <c r="AF312" s="11">
        <f t="shared" si="121"/>
        <v>1.7354787777810299E-2</v>
      </c>
      <c r="AG312" s="11">
        <f t="shared" si="122"/>
        <v>1.3867915902099556E-2</v>
      </c>
      <c r="AH312" s="11">
        <f t="shared" si="123"/>
        <v>4.7616024227927177E-2</v>
      </c>
      <c r="AI312" s="11">
        <f t="shared" si="124"/>
        <v>1.6422531989328422E-2</v>
      </c>
      <c r="AJ312" s="11"/>
    </row>
    <row r="313" spans="1:36">
      <c r="A313" t="s">
        <v>523</v>
      </c>
      <c r="B313">
        <v>2.1795999999999999E-3</v>
      </c>
      <c r="C313">
        <v>0</v>
      </c>
      <c r="D313">
        <v>41796</v>
      </c>
      <c r="E313">
        <v>916037</v>
      </c>
      <c r="F313">
        <v>40439.620000000003</v>
      </c>
      <c r="G313">
        <v>1849.8689999999999</v>
      </c>
      <c r="H313">
        <v>585325</v>
      </c>
      <c r="I313">
        <f t="shared" si="101"/>
        <v>0</v>
      </c>
      <c r="J313">
        <f t="shared" si="102"/>
        <v>0</v>
      </c>
      <c r="K313">
        <f t="shared" si="103"/>
        <v>0</v>
      </c>
      <c r="L313">
        <f t="shared" si="104"/>
        <v>0</v>
      </c>
      <c r="M313">
        <f t="shared" si="105"/>
        <v>0</v>
      </c>
      <c r="N313">
        <f t="shared" si="106"/>
        <v>0</v>
      </c>
      <c r="P313" s="11">
        <f t="shared" si="107"/>
        <v>7.3614546089479843E-2</v>
      </c>
      <c r="Q313" s="11">
        <f t="shared" si="108"/>
        <v>6.7801789272645796E-2</v>
      </c>
      <c r="R313" s="11">
        <f t="shared" si="109"/>
        <v>4.078245853357183E-3</v>
      </c>
      <c r="S313" s="11">
        <f t="shared" si="110"/>
        <v>7.7294039770816206E-3</v>
      </c>
      <c r="T313" s="11">
        <f t="shared" si="111"/>
        <v>1.1189411005600936E-2</v>
      </c>
      <c r="U313" s="11">
        <f t="shared" si="112"/>
        <v>9.1532415518071827E-3</v>
      </c>
      <c r="W313">
        <f t="shared" si="113"/>
        <v>0</v>
      </c>
      <c r="X313">
        <f t="shared" si="114"/>
        <v>0</v>
      </c>
      <c r="Y313">
        <f t="shared" si="115"/>
        <v>0</v>
      </c>
      <c r="Z313">
        <f t="shared" si="116"/>
        <v>0</v>
      </c>
      <c r="AA313">
        <f t="shared" si="117"/>
        <v>0</v>
      </c>
      <c r="AB313">
        <f t="shared" si="118"/>
        <v>0</v>
      </c>
      <c r="AD313" s="11">
        <f t="shared" si="119"/>
        <v>9.1180110914384452E-2</v>
      </c>
      <c r="AE313" s="11">
        <f t="shared" si="120"/>
        <v>3.5407635156658512E-2</v>
      </c>
      <c r="AF313" s="11">
        <f t="shared" si="121"/>
        <v>5.051378144656898E-3</v>
      </c>
      <c r="AG313" s="11">
        <f t="shared" si="122"/>
        <v>4.0364704078590706E-3</v>
      </c>
      <c r="AH313" s="11">
        <f t="shared" si="123"/>
        <v>1.3859376858986437E-2</v>
      </c>
      <c r="AI313" s="11">
        <f t="shared" si="124"/>
        <v>4.7800307461488998E-3</v>
      </c>
      <c r="AJ313" s="11"/>
    </row>
    <row r="314" spans="1:36">
      <c r="A314" t="s">
        <v>524</v>
      </c>
      <c r="B314">
        <v>1.4744000000000001E-3</v>
      </c>
      <c r="C314">
        <v>0</v>
      </c>
      <c r="D314">
        <v>6498</v>
      </c>
      <c r="E314">
        <v>208902</v>
      </c>
      <c r="F314">
        <v>35053.11</v>
      </c>
      <c r="G314">
        <v>1009.782</v>
      </c>
      <c r="H314">
        <v>121545</v>
      </c>
      <c r="I314">
        <f t="shared" si="101"/>
        <v>0</v>
      </c>
      <c r="J314">
        <f t="shared" si="102"/>
        <v>0</v>
      </c>
      <c r="K314">
        <f t="shared" si="103"/>
        <v>0</v>
      </c>
      <c r="L314">
        <f t="shared" si="104"/>
        <v>0</v>
      </c>
      <c r="M314">
        <f t="shared" si="105"/>
        <v>0</v>
      </c>
      <c r="N314">
        <f t="shared" si="106"/>
        <v>0</v>
      </c>
      <c r="P314" s="11">
        <f t="shared" si="107"/>
        <v>9.1225344321843718E-2</v>
      </c>
      <c r="Q314" s="11">
        <f t="shared" si="108"/>
        <v>8.4022002452014397E-2</v>
      </c>
      <c r="R314" s="11">
        <f t="shared" si="109"/>
        <v>5.053884075430142E-3</v>
      </c>
      <c r="S314" s="11">
        <f t="shared" si="110"/>
        <v>9.578508279529642E-3</v>
      </c>
      <c r="T314" s="11">
        <f t="shared" si="111"/>
        <v>1.3866252336920244E-2</v>
      </c>
      <c r="U314" s="11">
        <f t="shared" si="112"/>
        <v>1.1342970331021945E-2</v>
      </c>
      <c r="W314">
        <f t="shared" si="113"/>
        <v>0</v>
      </c>
      <c r="X314">
        <f t="shared" si="114"/>
        <v>0</v>
      </c>
      <c r="Y314">
        <f t="shared" si="115"/>
        <v>0</v>
      </c>
      <c r="Z314">
        <f t="shared" si="116"/>
        <v>0</v>
      </c>
      <c r="AA314">
        <f t="shared" si="117"/>
        <v>0</v>
      </c>
      <c r="AB314">
        <f t="shared" si="118"/>
        <v>0</v>
      </c>
      <c r="AD314" s="11">
        <f t="shared" si="119"/>
        <v>0.27046374487328984</v>
      </c>
      <c r="AE314" s="11">
        <f t="shared" si="120"/>
        <v>0.1050281854841026</v>
      </c>
      <c r="AF314" s="11">
        <f t="shared" si="121"/>
        <v>1.4983691465980256E-2</v>
      </c>
      <c r="AG314" s="11">
        <f t="shared" si="122"/>
        <v>1.1973213145187697E-2</v>
      </c>
      <c r="AH314" s="11">
        <f t="shared" si="123"/>
        <v>4.1110489220740051E-2</v>
      </c>
      <c r="AI314" s="11">
        <f t="shared" si="124"/>
        <v>1.4178805040353851E-2</v>
      </c>
      <c r="AJ314" s="11"/>
    </row>
    <row r="315" spans="1:36">
      <c r="A315" t="s">
        <v>1007</v>
      </c>
      <c r="B315">
        <v>1.01E-3</v>
      </c>
      <c r="C315">
        <v>0</v>
      </c>
      <c r="D315">
        <v>7866</v>
      </c>
      <c r="E315">
        <v>201160</v>
      </c>
      <c r="F315">
        <v>36975.11</v>
      </c>
      <c r="G315">
        <v>1449.3820000000001</v>
      </c>
      <c r="H315">
        <v>131832</v>
      </c>
      <c r="I315">
        <f t="shared" si="101"/>
        <v>0</v>
      </c>
      <c r="J315">
        <f t="shared" si="102"/>
        <v>0</v>
      </c>
      <c r="K315">
        <f t="shared" si="103"/>
        <v>0</v>
      </c>
      <c r="L315">
        <f t="shared" si="104"/>
        <v>0</v>
      </c>
      <c r="M315">
        <f t="shared" si="105"/>
        <v>0</v>
      </c>
      <c r="N315">
        <f t="shared" si="106"/>
        <v>0</v>
      </c>
      <c r="P315" s="11">
        <f t="shared" si="107"/>
        <v>4.3537784379825334E-2</v>
      </c>
      <c r="Q315" s="11">
        <f t="shared" si="108"/>
        <v>4.0099950875614576E-2</v>
      </c>
      <c r="R315" s="11">
        <f t="shared" si="109"/>
        <v>2.4119932546423236E-3</v>
      </c>
      <c r="S315" s="11">
        <f t="shared" si="110"/>
        <v>4.5713943998200619E-3</v>
      </c>
      <c r="T315" s="11">
        <f t="shared" si="111"/>
        <v>6.6177432257334507E-3</v>
      </c>
      <c r="U315" s="11">
        <f t="shared" si="112"/>
        <v>5.4134933682079677E-3</v>
      </c>
      <c r="W315">
        <f t="shared" si="113"/>
        <v>0</v>
      </c>
      <c r="X315">
        <f t="shared" si="114"/>
        <v>0</v>
      </c>
      <c r="Y315">
        <f t="shared" si="115"/>
        <v>0</v>
      </c>
      <c r="Z315">
        <f t="shared" si="116"/>
        <v>0</v>
      </c>
      <c r="AA315">
        <f t="shared" si="117"/>
        <v>0</v>
      </c>
      <c r="AB315">
        <f t="shared" si="118"/>
        <v>0</v>
      </c>
      <c r="AD315" s="11">
        <f t="shared" si="119"/>
        <v>0.19240487849473056</v>
      </c>
      <c r="AE315" s="11">
        <f t="shared" si="120"/>
        <v>7.4715874676874142E-2</v>
      </c>
      <c r="AF315" s="11">
        <f t="shared" si="121"/>
        <v>1.0659230268608072E-2</v>
      </c>
      <c r="AG315" s="11">
        <f t="shared" si="122"/>
        <v>8.517609713163652E-3</v>
      </c>
      <c r="AH315" s="11">
        <f t="shared" si="123"/>
        <v>2.9245541531199046E-2</v>
      </c>
      <c r="AI315" s="11">
        <f t="shared" si="124"/>
        <v>1.008664308137801E-2</v>
      </c>
      <c r="AJ315" s="11"/>
    </row>
    <row r="316" spans="1:36">
      <c r="A316" t="s">
        <v>525</v>
      </c>
      <c r="B316">
        <v>5.0854999999999997E-3</v>
      </c>
      <c r="C316">
        <v>0</v>
      </c>
      <c r="D316">
        <v>6653</v>
      </c>
      <c r="E316">
        <v>292833</v>
      </c>
      <c r="F316">
        <v>31950.880000000001</v>
      </c>
      <c r="G316">
        <v>1768.36</v>
      </c>
      <c r="H316">
        <v>163507</v>
      </c>
      <c r="I316">
        <f t="shared" si="101"/>
        <v>0</v>
      </c>
      <c r="J316">
        <f t="shared" si="102"/>
        <v>0</v>
      </c>
      <c r="K316">
        <f t="shared" si="103"/>
        <v>0</v>
      </c>
      <c r="L316">
        <f t="shared" si="104"/>
        <v>0</v>
      </c>
      <c r="M316">
        <f t="shared" si="105"/>
        <v>0</v>
      </c>
      <c r="N316">
        <f t="shared" si="106"/>
        <v>0</v>
      </c>
      <c r="P316" s="11">
        <f t="shared" si="107"/>
        <v>0.17967629755818951</v>
      </c>
      <c r="Q316" s="11">
        <f t="shared" si="108"/>
        <v>0.16548868547693907</v>
      </c>
      <c r="R316" s="11">
        <f t="shared" si="109"/>
        <v>9.9540668847236981E-3</v>
      </c>
      <c r="S316" s="11">
        <f t="shared" si="110"/>
        <v>1.8865710144371054E-2</v>
      </c>
      <c r="T316" s="11">
        <f t="shared" si="111"/>
        <v>2.7310797228844805E-2</v>
      </c>
      <c r="U316" s="11">
        <f t="shared" si="112"/>
        <v>2.2340972539386775E-2</v>
      </c>
      <c r="W316">
        <f t="shared" si="113"/>
        <v>0</v>
      </c>
      <c r="X316">
        <f t="shared" si="114"/>
        <v>0</v>
      </c>
      <c r="Y316">
        <f t="shared" si="115"/>
        <v>0</v>
      </c>
      <c r="Z316">
        <f t="shared" si="116"/>
        <v>0</v>
      </c>
      <c r="AA316">
        <f t="shared" si="117"/>
        <v>0</v>
      </c>
      <c r="AB316">
        <f t="shared" si="118"/>
        <v>0</v>
      </c>
      <c r="AD316" s="11">
        <f t="shared" si="119"/>
        <v>0.66550293416691408</v>
      </c>
      <c r="AE316" s="11">
        <f t="shared" si="120"/>
        <v>0.25843229244142568</v>
      </c>
      <c r="AF316" s="11">
        <f t="shared" si="121"/>
        <v>3.6868862552847041E-2</v>
      </c>
      <c r="AG316" s="11">
        <f t="shared" si="122"/>
        <v>2.9461281338322529E-2</v>
      </c>
      <c r="AH316" s="11">
        <f t="shared" si="123"/>
        <v>0.10115644599337094</v>
      </c>
      <c r="AI316" s="11">
        <f t="shared" si="124"/>
        <v>3.4888359479592471E-2</v>
      </c>
      <c r="AJ316" s="11"/>
    </row>
    <row r="317" spans="1:36">
      <c r="A317" t="s">
        <v>1008</v>
      </c>
      <c r="B317">
        <v>1.42317E-2</v>
      </c>
      <c r="C317">
        <v>0</v>
      </c>
      <c r="D317">
        <v>10597</v>
      </c>
      <c r="E317">
        <v>406293</v>
      </c>
      <c r="F317">
        <v>39411.39</v>
      </c>
      <c r="G317">
        <v>1146.2660000000001</v>
      </c>
      <c r="H317">
        <v>173682</v>
      </c>
      <c r="I317">
        <f t="shared" si="101"/>
        <v>0</v>
      </c>
      <c r="J317">
        <f t="shared" si="102"/>
        <v>0</v>
      </c>
      <c r="K317">
        <f t="shared" si="103"/>
        <v>0</v>
      </c>
      <c r="L317">
        <f t="shared" si="104"/>
        <v>0</v>
      </c>
      <c r="M317">
        <f t="shared" si="105"/>
        <v>0</v>
      </c>
      <c r="N317">
        <f t="shared" si="106"/>
        <v>0</v>
      </c>
      <c r="P317" s="11">
        <f t="shared" si="107"/>
        <v>0.77570963089719125</v>
      </c>
      <c r="Q317" s="11">
        <f t="shared" si="108"/>
        <v>0.71445799403454335</v>
      </c>
      <c r="R317" s="11">
        <f t="shared" si="109"/>
        <v>4.2974313551704391E-2</v>
      </c>
      <c r="S317" s="11">
        <f t="shared" si="110"/>
        <v>8.1448211319937944E-2</v>
      </c>
      <c r="T317" s="11">
        <f t="shared" si="111"/>
        <v>0.11790786389637306</v>
      </c>
      <c r="U317" s="11">
        <f t="shared" si="112"/>
        <v>9.6451829194663358E-2</v>
      </c>
      <c r="W317">
        <f t="shared" si="113"/>
        <v>0</v>
      </c>
      <c r="X317">
        <f t="shared" si="114"/>
        <v>0</v>
      </c>
      <c r="Y317">
        <f t="shared" si="115"/>
        <v>0</v>
      </c>
      <c r="Z317">
        <f t="shared" si="116"/>
        <v>0</v>
      </c>
      <c r="AA317">
        <f t="shared" si="117"/>
        <v>0</v>
      </c>
      <c r="AB317">
        <f t="shared" si="118"/>
        <v>0</v>
      </c>
      <c r="AD317" s="11">
        <f t="shared" si="119"/>
        <v>1.342312928499531</v>
      </c>
      <c r="AE317" s="11">
        <f t="shared" si="120"/>
        <v>0.52125541372728557</v>
      </c>
      <c r="AF317" s="11">
        <f t="shared" si="121"/>
        <v>7.4364136238874015E-2</v>
      </c>
      <c r="AG317" s="11">
        <f t="shared" si="122"/>
        <v>5.9423117164910555E-2</v>
      </c>
      <c r="AH317" s="11">
        <f t="shared" si="123"/>
        <v>0.20403156513192872</v>
      </c>
      <c r="AI317" s="11">
        <f t="shared" si="124"/>
        <v>7.036948085318355E-2</v>
      </c>
      <c r="AJ317" s="11"/>
    </row>
    <row r="318" spans="1:36">
      <c r="A318" t="s">
        <v>526</v>
      </c>
      <c r="B318">
        <v>2.5561E-3</v>
      </c>
      <c r="C318">
        <v>0</v>
      </c>
      <c r="D318">
        <v>5056</v>
      </c>
      <c r="E318">
        <v>114256</v>
      </c>
      <c r="F318">
        <v>36814.11</v>
      </c>
      <c r="G318">
        <v>535.83839999999998</v>
      </c>
      <c r="H318">
        <v>70584</v>
      </c>
      <c r="I318">
        <f t="shared" si="101"/>
        <v>0</v>
      </c>
      <c r="J318">
        <f t="shared" si="102"/>
        <v>0</v>
      </c>
      <c r="K318">
        <f t="shared" si="103"/>
        <v>0</v>
      </c>
      <c r="L318">
        <f t="shared" si="104"/>
        <v>0</v>
      </c>
      <c r="M318">
        <f t="shared" si="105"/>
        <v>0</v>
      </c>
      <c r="N318">
        <f t="shared" si="106"/>
        <v>0</v>
      </c>
      <c r="P318" s="11">
        <f t="shared" si="107"/>
        <v>0.29803812382613865</v>
      </c>
      <c r="Q318" s="11">
        <f t="shared" si="108"/>
        <v>0.27450441713397172</v>
      </c>
      <c r="R318" s="11">
        <f t="shared" si="109"/>
        <v>1.6511312059968079E-2</v>
      </c>
      <c r="S318" s="11">
        <f t="shared" si="110"/>
        <v>3.1293503553272775E-2</v>
      </c>
      <c r="T318" s="11">
        <f t="shared" si="111"/>
        <v>4.5301794821573073E-2</v>
      </c>
      <c r="U318" s="11">
        <f t="shared" si="112"/>
        <v>3.7058096313086188E-2</v>
      </c>
      <c r="W318">
        <f t="shared" si="113"/>
        <v>0</v>
      </c>
      <c r="X318">
        <f t="shared" si="114"/>
        <v>0</v>
      </c>
      <c r="Y318">
        <f t="shared" si="115"/>
        <v>0</v>
      </c>
      <c r="Z318">
        <f t="shared" si="116"/>
        <v>0</v>
      </c>
      <c r="AA318">
        <f t="shared" si="117"/>
        <v>0</v>
      </c>
      <c r="AB318">
        <f t="shared" si="118"/>
        <v>0</v>
      </c>
      <c r="AD318" s="11">
        <f t="shared" si="119"/>
        <v>0.85730460650101514</v>
      </c>
      <c r="AE318" s="11">
        <f t="shared" si="120"/>
        <v>0.33291392630146338</v>
      </c>
      <c r="AF318" s="11">
        <f t="shared" si="121"/>
        <v>4.7494675200156239E-2</v>
      </c>
      <c r="AG318" s="11">
        <f t="shared" si="122"/>
        <v>3.7952187598366827E-2</v>
      </c>
      <c r="AH318" s="11">
        <f t="shared" si="123"/>
        <v>0.13031030018815429</v>
      </c>
      <c r="AI318" s="11">
        <f t="shared" si="124"/>
        <v>4.4943380050697562E-2</v>
      </c>
      <c r="AJ318" s="11"/>
    </row>
    <row r="319" spans="1:36">
      <c r="A319" t="s">
        <v>527</v>
      </c>
      <c r="B319">
        <v>9.1693999999999994E-3</v>
      </c>
      <c r="C319">
        <v>0</v>
      </c>
      <c r="D319">
        <v>54568</v>
      </c>
      <c r="E319">
        <v>1670225</v>
      </c>
      <c r="F319">
        <v>34901.74</v>
      </c>
      <c r="G319">
        <v>1328.1780000000001</v>
      </c>
      <c r="H319">
        <v>1046118</v>
      </c>
      <c r="I319">
        <f t="shared" si="101"/>
        <v>0</v>
      </c>
      <c r="J319">
        <f t="shared" si="102"/>
        <v>0</v>
      </c>
      <c r="K319">
        <f t="shared" si="103"/>
        <v>0</v>
      </c>
      <c r="L319">
        <f t="shared" si="104"/>
        <v>0</v>
      </c>
      <c r="M319">
        <f t="shared" si="105"/>
        <v>0</v>
      </c>
      <c r="N319">
        <f t="shared" si="106"/>
        <v>0</v>
      </c>
      <c r="P319" s="11">
        <f t="shared" si="107"/>
        <v>0.43133276574374813</v>
      </c>
      <c r="Q319" s="11">
        <f t="shared" si="108"/>
        <v>0.39727383843129449</v>
      </c>
      <c r="R319" s="11">
        <f t="shared" si="109"/>
        <v>2.3895835222203645E-2</v>
      </c>
      <c r="S319" s="11">
        <f t="shared" si="110"/>
        <v>4.5289217581167572E-2</v>
      </c>
      <c r="T319" s="11">
        <f t="shared" si="111"/>
        <v>6.5562580393049713E-2</v>
      </c>
      <c r="U319" s="11">
        <f t="shared" si="112"/>
        <v>5.3631968188224757E-2</v>
      </c>
      <c r="W319">
        <f t="shared" si="113"/>
        <v>0</v>
      </c>
      <c r="X319">
        <f t="shared" si="114"/>
        <v>0</v>
      </c>
      <c r="Y319">
        <f t="shared" si="115"/>
        <v>0</v>
      </c>
      <c r="Z319">
        <f t="shared" si="116"/>
        <v>0</v>
      </c>
      <c r="AA319">
        <f t="shared" si="117"/>
        <v>0</v>
      </c>
      <c r="AB319">
        <f t="shared" si="118"/>
        <v>0</v>
      </c>
      <c r="AD319" s="11">
        <f t="shared" si="119"/>
        <v>0.21037894422159886</v>
      </c>
      <c r="AE319" s="11">
        <f t="shared" si="120"/>
        <v>8.1695677126734409E-2</v>
      </c>
      <c r="AF319" s="11">
        <f t="shared" si="121"/>
        <v>1.1654993509876577E-2</v>
      </c>
      <c r="AG319" s="11">
        <f t="shared" si="122"/>
        <v>9.3133071924477225E-3</v>
      </c>
      <c r="AH319" s="11">
        <f t="shared" si="123"/>
        <v>3.1977599521683026E-2</v>
      </c>
      <c r="AI319" s="11">
        <f t="shared" si="124"/>
        <v>1.1028916412109145E-2</v>
      </c>
      <c r="AJ319" s="11"/>
    </row>
    <row r="320" spans="1:36">
      <c r="A320" t="s">
        <v>528</v>
      </c>
      <c r="B320">
        <v>4.1206999999999997E-3</v>
      </c>
      <c r="C320">
        <v>0</v>
      </c>
      <c r="D320">
        <v>9535</v>
      </c>
      <c r="E320">
        <v>422343</v>
      </c>
      <c r="F320">
        <v>31968.18</v>
      </c>
      <c r="G320">
        <v>1425.0530000000001</v>
      </c>
      <c r="H320">
        <v>192374</v>
      </c>
      <c r="I320">
        <f t="shared" si="101"/>
        <v>0</v>
      </c>
      <c r="J320">
        <f t="shared" si="102"/>
        <v>0</v>
      </c>
      <c r="K320">
        <f t="shared" si="103"/>
        <v>0</v>
      </c>
      <c r="L320">
        <f t="shared" si="104"/>
        <v>0</v>
      </c>
      <c r="M320">
        <f t="shared" si="105"/>
        <v>0</v>
      </c>
      <c r="N320">
        <f t="shared" si="106"/>
        <v>0</v>
      </c>
      <c r="P320" s="11">
        <f t="shared" si="107"/>
        <v>0.1806624081139438</v>
      </c>
      <c r="Q320" s="11">
        <f t="shared" si="108"/>
        <v>0.16639693070362993</v>
      </c>
      <c r="R320" s="11">
        <f t="shared" si="109"/>
        <v>1.0008697409512485E-2</v>
      </c>
      <c r="S320" s="11">
        <f t="shared" si="110"/>
        <v>1.8969250100213813E-2</v>
      </c>
      <c r="T320" s="11">
        <f t="shared" si="111"/>
        <v>2.7460686033319456E-2</v>
      </c>
      <c r="U320" s="11">
        <f t="shared" si="112"/>
        <v>2.2463585644990042E-2</v>
      </c>
      <c r="W320">
        <f t="shared" si="113"/>
        <v>0</v>
      </c>
      <c r="X320">
        <f t="shared" si="114"/>
        <v>0</v>
      </c>
      <c r="Y320">
        <f t="shared" si="115"/>
        <v>0</v>
      </c>
      <c r="Z320">
        <f t="shared" si="116"/>
        <v>0</v>
      </c>
      <c r="AA320">
        <f t="shared" si="117"/>
        <v>0</v>
      </c>
      <c r="AB320">
        <f t="shared" si="118"/>
        <v>0</v>
      </c>
      <c r="AD320" s="11">
        <f t="shared" si="119"/>
        <v>0.37388843325226179</v>
      </c>
      <c r="AE320" s="11">
        <f t="shared" si="120"/>
        <v>0.14519071210958864</v>
      </c>
      <c r="AF320" s="11">
        <f t="shared" si="121"/>
        <v>2.0713419202175301E-2</v>
      </c>
      <c r="AG320" s="11">
        <f t="shared" si="122"/>
        <v>1.6551741180493105E-2</v>
      </c>
      <c r="AH320" s="11">
        <f t="shared" si="123"/>
        <v>5.6831041854343789E-2</v>
      </c>
      <c r="AI320" s="11">
        <f t="shared" si="124"/>
        <v>1.9600746134794469E-2</v>
      </c>
      <c r="AJ320" s="11"/>
    </row>
    <row r="321" spans="1:36">
      <c r="A321" t="s">
        <v>529</v>
      </c>
      <c r="B321">
        <v>3.3167000000000001E-3</v>
      </c>
      <c r="C321">
        <v>0</v>
      </c>
      <c r="D321">
        <v>6856</v>
      </c>
      <c r="E321">
        <v>230849</v>
      </c>
      <c r="F321">
        <v>31016.01</v>
      </c>
      <c r="G321">
        <v>1311.4939999999999</v>
      </c>
      <c r="H321">
        <v>138139</v>
      </c>
      <c r="I321">
        <f t="shared" si="101"/>
        <v>0</v>
      </c>
      <c r="J321">
        <f t="shared" si="102"/>
        <v>0</v>
      </c>
      <c r="K321">
        <f t="shared" si="103"/>
        <v>0</v>
      </c>
      <c r="L321">
        <f t="shared" si="104"/>
        <v>0</v>
      </c>
      <c r="M321">
        <f t="shared" si="105"/>
        <v>0</v>
      </c>
      <c r="N321">
        <f t="shared" si="106"/>
        <v>0</v>
      </c>
      <c r="P321" s="11">
        <f t="shared" si="107"/>
        <v>0.15800385992616056</v>
      </c>
      <c r="Q321" s="11">
        <f t="shared" si="108"/>
        <v>0.1455275483456272</v>
      </c>
      <c r="R321" s="11">
        <f t="shared" si="109"/>
        <v>8.7534138399092947E-3</v>
      </c>
      <c r="S321" s="11">
        <f t="shared" si="110"/>
        <v>1.6590140511401501E-2</v>
      </c>
      <c r="T321" s="11">
        <f t="shared" si="111"/>
        <v>2.4016586708776405E-2</v>
      </c>
      <c r="U321" s="11">
        <f t="shared" si="112"/>
        <v>1.9646219026659674E-2</v>
      </c>
      <c r="W321">
        <f t="shared" si="113"/>
        <v>0</v>
      </c>
      <c r="X321">
        <f t="shared" si="114"/>
        <v>0</v>
      </c>
      <c r="Y321">
        <f t="shared" si="115"/>
        <v>0</v>
      </c>
      <c r="Z321">
        <f t="shared" si="116"/>
        <v>0</v>
      </c>
      <c r="AA321">
        <f t="shared" si="117"/>
        <v>0</v>
      </c>
      <c r="AB321">
        <f t="shared" si="118"/>
        <v>0</v>
      </c>
      <c r="AD321" s="11">
        <f t="shared" si="119"/>
        <v>0.55057251320932721</v>
      </c>
      <c r="AE321" s="11">
        <f t="shared" si="120"/>
        <v>0.21380178724837448</v>
      </c>
      <c r="AF321" s="11">
        <f t="shared" si="121"/>
        <v>3.0501717231796725E-2</v>
      </c>
      <c r="AG321" s="11">
        <f t="shared" si="122"/>
        <v>2.4373403746314692E-2</v>
      </c>
      <c r="AH321" s="11">
        <f t="shared" si="123"/>
        <v>8.3687022007817732E-2</v>
      </c>
      <c r="AI321" s="11">
        <f t="shared" si="124"/>
        <v>2.8863241278530558E-2</v>
      </c>
      <c r="AJ321" s="11"/>
    </row>
    <row r="322" spans="1:36">
      <c r="A322" t="s">
        <v>337</v>
      </c>
      <c r="B322">
        <v>2.4515800000000001E-2</v>
      </c>
      <c r="C322">
        <v>2.2847800000000001E-2</v>
      </c>
      <c r="D322">
        <v>312626</v>
      </c>
      <c r="E322">
        <v>5377936</v>
      </c>
      <c r="F322">
        <v>55048.91</v>
      </c>
      <c r="G322">
        <v>5237.415</v>
      </c>
      <c r="H322">
        <v>3904006</v>
      </c>
      <c r="I322">
        <f t="shared" si="101"/>
        <v>0.29647960934163131</v>
      </c>
      <c r="J322">
        <f t="shared" si="102"/>
        <v>0.71490017892414481</v>
      </c>
      <c r="K322">
        <f t="shared" si="103"/>
        <v>1.6424970357526374E-2</v>
      </c>
      <c r="L322">
        <f t="shared" si="104"/>
        <v>8.1498620397352506E-2</v>
      </c>
      <c r="M322">
        <f t="shared" si="105"/>
        <v>4.5064900619927961E-2</v>
      </c>
      <c r="N322">
        <f t="shared" si="106"/>
        <v>9.6511524154759554E-2</v>
      </c>
      <c r="P322" s="11">
        <f t="shared" si="107"/>
        <v>0.29245354893205905</v>
      </c>
      <c r="Q322" s="11">
        <f t="shared" si="108"/>
        <v>0.26936081182415367</v>
      </c>
      <c r="R322" s="11">
        <f t="shared" si="109"/>
        <v>1.6201926610836071E-2</v>
      </c>
      <c r="S322" s="11">
        <f t="shared" si="110"/>
        <v>3.0707132547953521E-2</v>
      </c>
      <c r="T322" s="11">
        <f t="shared" si="111"/>
        <v>4.4452939437672971E-2</v>
      </c>
      <c r="U322" s="11">
        <f t="shared" si="112"/>
        <v>3.636370959626075E-2</v>
      </c>
      <c r="W322">
        <f t="shared" si="113"/>
        <v>1.5510640403204392</v>
      </c>
      <c r="X322">
        <f t="shared" si="114"/>
        <v>2.0561462052938935</v>
      </c>
      <c r="Y322">
        <f t="shared" si="115"/>
        <v>8.5928947833752323E-2</v>
      </c>
      <c r="Z322">
        <f t="shared" si="116"/>
        <v>0.23440066740350388</v>
      </c>
      <c r="AA322">
        <f t="shared" si="117"/>
        <v>0.23576173412870674</v>
      </c>
      <c r="AB322">
        <f t="shared" si="118"/>
        <v>0.27757973771467565</v>
      </c>
      <c r="AD322" s="11">
        <f t="shared" si="119"/>
        <v>0.17468948834676351</v>
      </c>
      <c r="AE322" s="11">
        <f t="shared" si="120"/>
        <v>6.7836522757615564E-2</v>
      </c>
      <c r="AF322" s="11">
        <f t="shared" si="121"/>
        <v>9.6777976544106976E-3</v>
      </c>
      <c r="AG322" s="11">
        <f t="shared" si="122"/>
        <v>7.7333635943681745E-3</v>
      </c>
      <c r="AH322" s="11">
        <f t="shared" si="123"/>
        <v>2.6552802228708053E-2</v>
      </c>
      <c r="AI322" s="11">
        <f t="shared" si="124"/>
        <v>9.1579305722781015E-3</v>
      </c>
      <c r="AJ322" s="11"/>
    </row>
    <row r="323" spans="1:36">
      <c r="A323" t="s">
        <v>530</v>
      </c>
      <c r="B323">
        <v>3.1516000000000001E-3</v>
      </c>
      <c r="C323">
        <v>0</v>
      </c>
      <c r="D323">
        <v>6724</v>
      </c>
      <c r="E323">
        <v>163659</v>
      </c>
      <c r="F323">
        <v>34509.769999999997</v>
      </c>
      <c r="G323">
        <v>1060.7729999999999</v>
      </c>
      <c r="H323">
        <v>113542</v>
      </c>
      <c r="I323">
        <f t="shared" si="101"/>
        <v>0</v>
      </c>
      <c r="J323">
        <f t="shared" si="102"/>
        <v>0</v>
      </c>
      <c r="K323">
        <f t="shared" si="103"/>
        <v>0</v>
      </c>
      <c r="L323">
        <f t="shared" si="104"/>
        <v>0</v>
      </c>
      <c r="M323">
        <f t="shared" si="105"/>
        <v>0</v>
      </c>
      <c r="N323">
        <f t="shared" si="106"/>
        <v>0</v>
      </c>
      <c r="P323" s="11">
        <f t="shared" si="107"/>
        <v>0.18562499230278298</v>
      </c>
      <c r="Q323" s="11">
        <f t="shared" si="108"/>
        <v>0.17096765898076216</v>
      </c>
      <c r="R323" s="11">
        <f t="shared" si="109"/>
        <v>1.0283624573574178E-2</v>
      </c>
      <c r="S323" s="11">
        <f t="shared" si="110"/>
        <v>1.9490313123806887E-2</v>
      </c>
      <c r="T323" s="11">
        <f t="shared" si="111"/>
        <v>2.8214998830023014E-2</v>
      </c>
      <c r="U323" s="11">
        <f t="shared" si="112"/>
        <v>2.3080633962402893E-2</v>
      </c>
      <c r="W323">
        <f t="shared" si="113"/>
        <v>0</v>
      </c>
      <c r="X323">
        <f t="shared" si="114"/>
        <v>0</v>
      </c>
      <c r="Y323">
        <f t="shared" si="115"/>
        <v>0</v>
      </c>
      <c r="Z323">
        <f t="shared" si="116"/>
        <v>0</v>
      </c>
      <c r="AA323">
        <f t="shared" si="117"/>
        <v>0</v>
      </c>
      <c r="AB323">
        <f t="shared" si="118"/>
        <v>0</v>
      </c>
      <c r="AD323" s="11">
        <f t="shared" si="119"/>
        <v>0.73795100971703353</v>
      </c>
      <c r="AE323" s="11">
        <f t="shared" si="120"/>
        <v>0.28656578560299162</v>
      </c>
      <c r="AF323" s="11">
        <f t="shared" si="121"/>
        <v>4.0882485938323658E-2</v>
      </c>
      <c r="AG323" s="11">
        <f t="shared" si="122"/>
        <v>3.2668499558741043E-2</v>
      </c>
      <c r="AH323" s="11">
        <f t="shared" si="123"/>
        <v>0.11216855347698909</v>
      </c>
      <c r="AI323" s="11">
        <f t="shared" si="124"/>
        <v>3.8686381056403873E-2</v>
      </c>
      <c r="AJ323" s="11"/>
    </row>
    <row r="324" spans="1:36">
      <c r="A324" t="s">
        <v>531</v>
      </c>
      <c r="B324">
        <v>8.7311999999999997E-3</v>
      </c>
      <c r="C324">
        <v>0</v>
      </c>
      <c r="D324">
        <v>5099</v>
      </c>
      <c r="E324">
        <v>131043</v>
      </c>
      <c r="F324">
        <v>35303.300000000003</v>
      </c>
      <c r="G324">
        <v>1987.549</v>
      </c>
      <c r="H324">
        <v>92289</v>
      </c>
      <c r="I324">
        <f t="shared" si="101"/>
        <v>0</v>
      </c>
      <c r="J324">
        <f t="shared" si="102"/>
        <v>0</v>
      </c>
      <c r="K324">
        <f t="shared" si="103"/>
        <v>0</v>
      </c>
      <c r="L324">
        <f t="shared" si="104"/>
        <v>0</v>
      </c>
      <c r="M324">
        <f t="shared" si="105"/>
        <v>0</v>
      </c>
      <c r="N324">
        <f t="shared" si="106"/>
        <v>0</v>
      </c>
      <c r="P324" s="11">
        <f t="shared" si="107"/>
        <v>0.2744630631597007</v>
      </c>
      <c r="Q324" s="11">
        <f t="shared" si="108"/>
        <v>0.25279089201825966</v>
      </c>
      <c r="R324" s="11">
        <f t="shared" si="109"/>
        <v>1.5205253699047419E-2</v>
      </c>
      <c r="S324" s="11">
        <f t="shared" si="110"/>
        <v>2.8818161690081601E-2</v>
      </c>
      <c r="T324" s="11">
        <f t="shared" si="111"/>
        <v>4.1718385600274507E-2</v>
      </c>
      <c r="U324" s="11">
        <f t="shared" si="112"/>
        <v>3.4126770422465057E-2</v>
      </c>
      <c r="W324">
        <f t="shared" si="113"/>
        <v>0</v>
      </c>
      <c r="X324">
        <f t="shared" si="114"/>
        <v>0</v>
      </c>
      <c r="Y324">
        <f t="shared" si="115"/>
        <v>0</v>
      </c>
      <c r="Z324">
        <f t="shared" si="116"/>
        <v>0</v>
      </c>
      <c r="AA324">
        <f t="shared" si="117"/>
        <v>0</v>
      </c>
      <c r="AB324">
        <f t="shared" si="118"/>
        <v>0</v>
      </c>
      <c r="AD324" s="11">
        <f t="shared" si="119"/>
        <v>2.553268234708912</v>
      </c>
      <c r="AE324" s="11">
        <f t="shared" si="120"/>
        <v>0.99150120793937868</v>
      </c>
      <c r="AF324" s="11">
        <f t="shared" si="121"/>
        <v>0.14145106020287371</v>
      </c>
      <c r="AG324" s="11">
        <f t="shared" si="122"/>
        <v>0.11303113770508917</v>
      </c>
      <c r="AH324" s="11">
        <f t="shared" si="123"/>
        <v>0.38809677167575463</v>
      </c>
      <c r="AI324" s="11">
        <f t="shared" si="124"/>
        <v>0.13385266307181612</v>
      </c>
      <c r="AJ324" s="11"/>
    </row>
    <row r="325" spans="1:36">
      <c r="A325" t="s">
        <v>1009</v>
      </c>
      <c r="B325">
        <v>1.7906E-3</v>
      </c>
      <c r="C325">
        <v>0</v>
      </c>
      <c r="D325">
        <v>3325</v>
      </c>
      <c r="E325">
        <v>121682</v>
      </c>
      <c r="F325">
        <v>30707.5</v>
      </c>
      <c r="G325">
        <v>752.14329999999995</v>
      </c>
      <c r="H325">
        <v>58501</v>
      </c>
      <c r="I325">
        <f t="shared" si="101"/>
        <v>0</v>
      </c>
      <c r="J325">
        <f t="shared" si="102"/>
        <v>0</v>
      </c>
      <c r="K325">
        <f t="shared" si="103"/>
        <v>0</v>
      </c>
      <c r="L325">
        <f t="shared" si="104"/>
        <v>0</v>
      </c>
      <c r="M325">
        <f t="shared" si="105"/>
        <v>0</v>
      </c>
      <c r="N325">
        <f t="shared" si="106"/>
        <v>0</v>
      </c>
      <c r="P325" s="11">
        <f t="shared" si="107"/>
        <v>0.14873932382300023</v>
      </c>
      <c r="Q325" s="11">
        <f t="shared" si="108"/>
        <v>0.13699455917509337</v>
      </c>
      <c r="R325" s="11">
        <f t="shared" si="109"/>
        <v>8.240158539794212E-3</v>
      </c>
      <c r="S325" s="11">
        <f t="shared" si="110"/>
        <v>1.5617379745960645E-2</v>
      </c>
      <c r="T325" s="11">
        <f t="shared" si="111"/>
        <v>2.2608377221096033E-2</v>
      </c>
      <c r="U325" s="11">
        <f t="shared" si="112"/>
        <v>1.8494265488637605E-2</v>
      </c>
      <c r="W325">
        <f t="shared" si="113"/>
        <v>0</v>
      </c>
      <c r="X325">
        <f t="shared" si="114"/>
        <v>0</v>
      </c>
      <c r="Y325">
        <f t="shared" si="115"/>
        <v>0</v>
      </c>
      <c r="Z325">
        <f t="shared" si="116"/>
        <v>0</v>
      </c>
      <c r="AA325">
        <f t="shared" si="117"/>
        <v>0</v>
      </c>
      <c r="AB325">
        <f t="shared" si="118"/>
        <v>0</v>
      </c>
      <c r="AD325" s="11">
        <f t="shared" si="119"/>
        <v>0.5639084125464735</v>
      </c>
      <c r="AE325" s="11">
        <f t="shared" si="120"/>
        <v>0.21898046770270049</v>
      </c>
      <c r="AF325" s="11">
        <f t="shared" si="121"/>
        <v>3.124052605507463E-2</v>
      </c>
      <c r="AG325" s="11">
        <f t="shared" si="122"/>
        <v>2.4963773318107858E-2</v>
      </c>
      <c r="AH325" s="11">
        <f t="shared" si="123"/>
        <v>8.5714078707063976E-2</v>
      </c>
      <c r="AI325" s="11">
        <f t="shared" si="124"/>
        <v>2.9562363139864569E-2</v>
      </c>
      <c r="AJ325" s="11"/>
    </row>
    <row r="326" spans="1:36">
      <c r="A326" t="s">
        <v>532</v>
      </c>
      <c r="B326">
        <v>1.1289799999999999E-2</v>
      </c>
      <c r="C326">
        <v>0</v>
      </c>
      <c r="D326">
        <v>3203</v>
      </c>
      <c r="E326">
        <v>108301</v>
      </c>
      <c r="F326">
        <v>33550.58</v>
      </c>
      <c r="G326">
        <v>1561.125</v>
      </c>
      <c r="H326">
        <v>65773</v>
      </c>
      <c r="I326">
        <f t="shared" si="101"/>
        <v>0</v>
      </c>
      <c r="J326">
        <f t="shared" si="102"/>
        <v>0</v>
      </c>
      <c r="K326">
        <f t="shared" si="103"/>
        <v>0</v>
      </c>
      <c r="L326">
        <f t="shared" si="104"/>
        <v>0</v>
      </c>
      <c r="M326">
        <f t="shared" si="105"/>
        <v>0</v>
      </c>
      <c r="N326">
        <f t="shared" si="106"/>
        <v>0</v>
      </c>
      <c r="P326" s="11">
        <f t="shared" si="107"/>
        <v>0.4518313737721194</v>
      </c>
      <c r="Q326" s="11">
        <f t="shared" si="108"/>
        <v>0.41615383397229555</v>
      </c>
      <c r="R326" s="11">
        <f t="shared" si="109"/>
        <v>2.5031458106975414E-2</v>
      </c>
      <c r="S326" s="11">
        <f t="shared" si="110"/>
        <v>4.7441537072841697E-2</v>
      </c>
      <c r="T326" s="11">
        <f t="shared" si="111"/>
        <v>6.8678368813362145E-2</v>
      </c>
      <c r="U326" s="11">
        <f t="shared" si="112"/>
        <v>5.6180767586259901E-2</v>
      </c>
      <c r="W326">
        <f t="shared" si="113"/>
        <v>0</v>
      </c>
      <c r="X326">
        <f t="shared" si="114"/>
        <v>0</v>
      </c>
      <c r="Y326">
        <f t="shared" si="115"/>
        <v>0</v>
      </c>
      <c r="Z326">
        <f t="shared" si="116"/>
        <v>0</v>
      </c>
      <c r="AA326">
        <f t="shared" si="117"/>
        <v>0</v>
      </c>
      <c r="AB326">
        <f t="shared" si="118"/>
        <v>0</v>
      </c>
      <c r="AD326" s="11">
        <f t="shared" si="119"/>
        <v>3.9947546817743134</v>
      </c>
      <c r="AE326" s="11">
        <f t="shared" si="120"/>
        <v>1.5512683072455471</v>
      </c>
      <c r="AF326" s="11">
        <f t="shared" si="121"/>
        <v>0.22130940937029694</v>
      </c>
      <c r="AG326" s="11">
        <f t="shared" si="122"/>
        <v>0.17684458702599237</v>
      </c>
      <c r="AH326" s="11">
        <f t="shared" si="123"/>
        <v>0.60720271162969564</v>
      </c>
      <c r="AI326" s="11">
        <f t="shared" si="124"/>
        <v>0.20942122147814887</v>
      </c>
      <c r="AJ326" s="11"/>
    </row>
    <row r="327" spans="1:36">
      <c r="A327" t="s">
        <v>533</v>
      </c>
      <c r="B327">
        <v>3.7066E-3</v>
      </c>
      <c r="C327">
        <v>0</v>
      </c>
      <c r="D327">
        <v>4389</v>
      </c>
      <c r="E327">
        <v>144986</v>
      </c>
      <c r="F327">
        <v>29806.62</v>
      </c>
      <c r="G327">
        <v>1841.038</v>
      </c>
      <c r="H327">
        <v>84367</v>
      </c>
      <c r="I327">
        <f t="shared" si="101"/>
        <v>0</v>
      </c>
      <c r="J327">
        <f t="shared" si="102"/>
        <v>0</v>
      </c>
      <c r="K327">
        <f t="shared" si="103"/>
        <v>0</v>
      </c>
      <c r="L327">
        <f t="shared" si="104"/>
        <v>0</v>
      </c>
      <c r="M327">
        <f t="shared" si="105"/>
        <v>0</v>
      </c>
      <c r="N327">
        <f t="shared" si="106"/>
        <v>0</v>
      </c>
      <c r="P327" s="11">
        <f t="shared" si="107"/>
        <v>0.12578845491510768</v>
      </c>
      <c r="Q327" s="11">
        <f t="shared" si="108"/>
        <v>0.11585593834565065</v>
      </c>
      <c r="R327" s="11">
        <f t="shared" si="109"/>
        <v>6.9686804022969654E-3</v>
      </c>
      <c r="S327" s="11">
        <f t="shared" si="110"/>
        <v>1.3207576971404174E-2</v>
      </c>
      <c r="T327" s="11">
        <f t="shared" si="111"/>
        <v>1.9119845147096366E-2</v>
      </c>
      <c r="U327" s="11">
        <f t="shared" si="112"/>
        <v>1.5640551676662839E-2</v>
      </c>
      <c r="W327">
        <f t="shared" si="113"/>
        <v>0</v>
      </c>
      <c r="X327">
        <f t="shared" si="114"/>
        <v>0</v>
      </c>
      <c r="Y327">
        <f t="shared" si="115"/>
        <v>0</v>
      </c>
      <c r="Z327">
        <f t="shared" si="116"/>
        <v>0</v>
      </c>
      <c r="AA327">
        <f t="shared" si="117"/>
        <v>0</v>
      </c>
      <c r="AB327">
        <f t="shared" si="118"/>
        <v>0</v>
      </c>
      <c r="AD327" s="11">
        <f t="shared" si="119"/>
        <v>0.97968393340239734</v>
      </c>
      <c r="AE327" s="11">
        <f t="shared" si="120"/>
        <v>0.38043703758293906</v>
      </c>
      <c r="AF327" s="11">
        <f t="shared" si="121"/>
        <v>5.4274489910492808E-2</v>
      </c>
      <c r="AG327" s="11">
        <f t="shared" si="122"/>
        <v>4.3369822284455052E-2</v>
      </c>
      <c r="AH327" s="11">
        <f t="shared" si="123"/>
        <v>0.14891195787716438</v>
      </c>
      <c r="AI327" s="11">
        <f t="shared" si="124"/>
        <v>5.135900007369678E-2</v>
      </c>
      <c r="AJ327" s="11"/>
    </row>
    <row r="328" spans="1:36">
      <c r="A328" t="s">
        <v>1010</v>
      </c>
      <c r="B328">
        <v>2.2801000000000002E-3</v>
      </c>
      <c r="C328">
        <v>0</v>
      </c>
      <c r="D328">
        <v>4692</v>
      </c>
      <c r="E328">
        <v>147607</v>
      </c>
      <c r="F328">
        <v>30806.79</v>
      </c>
      <c r="G328">
        <v>823.60699999999997</v>
      </c>
      <c r="H328">
        <v>93043</v>
      </c>
      <c r="I328">
        <f t="shared" si="101"/>
        <v>0</v>
      </c>
      <c r="J328">
        <f t="shared" si="102"/>
        <v>0</v>
      </c>
      <c r="K328">
        <f t="shared" si="103"/>
        <v>0</v>
      </c>
      <c r="L328">
        <f t="shared" si="104"/>
        <v>0</v>
      </c>
      <c r="M328">
        <f t="shared" si="105"/>
        <v>0</v>
      </c>
      <c r="N328">
        <f t="shared" si="106"/>
        <v>0</v>
      </c>
      <c r="P328" s="11">
        <f t="shared" si="107"/>
        <v>0.17296637329454462</v>
      </c>
      <c r="Q328" s="11">
        <f t="shared" si="108"/>
        <v>0.15930859071134656</v>
      </c>
      <c r="R328" s="11">
        <f t="shared" si="109"/>
        <v>9.5823370805177711E-3</v>
      </c>
      <c r="S328" s="11">
        <f t="shared" si="110"/>
        <v>1.8161179341093511E-2</v>
      </c>
      <c r="T328" s="11">
        <f t="shared" si="111"/>
        <v>2.629088874077078E-2</v>
      </c>
      <c r="U328" s="11">
        <f t="shared" si="112"/>
        <v>2.1506659746031789E-2</v>
      </c>
      <c r="W328">
        <f t="shared" si="113"/>
        <v>0</v>
      </c>
      <c r="X328">
        <f t="shared" si="114"/>
        <v>0</v>
      </c>
      <c r="Y328">
        <f t="shared" si="115"/>
        <v>0</v>
      </c>
      <c r="Z328">
        <f t="shared" si="116"/>
        <v>0</v>
      </c>
      <c r="AA328">
        <f t="shared" si="117"/>
        <v>0</v>
      </c>
      <c r="AB328">
        <f t="shared" si="118"/>
        <v>0</v>
      </c>
      <c r="AD328" s="11">
        <f t="shared" si="119"/>
        <v>0.59194761305073607</v>
      </c>
      <c r="AE328" s="11">
        <f t="shared" si="120"/>
        <v>0.22986882670537306</v>
      </c>
      <c r="AF328" s="11">
        <f t="shared" si="121"/>
        <v>3.2793897763010775E-2</v>
      </c>
      <c r="AG328" s="11">
        <f t="shared" si="122"/>
        <v>2.6205046244412531E-2</v>
      </c>
      <c r="AH328" s="11">
        <f t="shared" si="123"/>
        <v>8.9976037183711874E-2</v>
      </c>
      <c r="AI328" s="11">
        <f t="shared" si="124"/>
        <v>3.1032291605225366E-2</v>
      </c>
      <c r="AJ328" s="11"/>
    </row>
    <row r="329" spans="1:36">
      <c r="A329" t="s">
        <v>534</v>
      </c>
      <c r="B329">
        <v>2.9496000000000001E-3</v>
      </c>
      <c r="C329">
        <v>0</v>
      </c>
      <c r="D329">
        <v>25799</v>
      </c>
      <c r="E329">
        <v>603205</v>
      </c>
      <c r="F329">
        <v>39363.57</v>
      </c>
      <c r="G329">
        <v>1391.569</v>
      </c>
      <c r="H329">
        <v>397647</v>
      </c>
      <c r="I329">
        <f t="shared" si="101"/>
        <v>0</v>
      </c>
      <c r="J329">
        <f t="shared" si="102"/>
        <v>0</v>
      </c>
      <c r="K329">
        <f t="shared" si="103"/>
        <v>0</v>
      </c>
      <c r="L329">
        <f t="shared" si="104"/>
        <v>0</v>
      </c>
      <c r="M329">
        <f t="shared" si="105"/>
        <v>0</v>
      </c>
      <c r="N329">
        <f t="shared" si="106"/>
        <v>0</v>
      </c>
      <c r="P329" s="11">
        <f t="shared" si="107"/>
        <v>0.132429943294224</v>
      </c>
      <c r="Q329" s="11">
        <f t="shared" si="108"/>
        <v>0.12197300106570354</v>
      </c>
      <c r="R329" s="11">
        <f t="shared" si="109"/>
        <v>7.3366188585000094E-3</v>
      </c>
      <c r="S329" s="11">
        <f t="shared" si="110"/>
        <v>1.3904922121490203E-2</v>
      </c>
      <c r="T329" s="11">
        <f t="shared" si="111"/>
        <v>2.0129351380722048E-2</v>
      </c>
      <c r="U329" s="11">
        <f t="shared" si="112"/>
        <v>1.6466355143869977E-2</v>
      </c>
      <c r="W329">
        <f t="shared" si="113"/>
        <v>0</v>
      </c>
      <c r="X329">
        <f t="shared" si="114"/>
        <v>0</v>
      </c>
      <c r="Y329">
        <f t="shared" si="115"/>
        <v>0</v>
      </c>
      <c r="Z329">
        <f t="shared" si="116"/>
        <v>0</v>
      </c>
      <c r="AA329">
        <f t="shared" si="117"/>
        <v>0</v>
      </c>
      <c r="AB329">
        <f t="shared" si="118"/>
        <v>0</v>
      </c>
      <c r="AD329" s="11">
        <f t="shared" si="119"/>
        <v>0.18738487119251332</v>
      </c>
      <c r="AE329" s="11">
        <f t="shared" si="120"/>
        <v>7.2766473812385518E-2</v>
      </c>
      <c r="AF329" s="11">
        <f t="shared" si="121"/>
        <v>1.0381121864065238E-2</v>
      </c>
      <c r="AG329" s="11">
        <f t="shared" si="122"/>
        <v>8.2953780146119496E-3</v>
      </c>
      <c r="AH329" s="11">
        <f t="shared" si="123"/>
        <v>2.8482500421262023E-2</v>
      </c>
      <c r="AI329" s="11">
        <f t="shared" si="124"/>
        <v>9.8234739646720463E-3</v>
      </c>
      <c r="AJ329" s="11"/>
    </row>
    <row r="330" spans="1:36">
      <c r="A330" t="s">
        <v>535</v>
      </c>
      <c r="B330">
        <v>8.7215000000000001E-3</v>
      </c>
      <c r="C330">
        <v>0</v>
      </c>
      <c r="D330">
        <v>3241</v>
      </c>
      <c r="E330">
        <v>116666</v>
      </c>
      <c r="F330">
        <v>29545.02</v>
      </c>
      <c r="G330">
        <v>2367.375</v>
      </c>
      <c r="H330">
        <v>69086</v>
      </c>
      <c r="I330">
        <f t="shared" si="101"/>
        <v>0</v>
      </c>
      <c r="J330">
        <f t="shared" si="102"/>
        <v>0</v>
      </c>
      <c r="K330">
        <f t="shared" si="103"/>
        <v>0</v>
      </c>
      <c r="L330">
        <f t="shared" si="104"/>
        <v>0</v>
      </c>
      <c r="M330">
        <f t="shared" si="105"/>
        <v>0</v>
      </c>
      <c r="N330">
        <f t="shared" si="106"/>
        <v>0</v>
      </c>
      <c r="P330" s="11">
        <f t="shared" si="107"/>
        <v>0.23017170881250329</v>
      </c>
      <c r="Q330" s="11">
        <f t="shared" si="108"/>
        <v>0.21199687461851205</v>
      </c>
      <c r="R330" s="11">
        <f t="shared" si="109"/>
        <v>1.2751512668212681E-2</v>
      </c>
      <c r="S330" s="11">
        <f t="shared" si="110"/>
        <v>2.4167643706510374E-2</v>
      </c>
      <c r="T330" s="11">
        <f t="shared" si="111"/>
        <v>3.4986099739500502E-2</v>
      </c>
      <c r="U330" s="11">
        <f t="shared" si="112"/>
        <v>2.861957807349913E-2</v>
      </c>
      <c r="W330">
        <f t="shared" si="113"/>
        <v>0</v>
      </c>
      <c r="X330">
        <f t="shared" si="114"/>
        <v>0</v>
      </c>
      <c r="Y330">
        <f t="shared" si="115"/>
        <v>0</v>
      </c>
      <c r="Z330">
        <f t="shared" si="116"/>
        <v>0</v>
      </c>
      <c r="AA330">
        <f t="shared" si="117"/>
        <v>0</v>
      </c>
      <c r="AB330">
        <f t="shared" si="118"/>
        <v>0</v>
      </c>
      <c r="AD330" s="11">
        <f t="shared" si="119"/>
        <v>2.864726792807673</v>
      </c>
      <c r="AE330" s="11">
        <f t="shared" si="120"/>
        <v>1.1124487575857578</v>
      </c>
      <c r="AF330" s="11">
        <f t="shared" si="121"/>
        <v>0.15870586432154507</v>
      </c>
      <c r="AG330" s="11">
        <f t="shared" si="122"/>
        <v>0.12681915836477639</v>
      </c>
      <c r="AH330" s="11">
        <f t="shared" si="123"/>
        <v>0.43543847250676626</v>
      </c>
      <c r="AI330" s="11">
        <f t="shared" si="124"/>
        <v>0.15018058227407732</v>
      </c>
      <c r="AJ330" s="11"/>
    </row>
    <row r="331" spans="1:36">
      <c r="A331" t="s">
        <v>1011</v>
      </c>
      <c r="B331">
        <v>8.3101000000000008E-3</v>
      </c>
      <c r="C331">
        <v>0</v>
      </c>
      <c r="D331">
        <v>4223</v>
      </c>
      <c r="E331">
        <v>122620</v>
      </c>
      <c r="F331">
        <v>35383.17</v>
      </c>
      <c r="G331">
        <v>2773.056</v>
      </c>
      <c r="H331">
        <v>74699</v>
      </c>
      <c r="I331">
        <f t="shared" si="101"/>
        <v>0</v>
      </c>
      <c r="J331">
        <f t="shared" si="102"/>
        <v>0</v>
      </c>
      <c r="K331">
        <f t="shared" si="103"/>
        <v>0</v>
      </c>
      <c r="L331">
        <f t="shared" si="104"/>
        <v>0</v>
      </c>
      <c r="M331">
        <f t="shared" si="105"/>
        <v>0</v>
      </c>
      <c r="N331">
        <f t="shared" si="106"/>
        <v>0</v>
      </c>
      <c r="P331" s="11">
        <f t="shared" si="107"/>
        <v>0.18722999420494937</v>
      </c>
      <c r="Q331" s="11">
        <f t="shared" si="108"/>
        <v>0.17244592661309399</v>
      </c>
      <c r="R331" s="11">
        <f t="shared" si="109"/>
        <v>1.0372541678954196E-2</v>
      </c>
      <c r="S331" s="11">
        <f t="shared" si="110"/>
        <v>1.9658835633892716E-2</v>
      </c>
      <c r="T331" s="11">
        <f t="shared" si="111"/>
        <v>2.8458959119152305E-2</v>
      </c>
      <c r="U331" s="11">
        <f t="shared" si="112"/>
        <v>2.328020009276769E-2</v>
      </c>
      <c r="W331">
        <f t="shared" si="113"/>
        <v>0</v>
      </c>
      <c r="X331">
        <f t="shared" si="114"/>
        <v>0</v>
      </c>
      <c r="Y331">
        <f t="shared" si="115"/>
        <v>0</v>
      </c>
      <c r="Z331">
        <f t="shared" si="116"/>
        <v>0</v>
      </c>
      <c r="AA331">
        <f t="shared" si="117"/>
        <v>0</v>
      </c>
      <c r="AB331">
        <f t="shared" si="118"/>
        <v>0</v>
      </c>
      <c r="AD331" s="11">
        <f t="shared" si="119"/>
        <v>2.5970557396312186</v>
      </c>
      <c r="AE331" s="11">
        <f t="shared" si="120"/>
        <v>1.0085050477369109</v>
      </c>
      <c r="AF331" s="11">
        <f t="shared" si="121"/>
        <v>0.1438768879755695</v>
      </c>
      <c r="AG331" s="11">
        <f t="shared" si="122"/>
        <v>0.11496957544200784</v>
      </c>
      <c r="AH331" s="11">
        <f t="shared" si="123"/>
        <v>0.39475247242394523</v>
      </c>
      <c r="AI331" s="11">
        <f t="shared" si="124"/>
        <v>0.13614818144448299</v>
      </c>
      <c r="AJ331" s="11"/>
    </row>
    <row r="332" spans="1:36">
      <c r="A332" t="s">
        <v>536</v>
      </c>
      <c r="B332">
        <v>3.7669000000000001E-3</v>
      </c>
      <c r="C332">
        <v>0</v>
      </c>
      <c r="D332">
        <v>6407</v>
      </c>
      <c r="E332">
        <v>234881</v>
      </c>
      <c r="F332">
        <v>32356.42</v>
      </c>
      <c r="G332">
        <v>1307.9290000000001</v>
      </c>
      <c r="H332">
        <v>123495</v>
      </c>
      <c r="I332">
        <f t="shared" si="101"/>
        <v>0</v>
      </c>
      <c r="J332">
        <f t="shared" si="102"/>
        <v>0</v>
      </c>
      <c r="K332">
        <f t="shared" si="103"/>
        <v>0</v>
      </c>
      <c r="L332">
        <f t="shared" si="104"/>
        <v>0</v>
      </c>
      <c r="M332">
        <f t="shared" si="105"/>
        <v>0</v>
      </c>
      <c r="N332">
        <f t="shared" si="106"/>
        <v>0</v>
      </c>
      <c r="P332" s="11">
        <f t="shared" si="107"/>
        <v>0.17994000812735247</v>
      </c>
      <c r="Q332" s="11">
        <f t="shared" si="108"/>
        <v>0.16573157291412607</v>
      </c>
      <c r="R332" s="11">
        <f t="shared" si="109"/>
        <v>9.968676450255327E-3</v>
      </c>
      <c r="S332" s="11">
        <f t="shared" si="110"/>
        <v>1.8893399312210374E-2</v>
      </c>
      <c r="T332" s="11">
        <f t="shared" si="111"/>
        <v>2.7350881235357574E-2</v>
      </c>
      <c r="U332" s="11">
        <f t="shared" si="112"/>
        <v>2.237376234340702E-2</v>
      </c>
      <c r="W332">
        <f t="shared" si="113"/>
        <v>0</v>
      </c>
      <c r="X332">
        <f t="shared" si="114"/>
        <v>0</v>
      </c>
      <c r="Y332">
        <f t="shared" si="115"/>
        <v>0</v>
      </c>
      <c r="Z332">
        <f t="shared" si="116"/>
        <v>0</v>
      </c>
      <c r="AA332">
        <f t="shared" si="117"/>
        <v>0</v>
      </c>
      <c r="AB332">
        <f t="shared" si="118"/>
        <v>0</v>
      </c>
      <c r="AD332" s="11">
        <f t="shared" si="119"/>
        <v>0.61457166992230106</v>
      </c>
      <c r="AE332" s="11">
        <f t="shared" si="120"/>
        <v>0.23865434301412203</v>
      </c>
      <c r="AF332" s="11">
        <f t="shared" si="121"/>
        <v>3.404727051369548E-2</v>
      </c>
      <c r="AG332" s="11">
        <f t="shared" si="122"/>
        <v>2.7206595103609912E-2</v>
      </c>
      <c r="AH332" s="11">
        <f t="shared" si="123"/>
        <v>9.3414893828189752E-2</v>
      </c>
      <c r="AI332" s="11">
        <f t="shared" si="124"/>
        <v>3.2218336306906473E-2</v>
      </c>
      <c r="AJ332" s="11"/>
    </row>
    <row r="333" spans="1:36">
      <c r="A333" t="s">
        <v>537</v>
      </c>
      <c r="B333">
        <v>2.4431000000000001E-3</v>
      </c>
      <c r="C333">
        <v>0</v>
      </c>
      <c r="D333">
        <v>13623</v>
      </c>
      <c r="E333">
        <v>425766</v>
      </c>
      <c r="F333">
        <v>36090.04</v>
      </c>
      <c r="G333">
        <v>4103.1459999999997</v>
      </c>
      <c r="H333">
        <v>231178</v>
      </c>
      <c r="I333">
        <f t="shared" si="101"/>
        <v>0</v>
      </c>
      <c r="J333">
        <f t="shared" si="102"/>
        <v>0</v>
      </c>
      <c r="K333">
        <f t="shared" si="103"/>
        <v>0</v>
      </c>
      <c r="L333">
        <f t="shared" si="104"/>
        <v>0</v>
      </c>
      <c r="M333">
        <f t="shared" si="105"/>
        <v>0</v>
      </c>
      <c r="N333">
        <f t="shared" si="106"/>
        <v>0</v>
      </c>
      <c r="P333" s="11">
        <f t="shared" si="107"/>
        <v>3.7200783523179529E-2</v>
      </c>
      <c r="Q333" s="11">
        <f t="shared" si="108"/>
        <v>3.4263332713483752E-2</v>
      </c>
      <c r="R333" s="11">
        <f t="shared" si="109"/>
        <v>2.0609234071841459E-3</v>
      </c>
      <c r="S333" s="11">
        <f t="shared" si="110"/>
        <v>3.9060199293371478E-3</v>
      </c>
      <c r="T333" s="11">
        <f t="shared" si="111"/>
        <v>5.6545190955232883E-3</v>
      </c>
      <c r="U333" s="11">
        <f t="shared" si="112"/>
        <v>4.6255499163203066E-3</v>
      </c>
      <c r="W333">
        <f t="shared" si="113"/>
        <v>0</v>
      </c>
      <c r="X333">
        <f t="shared" si="114"/>
        <v>0</v>
      </c>
      <c r="Y333">
        <f t="shared" si="115"/>
        <v>0</v>
      </c>
      <c r="Z333">
        <f t="shared" si="116"/>
        <v>0</v>
      </c>
      <c r="AA333">
        <f t="shared" si="117"/>
        <v>0</v>
      </c>
      <c r="AB333">
        <f t="shared" si="118"/>
        <v>0</v>
      </c>
      <c r="AD333" s="11">
        <f t="shared" si="119"/>
        <v>0.21989056691934067</v>
      </c>
      <c r="AE333" s="11">
        <f t="shared" si="120"/>
        <v>8.5389290381336233E-2</v>
      </c>
      <c r="AF333" s="11">
        <f t="shared" si="121"/>
        <v>1.2181937407331473E-2</v>
      </c>
      <c r="AG333" s="11">
        <f t="shared" si="122"/>
        <v>9.734379103472331E-3</v>
      </c>
      <c r="AH333" s="11">
        <f t="shared" si="123"/>
        <v>3.3423366171739778E-2</v>
      </c>
      <c r="AI333" s="11">
        <f t="shared" si="124"/>
        <v>1.1527554201480392E-2</v>
      </c>
      <c r="AJ333" s="11"/>
    </row>
    <row r="334" spans="1:36">
      <c r="A334" t="s">
        <v>538</v>
      </c>
      <c r="B334">
        <v>2.9905000000000001E-3</v>
      </c>
      <c r="C334">
        <v>0</v>
      </c>
      <c r="D334">
        <v>15159</v>
      </c>
      <c r="E334">
        <v>566425</v>
      </c>
      <c r="F334">
        <v>32130.92</v>
      </c>
      <c r="G334">
        <v>1118.019</v>
      </c>
      <c r="H334">
        <v>299345</v>
      </c>
      <c r="I334">
        <f t="shared" si="101"/>
        <v>0</v>
      </c>
      <c r="J334">
        <f t="shared" si="102"/>
        <v>0</v>
      </c>
      <c r="K334">
        <f t="shared" si="103"/>
        <v>0</v>
      </c>
      <c r="L334">
        <f t="shared" si="104"/>
        <v>0</v>
      </c>
      <c r="M334">
        <f t="shared" si="105"/>
        <v>0</v>
      </c>
      <c r="N334">
        <f t="shared" si="106"/>
        <v>0</v>
      </c>
      <c r="P334" s="11">
        <f t="shared" si="107"/>
        <v>0.16711769482450656</v>
      </c>
      <c r="Q334" s="11">
        <f t="shared" si="108"/>
        <v>0.1539217359901755</v>
      </c>
      <c r="R334" s="11">
        <f t="shared" si="109"/>
        <v>9.258320293277663E-3</v>
      </c>
      <c r="S334" s="11">
        <f t="shared" si="110"/>
        <v>1.7547077902880008E-2</v>
      </c>
      <c r="T334" s="11">
        <f t="shared" si="111"/>
        <v>2.5401889613324995E-2</v>
      </c>
      <c r="U334" s="11">
        <f t="shared" si="112"/>
        <v>2.0779434358673694E-2</v>
      </c>
      <c r="W334">
        <f t="shared" si="113"/>
        <v>0</v>
      </c>
      <c r="X334">
        <f t="shared" si="114"/>
        <v>0</v>
      </c>
      <c r="Y334">
        <f t="shared" si="115"/>
        <v>0</v>
      </c>
      <c r="Z334">
        <f t="shared" si="116"/>
        <v>0</v>
      </c>
      <c r="AA334">
        <f t="shared" si="117"/>
        <v>0</v>
      </c>
      <c r="AB334">
        <f t="shared" si="118"/>
        <v>0</v>
      </c>
      <c r="AD334" s="11">
        <f t="shared" si="119"/>
        <v>0.20231949211263625</v>
      </c>
      <c r="AE334" s="11">
        <f t="shared" si="120"/>
        <v>7.8565979904665226E-2</v>
      </c>
      <c r="AF334" s="11">
        <f t="shared" si="121"/>
        <v>1.1208499863040048E-2</v>
      </c>
      <c r="AG334" s="11">
        <f t="shared" si="122"/>
        <v>8.9565217091318369E-3</v>
      </c>
      <c r="AH334" s="11">
        <f t="shared" si="123"/>
        <v>3.0752562801120709E-2</v>
      </c>
      <c r="AI334" s="11">
        <f t="shared" si="124"/>
        <v>1.0606407287129806E-2</v>
      </c>
      <c r="AJ334" s="11"/>
    </row>
    <row r="335" spans="1:36">
      <c r="A335" t="s">
        <v>539</v>
      </c>
      <c r="B335">
        <v>6.7219999999999997E-3</v>
      </c>
      <c r="C335">
        <v>0</v>
      </c>
      <c r="D335">
        <v>3212</v>
      </c>
      <c r="E335">
        <v>164992</v>
      </c>
      <c r="F335">
        <v>32633.46</v>
      </c>
      <c r="G335">
        <v>1040.1379999999999</v>
      </c>
      <c r="H335">
        <v>71368</v>
      </c>
      <c r="I335">
        <f t="shared" si="101"/>
        <v>0</v>
      </c>
      <c r="J335">
        <f t="shared" si="102"/>
        <v>0</v>
      </c>
      <c r="K335">
        <f t="shared" si="103"/>
        <v>0</v>
      </c>
      <c r="L335">
        <f t="shared" si="104"/>
        <v>0</v>
      </c>
      <c r="M335">
        <f t="shared" si="105"/>
        <v>0</v>
      </c>
      <c r="N335">
        <f t="shared" si="106"/>
        <v>0</v>
      </c>
      <c r="P335" s="11">
        <f t="shared" si="107"/>
        <v>0.40377121901132351</v>
      </c>
      <c r="Q335" s="11">
        <f t="shared" si="108"/>
        <v>0.37188860843464999</v>
      </c>
      <c r="R335" s="11">
        <f t="shared" si="109"/>
        <v>2.2368925533227321E-2</v>
      </c>
      <c r="S335" s="11">
        <f t="shared" si="110"/>
        <v>4.2395301361550099E-2</v>
      </c>
      <c r="T335" s="11">
        <f t="shared" si="111"/>
        <v>6.1373225289721174E-2</v>
      </c>
      <c r="U335" s="11">
        <f t="shared" si="112"/>
        <v>5.0204962138677756E-2</v>
      </c>
      <c r="W335">
        <f t="shared" si="113"/>
        <v>0</v>
      </c>
      <c r="X335">
        <f t="shared" si="114"/>
        <v>0</v>
      </c>
      <c r="Y335">
        <f t="shared" si="115"/>
        <v>0</v>
      </c>
      <c r="Z335">
        <f t="shared" si="116"/>
        <v>0</v>
      </c>
      <c r="AA335">
        <f t="shared" si="117"/>
        <v>0</v>
      </c>
      <c r="AB335">
        <f t="shared" si="118"/>
        <v>0</v>
      </c>
      <c r="AD335" s="11">
        <f t="shared" si="119"/>
        <v>1.5612482113532775</v>
      </c>
      <c r="AE335" s="11">
        <f t="shared" si="120"/>
        <v>0.60627374218143903</v>
      </c>
      <c r="AF335" s="11">
        <f t="shared" si="121"/>
        <v>8.6493150908971569E-2</v>
      </c>
      <c r="AG335" s="11">
        <f t="shared" si="122"/>
        <v>6.9115206608684046E-2</v>
      </c>
      <c r="AH335" s="11">
        <f t="shared" si="123"/>
        <v>0.23730972812569817</v>
      </c>
      <c r="AI335" s="11">
        <f t="shared" si="124"/>
        <v>8.1846955194494281E-2</v>
      </c>
      <c r="AJ335" s="11"/>
    </row>
    <row r="336" spans="1:36">
      <c r="A336" t="s">
        <v>540</v>
      </c>
      <c r="B336">
        <v>1.8659E-3</v>
      </c>
      <c r="C336">
        <v>0</v>
      </c>
      <c r="D336">
        <v>3546</v>
      </c>
      <c r="E336">
        <v>193299</v>
      </c>
      <c r="F336">
        <v>28079.439999999999</v>
      </c>
      <c r="G336">
        <v>1067.046</v>
      </c>
      <c r="H336">
        <v>82583</v>
      </c>
      <c r="I336">
        <f t="shared" si="101"/>
        <v>0</v>
      </c>
      <c r="J336">
        <f t="shared" si="102"/>
        <v>0</v>
      </c>
      <c r="K336">
        <f t="shared" si="103"/>
        <v>0</v>
      </c>
      <c r="L336">
        <f t="shared" si="104"/>
        <v>0</v>
      </c>
      <c r="M336">
        <f t="shared" si="105"/>
        <v>0</v>
      </c>
      <c r="N336">
        <f t="shared" si="106"/>
        <v>0</v>
      </c>
      <c r="P336" s="11">
        <f t="shared" si="107"/>
        <v>0.10925291579744452</v>
      </c>
      <c r="Q336" s="11">
        <f t="shared" si="108"/>
        <v>0.1006260795973182</v>
      </c>
      <c r="R336" s="11">
        <f t="shared" si="109"/>
        <v>6.0526115351784262E-3</v>
      </c>
      <c r="S336" s="11">
        <f t="shared" si="110"/>
        <v>1.1471373074094276E-2</v>
      </c>
      <c r="T336" s="11">
        <f t="shared" si="111"/>
        <v>1.6606443201211567E-2</v>
      </c>
      <c r="U336" s="11">
        <f t="shared" si="112"/>
        <v>1.3584520745637959E-2</v>
      </c>
      <c r="W336">
        <f t="shared" si="113"/>
        <v>0</v>
      </c>
      <c r="X336">
        <f t="shared" si="114"/>
        <v>0</v>
      </c>
      <c r="Y336">
        <f t="shared" si="115"/>
        <v>0</v>
      </c>
      <c r="Z336">
        <f t="shared" si="116"/>
        <v>0</v>
      </c>
      <c r="AA336">
        <f t="shared" si="117"/>
        <v>0</v>
      </c>
      <c r="AB336">
        <f t="shared" si="118"/>
        <v>0</v>
      </c>
      <c r="AD336" s="11">
        <f t="shared" si="119"/>
        <v>0.36990916366468529</v>
      </c>
      <c r="AE336" s="11">
        <f t="shared" si="120"/>
        <v>0.14364545707168688</v>
      </c>
      <c r="AF336" s="11">
        <f t="shared" si="121"/>
        <v>2.0492967667023566E-2</v>
      </c>
      <c r="AG336" s="11">
        <f t="shared" si="122"/>
        <v>1.6375582106172307E-2</v>
      </c>
      <c r="AH336" s="11">
        <f t="shared" si="123"/>
        <v>5.6226192877032163E-2</v>
      </c>
      <c r="AI336" s="11">
        <f t="shared" si="124"/>
        <v>1.939213670467773E-2</v>
      </c>
      <c r="AJ336" s="11"/>
    </row>
    <row r="337" spans="30:35">
      <c r="AD337" s="61"/>
      <c r="AE337" s="61"/>
      <c r="AF337" s="61"/>
      <c r="AG337" s="61"/>
      <c r="AH337" s="61"/>
      <c r="AI337" s="61"/>
    </row>
    <row r="338" spans="30:35">
      <c r="AD338" s="61"/>
      <c r="AE338" s="61"/>
      <c r="AF338" s="61"/>
      <c r="AG338" s="61"/>
      <c r="AH338" s="61"/>
      <c r="AI338" s="61"/>
    </row>
    <row r="339" spans="30:35">
      <c r="AD339" s="61"/>
      <c r="AE339" s="61"/>
      <c r="AF339" s="61"/>
      <c r="AG339" s="61"/>
      <c r="AH339" s="61"/>
      <c r="AI339" s="61"/>
    </row>
    <row r="340" spans="30:35">
      <c r="AD340" s="61"/>
      <c r="AE340" s="61"/>
      <c r="AF340" s="61"/>
      <c r="AG340" s="61"/>
      <c r="AH340" s="61"/>
      <c r="AI340" s="61"/>
    </row>
    <row r="341" spans="30:35">
      <c r="AD341" s="61"/>
      <c r="AE341" s="61"/>
      <c r="AF341" s="61"/>
      <c r="AG341" s="61"/>
      <c r="AH341" s="61"/>
      <c r="AI341" s="61"/>
    </row>
    <row r="342" spans="30:35">
      <c r="AD342" s="61"/>
      <c r="AE342" s="61"/>
      <c r="AF342" s="61"/>
      <c r="AG342" s="61"/>
      <c r="AH342" s="61"/>
      <c r="AI342" s="61"/>
    </row>
    <row r="343" spans="30:35">
      <c r="AD343" s="61"/>
      <c r="AE343" s="61"/>
      <c r="AF343" s="61"/>
      <c r="AG343" s="61"/>
      <c r="AH343" s="61"/>
      <c r="AI343" s="61"/>
    </row>
    <row r="344" spans="30:35">
      <c r="AD344" s="61"/>
      <c r="AE344" s="61"/>
      <c r="AF344" s="61"/>
      <c r="AG344" s="61"/>
      <c r="AH344" s="61"/>
      <c r="AI344" s="61"/>
    </row>
    <row r="345" spans="30:35">
      <c r="AD345" s="61"/>
      <c r="AE345" s="61"/>
      <c r="AF345" s="61"/>
      <c r="AG345" s="61"/>
      <c r="AH345" s="61"/>
      <c r="AI345" s="61"/>
    </row>
    <row r="346" spans="30:35">
      <c r="AD346" s="61"/>
      <c r="AE346" s="61"/>
      <c r="AF346" s="61"/>
      <c r="AG346" s="61"/>
      <c r="AH346" s="61"/>
      <c r="AI346" s="61"/>
    </row>
    <row r="347" spans="30:35">
      <c r="AD347" s="61"/>
      <c r="AE347" s="61"/>
      <c r="AF347" s="61"/>
      <c r="AG347" s="61"/>
      <c r="AH347" s="61"/>
      <c r="AI347" s="61"/>
    </row>
    <row r="348" spans="30:35">
      <c r="AD348" s="61"/>
      <c r="AE348" s="61"/>
      <c r="AF348" s="61"/>
      <c r="AG348" s="61"/>
      <c r="AH348" s="61"/>
      <c r="AI348" s="61"/>
    </row>
    <row r="349" spans="30:35">
      <c r="AD349" s="61"/>
      <c r="AE349" s="61"/>
      <c r="AF349" s="61"/>
      <c r="AG349" s="61"/>
      <c r="AH349" s="61"/>
      <c r="AI349" s="61"/>
    </row>
    <row r="350" spans="30:35">
      <c r="AD350" s="61"/>
      <c r="AE350" s="61"/>
      <c r="AF350" s="61"/>
      <c r="AG350" s="61"/>
      <c r="AH350" s="61"/>
      <c r="AI350" s="61"/>
    </row>
    <row r="351" spans="30:35">
      <c r="AD351" s="61"/>
      <c r="AE351" s="61"/>
      <c r="AF351" s="61"/>
      <c r="AG351" s="61"/>
      <c r="AH351" s="61"/>
      <c r="AI351" s="61"/>
    </row>
    <row r="352" spans="30:35">
      <c r="AD352" s="61"/>
      <c r="AE352" s="61"/>
      <c r="AF352" s="61"/>
      <c r="AG352" s="61"/>
      <c r="AH352" s="61"/>
      <c r="AI352" s="61"/>
    </row>
    <row r="353" spans="30:35">
      <c r="AD353" s="61"/>
      <c r="AE353" s="61"/>
      <c r="AF353" s="61"/>
      <c r="AG353" s="61"/>
      <c r="AH353" s="61"/>
      <c r="AI353" s="61"/>
    </row>
    <row r="354" spans="30:35">
      <c r="AD354" s="61"/>
      <c r="AE354" s="61"/>
      <c r="AF354" s="61"/>
      <c r="AG354" s="61"/>
      <c r="AH354" s="61"/>
      <c r="AI354" s="61"/>
    </row>
    <row r="355" spans="30:35">
      <c r="AD355" s="61"/>
      <c r="AE355" s="61"/>
      <c r="AF355" s="61"/>
      <c r="AG355" s="61"/>
      <c r="AH355" s="61"/>
      <c r="AI355" s="61"/>
    </row>
    <row r="356" spans="30:35">
      <c r="AD356" s="61"/>
      <c r="AE356" s="61"/>
      <c r="AF356" s="61"/>
      <c r="AG356" s="61"/>
      <c r="AH356" s="61"/>
      <c r="AI356" s="61"/>
    </row>
    <row r="357" spans="30:35">
      <c r="AD357" s="61"/>
      <c r="AE357" s="61"/>
      <c r="AF357" s="61"/>
      <c r="AG357" s="61"/>
      <c r="AH357" s="61"/>
      <c r="AI357" s="61"/>
    </row>
    <row r="358" spans="30:35">
      <c r="AD358" s="61"/>
      <c r="AE358" s="61"/>
      <c r="AF358" s="61"/>
      <c r="AG358" s="61"/>
      <c r="AH358" s="61"/>
      <c r="AI358" s="61"/>
    </row>
    <row r="359" spans="30:35">
      <c r="AD359" s="61"/>
      <c r="AE359" s="61"/>
      <c r="AF359" s="61"/>
      <c r="AG359" s="61"/>
      <c r="AH359" s="61"/>
      <c r="AI359" s="61"/>
    </row>
    <row r="360" spans="30:35">
      <c r="AD360" s="61"/>
      <c r="AE360" s="61"/>
      <c r="AF360" s="61"/>
      <c r="AG360" s="61"/>
      <c r="AH360" s="61"/>
      <c r="AI360" s="61"/>
    </row>
    <row r="361" spans="30:35">
      <c r="AD361" s="61"/>
      <c r="AE361" s="61"/>
      <c r="AF361" s="61"/>
      <c r="AG361" s="61"/>
      <c r="AH361" s="61"/>
      <c r="AI361" s="61"/>
    </row>
    <row r="362" spans="30:35">
      <c r="AD362" s="61"/>
      <c r="AE362" s="61"/>
      <c r="AF362" s="61"/>
      <c r="AG362" s="61"/>
      <c r="AH362" s="61"/>
      <c r="AI362" s="61"/>
    </row>
    <row r="363" spans="30:35">
      <c r="AD363" s="61"/>
      <c r="AE363" s="61"/>
      <c r="AF363" s="61"/>
      <c r="AG363" s="61"/>
      <c r="AH363" s="61"/>
      <c r="AI363" s="61"/>
    </row>
    <row r="364" spans="30:35">
      <c r="AD364" s="61"/>
      <c r="AE364" s="61"/>
      <c r="AF364" s="61"/>
      <c r="AG364" s="61"/>
      <c r="AH364" s="61"/>
      <c r="AI364" s="61"/>
    </row>
    <row r="365" spans="30:35">
      <c r="AD365" s="61"/>
      <c r="AE365" s="61"/>
      <c r="AF365" s="61"/>
      <c r="AG365" s="61"/>
      <c r="AH365" s="61"/>
      <c r="AI365" s="61"/>
    </row>
    <row r="366" spans="30:35">
      <c r="AD366" s="61"/>
      <c r="AE366" s="61"/>
      <c r="AF366" s="61"/>
      <c r="AG366" s="61"/>
      <c r="AH366" s="61"/>
      <c r="AI366" s="61"/>
    </row>
    <row r="367" spans="30:35">
      <c r="AD367" s="61"/>
      <c r="AE367" s="61"/>
      <c r="AF367" s="61"/>
      <c r="AG367" s="61"/>
      <c r="AH367" s="61"/>
      <c r="AI367" s="61"/>
    </row>
  </sheetData>
  <sortState ref="A33:H335">
    <sortCondition ref="A33:A335"/>
  </sortState>
  <mergeCells count="4">
    <mergeCell ref="K31:N31"/>
    <mergeCell ref="R31:U31"/>
    <mergeCell ref="B15:C15"/>
    <mergeCell ref="E15:F15"/>
  </mergeCells>
  <pageMargins left="0.7" right="0.7" top="0.75" bottom="0.75" header="0.3" footer="0.3"/>
  <pageSetup orientation="portrait" horizontalDpi="0" verticalDpi="0" r:id="rId1"/>
</worksheet>
</file>

<file path=xl/worksheets/sheet21.xml><?xml version="1.0" encoding="utf-8"?>
<worksheet xmlns="http://schemas.openxmlformats.org/spreadsheetml/2006/main" xmlns:r="http://schemas.openxmlformats.org/officeDocument/2006/relationships">
  <dimension ref="A1:DM306"/>
  <sheetViews>
    <sheetView topLeftCell="P1" workbookViewId="0"/>
  </sheetViews>
  <sheetFormatPr defaultRowHeight="15"/>
  <cols>
    <col min="1" max="1" width="35.42578125" customWidth="1"/>
    <col min="2" max="2" width="19.7109375" customWidth="1"/>
    <col min="3" max="3" width="17.7109375" customWidth="1"/>
    <col min="4" max="4" width="16.42578125" customWidth="1"/>
    <col min="5" max="5" width="16.28515625" customWidth="1"/>
    <col min="6" max="6" width="15.85546875" customWidth="1"/>
    <col min="7" max="7" width="16.7109375" customWidth="1"/>
    <col min="8" max="8" width="13.5703125" customWidth="1"/>
    <col min="9" max="9" width="11" customWidth="1"/>
    <col min="10" max="10" width="10.140625" customWidth="1"/>
    <col min="11" max="11" width="10.28515625" customWidth="1"/>
    <col min="12" max="12" width="9.140625" customWidth="1"/>
    <col min="13" max="13" width="10.28515625" customWidth="1"/>
    <col min="14" max="14" width="15.140625" customWidth="1"/>
    <col min="15" max="15" width="19" customWidth="1"/>
    <col min="16" max="16" width="16" customWidth="1"/>
    <col min="17" max="20" width="16.85546875" customWidth="1"/>
    <col min="21" max="21" width="12.28515625" customWidth="1"/>
    <col min="22" max="23" width="8.85546875" style="52"/>
    <col min="24" max="24" width="15.85546875" customWidth="1"/>
    <col min="25" max="25" width="16.7109375" customWidth="1"/>
    <col min="26" max="26" width="13.5703125" customWidth="1"/>
    <col min="27" max="27" width="11" customWidth="1"/>
    <col min="28" max="28" width="15.5703125" customWidth="1"/>
    <col min="29" max="29" width="10.28515625" customWidth="1"/>
    <col min="30" max="30" width="14.140625" customWidth="1"/>
    <col min="31" max="31" width="15.7109375" customWidth="1"/>
    <col min="32" max="32" width="13.5703125" customWidth="1"/>
    <col min="33" max="33" width="19" customWidth="1"/>
    <col min="34" max="34" width="16" customWidth="1"/>
    <col min="35" max="38" width="16.85546875" customWidth="1"/>
    <col min="39" max="40" width="11.7109375" customWidth="1"/>
    <col min="41" max="41" width="16.42578125" customWidth="1"/>
    <col min="42" max="42" width="12.28515625" customWidth="1"/>
    <col min="43" max="43" width="18.28515625" customWidth="1"/>
    <col min="44" max="44" width="14.140625" customWidth="1"/>
    <col min="48" max="48" width="42.5703125" customWidth="1"/>
    <col min="49" max="51" width="14.28515625" customWidth="1"/>
    <col min="52" max="52" width="16.28515625" customWidth="1"/>
    <col min="53" max="53" width="14.28515625" customWidth="1"/>
    <col min="54" max="54" width="15.7109375" customWidth="1"/>
    <col min="55" max="91" width="14.28515625" customWidth="1"/>
  </cols>
  <sheetData>
    <row r="1" spans="1:117">
      <c r="B1" t="s">
        <v>572</v>
      </c>
      <c r="C1" s="29">
        <v>0.01</v>
      </c>
      <c r="AV1" s="30" t="s">
        <v>1028</v>
      </c>
      <c r="CO1" t="s">
        <v>961</v>
      </c>
      <c r="DB1" t="s">
        <v>1276</v>
      </c>
    </row>
    <row r="2" spans="1:117" ht="57.6" customHeight="1">
      <c r="J2" s="263" t="s">
        <v>1023</v>
      </c>
      <c r="K2" s="261"/>
      <c r="L2" s="261"/>
      <c r="M2" s="261"/>
      <c r="N2" s="39" t="s">
        <v>1022</v>
      </c>
      <c r="O2" s="39" t="s">
        <v>569</v>
      </c>
      <c r="P2" s="39" t="s">
        <v>1022</v>
      </c>
      <c r="Q2" s="39" t="s">
        <v>569</v>
      </c>
      <c r="R2" s="39" t="s">
        <v>1024</v>
      </c>
      <c r="S2" s="39" t="s">
        <v>580</v>
      </c>
      <c r="T2" s="39" t="s">
        <v>1024</v>
      </c>
      <c r="U2" s="39" t="s">
        <v>580</v>
      </c>
      <c r="V2" s="57"/>
      <c r="W2" s="57"/>
      <c r="AG2" s="263" t="s">
        <v>1025</v>
      </c>
      <c r="AH2" s="261"/>
      <c r="AI2" s="261"/>
      <c r="AJ2" s="261"/>
      <c r="AK2" s="39" t="s">
        <v>1026</v>
      </c>
      <c r="AL2" s="39" t="s">
        <v>569</v>
      </c>
      <c r="AM2" s="39" t="s">
        <v>1026</v>
      </c>
      <c r="AN2" s="39" t="s">
        <v>569</v>
      </c>
      <c r="AO2" s="39" t="s">
        <v>1027</v>
      </c>
      <c r="AP2" s="39" t="s">
        <v>580</v>
      </c>
      <c r="AQ2" s="39" t="s">
        <v>1027</v>
      </c>
      <c r="AR2" s="39" t="s">
        <v>580</v>
      </c>
      <c r="BE2" s="263" t="s">
        <v>1023</v>
      </c>
      <c r="BF2" s="261"/>
      <c r="BG2" s="261"/>
      <c r="BH2" s="261"/>
      <c r="BI2" s="39" t="s">
        <v>1022</v>
      </c>
      <c r="BJ2" s="39" t="s">
        <v>569</v>
      </c>
      <c r="BK2" s="39" t="s">
        <v>1022</v>
      </c>
      <c r="BL2" s="39" t="s">
        <v>569</v>
      </c>
      <c r="BM2" s="39" t="s">
        <v>1024</v>
      </c>
      <c r="BN2" s="39" t="s">
        <v>580</v>
      </c>
      <c r="BO2" s="39" t="s">
        <v>1024</v>
      </c>
      <c r="BP2" s="39" t="s">
        <v>580</v>
      </c>
      <c r="BQ2" s="57"/>
      <c r="BR2" s="57"/>
      <c r="CB2" s="263" t="s">
        <v>1025</v>
      </c>
      <c r="CC2" s="261"/>
      <c r="CD2" s="261"/>
      <c r="CE2" s="261"/>
      <c r="CF2" s="39" t="s">
        <v>1026</v>
      </c>
      <c r="CG2" s="39" t="s">
        <v>569</v>
      </c>
      <c r="CH2" s="39" t="s">
        <v>1026</v>
      </c>
      <c r="CI2" s="39" t="s">
        <v>569</v>
      </c>
      <c r="CJ2" s="39" t="s">
        <v>1027</v>
      </c>
      <c r="CK2" s="39" t="s">
        <v>580</v>
      </c>
      <c r="CL2" s="39" t="s">
        <v>1027</v>
      </c>
      <c r="CM2" s="39" t="s">
        <v>580</v>
      </c>
      <c r="CO2" s="265" t="s">
        <v>1271</v>
      </c>
      <c r="CP2" s="266"/>
      <c r="CQ2" s="266"/>
      <c r="CR2" s="266"/>
      <c r="CS2" s="266"/>
      <c r="CT2" s="267"/>
      <c r="CU2" s="268" t="s">
        <v>1272</v>
      </c>
      <c r="CV2" s="261"/>
      <c r="CW2" s="261"/>
      <c r="CX2" s="261"/>
      <c r="CY2" s="261"/>
      <c r="CZ2" s="261"/>
      <c r="DB2" s="265" t="s">
        <v>1271</v>
      </c>
      <c r="DC2" s="266"/>
      <c r="DD2" s="266"/>
      <c r="DE2" s="266"/>
      <c r="DF2" s="266"/>
      <c r="DG2" s="267"/>
      <c r="DH2" s="268" t="s">
        <v>1272</v>
      </c>
      <c r="DI2" s="261"/>
      <c r="DJ2" s="261"/>
      <c r="DK2" s="261"/>
      <c r="DL2" s="261"/>
      <c r="DM2" s="261"/>
    </row>
    <row r="3" spans="1:117" ht="59.25" customHeight="1">
      <c r="A3" t="s">
        <v>274</v>
      </c>
      <c r="B3" s="54" t="s">
        <v>130</v>
      </c>
      <c r="C3" s="54" t="s">
        <v>563</v>
      </c>
      <c r="D3" s="62" t="s">
        <v>564</v>
      </c>
      <c r="E3" s="10" t="s">
        <v>565</v>
      </c>
      <c r="F3" s="10" t="s">
        <v>583</v>
      </c>
      <c r="G3" s="10" t="s">
        <v>584</v>
      </c>
      <c r="H3" s="54" t="s">
        <v>964</v>
      </c>
      <c r="I3" s="10" t="s">
        <v>567</v>
      </c>
      <c r="J3" s="56" t="s">
        <v>573</v>
      </c>
      <c r="K3" s="56" t="s">
        <v>574</v>
      </c>
      <c r="L3" s="56" t="s">
        <v>575</v>
      </c>
      <c r="M3" s="56" t="s">
        <v>576</v>
      </c>
      <c r="N3" s="56" t="s">
        <v>573</v>
      </c>
      <c r="P3" s="56" t="s">
        <v>574</v>
      </c>
      <c r="R3" s="56" t="s">
        <v>575</v>
      </c>
      <c r="T3" s="56" t="s">
        <v>576</v>
      </c>
      <c r="X3" t="s">
        <v>274</v>
      </c>
      <c r="Y3" s="54" t="s">
        <v>130</v>
      </c>
      <c r="Z3" s="54" t="s">
        <v>563</v>
      </c>
      <c r="AA3" s="62" t="s">
        <v>564</v>
      </c>
      <c r="AB3" s="10" t="s">
        <v>565</v>
      </c>
      <c r="AC3" s="10" t="s">
        <v>583</v>
      </c>
      <c r="AD3" s="10" t="s">
        <v>584</v>
      </c>
      <c r="AE3" s="54" t="s">
        <v>965</v>
      </c>
      <c r="AF3" s="10" t="s">
        <v>567</v>
      </c>
      <c r="AG3" s="56" t="s">
        <v>573</v>
      </c>
      <c r="AH3" s="56" t="s">
        <v>574</v>
      </c>
      <c r="AI3" s="56" t="s">
        <v>575</v>
      </c>
      <c r="AJ3" s="56" t="s">
        <v>576</v>
      </c>
      <c r="AK3" s="56" t="s">
        <v>573</v>
      </c>
      <c r="AM3" s="56" t="s">
        <v>574</v>
      </c>
      <c r="AO3" s="56" t="s">
        <v>575</v>
      </c>
      <c r="AQ3" s="56" t="s">
        <v>576</v>
      </c>
      <c r="AV3" t="s">
        <v>274</v>
      </c>
      <c r="AW3" s="54" t="s">
        <v>130</v>
      </c>
      <c r="AX3" s="54" t="s">
        <v>563</v>
      </c>
      <c r="AY3" s="62" t="s">
        <v>564</v>
      </c>
      <c r="AZ3" s="10" t="s">
        <v>565</v>
      </c>
      <c r="BA3" s="10" t="s">
        <v>583</v>
      </c>
      <c r="BB3" s="10" t="s">
        <v>584</v>
      </c>
      <c r="BC3" s="54" t="s">
        <v>964</v>
      </c>
      <c r="BD3" s="10" t="s">
        <v>567</v>
      </c>
      <c r="BE3" s="56" t="s">
        <v>573</v>
      </c>
      <c r="BF3" s="56" t="s">
        <v>574</v>
      </c>
      <c r="BG3" s="56" t="s">
        <v>575</v>
      </c>
      <c r="BH3" s="56" t="s">
        <v>576</v>
      </c>
      <c r="BI3" s="56" t="s">
        <v>573</v>
      </c>
      <c r="BK3" s="56" t="s">
        <v>574</v>
      </c>
      <c r="BM3" s="56" t="s">
        <v>575</v>
      </c>
      <c r="BO3" s="56" t="s">
        <v>576</v>
      </c>
      <c r="BQ3" s="52"/>
      <c r="BR3" s="52"/>
      <c r="BS3" t="s">
        <v>274</v>
      </c>
      <c r="BT3" s="54" t="s">
        <v>130</v>
      </c>
      <c r="BU3" s="54" t="s">
        <v>563</v>
      </c>
      <c r="BV3" s="62" t="s">
        <v>564</v>
      </c>
      <c r="BW3" s="10" t="s">
        <v>565</v>
      </c>
      <c r="BX3" s="10" t="s">
        <v>583</v>
      </c>
      <c r="BY3" s="10" t="s">
        <v>584</v>
      </c>
      <c r="BZ3" s="54" t="s">
        <v>965</v>
      </c>
      <c r="CA3" s="10" t="s">
        <v>567</v>
      </c>
      <c r="CB3" s="56" t="s">
        <v>573</v>
      </c>
      <c r="CC3" s="56" t="s">
        <v>574</v>
      </c>
      <c r="CD3" s="56" t="s">
        <v>575</v>
      </c>
      <c r="CE3" s="56" t="s">
        <v>576</v>
      </c>
      <c r="CF3" s="56" t="s">
        <v>573</v>
      </c>
      <c r="CH3" s="56" t="s">
        <v>574</v>
      </c>
      <c r="CJ3" s="56" t="s">
        <v>575</v>
      </c>
      <c r="CL3" s="56" t="s">
        <v>576</v>
      </c>
      <c r="CO3" s="72" t="s">
        <v>1265</v>
      </c>
      <c r="CP3" s="72" t="s">
        <v>1266</v>
      </c>
      <c r="CQ3" s="72" t="s">
        <v>1267</v>
      </c>
      <c r="CR3" s="72" t="s">
        <v>1268</v>
      </c>
      <c r="CS3" s="72" t="s">
        <v>1269</v>
      </c>
      <c r="CT3" s="73" t="s">
        <v>1270</v>
      </c>
      <c r="CU3" t="s">
        <v>1265</v>
      </c>
      <c r="CV3" t="s">
        <v>1266</v>
      </c>
      <c r="CW3" t="s">
        <v>1267</v>
      </c>
      <c r="CX3" t="s">
        <v>1268</v>
      </c>
      <c r="CY3" t="s">
        <v>1269</v>
      </c>
      <c r="CZ3" t="s">
        <v>1270</v>
      </c>
      <c r="DB3" s="72" t="s">
        <v>1265</v>
      </c>
      <c r="DC3" s="72" t="s">
        <v>1266</v>
      </c>
      <c r="DD3" s="72" t="s">
        <v>1267</v>
      </c>
      <c r="DE3" s="72" t="s">
        <v>1268</v>
      </c>
      <c r="DF3" s="72" t="s">
        <v>1269</v>
      </c>
      <c r="DG3" s="73" t="s">
        <v>1270</v>
      </c>
      <c r="DH3" t="s">
        <v>1265</v>
      </c>
      <c r="DI3" t="s">
        <v>1266</v>
      </c>
      <c r="DJ3" t="s">
        <v>1267</v>
      </c>
      <c r="DK3" t="s">
        <v>1268</v>
      </c>
      <c r="DL3" t="s">
        <v>1269</v>
      </c>
      <c r="DM3" t="s">
        <v>1270</v>
      </c>
    </row>
    <row r="4" spans="1:117">
      <c r="A4" t="s">
        <v>279</v>
      </c>
      <c r="B4">
        <v>159059</v>
      </c>
      <c r="C4">
        <v>101226</v>
      </c>
      <c r="D4" s="51">
        <v>30197.81</v>
      </c>
      <c r="E4" s="32">
        <f t="shared" ref="E4:E67" si="0">C4*D4</f>
        <v>3056803515.0599999</v>
      </c>
      <c r="F4">
        <v>4396</v>
      </c>
      <c r="G4" s="37">
        <f t="shared" ref="G4:G67" si="1">+F4/B4</f>
        <v>2.7637543301542195E-2</v>
      </c>
      <c r="H4">
        <v>0</v>
      </c>
      <c r="I4" s="3">
        <f t="shared" ref="I4:I67" si="2">+H4*$C$1</f>
        <v>0</v>
      </c>
      <c r="J4" s="11">
        <f>+'Seat capacity elasticities'!K34</f>
        <v>0</v>
      </c>
      <c r="K4" s="11">
        <f>+'Seat capacity elasticities'!L34</f>
        <v>0</v>
      </c>
      <c r="L4" s="11">
        <f>+'Seat capacity elasticities'!M34</f>
        <v>0</v>
      </c>
      <c r="M4" s="11">
        <f>+'Seat capacity elasticities'!N34</f>
        <v>0</v>
      </c>
      <c r="N4" s="32">
        <f>E4*$C$1*J4</f>
        <v>0</v>
      </c>
      <c r="O4" s="33">
        <f>N4/E4</f>
        <v>0</v>
      </c>
      <c r="P4" s="40">
        <f>+E4*$C$1*K4</f>
        <v>0</v>
      </c>
      <c r="Q4" s="33">
        <f>P4/E4</f>
        <v>0</v>
      </c>
      <c r="R4" s="40">
        <f>+L4*$C$1*G4*B4*1000000</f>
        <v>0</v>
      </c>
      <c r="S4" s="41">
        <f>+R4/F4/1000000</f>
        <v>0</v>
      </c>
      <c r="T4" s="40">
        <f>+M4*G4*B4*$C$1*1000000</f>
        <v>0</v>
      </c>
      <c r="U4" s="41">
        <f>+T4/F4/1000000</f>
        <v>0</v>
      </c>
      <c r="V4" s="53"/>
      <c r="W4" s="53"/>
      <c r="X4" t="s">
        <v>279</v>
      </c>
      <c r="Y4">
        <v>159059</v>
      </c>
      <c r="Z4">
        <v>101226</v>
      </c>
      <c r="AA4" s="51">
        <v>30197.81</v>
      </c>
      <c r="AB4" s="32">
        <f t="shared" ref="AB4:AB67" si="3">Z4*AA4</f>
        <v>3056803515.0599999</v>
      </c>
      <c r="AC4">
        <v>4396</v>
      </c>
      <c r="AD4" s="37">
        <f t="shared" ref="AD4:AD67" si="4">+AC4/Y4</f>
        <v>2.7637543301542195E-2</v>
      </c>
      <c r="AE4">
        <v>3.6037E-3</v>
      </c>
      <c r="AF4" s="3">
        <f t="shared" ref="AF4:AF67" si="5">+AE4*$C$1</f>
        <v>3.6037000000000001E-5</v>
      </c>
      <c r="AG4" s="11">
        <f>+'Seat capacity elasticities'!R34</f>
        <v>1.346762881111465E-2</v>
      </c>
      <c r="AH4" s="11">
        <f>+'Seat capacity elasticities'!S34</f>
        <v>2.5524881882438961E-2</v>
      </c>
      <c r="AI4" s="11">
        <f>+'Seat capacity elasticities'!T34</f>
        <v>3.6950894933022144E-2</v>
      </c>
      <c r="AJ4" s="11">
        <f>+'Seat capacity elasticities'!U34</f>
        <v>3.0226833808151402E-2</v>
      </c>
      <c r="AK4" s="32">
        <f>AB4*$C$1*AG4</f>
        <v>411678.95089338592</v>
      </c>
      <c r="AL4" s="33">
        <f>AK4/AB4</f>
        <v>1.3467628811114651E-4</v>
      </c>
      <c r="AM4" s="40">
        <f>+AB4*$C$1*AH4</f>
        <v>780245.48659730726</v>
      </c>
      <c r="AN4" s="33">
        <f>AM4/AB4</f>
        <v>2.5524881882438961E-4</v>
      </c>
      <c r="AO4" s="40">
        <f>+AI4*$C$1*AD4*Y4*1000000</f>
        <v>1624361.3412556532</v>
      </c>
      <c r="AP4" s="41">
        <f>+AO4/AC4/1000000</f>
        <v>3.6950894933022137E-4</v>
      </c>
      <c r="AQ4" s="40">
        <f>+AJ4*AD4*Y4*$C$1*1000000</f>
        <v>1328771.6142063357</v>
      </c>
      <c r="AR4" s="41">
        <f>+AQ4/AC4/1000000</f>
        <v>3.0226833808151408E-4</v>
      </c>
      <c r="AV4" t="s">
        <v>279</v>
      </c>
      <c r="AW4">
        <v>159059</v>
      </c>
      <c r="AX4">
        <v>101226</v>
      </c>
      <c r="AY4" s="51">
        <v>30197.81</v>
      </c>
      <c r="AZ4" s="32">
        <f t="shared" ref="AZ4:AZ67" si="6">AX4*AY4</f>
        <v>3056803515.0599999</v>
      </c>
      <c r="BA4">
        <v>4396</v>
      </c>
      <c r="BB4" s="37">
        <f t="shared" ref="BB4:BB67" si="7">+BA4/AW4</f>
        <v>2.7637543301542195E-2</v>
      </c>
      <c r="BC4">
        <v>0</v>
      </c>
      <c r="BD4" s="3">
        <f t="shared" ref="BD4:BD67" si="8">+BC4*$C$1</f>
        <v>0</v>
      </c>
      <c r="BE4" s="11">
        <f>+'Seat capacity elasticities'!Y34</f>
        <v>0</v>
      </c>
      <c r="BF4" s="11">
        <f>+'Seat capacity elasticities'!Z34</f>
        <v>0</v>
      </c>
      <c r="BG4" s="11">
        <f>+'Seat capacity elasticities'!AA34</f>
        <v>0</v>
      </c>
      <c r="BH4" s="11">
        <f>+'Seat capacity elasticities'!AB34</f>
        <v>0</v>
      </c>
      <c r="BI4" s="32">
        <f>AZ4*$C$1*BE4</f>
        <v>0</v>
      </c>
      <c r="BJ4" s="33">
        <f>BI4/AZ4</f>
        <v>0</v>
      </c>
      <c r="BK4" s="40">
        <f>+AZ4*$C$1*BF4</f>
        <v>0</v>
      </c>
      <c r="BL4" s="33">
        <f>BK4/AZ4</f>
        <v>0</v>
      </c>
      <c r="BM4" s="40">
        <f>+BG4*$C$1*BB4*AW4*1000000</f>
        <v>0</v>
      </c>
      <c r="BN4" s="41">
        <f>+BM4/BA4/1000000</f>
        <v>0</v>
      </c>
      <c r="BO4" s="40">
        <f>+BH4*BB4*AW4*$C$1*1000000</f>
        <v>0</v>
      </c>
      <c r="BP4" s="41">
        <f>+BO4/BA4/1000000</f>
        <v>0</v>
      </c>
      <c r="BQ4" s="53"/>
      <c r="BR4" s="53"/>
      <c r="BS4" t="s">
        <v>279</v>
      </c>
      <c r="BT4">
        <v>159059</v>
      </c>
      <c r="BU4">
        <v>101226</v>
      </c>
      <c r="BV4" s="51">
        <v>30197.81</v>
      </c>
      <c r="BW4" s="32">
        <f t="shared" ref="BW4:BW67" si="9">BU4*BV4</f>
        <v>3056803515.0599999</v>
      </c>
      <c r="BX4">
        <v>4396</v>
      </c>
      <c r="BY4" s="37">
        <f t="shared" ref="BY4:BY67" si="10">+BX4/BT4</f>
        <v>2.7637543301542195E-2</v>
      </c>
      <c r="BZ4">
        <v>3.6037E-3</v>
      </c>
      <c r="CA4" s="3">
        <f t="shared" ref="CA4:CA67" si="11">+BZ4*$C$1</f>
        <v>3.6037000000000001E-5</v>
      </c>
      <c r="CB4" s="11">
        <f>+'Seat capacity elasticities'!AF34</f>
        <v>4.8099047864452078E-2</v>
      </c>
      <c r="CC4" s="11">
        <f>+'Seat capacity elasticities'!AG34</f>
        <v>3.8435131520775309E-2</v>
      </c>
      <c r="CD4" s="11">
        <f>+'Seat capacity elasticities'!AH34</f>
        <v>0.13196850677611402</v>
      </c>
      <c r="CE4" s="11">
        <f>+'Seat capacity elasticities'!AI34</f>
        <v>4.5515287327233922E-2</v>
      </c>
      <c r="CF4" s="32">
        <f>BW4*$C$1*CB4</f>
        <v>1470293.385830963</v>
      </c>
      <c r="CG4" s="33">
        <f>CF4/BW4</f>
        <v>4.8099047864452082E-4</v>
      </c>
      <c r="CH4" s="40">
        <f>+BW4*$C$1*CC4</f>
        <v>1174886.4513449937</v>
      </c>
      <c r="CI4" s="33">
        <f>CH4/BW4</f>
        <v>3.8435131520775308E-4</v>
      </c>
      <c r="CJ4" s="40">
        <f>+CD4*$C$1*BY4*BT4*1000000</f>
        <v>5801335.5578779718</v>
      </c>
      <c r="CK4" s="41">
        <f>+CJ4/BX4/1000000</f>
        <v>1.3196850677611401E-3</v>
      </c>
      <c r="CL4" s="40">
        <f>+CE4*BY4*BT4*$C$1*1000000</f>
        <v>2000852.030905203</v>
      </c>
      <c r="CM4" s="41">
        <f>+CL4/BX4/1000000</f>
        <v>4.5515287327233916E-4</v>
      </c>
      <c r="CO4" s="70">
        <f>+N4/C4</f>
        <v>0</v>
      </c>
      <c r="CP4" s="70">
        <f>+BI4/C4</f>
        <v>0</v>
      </c>
      <c r="CQ4" s="70">
        <f>+(CO4+CP4)</f>
        <v>0</v>
      </c>
      <c r="CR4" s="70">
        <f>+P4/C4</f>
        <v>0</v>
      </c>
      <c r="CS4" s="70">
        <f>+BK4/C4</f>
        <v>0</v>
      </c>
      <c r="CT4" s="70">
        <f>+(CR4+CS4)</f>
        <v>0</v>
      </c>
      <c r="CU4" s="69">
        <f>+R4/C4</f>
        <v>0</v>
      </c>
      <c r="CV4" s="69">
        <f>+BM4/C4</f>
        <v>0</v>
      </c>
      <c r="CW4" s="70">
        <f>+(CU4+CV4)</f>
        <v>0</v>
      </c>
      <c r="CX4" s="69">
        <f>+T4/C4</f>
        <v>0</v>
      </c>
      <c r="CY4" s="69">
        <f>+BO4/C4</f>
        <v>0</v>
      </c>
      <c r="CZ4" s="70">
        <f>+(CX4+CY4)</f>
        <v>0</v>
      </c>
      <c r="DB4" s="70">
        <f>+AK4/C4</f>
        <v>4.0669289598856606</v>
      </c>
      <c r="DC4" s="70">
        <f>+CF4/C4</f>
        <v>14.524859085916297</v>
      </c>
      <c r="DD4" s="70">
        <f>+(DB4+DC4)</f>
        <v>18.591788045801959</v>
      </c>
      <c r="DE4" s="70">
        <f>+AM4/C4</f>
        <v>7.7079553335833406</v>
      </c>
      <c r="DF4" s="70">
        <f>+CH4/C4</f>
        <v>11.606567989893838</v>
      </c>
      <c r="DG4" s="70">
        <f>+(DE4+DF4)</f>
        <v>19.314523323477179</v>
      </c>
      <c r="DH4" s="69">
        <f>+AO4/C4</f>
        <v>16.046878679940463</v>
      </c>
      <c r="DI4" s="69">
        <f>+CJ4/C4</f>
        <v>57.310726077074783</v>
      </c>
      <c r="DJ4" s="70">
        <f>+(DH4+DI4)</f>
        <v>73.357604757015253</v>
      </c>
      <c r="DK4" s="69">
        <f>+AQ4/C4</f>
        <v>13.126781797229325</v>
      </c>
      <c r="DL4" s="69">
        <f>+CL4/C4</f>
        <v>19.766186858170855</v>
      </c>
      <c r="DM4" s="70">
        <f>+(DK4+DL4)</f>
        <v>32.892968655400182</v>
      </c>
    </row>
    <row r="5" spans="1:117">
      <c r="A5" t="s">
        <v>968</v>
      </c>
      <c r="B5">
        <v>699954</v>
      </c>
      <c r="C5">
        <v>424392</v>
      </c>
      <c r="D5" s="51">
        <v>38704.769999999997</v>
      </c>
      <c r="E5" s="32">
        <f t="shared" si="0"/>
        <v>16425994749.839998</v>
      </c>
      <c r="F5">
        <v>24951</v>
      </c>
      <c r="G5" s="37">
        <f t="shared" si="1"/>
        <v>3.5646628206996461E-2</v>
      </c>
      <c r="H5">
        <v>0</v>
      </c>
      <c r="I5" s="3">
        <f t="shared" si="2"/>
        <v>0</v>
      </c>
      <c r="J5" s="11">
        <f>+'Seat capacity elasticities'!K35</f>
        <v>0</v>
      </c>
      <c r="K5" s="11">
        <f>+'Seat capacity elasticities'!L35</f>
        <v>0</v>
      </c>
      <c r="L5" s="11">
        <f>+'Seat capacity elasticities'!M35</f>
        <v>0</v>
      </c>
      <c r="M5" s="11">
        <f>+'Seat capacity elasticities'!N35</f>
        <v>0</v>
      </c>
      <c r="N5" s="32">
        <f t="shared" ref="N5:N68" si="12">E5*$C$1*J5</f>
        <v>0</v>
      </c>
      <c r="O5" s="33">
        <f t="shared" ref="O5:O68" si="13">N5/E5</f>
        <v>0</v>
      </c>
      <c r="P5" s="40">
        <f t="shared" ref="P5:P68" si="14">+E5*$C$1*K5</f>
        <v>0</v>
      </c>
      <c r="Q5" s="33">
        <f t="shared" ref="Q5:Q68" si="15">P5/E5</f>
        <v>0</v>
      </c>
      <c r="R5" s="40">
        <f t="shared" ref="R5:R68" si="16">+L5*$C$1*G5*B5*1000000</f>
        <v>0</v>
      </c>
      <c r="S5" s="41">
        <f t="shared" ref="S5:S68" si="17">+R5/F5/1000000</f>
        <v>0</v>
      </c>
      <c r="T5" s="40">
        <f t="shared" ref="T5:T68" si="18">+M5*G5*B5*$C$1*1000000</f>
        <v>0</v>
      </c>
      <c r="U5" s="41">
        <f t="shared" ref="U5:U68" si="19">+T5/F5/1000000</f>
        <v>0</v>
      </c>
      <c r="V5" s="53"/>
      <c r="W5" s="53"/>
      <c r="X5" t="s">
        <v>968</v>
      </c>
      <c r="Y5">
        <v>699954</v>
      </c>
      <c r="Z5">
        <v>424392</v>
      </c>
      <c r="AA5" s="51">
        <v>38704.769999999997</v>
      </c>
      <c r="AB5" s="32">
        <f t="shared" si="3"/>
        <v>16425994749.839998</v>
      </c>
      <c r="AC5">
        <v>24951</v>
      </c>
      <c r="AD5" s="37">
        <f t="shared" si="4"/>
        <v>3.5646628206996461E-2</v>
      </c>
      <c r="AE5">
        <v>7.2912999999999997E-3</v>
      </c>
      <c r="AF5" s="3">
        <f t="shared" si="5"/>
        <v>7.2912999999999998E-5</v>
      </c>
      <c r="AG5" s="11">
        <f>+'Seat capacity elasticities'!R35</f>
        <v>1.4626305154393697E-2</v>
      </c>
      <c r="AH5" s="11">
        <f>+'Seat capacity elasticities'!S35</f>
        <v>2.7720894054809351E-2</v>
      </c>
      <c r="AI5" s="11">
        <f>+'Seat capacity elasticities'!T35</f>
        <v>4.0129934719636134E-2</v>
      </c>
      <c r="AJ5" s="11">
        <f>+'Seat capacity elasticities'!U35</f>
        <v>3.2827374538590026E-2</v>
      </c>
      <c r="AK5" s="32">
        <f t="shared" ref="AK5:AK68" si="20">AB5*$C$1*AG5</f>
        <v>2402516.1167562855</v>
      </c>
      <c r="AL5" s="33">
        <f t="shared" ref="AL5:AL68" si="21">AK5/AB5</f>
        <v>1.4626305154393697E-4</v>
      </c>
      <c r="AM5" s="40">
        <f t="shared" ref="AM5:AM68" si="22">+AB5*$C$1*AH5</f>
        <v>4553432.6020516921</v>
      </c>
      <c r="AN5" s="33">
        <f t="shared" ref="AN5:AN68" si="23">AM5/AB5</f>
        <v>2.7720894054809349E-4</v>
      </c>
      <c r="AO5" s="40">
        <f t="shared" ref="AO5:AO68" si="24">+AI5*$C$1*AD5*Y5*1000000</f>
        <v>10012820.011896415</v>
      </c>
      <c r="AP5" s="41">
        <f t="shared" ref="AP5:AP68" si="25">+AO5/AC5/1000000</f>
        <v>4.0129934719636143E-4</v>
      </c>
      <c r="AQ5" s="40">
        <f t="shared" ref="AQ5:AQ68" si="26">+AJ5*AD5*Y5*$C$1*1000000</f>
        <v>8190758.2211235985</v>
      </c>
      <c r="AR5" s="41">
        <f t="shared" ref="AR5:AR68" si="27">+AQ5/AC5/1000000</f>
        <v>3.2827374538590032E-4</v>
      </c>
      <c r="AV5" t="s">
        <v>968</v>
      </c>
      <c r="AW5">
        <v>699954</v>
      </c>
      <c r="AX5">
        <v>424392</v>
      </c>
      <c r="AY5" s="51">
        <v>38704.769999999997</v>
      </c>
      <c r="AZ5" s="32">
        <f t="shared" si="6"/>
        <v>16425994749.839998</v>
      </c>
      <c r="BA5">
        <v>24951</v>
      </c>
      <c r="BB5" s="37">
        <f t="shared" si="7"/>
        <v>3.5646628206996461E-2</v>
      </c>
      <c r="BC5">
        <v>0</v>
      </c>
      <c r="BD5" s="3">
        <f t="shared" si="8"/>
        <v>0</v>
      </c>
      <c r="BE5" s="11">
        <f>+'Seat capacity elasticities'!Y35</f>
        <v>0</v>
      </c>
      <c r="BF5" s="11">
        <f>+'Seat capacity elasticities'!Z35</f>
        <v>0</v>
      </c>
      <c r="BG5" s="11">
        <f>+'Seat capacity elasticities'!AA35</f>
        <v>0</v>
      </c>
      <c r="BH5" s="11">
        <f>+'Seat capacity elasticities'!AB35</f>
        <v>0</v>
      </c>
      <c r="BI5" s="32">
        <f t="shared" ref="BI5:BI68" si="28">AZ5*$C$1*BE5</f>
        <v>0</v>
      </c>
      <c r="BJ5" s="33">
        <f t="shared" ref="BJ5:BJ68" si="29">BI5/AZ5</f>
        <v>0</v>
      </c>
      <c r="BK5" s="40">
        <f t="shared" ref="BK5:BK68" si="30">+AZ5*$C$1*BF5</f>
        <v>0</v>
      </c>
      <c r="BL5" s="33">
        <f t="shared" ref="BL5:BL68" si="31">BK5/AZ5</f>
        <v>0</v>
      </c>
      <c r="BM5" s="40">
        <f t="shared" ref="BM5:BM68" si="32">+BG5*$C$1*BB5*AW5*1000000</f>
        <v>0</v>
      </c>
      <c r="BN5" s="41">
        <f t="shared" ref="BN5:BN68" si="33">+BM5/BA5/1000000</f>
        <v>0</v>
      </c>
      <c r="BO5" s="40">
        <f t="shared" ref="BO5:BO68" si="34">+BH5*BB5*AW5*$C$1*1000000</f>
        <v>0</v>
      </c>
      <c r="BP5" s="41">
        <f t="shared" ref="BP5:BP68" si="35">+BO5/BA5/1000000</f>
        <v>0</v>
      </c>
      <c r="BQ5" s="53"/>
      <c r="BR5" s="53"/>
      <c r="BS5" t="s">
        <v>968</v>
      </c>
      <c r="BT5">
        <v>699954</v>
      </c>
      <c r="BU5">
        <v>424392</v>
      </c>
      <c r="BV5" s="51">
        <v>38704.769999999997</v>
      </c>
      <c r="BW5" s="32">
        <f t="shared" si="9"/>
        <v>16425994749.839998</v>
      </c>
      <c r="BX5">
        <v>24951</v>
      </c>
      <c r="BY5" s="37">
        <f t="shared" si="10"/>
        <v>3.5646628206996461E-2</v>
      </c>
      <c r="BZ5">
        <v>7.2912999999999997E-3</v>
      </c>
      <c r="CA5" s="3">
        <f t="shared" si="11"/>
        <v>7.2912999999999998E-5</v>
      </c>
      <c r="CB5" s="11">
        <f>+'Seat capacity elasticities'!AF35</f>
        <v>2.2114726125373258E-2</v>
      </c>
      <c r="CC5" s="11">
        <f>+'Seat capacity elasticities'!AG35</f>
        <v>1.7671501722237463E-2</v>
      </c>
      <c r="CD5" s="11">
        <f>+'Seat capacity elasticities'!AH35</f>
        <v>6.0675782871060201E-2</v>
      </c>
      <c r="CE5" s="11">
        <f>+'Seat capacity elasticities'!AI35</f>
        <v>2.0926778355281207E-2</v>
      </c>
      <c r="CF5" s="32">
        <f t="shared" ref="CF5:CF68" si="36">BW5*$C$1*CB5</f>
        <v>3632563.7522953055</v>
      </c>
      <c r="CG5" s="33">
        <f t="shared" ref="CG5:CG68" si="37">CF5/BW5</f>
        <v>2.2114726125373256E-4</v>
      </c>
      <c r="CH5" s="40">
        <f t="shared" ref="CH5:CH68" si="38">+BW5*$C$1*CC5</f>
        <v>2902719.9451126102</v>
      </c>
      <c r="CI5" s="33">
        <f t="shared" ref="CI5:CI68" si="39">CH5/BW5</f>
        <v>1.767150172223746E-4</v>
      </c>
      <c r="CJ5" s="40">
        <f t="shared" ref="CJ5:CJ68" si="40">+CD5*$C$1*BY5*BT5*1000000</f>
        <v>15139214.584158234</v>
      </c>
      <c r="CK5" s="41">
        <f t="shared" ref="CK5:CK68" si="41">+CJ5/BX5/1000000</f>
        <v>6.0675782871060207E-4</v>
      </c>
      <c r="CL5" s="40">
        <f t="shared" ref="CL5:CL68" si="42">+CE5*BY5*BT5*$C$1*1000000</f>
        <v>5221440.4674262144</v>
      </c>
      <c r="CM5" s="41">
        <f t="shared" ref="CM5:CM68" si="43">+CL5/BX5/1000000</f>
        <v>2.0926778355281208E-4</v>
      </c>
      <c r="CO5" s="70">
        <f t="shared" ref="CO5:CO68" si="44">+N5/C5</f>
        <v>0</v>
      </c>
      <c r="CP5" s="70">
        <f t="shared" ref="CP5:CP68" si="45">+BI5/C5</f>
        <v>0</v>
      </c>
      <c r="CQ5" s="70">
        <f t="shared" ref="CQ5:CQ68" si="46">+(CO5+CP5)</f>
        <v>0</v>
      </c>
      <c r="CR5" s="70">
        <f t="shared" ref="CR5:CR68" si="47">+P5/C5</f>
        <v>0</v>
      </c>
      <c r="CS5" s="70">
        <f t="shared" ref="CS5:CS68" si="48">+BK5/C5</f>
        <v>0</v>
      </c>
      <c r="CT5" s="70">
        <f t="shared" ref="CT5:CT68" si="49">+(CR5+CS5)</f>
        <v>0</v>
      </c>
      <c r="CU5" s="69">
        <f t="shared" ref="CU5:CU68" si="50">+R5/C5</f>
        <v>0</v>
      </c>
      <c r="CV5" s="69">
        <f t="shared" ref="CV5:CV68" si="51">+BM5/C5</f>
        <v>0</v>
      </c>
      <c r="CW5" s="70">
        <f t="shared" ref="CW5:CW68" si="52">+(CU5+CV5)</f>
        <v>0</v>
      </c>
      <c r="CX5" s="69">
        <f t="shared" ref="CX5:CX68" si="53">+T5/C5</f>
        <v>0</v>
      </c>
      <c r="CY5" s="69">
        <f t="shared" ref="CY5:CY68" si="54">+BO5/C5</f>
        <v>0</v>
      </c>
      <c r="CZ5" s="70">
        <f t="shared" ref="CZ5:CZ68" si="55">+(CX5+CY5)</f>
        <v>0</v>
      </c>
      <c r="DB5" s="70">
        <f t="shared" ref="DB5:DB68" si="56">+AK5/C5</f>
        <v>5.6610777695062247</v>
      </c>
      <c r="DC5" s="70">
        <f t="shared" ref="DC5:DC68" si="57">+CF5/C5</f>
        <v>8.5594538829556299</v>
      </c>
      <c r="DD5" s="70">
        <f t="shared" ref="DD5:DD68" si="58">+(DB5+DC5)</f>
        <v>14.220531652461855</v>
      </c>
      <c r="DE5" s="70">
        <f t="shared" ref="DE5:DE68" si="59">+AM5/C5</f>
        <v>10.729308285857632</v>
      </c>
      <c r="DF5" s="70">
        <f t="shared" ref="DF5:DF68" si="60">+CH5/C5</f>
        <v>6.8397140971380477</v>
      </c>
      <c r="DG5" s="70">
        <f t="shared" ref="DG5:DG68" si="61">+(DE5+DF5)</f>
        <v>17.56902238299568</v>
      </c>
      <c r="DH5" s="69">
        <f t="shared" ref="DH5:DH68" si="62">+AO5/C5</f>
        <v>23.593328837245789</v>
      </c>
      <c r="DI5" s="69">
        <f t="shared" ref="DI5:DI68" si="63">+CJ5/C5</f>
        <v>35.672714339945699</v>
      </c>
      <c r="DJ5" s="70">
        <f t="shared" ref="DJ5:DJ68" si="64">+(DH5+DI5)</f>
        <v>59.266043177191492</v>
      </c>
      <c r="DK5" s="69">
        <f t="shared" ref="DK5:DK68" si="65">+AQ5/C5</f>
        <v>19.299982613064333</v>
      </c>
      <c r="DL5" s="69">
        <f t="shared" ref="DL5:DL68" si="66">+CL5/C5</f>
        <v>12.303343294468826</v>
      </c>
      <c r="DM5" s="70">
        <f t="shared" ref="DM5:DM68" si="67">+(DK5+DL5)</f>
        <v>31.603325907533161</v>
      </c>
    </row>
    <row r="6" spans="1:117">
      <c r="A6" t="s">
        <v>281</v>
      </c>
      <c r="B6">
        <v>164488</v>
      </c>
      <c r="C6">
        <v>82255</v>
      </c>
      <c r="D6" s="51">
        <v>29913.37</v>
      </c>
      <c r="E6" s="32">
        <f t="shared" si="0"/>
        <v>2460524249.3499999</v>
      </c>
      <c r="F6">
        <v>3698</v>
      </c>
      <c r="G6" s="37">
        <f t="shared" si="1"/>
        <v>2.2481883176888283E-2</v>
      </c>
      <c r="H6">
        <v>0</v>
      </c>
      <c r="I6" s="3">
        <f t="shared" si="2"/>
        <v>0</v>
      </c>
      <c r="J6" s="11">
        <f>+'Seat capacity elasticities'!K36</f>
        <v>0</v>
      </c>
      <c r="K6" s="11">
        <f>+'Seat capacity elasticities'!L36</f>
        <v>0</v>
      </c>
      <c r="L6" s="11">
        <f>+'Seat capacity elasticities'!M36</f>
        <v>0</v>
      </c>
      <c r="M6" s="11">
        <f>+'Seat capacity elasticities'!N36</f>
        <v>0</v>
      </c>
      <c r="N6" s="32">
        <f t="shared" si="12"/>
        <v>0</v>
      </c>
      <c r="O6" s="33">
        <f t="shared" si="13"/>
        <v>0</v>
      </c>
      <c r="P6" s="40">
        <f t="shared" si="14"/>
        <v>0</v>
      </c>
      <c r="Q6" s="33">
        <f t="shared" si="15"/>
        <v>0</v>
      </c>
      <c r="R6" s="40">
        <f t="shared" si="16"/>
        <v>0</v>
      </c>
      <c r="S6" s="41">
        <f t="shared" si="17"/>
        <v>0</v>
      </c>
      <c r="T6" s="40">
        <f t="shared" si="18"/>
        <v>0</v>
      </c>
      <c r="U6" s="41">
        <f t="shared" si="19"/>
        <v>0</v>
      </c>
      <c r="V6" s="53"/>
      <c r="W6" s="53"/>
      <c r="X6" t="s">
        <v>281</v>
      </c>
      <c r="Y6">
        <v>164488</v>
      </c>
      <c r="Z6">
        <v>82255</v>
      </c>
      <c r="AA6" s="51">
        <v>29913.37</v>
      </c>
      <c r="AB6" s="32">
        <f t="shared" si="3"/>
        <v>2460524249.3499999</v>
      </c>
      <c r="AC6">
        <v>3698</v>
      </c>
      <c r="AD6" s="37">
        <f t="shared" si="4"/>
        <v>2.2481883176888283E-2</v>
      </c>
      <c r="AE6">
        <v>2.8720999999999998E-3</v>
      </c>
      <c r="AF6" s="3">
        <f t="shared" si="5"/>
        <v>2.8720999999999998E-5</v>
      </c>
      <c r="AG6" s="11">
        <f>+'Seat capacity elasticities'!R36</f>
        <v>1.3124905381617483E-2</v>
      </c>
      <c r="AH6" s="11">
        <f>+'Seat capacity elasticities'!S36</f>
        <v>2.4875326182697666E-2</v>
      </c>
      <c r="AI6" s="11">
        <f>+'Seat capacity elasticities'!T36</f>
        <v>3.6010570722127391E-2</v>
      </c>
      <c r="AJ6" s="11">
        <f>+'Seat capacity elasticities'!U36</f>
        <v>2.9457623111089345E-2</v>
      </c>
      <c r="AK6" s="32">
        <f t="shared" si="20"/>
        <v>322941.47961894132</v>
      </c>
      <c r="AL6" s="33">
        <f t="shared" si="21"/>
        <v>1.3124905381617483E-4</v>
      </c>
      <c r="AM6" s="40">
        <f t="shared" si="22"/>
        <v>612063.43283018575</v>
      </c>
      <c r="AN6" s="33">
        <f t="shared" si="23"/>
        <v>2.4875326182697665E-4</v>
      </c>
      <c r="AO6" s="40">
        <f t="shared" si="24"/>
        <v>1331670.905304271</v>
      </c>
      <c r="AP6" s="41">
        <f t="shared" si="25"/>
        <v>3.6010570722127394E-4</v>
      </c>
      <c r="AQ6" s="40">
        <f t="shared" si="26"/>
        <v>1089342.9026480839</v>
      </c>
      <c r="AR6" s="41">
        <f t="shared" si="27"/>
        <v>2.9457623111089345E-4</v>
      </c>
      <c r="AV6" t="s">
        <v>281</v>
      </c>
      <c r="AW6">
        <v>164488</v>
      </c>
      <c r="AX6">
        <v>82255</v>
      </c>
      <c r="AY6" s="51">
        <v>29913.37</v>
      </c>
      <c r="AZ6" s="32">
        <f t="shared" si="6"/>
        <v>2460524249.3499999</v>
      </c>
      <c r="BA6">
        <v>3698</v>
      </c>
      <c r="BB6" s="37">
        <f t="shared" si="7"/>
        <v>2.2481883176888283E-2</v>
      </c>
      <c r="BC6">
        <v>0</v>
      </c>
      <c r="BD6" s="3">
        <f t="shared" si="8"/>
        <v>0</v>
      </c>
      <c r="BE6" s="11">
        <f>+'Seat capacity elasticities'!Y36</f>
        <v>0</v>
      </c>
      <c r="BF6" s="11">
        <f>+'Seat capacity elasticities'!Z36</f>
        <v>0</v>
      </c>
      <c r="BG6" s="11">
        <f>+'Seat capacity elasticities'!AA36</f>
        <v>0</v>
      </c>
      <c r="BH6" s="11">
        <f>+'Seat capacity elasticities'!AB36</f>
        <v>0</v>
      </c>
      <c r="BI6" s="32">
        <f t="shared" si="28"/>
        <v>0</v>
      </c>
      <c r="BJ6" s="33">
        <f t="shared" si="29"/>
        <v>0</v>
      </c>
      <c r="BK6" s="40">
        <f t="shared" si="30"/>
        <v>0</v>
      </c>
      <c r="BL6" s="33">
        <f t="shared" si="31"/>
        <v>0</v>
      </c>
      <c r="BM6" s="40">
        <f t="shared" si="32"/>
        <v>0</v>
      </c>
      <c r="BN6" s="41">
        <f t="shared" si="33"/>
        <v>0</v>
      </c>
      <c r="BO6" s="40">
        <f t="shared" si="34"/>
        <v>0</v>
      </c>
      <c r="BP6" s="41">
        <f t="shared" si="35"/>
        <v>0</v>
      </c>
      <c r="BQ6" s="53"/>
      <c r="BR6" s="53"/>
      <c r="BS6" t="s">
        <v>281</v>
      </c>
      <c r="BT6">
        <v>164488</v>
      </c>
      <c r="BU6">
        <v>82255</v>
      </c>
      <c r="BV6" s="51">
        <v>29913.37</v>
      </c>
      <c r="BW6" s="32">
        <f t="shared" si="9"/>
        <v>2460524249.3499999</v>
      </c>
      <c r="BX6">
        <v>3698</v>
      </c>
      <c r="BY6" s="37">
        <f t="shared" si="10"/>
        <v>2.2481883176888283E-2</v>
      </c>
      <c r="BZ6">
        <v>2.8720999999999998E-3</v>
      </c>
      <c r="CA6" s="3">
        <f t="shared" si="11"/>
        <v>2.8720999999999998E-5</v>
      </c>
      <c r="CB6" s="11">
        <f>+'Seat capacity elasticities'!AF36</f>
        <v>3.7069048138989903E-2</v>
      </c>
      <c r="CC6" s="11">
        <f>+'Seat capacity elasticities'!AG36</f>
        <v>2.9621246237287825E-2</v>
      </c>
      <c r="CD6" s="11">
        <f>+'Seat capacity elasticities'!AH36</f>
        <v>0.10170569164488204</v>
      </c>
      <c r="CE6" s="11">
        <f>+'Seat capacity elasticities'!AI36</f>
        <v>3.5077791596788213E-2</v>
      </c>
      <c r="CF6" s="32">
        <f t="shared" si="36"/>
        <v>912092.91846307134</v>
      </c>
      <c r="CG6" s="33">
        <f t="shared" si="37"/>
        <v>3.7069048138989899E-4</v>
      </c>
      <c r="CH6" s="40">
        <f t="shared" si="38"/>
        <v>728837.94662814133</v>
      </c>
      <c r="CI6" s="33">
        <f t="shared" si="39"/>
        <v>2.9621246237287823E-4</v>
      </c>
      <c r="CJ6" s="40">
        <f t="shared" si="40"/>
        <v>3761076.477027738</v>
      </c>
      <c r="CK6" s="41">
        <f t="shared" si="41"/>
        <v>1.0170569164488204E-3</v>
      </c>
      <c r="CL6" s="40">
        <f t="shared" si="42"/>
        <v>1297176.7332492282</v>
      </c>
      <c r="CM6" s="41">
        <f t="shared" si="43"/>
        <v>3.5077791596788214E-4</v>
      </c>
      <c r="CO6" s="70">
        <f t="shared" si="44"/>
        <v>0</v>
      </c>
      <c r="CP6" s="70">
        <f t="shared" si="45"/>
        <v>0</v>
      </c>
      <c r="CQ6" s="70">
        <f t="shared" si="46"/>
        <v>0</v>
      </c>
      <c r="CR6" s="70">
        <f t="shared" si="47"/>
        <v>0</v>
      </c>
      <c r="CS6" s="70">
        <f t="shared" si="48"/>
        <v>0</v>
      </c>
      <c r="CT6" s="70">
        <f t="shared" si="49"/>
        <v>0</v>
      </c>
      <c r="CU6" s="69">
        <f t="shared" si="50"/>
        <v>0</v>
      </c>
      <c r="CV6" s="69">
        <f t="shared" si="51"/>
        <v>0</v>
      </c>
      <c r="CW6" s="70">
        <f t="shared" si="52"/>
        <v>0</v>
      </c>
      <c r="CX6" s="69">
        <f t="shared" si="53"/>
        <v>0</v>
      </c>
      <c r="CY6" s="69">
        <f t="shared" si="54"/>
        <v>0</v>
      </c>
      <c r="CZ6" s="70">
        <f t="shared" si="55"/>
        <v>0</v>
      </c>
      <c r="DB6" s="70">
        <f t="shared" si="56"/>
        <v>3.9261015089531495</v>
      </c>
      <c r="DC6" s="70">
        <f t="shared" si="57"/>
        <v>11.088601525294163</v>
      </c>
      <c r="DD6" s="70">
        <f t="shared" si="58"/>
        <v>15.014703034247312</v>
      </c>
      <c r="DE6" s="70">
        <f t="shared" si="59"/>
        <v>7.4410483597372288</v>
      </c>
      <c r="DF6" s="70">
        <f t="shared" si="60"/>
        <v>8.8607129855709843</v>
      </c>
      <c r="DG6" s="70">
        <f t="shared" si="61"/>
        <v>16.301761345308215</v>
      </c>
      <c r="DH6" s="69">
        <f t="shared" si="62"/>
        <v>16.189543557282487</v>
      </c>
      <c r="DI6" s="69">
        <f t="shared" si="63"/>
        <v>45.724593970308653</v>
      </c>
      <c r="DJ6" s="70">
        <f t="shared" si="64"/>
        <v>61.914137527591137</v>
      </c>
      <c r="DK6" s="69">
        <f t="shared" si="65"/>
        <v>13.243485534594662</v>
      </c>
      <c r="DL6" s="69">
        <f t="shared" si="66"/>
        <v>15.770187019016817</v>
      </c>
      <c r="DM6" s="70">
        <f t="shared" si="67"/>
        <v>29.013672553611478</v>
      </c>
    </row>
    <row r="7" spans="1:117">
      <c r="A7" t="s">
        <v>283</v>
      </c>
      <c r="B7">
        <v>854301</v>
      </c>
      <c r="C7">
        <v>554009</v>
      </c>
      <c r="D7" s="51">
        <v>39400.06</v>
      </c>
      <c r="E7" s="32">
        <f t="shared" si="0"/>
        <v>21827987840.539997</v>
      </c>
      <c r="F7">
        <v>31218</v>
      </c>
      <c r="G7" s="37">
        <f t="shared" si="1"/>
        <v>3.6542155516615341E-2</v>
      </c>
      <c r="H7">
        <v>0</v>
      </c>
      <c r="I7" s="3">
        <f t="shared" si="2"/>
        <v>0</v>
      </c>
      <c r="J7" s="11">
        <f>+'Seat capacity elasticities'!K37</f>
        <v>0</v>
      </c>
      <c r="K7" s="11">
        <f>+'Seat capacity elasticities'!L37</f>
        <v>0</v>
      </c>
      <c r="L7" s="11">
        <f>+'Seat capacity elasticities'!M37</f>
        <v>0</v>
      </c>
      <c r="M7" s="11">
        <f>+'Seat capacity elasticities'!N37</f>
        <v>0</v>
      </c>
      <c r="N7" s="32">
        <f t="shared" si="12"/>
        <v>0</v>
      </c>
      <c r="O7" s="33">
        <f t="shared" si="13"/>
        <v>0</v>
      </c>
      <c r="P7" s="40">
        <f t="shared" si="14"/>
        <v>0</v>
      </c>
      <c r="Q7" s="33">
        <f t="shared" si="15"/>
        <v>0</v>
      </c>
      <c r="R7" s="40">
        <f t="shared" si="16"/>
        <v>0</v>
      </c>
      <c r="S7" s="41">
        <f t="shared" si="17"/>
        <v>0</v>
      </c>
      <c r="T7" s="40">
        <f t="shared" si="18"/>
        <v>0</v>
      </c>
      <c r="U7" s="41">
        <f t="shared" si="19"/>
        <v>0</v>
      </c>
      <c r="V7" s="53"/>
      <c r="W7" s="53"/>
      <c r="X7" t="s">
        <v>283</v>
      </c>
      <c r="Y7">
        <v>854301</v>
      </c>
      <c r="Z7">
        <v>554009</v>
      </c>
      <c r="AA7" s="51">
        <v>39400.06</v>
      </c>
      <c r="AB7" s="32">
        <f t="shared" si="3"/>
        <v>21827987840.539997</v>
      </c>
      <c r="AC7">
        <v>31218</v>
      </c>
      <c r="AD7" s="37">
        <f t="shared" si="4"/>
        <v>3.6542155516615341E-2</v>
      </c>
      <c r="AE7">
        <v>9.1383000000000002E-3</v>
      </c>
      <c r="AF7" s="3">
        <f t="shared" si="5"/>
        <v>9.1383000000000002E-5</v>
      </c>
      <c r="AG7" s="11">
        <f>+'Seat capacity elasticities'!R37</f>
        <v>8.6866223659598334E-3</v>
      </c>
      <c r="AH7" s="11">
        <f>+'Seat capacity elasticities'!S37</f>
        <v>1.6463552193054991E-2</v>
      </c>
      <c r="AI7" s="11">
        <f>+'Seat capacity elasticities'!T37</f>
        <v>2.3833332123211093E-2</v>
      </c>
      <c r="AJ7" s="11">
        <f>+'Seat capacity elasticities'!U37</f>
        <v>1.9496311807565125E-2</v>
      </c>
      <c r="AK7" s="32">
        <f t="shared" si="20"/>
        <v>1896114.8737953403</v>
      </c>
      <c r="AL7" s="33">
        <f t="shared" si="21"/>
        <v>8.6866223659598334E-5</v>
      </c>
      <c r="AM7" s="40">
        <f t="shared" si="22"/>
        <v>3593662.1708209999</v>
      </c>
      <c r="AN7" s="33">
        <f t="shared" si="23"/>
        <v>1.6463552193054994E-4</v>
      </c>
      <c r="AO7" s="40">
        <f t="shared" si="24"/>
        <v>7440289.6222240394</v>
      </c>
      <c r="AP7" s="41">
        <f t="shared" si="25"/>
        <v>2.3833332123211092E-4</v>
      </c>
      <c r="AQ7" s="40">
        <f t="shared" si="26"/>
        <v>6086358.6200856809</v>
      </c>
      <c r="AR7" s="41">
        <f t="shared" si="27"/>
        <v>1.9496311807565126E-4</v>
      </c>
      <c r="AV7" t="s">
        <v>283</v>
      </c>
      <c r="AW7">
        <v>854301</v>
      </c>
      <c r="AX7">
        <v>554009</v>
      </c>
      <c r="AY7" s="51">
        <v>39400.06</v>
      </c>
      <c r="AZ7" s="32">
        <f t="shared" si="6"/>
        <v>21827987840.539997</v>
      </c>
      <c r="BA7">
        <v>31218</v>
      </c>
      <c r="BB7" s="37">
        <f t="shared" si="7"/>
        <v>3.6542155516615341E-2</v>
      </c>
      <c r="BC7">
        <v>0</v>
      </c>
      <c r="BD7" s="3">
        <f t="shared" si="8"/>
        <v>0</v>
      </c>
      <c r="BE7" s="11">
        <f>+'Seat capacity elasticities'!Y37</f>
        <v>0</v>
      </c>
      <c r="BF7" s="11">
        <f>+'Seat capacity elasticities'!Z37</f>
        <v>0</v>
      </c>
      <c r="BG7" s="11">
        <f>+'Seat capacity elasticities'!AA37</f>
        <v>0</v>
      </c>
      <c r="BH7" s="11">
        <f>+'Seat capacity elasticities'!AB37</f>
        <v>0</v>
      </c>
      <c r="BI7" s="32">
        <f t="shared" si="28"/>
        <v>0</v>
      </c>
      <c r="BJ7" s="33">
        <f t="shared" si="29"/>
        <v>0</v>
      </c>
      <c r="BK7" s="40">
        <f t="shared" si="30"/>
        <v>0</v>
      </c>
      <c r="BL7" s="33">
        <f t="shared" si="31"/>
        <v>0</v>
      </c>
      <c r="BM7" s="40">
        <f t="shared" si="32"/>
        <v>0</v>
      </c>
      <c r="BN7" s="41">
        <f t="shared" si="33"/>
        <v>0</v>
      </c>
      <c r="BO7" s="40">
        <f t="shared" si="34"/>
        <v>0</v>
      </c>
      <c r="BP7" s="41">
        <f t="shared" si="35"/>
        <v>0</v>
      </c>
      <c r="BQ7" s="53"/>
      <c r="BR7" s="53"/>
      <c r="BS7" t="s">
        <v>283</v>
      </c>
      <c r="BT7">
        <v>854301</v>
      </c>
      <c r="BU7">
        <v>554009</v>
      </c>
      <c r="BV7" s="51">
        <v>39400.06</v>
      </c>
      <c r="BW7" s="32">
        <f t="shared" si="9"/>
        <v>21827987840.539997</v>
      </c>
      <c r="BX7">
        <v>31218</v>
      </c>
      <c r="BY7" s="37">
        <f t="shared" si="10"/>
        <v>3.6542155516615341E-2</v>
      </c>
      <c r="BZ7">
        <v>9.1383000000000002E-3</v>
      </c>
      <c r="CA7" s="3">
        <f t="shared" si="11"/>
        <v>9.1383000000000002E-5</v>
      </c>
      <c r="CB7" s="11">
        <f>+'Seat capacity elasticities'!AF37</f>
        <v>2.2709135102788776E-2</v>
      </c>
      <c r="CC7" s="11">
        <f>+'Seat capacity elasticities'!AG37</f>
        <v>1.8146483831830939E-2</v>
      </c>
      <c r="CD7" s="11">
        <f>+'Seat capacity elasticities'!AH37</f>
        <v>6.2306652267579317E-2</v>
      </c>
      <c r="CE7" s="11">
        <f>+'Seat capacity elasticities'!AI37</f>
        <v>2.1489257169273478E-2</v>
      </c>
      <c r="CF7" s="32">
        <f t="shared" si="36"/>
        <v>4956947.2489285339</v>
      </c>
      <c r="CG7" s="33">
        <f t="shared" si="37"/>
        <v>2.2709135102788776E-4</v>
      </c>
      <c r="CH7" s="40">
        <f t="shared" si="38"/>
        <v>3961012.2842976139</v>
      </c>
      <c r="CI7" s="33">
        <f t="shared" si="39"/>
        <v>1.8146483831830938E-4</v>
      </c>
      <c r="CJ7" s="40">
        <f t="shared" si="40"/>
        <v>19450890.704892915</v>
      </c>
      <c r="CK7" s="41">
        <f t="shared" si="41"/>
        <v>6.230665226757933E-4</v>
      </c>
      <c r="CL7" s="40">
        <f t="shared" si="42"/>
        <v>6708516.3031037953</v>
      </c>
      <c r="CM7" s="41">
        <f t="shared" si="43"/>
        <v>2.1489257169273479E-4</v>
      </c>
      <c r="CO7" s="70">
        <f t="shared" si="44"/>
        <v>0</v>
      </c>
      <c r="CP7" s="70">
        <f t="shared" si="45"/>
        <v>0</v>
      </c>
      <c r="CQ7" s="70">
        <f t="shared" si="46"/>
        <v>0</v>
      </c>
      <c r="CR7" s="70">
        <f t="shared" si="47"/>
        <v>0</v>
      </c>
      <c r="CS7" s="70">
        <f t="shared" si="48"/>
        <v>0</v>
      </c>
      <c r="CT7" s="70">
        <f t="shared" si="49"/>
        <v>0</v>
      </c>
      <c r="CU7" s="69">
        <f t="shared" si="50"/>
        <v>0</v>
      </c>
      <c r="CV7" s="69">
        <f t="shared" si="51"/>
        <v>0</v>
      </c>
      <c r="CW7" s="70">
        <f t="shared" si="52"/>
        <v>0</v>
      </c>
      <c r="CX7" s="69">
        <f t="shared" si="53"/>
        <v>0</v>
      </c>
      <c r="CY7" s="69">
        <f t="shared" si="54"/>
        <v>0</v>
      </c>
      <c r="CZ7" s="70">
        <f t="shared" si="55"/>
        <v>0</v>
      </c>
      <c r="DB7" s="70">
        <f t="shared" si="56"/>
        <v>3.4225344241615936</v>
      </c>
      <c r="DC7" s="70">
        <f t="shared" si="57"/>
        <v>8.947412855979838</v>
      </c>
      <c r="DD7" s="70">
        <f t="shared" si="58"/>
        <v>12.369947280141432</v>
      </c>
      <c r="DE7" s="70">
        <f t="shared" si="59"/>
        <v>6.4866494421949819</v>
      </c>
      <c r="DF7" s="70">
        <f t="shared" si="60"/>
        <v>7.1497255176316878</v>
      </c>
      <c r="DG7" s="70">
        <f t="shared" si="61"/>
        <v>13.63637495982667</v>
      </c>
      <c r="DH7" s="69">
        <f t="shared" si="62"/>
        <v>13.429907496492005</v>
      </c>
      <c r="DI7" s="69">
        <f t="shared" si="63"/>
        <v>35.109340651312372</v>
      </c>
      <c r="DJ7" s="70">
        <f t="shared" si="64"/>
        <v>48.539248147804379</v>
      </c>
      <c r="DK7" s="69">
        <f t="shared" si="65"/>
        <v>10.9860284220756</v>
      </c>
      <c r="DL7" s="69">
        <f t="shared" si="66"/>
        <v>12.109038486926739</v>
      </c>
      <c r="DM7" s="70">
        <f t="shared" si="67"/>
        <v>23.095066909002341</v>
      </c>
    </row>
    <row r="8" spans="1:117">
      <c r="A8" t="s">
        <v>278</v>
      </c>
      <c r="B8">
        <v>846582</v>
      </c>
      <c r="C8">
        <v>512994</v>
      </c>
      <c r="D8" s="51">
        <v>35760.019999999997</v>
      </c>
      <c r="E8" s="32">
        <f t="shared" si="0"/>
        <v>18344675699.879997</v>
      </c>
      <c r="F8">
        <v>28740</v>
      </c>
      <c r="G8" s="37">
        <f t="shared" si="1"/>
        <v>3.394827671743552E-2</v>
      </c>
      <c r="H8">
        <v>0</v>
      </c>
      <c r="I8" s="3">
        <f t="shared" si="2"/>
        <v>0</v>
      </c>
      <c r="J8" s="11">
        <f>+'Seat capacity elasticities'!K38</f>
        <v>0</v>
      </c>
      <c r="K8" s="11">
        <f>+'Seat capacity elasticities'!L38</f>
        <v>0</v>
      </c>
      <c r="L8" s="11">
        <f>+'Seat capacity elasticities'!M38</f>
        <v>0</v>
      </c>
      <c r="M8" s="11">
        <f>+'Seat capacity elasticities'!N38</f>
        <v>0</v>
      </c>
      <c r="N8" s="32">
        <f t="shared" si="12"/>
        <v>0</v>
      </c>
      <c r="O8" s="33">
        <f t="shared" si="13"/>
        <v>0</v>
      </c>
      <c r="P8" s="40">
        <f t="shared" si="14"/>
        <v>0</v>
      </c>
      <c r="Q8" s="33">
        <f t="shared" si="15"/>
        <v>0</v>
      </c>
      <c r="R8" s="40">
        <f t="shared" si="16"/>
        <v>0</v>
      </c>
      <c r="S8" s="41">
        <f t="shared" si="17"/>
        <v>0</v>
      </c>
      <c r="T8" s="40">
        <f t="shared" si="18"/>
        <v>0</v>
      </c>
      <c r="U8" s="41">
        <f t="shared" si="19"/>
        <v>0</v>
      </c>
      <c r="V8" s="53"/>
      <c r="W8" s="53"/>
      <c r="X8" t="s">
        <v>278</v>
      </c>
      <c r="Y8">
        <v>846582</v>
      </c>
      <c r="Z8">
        <v>512994</v>
      </c>
      <c r="AA8" s="51">
        <v>35760.019999999997</v>
      </c>
      <c r="AB8" s="32">
        <f t="shared" si="3"/>
        <v>18344675699.879997</v>
      </c>
      <c r="AC8">
        <v>28740</v>
      </c>
      <c r="AD8" s="37">
        <f t="shared" si="4"/>
        <v>3.394827671743552E-2</v>
      </c>
      <c r="AE8">
        <v>6.8589000000000002E-3</v>
      </c>
      <c r="AF8" s="3">
        <f t="shared" si="5"/>
        <v>6.8589000000000003E-5</v>
      </c>
      <c r="AG8" s="11">
        <f>+'Seat capacity elasticities'!R38</f>
        <v>1.1203267276830513E-2</v>
      </c>
      <c r="AH8" s="11">
        <f>+'Seat capacity elasticities'!S38</f>
        <v>2.1233290429157937E-2</v>
      </c>
      <c r="AI8" s="11">
        <f>+'Seat capacity elasticities'!T38</f>
        <v>3.0738206246899602E-2</v>
      </c>
      <c r="AJ8" s="11">
        <f>+'Seat capacity elasticities'!U38</f>
        <v>2.5144686034529136E-2</v>
      </c>
      <c r="AK8" s="32">
        <f t="shared" si="20"/>
        <v>2055203.0497253346</v>
      </c>
      <c r="AL8" s="33">
        <f t="shared" si="21"/>
        <v>1.1203267276830514E-4</v>
      </c>
      <c r="AM8" s="40">
        <f t="shared" si="22"/>
        <v>3895178.2696426813</v>
      </c>
      <c r="AN8" s="33">
        <f t="shared" si="23"/>
        <v>2.1233290429157939E-4</v>
      </c>
      <c r="AO8" s="40">
        <f t="shared" si="24"/>
        <v>8834160.4753589462</v>
      </c>
      <c r="AP8" s="41">
        <f t="shared" si="25"/>
        <v>3.0738206246899605E-4</v>
      </c>
      <c r="AQ8" s="40">
        <f t="shared" si="26"/>
        <v>7226582.7663236735</v>
      </c>
      <c r="AR8" s="41">
        <f t="shared" si="27"/>
        <v>2.5144686034529138E-4</v>
      </c>
      <c r="AV8" t="s">
        <v>278</v>
      </c>
      <c r="AW8">
        <v>846582</v>
      </c>
      <c r="AX8">
        <v>512994</v>
      </c>
      <c r="AY8" s="51">
        <v>35760.019999999997</v>
      </c>
      <c r="AZ8" s="32">
        <f t="shared" si="6"/>
        <v>18344675699.879997</v>
      </c>
      <c r="BA8">
        <v>28740</v>
      </c>
      <c r="BB8" s="37">
        <f t="shared" si="7"/>
        <v>3.394827671743552E-2</v>
      </c>
      <c r="BC8">
        <v>0</v>
      </c>
      <c r="BD8" s="3">
        <f t="shared" si="8"/>
        <v>0</v>
      </c>
      <c r="BE8" s="11">
        <f>+'Seat capacity elasticities'!Y38</f>
        <v>0</v>
      </c>
      <c r="BF8" s="11">
        <f>+'Seat capacity elasticities'!Z38</f>
        <v>0</v>
      </c>
      <c r="BG8" s="11">
        <f>+'Seat capacity elasticities'!AA38</f>
        <v>0</v>
      </c>
      <c r="BH8" s="11">
        <f>+'Seat capacity elasticities'!AB38</f>
        <v>0</v>
      </c>
      <c r="BI8" s="32">
        <f t="shared" si="28"/>
        <v>0</v>
      </c>
      <c r="BJ8" s="33">
        <f t="shared" si="29"/>
        <v>0</v>
      </c>
      <c r="BK8" s="40">
        <f t="shared" si="30"/>
        <v>0</v>
      </c>
      <c r="BL8" s="33">
        <f t="shared" si="31"/>
        <v>0</v>
      </c>
      <c r="BM8" s="40">
        <f t="shared" si="32"/>
        <v>0</v>
      </c>
      <c r="BN8" s="41">
        <f t="shared" si="33"/>
        <v>0</v>
      </c>
      <c r="BO8" s="40">
        <f t="shared" si="34"/>
        <v>0</v>
      </c>
      <c r="BP8" s="41">
        <f t="shared" si="35"/>
        <v>0</v>
      </c>
      <c r="BQ8" s="53"/>
      <c r="BR8" s="53"/>
      <c r="BS8" t="s">
        <v>278</v>
      </c>
      <c r="BT8">
        <v>846582</v>
      </c>
      <c r="BU8">
        <v>512994</v>
      </c>
      <c r="BV8" s="51">
        <v>35760.019999999997</v>
      </c>
      <c r="BW8" s="32">
        <f t="shared" si="9"/>
        <v>18344675699.879997</v>
      </c>
      <c r="BX8">
        <v>28740</v>
      </c>
      <c r="BY8" s="37">
        <f t="shared" si="10"/>
        <v>3.394827671743552E-2</v>
      </c>
      <c r="BZ8">
        <v>6.8589000000000002E-3</v>
      </c>
      <c r="CA8" s="3">
        <f t="shared" si="11"/>
        <v>6.8589000000000003E-5</v>
      </c>
      <c r="CB8" s="11">
        <f>+'Seat capacity elasticities'!AF38</f>
        <v>1.7200122429969864E-2</v>
      </c>
      <c r="CC8" s="11">
        <f>+'Seat capacity elasticities'!AG38</f>
        <v>1.374432545177077E-2</v>
      </c>
      <c r="CD8" s="11">
        <f>+'Seat capacity elasticities'!AH38</f>
        <v>4.7191671649014791E-2</v>
      </c>
      <c r="CE8" s="11">
        <f>+'Seat capacity elasticities'!AI38</f>
        <v>1.6276174877096965E-2</v>
      </c>
      <c r="CF8" s="32">
        <f t="shared" si="36"/>
        <v>3155306.6797602908</v>
      </c>
      <c r="CG8" s="33">
        <f t="shared" si="37"/>
        <v>1.7200122429969866E-4</v>
      </c>
      <c r="CH8" s="40">
        <f t="shared" si="38"/>
        <v>2521351.9312634142</v>
      </c>
      <c r="CI8" s="33">
        <f t="shared" si="39"/>
        <v>1.374432545177077E-4</v>
      </c>
      <c r="CJ8" s="40">
        <f t="shared" si="40"/>
        <v>13562886.431926852</v>
      </c>
      <c r="CK8" s="41">
        <f t="shared" si="41"/>
        <v>4.7191671649014799E-4</v>
      </c>
      <c r="CL8" s="40">
        <f t="shared" si="42"/>
        <v>4677772.6596776685</v>
      </c>
      <c r="CM8" s="41">
        <f t="shared" si="43"/>
        <v>1.6276174877096969E-4</v>
      </c>
      <c r="CO8" s="70">
        <f t="shared" si="44"/>
        <v>0</v>
      </c>
      <c r="CP8" s="70">
        <f t="shared" si="45"/>
        <v>0</v>
      </c>
      <c r="CQ8" s="70">
        <f t="shared" si="46"/>
        <v>0</v>
      </c>
      <c r="CR8" s="70">
        <f t="shared" si="47"/>
        <v>0</v>
      </c>
      <c r="CS8" s="70">
        <f t="shared" si="48"/>
        <v>0</v>
      </c>
      <c r="CT8" s="70">
        <f t="shared" si="49"/>
        <v>0</v>
      </c>
      <c r="CU8" s="69">
        <f t="shared" si="50"/>
        <v>0</v>
      </c>
      <c r="CV8" s="69">
        <f t="shared" si="51"/>
        <v>0</v>
      </c>
      <c r="CW8" s="70">
        <f t="shared" si="52"/>
        <v>0</v>
      </c>
      <c r="CX8" s="69">
        <f t="shared" si="53"/>
        <v>0</v>
      </c>
      <c r="CY8" s="69">
        <f t="shared" si="54"/>
        <v>0</v>
      </c>
      <c r="CZ8" s="70">
        <f t="shared" si="55"/>
        <v>0</v>
      </c>
      <c r="DB8" s="70">
        <f t="shared" si="56"/>
        <v>4.0062906188480465</v>
      </c>
      <c r="DC8" s="70">
        <f t="shared" si="57"/>
        <v>6.1507672209817086</v>
      </c>
      <c r="DD8" s="70">
        <f t="shared" si="58"/>
        <v>10.157057839829754</v>
      </c>
      <c r="DE8" s="70">
        <f t="shared" si="59"/>
        <v>7.5930289041249628</v>
      </c>
      <c r="DF8" s="70">
        <f t="shared" si="60"/>
        <v>4.9149735304183171</v>
      </c>
      <c r="DG8" s="70">
        <f t="shared" si="61"/>
        <v>12.508002434543279</v>
      </c>
      <c r="DH8" s="69">
        <f t="shared" si="62"/>
        <v>17.220787134662288</v>
      </c>
      <c r="DI8" s="69">
        <f t="shared" si="63"/>
        <v>26.438684335346714</v>
      </c>
      <c r="DJ8" s="70">
        <f t="shared" si="64"/>
        <v>43.659471470009002</v>
      </c>
      <c r="DK8" s="69">
        <f t="shared" si="65"/>
        <v>14.087070738300396</v>
      </c>
      <c r="DL8" s="69">
        <f t="shared" si="66"/>
        <v>9.1185718735066459</v>
      </c>
      <c r="DM8" s="70">
        <f t="shared" si="67"/>
        <v>23.205642611807043</v>
      </c>
    </row>
    <row r="9" spans="1:117">
      <c r="A9" t="s">
        <v>286</v>
      </c>
      <c r="B9">
        <v>153451</v>
      </c>
      <c r="C9">
        <v>85873</v>
      </c>
      <c r="D9" s="51">
        <v>30911.47</v>
      </c>
      <c r="E9" s="32">
        <f t="shared" si="0"/>
        <v>2654460663.3099999</v>
      </c>
      <c r="F9">
        <v>4087</v>
      </c>
      <c r="G9" s="37">
        <f t="shared" si="1"/>
        <v>2.6633909195769332E-2</v>
      </c>
      <c r="H9">
        <v>0</v>
      </c>
      <c r="I9" s="3">
        <f t="shared" si="2"/>
        <v>0</v>
      </c>
      <c r="J9" s="11">
        <f>+'Seat capacity elasticities'!K39</f>
        <v>0</v>
      </c>
      <c r="K9" s="11">
        <f>+'Seat capacity elasticities'!L39</f>
        <v>0</v>
      </c>
      <c r="L9" s="11">
        <f>+'Seat capacity elasticities'!M39</f>
        <v>0</v>
      </c>
      <c r="M9" s="11">
        <f>+'Seat capacity elasticities'!N39</f>
        <v>0</v>
      </c>
      <c r="N9" s="32">
        <f t="shared" si="12"/>
        <v>0</v>
      </c>
      <c r="O9" s="33">
        <f t="shared" si="13"/>
        <v>0</v>
      </c>
      <c r="P9" s="40">
        <f t="shared" si="14"/>
        <v>0</v>
      </c>
      <c r="Q9" s="33">
        <f t="shared" si="15"/>
        <v>0</v>
      </c>
      <c r="R9" s="40">
        <f t="shared" si="16"/>
        <v>0</v>
      </c>
      <c r="S9" s="41">
        <f t="shared" si="17"/>
        <v>0</v>
      </c>
      <c r="T9" s="40">
        <f t="shared" si="18"/>
        <v>0</v>
      </c>
      <c r="U9" s="41">
        <f t="shared" si="19"/>
        <v>0</v>
      </c>
      <c r="V9" s="53"/>
      <c r="W9" s="53"/>
      <c r="X9" t="s">
        <v>286</v>
      </c>
      <c r="Y9">
        <v>153451</v>
      </c>
      <c r="Z9">
        <v>85873</v>
      </c>
      <c r="AA9" s="51">
        <v>30911.47</v>
      </c>
      <c r="AB9" s="32">
        <f t="shared" si="3"/>
        <v>2654460663.3099999</v>
      </c>
      <c r="AC9">
        <v>4087</v>
      </c>
      <c r="AD9" s="37">
        <f t="shared" si="4"/>
        <v>2.6633909195769332E-2</v>
      </c>
      <c r="AE9">
        <v>3.0514000000000001E-3</v>
      </c>
      <c r="AF9" s="3">
        <f t="shared" si="5"/>
        <v>3.0514000000000003E-5</v>
      </c>
      <c r="AG9" s="11">
        <f>+'Seat capacity elasticities'!R39</f>
        <v>8.4960630714362127E-3</v>
      </c>
      <c r="AH9" s="11">
        <f>+'Seat capacity elasticities'!S39</f>
        <v>1.6102389619261595E-2</v>
      </c>
      <c r="AI9" s="11">
        <f>+'Seat capacity elasticities'!T39</f>
        <v>2.3310497957731127E-2</v>
      </c>
      <c r="AJ9" s="11">
        <f>+'Seat capacity elasticities'!U39</f>
        <v>1.9068619285967679E-2</v>
      </c>
      <c r="AK9" s="32">
        <f t="shared" si="20"/>
        <v>225524.65216128164</v>
      </c>
      <c r="AL9" s="33">
        <f t="shared" si="21"/>
        <v>8.4960630714362126E-5</v>
      </c>
      <c r="AM9" s="40">
        <f t="shared" si="22"/>
        <v>427431.59829621192</v>
      </c>
      <c r="AN9" s="33">
        <f t="shared" si="23"/>
        <v>1.6102389619261596E-4</v>
      </c>
      <c r="AO9" s="40">
        <f t="shared" si="24"/>
        <v>952700.05153247109</v>
      </c>
      <c r="AP9" s="41">
        <f t="shared" si="25"/>
        <v>2.3310497957731123E-4</v>
      </c>
      <c r="AQ9" s="40">
        <f t="shared" si="26"/>
        <v>779334.47021749895</v>
      </c>
      <c r="AR9" s="41">
        <f t="shared" si="27"/>
        <v>1.9068619285967677E-4</v>
      </c>
      <c r="AV9" t="s">
        <v>286</v>
      </c>
      <c r="AW9">
        <v>153451</v>
      </c>
      <c r="AX9">
        <v>85873</v>
      </c>
      <c r="AY9" s="51">
        <v>30911.47</v>
      </c>
      <c r="AZ9" s="32">
        <f t="shared" si="6"/>
        <v>2654460663.3099999</v>
      </c>
      <c r="BA9">
        <v>4087</v>
      </c>
      <c r="BB9" s="37">
        <f t="shared" si="7"/>
        <v>2.6633909195769332E-2</v>
      </c>
      <c r="BC9">
        <v>0</v>
      </c>
      <c r="BD9" s="3">
        <f t="shared" si="8"/>
        <v>0</v>
      </c>
      <c r="BE9" s="11">
        <f>+'Seat capacity elasticities'!Y39</f>
        <v>0</v>
      </c>
      <c r="BF9" s="11">
        <f>+'Seat capacity elasticities'!Z39</f>
        <v>0</v>
      </c>
      <c r="BG9" s="11">
        <f>+'Seat capacity elasticities'!AA39</f>
        <v>0</v>
      </c>
      <c r="BH9" s="11">
        <f>+'Seat capacity elasticities'!AB39</f>
        <v>0</v>
      </c>
      <c r="BI9" s="32">
        <f t="shared" si="28"/>
        <v>0</v>
      </c>
      <c r="BJ9" s="33">
        <f t="shared" si="29"/>
        <v>0</v>
      </c>
      <c r="BK9" s="40">
        <f t="shared" si="30"/>
        <v>0</v>
      </c>
      <c r="BL9" s="33">
        <f t="shared" si="31"/>
        <v>0</v>
      </c>
      <c r="BM9" s="40">
        <f t="shared" si="32"/>
        <v>0</v>
      </c>
      <c r="BN9" s="41">
        <f t="shared" si="33"/>
        <v>0</v>
      </c>
      <c r="BO9" s="40">
        <f t="shared" si="34"/>
        <v>0</v>
      </c>
      <c r="BP9" s="41">
        <f t="shared" si="35"/>
        <v>0</v>
      </c>
      <c r="BQ9" s="53"/>
      <c r="BR9" s="53"/>
      <c r="BS9" t="s">
        <v>286</v>
      </c>
      <c r="BT9">
        <v>153451</v>
      </c>
      <c r="BU9">
        <v>85873</v>
      </c>
      <c r="BV9" s="51">
        <v>30911.47</v>
      </c>
      <c r="BW9" s="32">
        <f t="shared" si="9"/>
        <v>2654460663.3099999</v>
      </c>
      <c r="BX9">
        <v>4087</v>
      </c>
      <c r="BY9" s="37">
        <f t="shared" si="10"/>
        <v>2.6633909195769332E-2</v>
      </c>
      <c r="BZ9">
        <v>3.0514000000000001E-3</v>
      </c>
      <c r="CA9" s="3">
        <f t="shared" si="11"/>
        <v>3.0514000000000003E-5</v>
      </c>
      <c r="CB9" s="11">
        <f>+'Seat capacity elasticities'!AF39</f>
        <v>4.2215847891886323E-2</v>
      </c>
      <c r="CC9" s="11">
        <f>+'Seat capacity elasticities'!AG39</f>
        <v>3.373396643023506E-2</v>
      </c>
      <c r="CD9" s="11">
        <f>+'Seat capacity elasticities'!AH39</f>
        <v>0.11582687508243178</v>
      </c>
      <c r="CE9" s="11">
        <f>+'Seat capacity elasticities'!AI39</f>
        <v>3.9948118141067836E-2</v>
      </c>
      <c r="CF9" s="32">
        <f t="shared" si="36"/>
        <v>1120603.0759729063</v>
      </c>
      <c r="CG9" s="33">
        <f t="shared" si="37"/>
        <v>4.2215847891886323E-4</v>
      </c>
      <c r="CH9" s="40">
        <f t="shared" si="38"/>
        <v>895454.86906479031</v>
      </c>
      <c r="CI9" s="33">
        <f t="shared" si="39"/>
        <v>3.3733966430235063E-4</v>
      </c>
      <c r="CJ9" s="40">
        <f t="shared" si="40"/>
        <v>4733844.3846189864</v>
      </c>
      <c r="CK9" s="41">
        <f t="shared" si="41"/>
        <v>1.1582687508243177E-3</v>
      </c>
      <c r="CL9" s="40">
        <f t="shared" si="42"/>
        <v>1632679.5884254423</v>
      </c>
      <c r="CM9" s="41">
        <f t="shared" si="43"/>
        <v>3.9948118141067834E-4</v>
      </c>
      <c r="CO9" s="70">
        <f t="shared" si="44"/>
        <v>0</v>
      </c>
      <c r="CP9" s="70">
        <f t="shared" si="45"/>
        <v>0</v>
      </c>
      <c r="CQ9" s="70">
        <f t="shared" si="46"/>
        <v>0</v>
      </c>
      <c r="CR9" s="70">
        <f t="shared" si="47"/>
        <v>0</v>
      </c>
      <c r="CS9" s="70">
        <f t="shared" si="48"/>
        <v>0</v>
      </c>
      <c r="CT9" s="70">
        <f t="shared" si="49"/>
        <v>0</v>
      </c>
      <c r="CU9" s="69">
        <f t="shared" si="50"/>
        <v>0</v>
      </c>
      <c r="CV9" s="69">
        <f t="shared" si="51"/>
        <v>0</v>
      </c>
      <c r="CW9" s="70">
        <f t="shared" si="52"/>
        <v>0</v>
      </c>
      <c r="CX9" s="69">
        <f t="shared" si="53"/>
        <v>0</v>
      </c>
      <c r="CY9" s="69">
        <f t="shared" si="54"/>
        <v>0</v>
      </c>
      <c r="CZ9" s="70">
        <f t="shared" si="55"/>
        <v>0</v>
      </c>
      <c r="DB9" s="70">
        <f t="shared" si="56"/>
        <v>2.6262579875080836</v>
      </c>
      <c r="DC9" s="70">
        <f t="shared" si="57"/>
        <v>13.049539156346073</v>
      </c>
      <c r="DD9" s="70">
        <f t="shared" si="58"/>
        <v>15.675797143854156</v>
      </c>
      <c r="DE9" s="70">
        <f t="shared" si="59"/>
        <v>4.9774853364411618</v>
      </c>
      <c r="DF9" s="70">
        <f t="shared" si="60"/>
        <v>10.427664912892181</v>
      </c>
      <c r="DG9" s="70">
        <f t="shared" si="61"/>
        <v>15.405150249333342</v>
      </c>
      <c r="DH9" s="69">
        <f t="shared" si="62"/>
        <v>11.094291005699942</v>
      </c>
      <c r="DI9" s="69">
        <f t="shared" si="63"/>
        <v>55.126109308152579</v>
      </c>
      <c r="DJ9" s="70">
        <f t="shared" si="64"/>
        <v>66.220400313852522</v>
      </c>
      <c r="DK9" s="69">
        <f t="shared" si="65"/>
        <v>9.0754308131484738</v>
      </c>
      <c r="DL9" s="69">
        <f t="shared" si="66"/>
        <v>19.012723305642545</v>
      </c>
      <c r="DM9" s="70">
        <f t="shared" si="67"/>
        <v>28.088154118791017</v>
      </c>
    </row>
    <row r="10" spans="1:117">
      <c r="A10" t="s">
        <v>288</v>
      </c>
      <c r="B10">
        <v>811669</v>
      </c>
      <c r="C10">
        <v>434311</v>
      </c>
      <c r="D10" s="51">
        <v>41078.980000000003</v>
      </c>
      <c r="E10" s="32">
        <f t="shared" si="0"/>
        <v>17841052882.780003</v>
      </c>
      <c r="F10">
        <v>27041</v>
      </c>
      <c r="G10" s="37">
        <f t="shared" si="1"/>
        <v>3.3315304637727944E-2</v>
      </c>
      <c r="H10">
        <v>0</v>
      </c>
      <c r="I10" s="3">
        <f t="shared" si="2"/>
        <v>0</v>
      </c>
      <c r="J10" s="11">
        <f>+'Seat capacity elasticities'!K40</f>
        <v>0</v>
      </c>
      <c r="K10" s="11">
        <f>+'Seat capacity elasticities'!L40</f>
        <v>0</v>
      </c>
      <c r="L10" s="11">
        <f>+'Seat capacity elasticities'!M40</f>
        <v>0</v>
      </c>
      <c r="M10" s="11">
        <f>+'Seat capacity elasticities'!N40</f>
        <v>0</v>
      </c>
      <c r="N10" s="32">
        <f t="shared" si="12"/>
        <v>0</v>
      </c>
      <c r="O10" s="33">
        <f t="shared" si="13"/>
        <v>0</v>
      </c>
      <c r="P10" s="40">
        <f t="shared" si="14"/>
        <v>0</v>
      </c>
      <c r="Q10" s="33">
        <f t="shared" si="15"/>
        <v>0</v>
      </c>
      <c r="R10" s="40">
        <f t="shared" si="16"/>
        <v>0</v>
      </c>
      <c r="S10" s="41">
        <f t="shared" si="17"/>
        <v>0</v>
      </c>
      <c r="T10" s="40">
        <f t="shared" si="18"/>
        <v>0</v>
      </c>
      <c r="U10" s="41">
        <f t="shared" si="19"/>
        <v>0</v>
      </c>
      <c r="V10" s="53"/>
      <c r="W10" s="53"/>
      <c r="X10" t="s">
        <v>288</v>
      </c>
      <c r="Y10">
        <v>811669</v>
      </c>
      <c r="Z10">
        <v>434311</v>
      </c>
      <c r="AA10" s="51">
        <v>41078.980000000003</v>
      </c>
      <c r="AB10" s="32">
        <f t="shared" si="3"/>
        <v>17841052882.780003</v>
      </c>
      <c r="AC10">
        <v>27041</v>
      </c>
      <c r="AD10" s="37">
        <f t="shared" si="4"/>
        <v>3.3315304637727944E-2</v>
      </c>
      <c r="AE10">
        <v>3.7387000000000002E-3</v>
      </c>
      <c r="AF10" s="3">
        <f t="shared" si="5"/>
        <v>3.7387E-5</v>
      </c>
      <c r="AG10" s="11">
        <f>+'Seat capacity elasticities'!R40</f>
        <v>5.5487766928359553E-3</v>
      </c>
      <c r="AH10" s="11">
        <f>+'Seat capacity elasticities'!S40</f>
        <v>1.0516466681928537E-2</v>
      </c>
      <c r="AI10" s="11">
        <f>+'Seat capacity elasticities'!T40</f>
        <v>1.5224080456878434E-2</v>
      </c>
      <c r="AJ10" s="11">
        <f>+'Seat capacity elasticities'!U40</f>
        <v>1.2453710544389056E-2</v>
      </c>
      <c r="AK10" s="32">
        <f t="shared" si="20"/>
        <v>989960.18411623419</v>
      </c>
      <c r="AL10" s="33">
        <f t="shared" si="21"/>
        <v>5.5487766928359557E-5</v>
      </c>
      <c r="AM10" s="40">
        <f t="shared" si="22"/>
        <v>1876248.3821228098</v>
      </c>
      <c r="AN10" s="33">
        <f t="shared" si="23"/>
        <v>1.0516466681928537E-4</v>
      </c>
      <c r="AO10" s="40">
        <f t="shared" si="24"/>
        <v>4116743.596344498</v>
      </c>
      <c r="AP10" s="41">
        <f t="shared" si="25"/>
        <v>1.5224080456878436E-4</v>
      </c>
      <c r="AQ10" s="40">
        <f t="shared" si="26"/>
        <v>3367607.8683082447</v>
      </c>
      <c r="AR10" s="41">
        <f t="shared" si="27"/>
        <v>1.2453710544389057E-4</v>
      </c>
      <c r="AV10" t="s">
        <v>288</v>
      </c>
      <c r="AW10">
        <v>811669</v>
      </c>
      <c r="AX10">
        <v>434311</v>
      </c>
      <c r="AY10" s="51">
        <v>41078.980000000003</v>
      </c>
      <c r="AZ10" s="32">
        <f t="shared" si="6"/>
        <v>17841052882.780003</v>
      </c>
      <c r="BA10">
        <v>27041</v>
      </c>
      <c r="BB10" s="37">
        <f t="shared" si="7"/>
        <v>3.3315304637727944E-2</v>
      </c>
      <c r="BC10">
        <v>0</v>
      </c>
      <c r="BD10" s="3">
        <f t="shared" si="8"/>
        <v>0</v>
      </c>
      <c r="BE10" s="11">
        <f>+'Seat capacity elasticities'!Y40</f>
        <v>0</v>
      </c>
      <c r="BF10" s="11">
        <f>+'Seat capacity elasticities'!Z40</f>
        <v>0</v>
      </c>
      <c r="BG10" s="11">
        <f>+'Seat capacity elasticities'!AA40</f>
        <v>0</v>
      </c>
      <c r="BH10" s="11">
        <f>+'Seat capacity elasticities'!AB40</f>
        <v>0</v>
      </c>
      <c r="BI10" s="32">
        <f t="shared" si="28"/>
        <v>0</v>
      </c>
      <c r="BJ10" s="33">
        <f t="shared" si="29"/>
        <v>0</v>
      </c>
      <c r="BK10" s="40">
        <f t="shared" si="30"/>
        <v>0</v>
      </c>
      <c r="BL10" s="33">
        <f t="shared" si="31"/>
        <v>0</v>
      </c>
      <c r="BM10" s="40">
        <f t="shared" si="32"/>
        <v>0</v>
      </c>
      <c r="BN10" s="41">
        <f t="shared" si="33"/>
        <v>0</v>
      </c>
      <c r="BO10" s="40">
        <f t="shared" si="34"/>
        <v>0</v>
      </c>
      <c r="BP10" s="41">
        <f t="shared" si="35"/>
        <v>0</v>
      </c>
      <c r="BQ10" s="53"/>
      <c r="BR10" s="53"/>
      <c r="BS10" t="s">
        <v>288</v>
      </c>
      <c r="BT10">
        <v>811669</v>
      </c>
      <c r="BU10">
        <v>434311</v>
      </c>
      <c r="BV10" s="51">
        <v>41078.980000000003</v>
      </c>
      <c r="BW10" s="32">
        <f t="shared" si="9"/>
        <v>17841052882.780003</v>
      </c>
      <c r="BX10">
        <v>27041</v>
      </c>
      <c r="BY10" s="37">
        <f t="shared" si="10"/>
        <v>3.3315304637727944E-2</v>
      </c>
      <c r="BZ10">
        <v>3.7387000000000002E-3</v>
      </c>
      <c r="CA10" s="3">
        <f t="shared" si="11"/>
        <v>3.7387E-5</v>
      </c>
      <c r="CB10" s="11">
        <f>+'Seat capacity elasticities'!AF40</f>
        <v>9.7788493618705206E-3</v>
      </c>
      <c r="CC10" s="11">
        <f>+'Seat capacity elasticities'!AG40</f>
        <v>7.8141122960381643E-3</v>
      </c>
      <c r="CD10" s="11">
        <f>+'Seat capacity elasticities'!AH40</f>
        <v>2.6830056010908286E-2</v>
      </c>
      <c r="CE10" s="11">
        <f>+'Seat capacity elasticities'!AI40</f>
        <v>9.2535540347820373E-3</v>
      </c>
      <c r="CF10" s="32">
        <f t="shared" si="36"/>
        <v>1744649.6859787144</v>
      </c>
      <c r="CG10" s="33">
        <f t="shared" si="37"/>
        <v>9.7788493618705203E-5</v>
      </c>
      <c r="CH10" s="40">
        <f t="shared" si="38"/>
        <v>1394119.9070559836</v>
      </c>
      <c r="CI10" s="33">
        <f t="shared" si="39"/>
        <v>7.8141122960381646E-5</v>
      </c>
      <c r="CJ10" s="40">
        <f t="shared" si="40"/>
        <v>7255115.4459097106</v>
      </c>
      <c r="CK10" s="41">
        <f t="shared" si="41"/>
        <v>2.6830056010908288E-4</v>
      </c>
      <c r="CL10" s="40">
        <f t="shared" si="42"/>
        <v>2502253.546545411</v>
      </c>
      <c r="CM10" s="41">
        <f t="shared" si="43"/>
        <v>9.2535540347820383E-5</v>
      </c>
      <c r="CO10" s="70">
        <f t="shared" si="44"/>
        <v>0</v>
      </c>
      <c r="CP10" s="70">
        <f t="shared" si="45"/>
        <v>0</v>
      </c>
      <c r="CQ10" s="70">
        <f t="shared" si="46"/>
        <v>0</v>
      </c>
      <c r="CR10" s="70">
        <f t="shared" si="47"/>
        <v>0</v>
      </c>
      <c r="CS10" s="70">
        <f t="shared" si="48"/>
        <v>0</v>
      </c>
      <c r="CT10" s="70">
        <f t="shared" si="49"/>
        <v>0</v>
      </c>
      <c r="CU10" s="69">
        <f t="shared" si="50"/>
        <v>0</v>
      </c>
      <c r="CV10" s="69">
        <f t="shared" si="51"/>
        <v>0</v>
      </c>
      <c r="CW10" s="70">
        <f t="shared" si="52"/>
        <v>0</v>
      </c>
      <c r="CX10" s="69">
        <f t="shared" si="53"/>
        <v>0</v>
      </c>
      <c r="CY10" s="69">
        <f t="shared" si="54"/>
        <v>0</v>
      </c>
      <c r="CZ10" s="70">
        <f t="shared" si="55"/>
        <v>0</v>
      </c>
      <c r="DB10" s="70">
        <f t="shared" si="56"/>
        <v>2.2793808678947443</v>
      </c>
      <c r="DC10" s="70">
        <f t="shared" si="57"/>
        <v>4.0170515735929193</v>
      </c>
      <c r="DD10" s="70">
        <f t="shared" si="58"/>
        <v>6.2964324414876636</v>
      </c>
      <c r="DE10" s="70">
        <f t="shared" si="59"/>
        <v>4.3200572449760877</v>
      </c>
      <c r="DF10" s="70">
        <f t="shared" si="60"/>
        <v>3.2099576272670589</v>
      </c>
      <c r="DG10" s="70">
        <f t="shared" si="61"/>
        <v>7.5300148722431466</v>
      </c>
      <c r="DH10" s="69">
        <f t="shared" si="62"/>
        <v>9.4787919171849158</v>
      </c>
      <c r="DI10" s="69">
        <f t="shared" si="63"/>
        <v>16.704885314693183</v>
      </c>
      <c r="DJ10" s="70">
        <f t="shared" si="64"/>
        <v>26.1836772318781</v>
      </c>
      <c r="DK10" s="69">
        <f t="shared" si="65"/>
        <v>7.7539087619430429</v>
      </c>
      <c r="DL10" s="69">
        <f t="shared" si="66"/>
        <v>5.7614325829772008</v>
      </c>
      <c r="DM10" s="70">
        <f t="shared" si="67"/>
        <v>13.515341344920245</v>
      </c>
    </row>
    <row r="11" spans="1:117">
      <c r="A11" t="s">
        <v>290</v>
      </c>
      <c r="B11">
        <v>125923</v>
      </c>
      <c r="C11">
        <v>75556</v>
      </c>
      <c r="D11" s="51">
        <v>30581.5</v>
      </c>
      <c r="E11" s="32">
        <f t="shared" si="0"/>
        <v>2310615814</v>
      </c>
      <c r="F11">
        <v>3686</v>
      </c>
      <c r="G11" s="37">
        <f t="shared" si="1"/>
        <v>2.9271856610785955E-2</v>
      </c>
      <c r="H11">
        <v>0</v>
      </c>
      <c r="I11" s="3">
        <f t="shared" si="2"/>
        <v>0</v>
      </c>
      <c r="J11" s="11">
        <f>+'Seat capacity elasticities'!K41</f>
        <v>0</v>
      </c>
      <c r="K11" s="11">
        <f>+'Seat capacity elasticities'!L41</f>
        <v>0</v>
      </c>
      <c r="L11" s="11">
        <f>+'Seat capacity elasticities'!M41</f>
        <v>0</v>
      </c>
      <c r="M11" s="11">
        <f>+'Seat capacity elasticities'!N41</f>
        <v>0</v>
      </c>
      <c r="N11" s="32">
        <f t="shared" si="12"/>
        <v>0</v>
      </c>
      <c r="O11" s="33">
        <f t="shared" si="13"/>
        <v>0</v>
      </c>
      <c r="P11" s="40">
        <f t="shared" si="14"/>
        <v>0</v>
      </c>
      <c r="Q11" s="33">
        <f t="shared" si="15"/>
        <v>0</v>
      </c>
      <c r="R11" s="40">
        <f t="shared" si="16"/>
        <v>0</v>
      </c>
      <c r="S11" s="41">
        <f t="shared" si="17"/>
        <v>0</v>
      </c>
      <c r="T11" s="40">
        <f t="shared" si="18"/>
        <v>0</v>
      </c>
      <c r="U11" s="41">
        <f t="shared" si="19"/>
        <v>0</v>
      </c>
      <c r="V11" s="53"/>
      <c r="W11" s="53"/>
      <c r="X11" t="s">
        <v>290</v>
      </c>
      <c r="Y11">
        <v>125923</v>
      </c>
      <c r="Z11">
        <v>75556</v>
      </c>
      <c r="AA11" s="51">
        <v>30581.5</v>
      </c>
      <c r="AB11" s="32">
        <f t="shared" si="3"/>
        <v>2310615814</v>
      </c>
      <c r="AC11">
        <v>3686</v>
      </c>
      <c r="AD11" s="37">
        <f t="shared" si="4"/>
        <v>2.9271856610785955E-2</v>
      </c>
      <c r="AE11">
        <v>8.9612000000000008E-3</v>
      </c>
      <c r="AF11" s="3">
        <f t="shared" si="5"/>
        <v>8.9612000000000009E-5</v>
      </c>
      <c r="AG11" s="11">
        <f>+'Seat capacity elasticities'!R41</f>
        <v>1.2558611068615218E-2</v>
      </c>
      <c r="AH11" s="11">
        <f>+'Seat capacity elasticities'!S41</f>
        <v>2.3802041816696238E-2</v>
      </c>
      <c r="AI11" s="11">
        <f>+'Seat capacity elasticities'!T41</f>
        <v>3.4456839033023705E-2</v>
      </c>
      <c r="AJ11" s="11">
        <f>+'Seat capacity elasticities'!U41</f>
        <v>2.8186628467140283E-2</v>
      </c>
      <c r="AK11" s="32">
        <f t="shared" si="20"/>
        <v>290181.25337017764</v>
      </c>
      <c r="AL11" s="33">
        <f t="shared" si="21"/>
        <v>1.2558611068615218E-4</v>
      </c>
      <c r="AM11" s="40">
        <f t="shared" si="22"/>
        <v>549973.74227147619</v>
      </c>
      <c r="AN11" s="33">
        <f t="shared" si="23"/>
        <v>2.380204181669624E-4</v>
      </c>
      <c r="AO11" s="40">
        <f t="shared" si="24"/>
        <v>1270079.0867572539</v>
      </c>
      <c r="AP11" s="41">
        <f t="shared" si="25"/>
        <v>3.4456839033023711E-4</v>
      </c>
      <c r="AQ11" s="40">
        <f t="shared" si="26"/>
        <v>1038959.1252987909</v>
      </c>
      <c r="AR11" s="41">
        <f t="shared" si="27"/>
        <v>2.8186628467140285E-4</v>
      </c>
      <c r="AV11" t="s">
        <v>290</v>
      </c>
      <c r="AW11">
        <v>125923</v>
      </c>
      <c r="AX11">
        <v>75556</v>
      </c>
      <c r="AY11" s="51">
        <v>30581.5</v>
      </c>
      <c r="AZ11" s="32">
        <f t="shared" si="6"/>
        <v>2310615814</v>
      </c>
      <c r="BA11">
        <v>3686</v>
      </c>
      <c r="BB11" s="37">
        <f t="shared" si="7"/>
        <v>2.9271856610785955E-2</v>
      </c>
      <c r="BC11">
        <v>0</v>
      </c>
      <c r="BD11" s="3">
        <f t="shared" si="8"/>
        <v>0</v>
      </c>
      <c r="BE11" s="11">
        <f>+'Seat capacity elasticities'!Y41</f>
        <v>0</v>
      </c>
      <c r="BF11" s="11">
        <f>+'Seat capacity elasticities'!Z41</f>
        <v>0</v>
      </c>
      <c r="BG11" s="11">
        <f>+'Seat capacity elasticities'!AA41</f>
        <v>0</v>
      </c>
      <c r="BH11" s="11">
        <f>+'Seat capacity elasticities'!AB41</f>
        <v>0</v>
      </c>
      <c r="BI11" s="32">
        <f t="shared" si="28"/>
        <v>0</v>
      </c>
      <c r="BJ11" s="33">
        <f t="shared" si="29"/>
        <v>0</v>
      </c>
      <c r="BK11" s="40">
        <f t="shared" si="30"/>
        <v>0</v>
      </c>
      <c r="BL11" s="33">
        <f t="shared" si="31"/>
        <v>0</v>
      </c>
      <c r="BM11" s="40">
        <f t="shared" si="32"/>
        <v>0</v>
      </c>
      <c r="BN11" s="41">
        <f t="shared" si="33"/>
        <v>0</v>
      </c>
      <c r="BO11" s="40">
        <f t="shared" si="34"/>
        <v>0</v>
      </c>
      <c r="BP11" s="41">
        <f t="shared" si="35"/>
        <v>0</v>
      </c>
      <c r="BQ11" s="53"/>
      <c r="BR11" s="53"/>
      <c r="BS11" t="s">
        <v>290</v>
      </c>
      <c r="BT11">
        <v>125923</v>
      </c>
      <c r="BU11">
        <v>75556</v>
      </c>
      <c r="BV11" s="51">
        <v>30581.5</v>
      </c>
      <c r="BW11" s="32">
        <f t="shared" si="9"/>
        <v>2310615814</v>
      </c>
      <c r="BX11">
        <v>3686</v>
      </c>
      <c r="BY11" s="37">
        <f t="shared" si="10"/>
        <v>2.9271856610785955E-2</v>
      </c>
      <c r="BZ11">
        <v>8.9612000000000008E-3</v>
      </c>
      <c r="CA11" s="3">
        <f t="shared" si="11"/>
        <v>8.9612000000000009E-5</v>
      </c>
      <c r="CB11" s="11">
        <f>+'Seat capacity elasticities'!AF41</f>
        <v>0.15108007989778502</v>
      </c>
      <c r="CC11" s="11">
        <f>+'Seat capacity elasticities'!AG41</f>
        <v>0.1207255236611898</v>
      </c>
      <c r="CD11" s="11">
        <f>+'Seat capacity elasticities'!AH41</f>
        <v>0.41451574267984342</v>
      </c>
      <c r="CE11" s="11">
        <f>+'Seat capacity elasticities'!AI41</f>
        <v>0.14296443591456687</v>
      </c>
      <c r="CF11" s="32">
        <f t="shared" si="36"/>
        <v>3490880.2179220556</v>
      </c>
      <c r="CG11" s="33">
        <f t="shared" si="37"/>
        <v>1.5108007989778501E-3</v>
      </c>
      <c r="CH11" s="40">
        <f t="shared" si="38"/>
        <v>2789503.0412497632</v>
      </c>
      <c r="CI11" s="33">
        <f t="shared" si="39"/>
        <v>1.207255236611898E-3</v>
      </c>
      <c r="CJ11" s="40">
        <f t="shared" si="40"/>
        <v>15279050.275179029</v>
      </c>
      <c r="CK11" s="41">
        <f t="shared" si="41"/>
        <v>4.1451574267984343E-3</v>
      </c>
      <c r="CL11" s="40">
        <f t="shared" si="42"/>
        <v>5269669.107810935</v>
      </c>
      <c r="CM11" s="41">
        <f t="shared" si="43"/>
        <v>1.4296443591456686E-3</v>
      </c>
      <c r="CO11" s="70">
        <f t="shared" si="44"/>
        <v>0</v>
      </c>
      <c r="CP11" s="70">
        <f t="shared" si="45"/>
        <v>0</v>
      </c>
      <c r="CQ11" s="70">
        <f t="shared" si="46"/>
        <v>0</v>
      </c>
      <c r="CR11" s="70">
        <f t="shared" si="47"/>
        <v>0</v>
      </c>
      <c r="CS11" s="70">
        <f t="shared" si="48"/>
        <v>0</v>
      </c>
      <c r="CT11" s="70">
        <f t="shared" si="49"/>
        <v>0</v>
      </c>
      <c r="CU11" s="69">
        <f t="shared" si="50"/>
        <v>0</v>
      </c>
      <c r="CV11" s="69">
        <f t="shared" si="51"/>
        <v>0</v>
      </c>
      <c r="CW11" s="70">
        <f t="shared" si="52"/>
        <v>0</v>
      </c>
      <c r="CX11" s="69">
        <f t="shared" si="53"/>
        <v>0</v>
      </c>
      <c r="CY11" s="69">
        <f t="shared" si="54"/>
        <v>0</v>
      </c>
      <c r="CZ11" s="70">
        <f t="shared" si="55"/>
        <v>0</v>
      </c>
      <c r="DB11" s="70">
        <f t="shared" si="56"/>
        <v>3.8406116439485634</v>
      </c>
      <c r="DC11" s="70">
        <f t="shared" si="57"/>
        <v>46.202554633941126</v>
      </c>
      <c r="DD11" s="70">
        <f t="shared" si="58"/>
        <v>50.043166277889689</v>
      </c>
      <c r="DE11" s="70">
        <f t="shared" si="59"/>
        <v>7.2790214181729604</v>
      </c>
      <c r="DF11" s="70">
        <f t="shared" si="60"/>
        <v>36.919676018446758</v>
      </c>
      <c r="DG11" s="70">
        <f t="shared" si="61"/>
        <v>44.198697436619717</v>
      </c>
      <c r="DH11" s="69">
        <f t="shared" si="62"/>
        <v>16.809771384896685</v>
      </c>
      <c r="DI11" s="69">
        <f t="shared" si="63"/>
        <v>202.22153469187131</v>
      </c>
      <c r="DJ11" s="70">
        <f t="shared" si="64"/>
        <v>219.031306076768</v>
      </c>
      <c r="DK11" s="69">
        <f t="shared" si="65"/>
        <v>13.750848712197454</v>
      </c>
      <c r="DL11" s="69">
        <f t="shared" si="66"/>
        <v>69.745210278613683</v>
      </c>
      <c r="DM11" s="70">
        <f t="shared" si="67"/>
        <v>83.496058990811136</v>
      </c>
    </row>
    <row r="12" spans="1:117">
      <c r="A12" t="s">
        <v>292</v>
      </c>
      <c r="B12">
        <v>243682</v>
      </c>
      <c r="C12">
        <v>158038</v>
      </c>
      <c r="D12" s="51">
        <v>34160.629999999997</v>
      </c>
      <c r="E12" s="32">
        <f t="shared" si="0"/>
        <v>5398677643.9399996</v>
      </c>
      <c r="F12">
        <v>8584</v>
      </c>
      <c r="G12" s="37">
        <f t="shared" si="1"/>
        <v>3.5226237473428484E-2</v>
      </c>
      <c r="H12">
        <v>0</v>
      </c>
      <c r="I12" s="3">
        <f t="shared" si="2"/>
        <v>0</v>
      </c>
      <c r="J12" s="11">
        <f>+'Seat capacity elasticities'!K42</f>
        <v>0</v>
      </c>
      <c r="K12" s="11">
        <f>+'Seat capacity elasticities'!L42</f>
        <v>0</v>
      </c>
      <c r="L12" s="11">
        <f>+'Seat capacity elasticities'!M42</f>
        <v>0</v>
      </c>
      <c r="M12" s="11">
        <f>+'Seat capacity elasticities'!N42</f>
        <v>0</v>
      </c>
      <c r="N12" s="32">
        <f t="shared" si="12"/>
        <v>0</v>
      </c>
      <c r="O12" s="33">
        <f t="shared" si="13"/>
        <v>0</v>
      </c>
      <c r="P12" s="40">
        <f t="shared" si="14"/>
        <v>0</v>
      </c>
      <c r="Q12" s="33">
        <f t="shared" si="15"/>
        <v>0</v>
      </c>
      <c r="R12" s="40">
        <f t="shared" si="16"/>
        <v>0</v>
      </c>
      <c r="S12" s="41">
        <f t="shared" si="17"/>
        <v>0</v>
      </c>
      <c r="T12" s="40">
        <f t="shared" si="18"/>
        <v>0</v>
      </c>
      <c r="U12" s="41">
        <f t="shared" si="19"/>
        <v>0</v>
      </c>
      <c r="V12" s="53"/>
      <c r="W12" s="53"/>
      <c r="X12" t="s">
        <v>292</v>
      </c>
      <c r="Y12">
        <v>243682</v>
      </c>
      <c r="Z12">
        <v>158038</v>
      </c>
      <c r="AA12" s="51">
        <v>34160.629999999997</v>
      </c>
      <c r="AB12" s="32">
        <f t="shared" si="3"/>
        <v>5398677643.9399996</v>
      </c>
      <c r="AC12">
        <v>8584</v>
      </c>
      <c r="AD12" s="37">
        <f t="shared" si="4"/>
        <v>3.5226237473428484E-2</v>
      </c>
      <c r="AE12">
        <v>1.9062E-3</v>
      </c>
      <c r="AF12" s="3">
        <f t="shared" si="5"/>
        <v>1.9062000000000001E-5</v>
      </c>
      <c r="AG12" s="11">
        <f>+'Seat capacity elasticities'!R42</f>
        <v>5.7991985632651769E-3</v>
      </c>
      <c r="AH12" s="11">
        <f>+'Seat capacity elasticities'!S42</f>
        <v>1.0991085395670491E-2</v>
      </c>
      <c r="AI12" s="11">
        <f>+'Seat capacity elasticities'!T42</f>
        <v>1.5911158512929728E-2</v>
      </c>
      <c r="AJ12" s="11">
        <f>+'Seat capacity elasticities'!U42</f>
        <v>1.3015759021188738E-2</v>
      </c>
      <c r="AK12" s="32">
        <f t="shared" si="20"/>
        <v>313080.03636268678</v>
      </c>
      <c r="AL12" s="33">
        <f t="shared" si="21"/>
        <v>5.799198563265177E-5</v>
      </c>
      <c r="AM12" s="40">
        <f t="shared" si="22"/>
        <v>593373.27008241706</v>
      </c>
      <c r="AN12" s="33">
        <f t="shared" si="23"/>
        <v>1.0991085395670492E-4</v>
      </c>
      <c r="AO12" s="40">
        <f t="shared" si="24"/>
        <v>1365813.846749888</v>
      </c>
      <c r="AP12" s="41">
        <f t="shared" si="25"/>
        <v>1.5911158512929731E-4</v>
      </c>
      <c r="AQ12" s="40">
        <f t="shared" si="26"/>
        <v>1117272.7543788415</v>
      </c>
      <c r="AR12" s="41">
        <f t="shared" si="27"/>
        <v>1.3015759021188739E-4</v>
      </c>
      <c r="AV12" t="s">
        <v>292</v>
      </c>
      <c r="AW12">
        <v>243682</v>
      </c>
      <c r="AX12">
        <v>158038</v>
      </c>
      <c r="AY12" s="51">
        <v>34160.629999999997</v>
      </c>
      <c r="AZ12" s="32">
        <f t="shared" si="6"/>
        <v>5398677643.9399996</v>
      </c>
      <c r="BA12">
        <v>8584</v>
      </c>
      <c r="BB12" s="37">
        <f t="shared" si="7"/>
        <v>3.5226237473428484E-2</v>
      </c>
      <c r="BC12">
        <v>0</v>
      </c>
      <c r="BD12" s="3">
        <f t="shared" si="8"/>
        <v>0</v>
      </c>
      <c r="BE12" s="11">
        <f>+'Seat capacity elasticities'!Y42</f>
        <v>0</v>
      </c>
      <c r="BF12" s="11">
        <f>+'Seat capacity elasticities'!Z42</f>
        <v>0</v>
      </c>
      <c r="BG12" s="11">
        <f>+'Seat capacity elasticities'!AA42</f>
        <v>0</v>
      </c>
      <c r="BH12" s="11">
        <f>+'Seat capacity elasticities'!AB42</f>
        <v>0</v>
      </c>
      <c r="BI12" s="32">
        <f t="shared" si="28"/>
        <v>0</v>
      </c>
      <c r="BJ12" s="33">
        <f t="shared" si="29"/>
        <v>0</v>
      </c>
      <c r="BK12" s="40">
        <f t="shared" si="30"/>
        <v>0</v>
      </c>
      <c r="BL12" s="33">
        <f t="shared" si="31"/>
        <v>0</v>
      </c>
      <c r="BM12" s="40">
        <f t="shared" si="32"/>
        <v>0</v>
      </c>
      <c r="BN12" s="41">
        <f t="shared" si="33"/>
        <v>0</v>
      </c>
      <c r="BO12" s="40">
        <f t="shared" si="34"/>
        <v>0</v>
      </c>
      <c r="BP12" s="41">
        <f t="shared" si="35"/>
        <v>0</v>
      </c>
      <c r="BQ12" s="53"/>
      <c r="BR12" s="53"/>
      <c r="BS12" t="s">
        <v>292</v>
      </c>
      <c r="BT12">
        <v>243682</v>
      </c>
      <c r="BU12">
        <v>158038</v>
      </c>
      <c r="BV12" s="51">
        <v>34160.629999999997</v>
      </c>
      <c r="BW12" s="32">
        <f t="shared" si="9"/>
        <v>5398677643.9399996</v>
      </c>
      <c r="BX12">
        <v>8584</v>
      </c>
      <c r="BY12" s="37">
        <f t="shared" si="10"/>
        <v>3.5226237473428484E-2</v>
      </c>
      <c r="BZ12">
        <v>1.9062E-3</v>
      </c>
      <c r="CA12" s="3">
        <f t="shared" si="11"/>
        <v>1.9062000000000001E-5</v>
      </c>
      <c r="CB12" s="11">
        <f>+'Seat capacity elasticities'!AF42</f>
        <v>1.6606997190626242E-2</v>
      </c>
      <c r="CC12" s="11">
        <f>+'Seat capacity elasticities'!AG42</f>
        <v>1.3270369155448495E-2</v>
      </c>
      <c r="CD12" s="11">
        <f>+'Seat capacity elasticities'!AH42</f>
        <v>4.5564324421934817E-2</v>
      </c>
      <c r="CE12" s="11">
        <f>+'Seat capacity elasticities'!AI42</f>
        <v>1.5714910841978482E-2</v>
      </c>
      <c r="CF12" s="32">
        <f t="shared" si="36"/>
        <v>896558.24466008274</v>
      </c>
      <c r="CG12" s="33">
        <f t="shared" si="37"/>
        <v>1.6606997190626242E-4</v>
      </c>
      <c r="CH12" s="40">
        <f t="shared" si="38"/>
        <v>716424.45286350721</v>
      </c>
      <c r="CI12" s="33">
        <f t="shared" si="39"/>
        <v>1.3270369155448495E-4</v>
      </c>
      <c r="CJ12" s="40">
        <f t="shared" si="40"/>
        <v>3911241.6083788844</v>
      </c>
      <c r="CK12" s="41">
        <f t="shared" si="41"/>
        <v>4.5564324421934818E-4</v>
      </c>
      <c r="CL12" s="40">
        <f t="shared" si="42"/>
        <v>1348967.9466754328</v>
      </c>
      <c r="CM12" s="41">
        <f t="shared" si="43"/>
        <v>1.5714910841978482E-4</v>
      </c>
      <c r="CO12" s="70">
        <f t="shared" si="44"/>
        <v>0</v>
      </c>
      <c r="CP12" s="70">
        <f t="shared" si="45"/>
        <v>0</v>
      </c>
      <c r="CQ12" s="70">
        <f t="shared" si="46"/>
        <v>0</v>
      </c>
      <c r="CR12" s="70">
        <f t="shared" si="47"/>
        <v>0</v>
      </c>
      <c r="CS12" s="70">
        <f t="shared" si="48"/>
        <v>0</v>
      </c>
      <c r="CT12" s="70">
        <f t="shared" si="49"/>
        <v>0</v>
      </c>
      <c r="CU12" s="69">
        <f t="shared" si="50"/>
        <v>0</v>
      </c>
      <c r="CV12" s="69">
        <f t="shared" si="51"/>
        <v>0</v>
      </c>
      <c r="CW12" s="70">
        <f t="shared" si="52"/>
        <v>0</v>
      </c>
      <c r="CX12" s="69">
        <f t="shared" si="53"/>
        <v>0</v>
      </c>
      <c r="CY12" s="69">
        <f t="shared" si="54"/>
        <v>0</v>
      </c>
      <c r="CZ12" s="70">
        <f t="shared" si="55"/>
        <v>0</v>
      </c>
      <c r="DB12" s="70">
        <f t="shared" si="56"/>
        <v>1.9810427641623329</v>
      </c>
      <c r="DC12" s="70">
        <f t="shared" si="57"/>
        <v>5.6730548644002248</v>
      </c>
      <c r="DD12" s="70">
        <f t="shared" si="58"/>
        <v>7.6540976285625577</v>
      </c>
      <c r="DE12" s="70">
        <f t="shared" si="59"/>
        <v>3.7546240149990324</v>
      </c>
      <c r="DF12" s="70">
        <f t="shared" si="60"/>
        <v>4.5332417068268844</v>
      </c>
      <c r="DG12" s="70">
        <f t="shared" si="61"/>
        <v>8.2878657218259164</v>
      </c>
      <c r="DH12" s="69">
        <f t="shared" si="62"/>
        <v>8.6423129041742364</v>
      </c>
      <c r="DI12" s="69">
        <f t="shared" si="63"/>
        <v>24.748741494949851</v>
      </c>
      <c r="DJ12" s="70">
        <f t="shared" si="64"/>
        <v>33.391054399124087</v>
      </c>
      <c r="DK12" s="69">
        <f t="shared" si="65"/>
        <v>7.0696462520333183</v>
      </c>
      <c r="DL12" s="69">
        <f t="shared" si="66"/>
        <v>8.5357189199776808</v>
      </c>
      <c r="DM12" s="70">
        <f t="shared" si="67"/>
        <v>15.605365172010998</v>
      </c>
    </row>
    <row r="13" spans="1:117">
      <c r="A13" t="s">
        <v>294</v>
      </c>
      <c r="B13">
        <v>86219</v>
      </c>
      <c r="C13">
        <v>57218</v>
      </c>
      <c r="D13" s="51">
        <v>30557.7</v>
      </c>
      <c r="E13" s="32">
        <f t="shared" si="0"/>
        <v>1748450478.6000001</v>
      </c>
      <c r="F13">
        <v>2630</v>
      </c>
      <c r="G13" s="37">
        <f t="shared" si="1"/>
        <v>3.0503717278094155E-2</v>
      </c>
      <c r="H13">
        <v>0</v>
      </c>
      <c r="I13" s="3">
        <f t="shared" si="2"/>
        <v>0</v>
      </c>
      <c r="J13" s="11">
        <f>+'Seat capacity elasticities'!K43</f>
        <v>0</v>
      </c>
      <c r="K13" s="11">
        <f>+'Seat capacity elasticities'!L43</f>
        <v>0</v>
      </c>
      <c r="L13" s="11">
        <f>+'Seat capacity elasticities'!M43</f>
        <v>0</v>
      </c>
      <c r="M13" s="11">
        <f>+'Seat capacity elasticities'!N43</f>
        <v>0</v>
      </c>
      <c r="N13" s="32">
        <f t="shared" si="12"/>
        <v>0</v>
      </c>
      <c r="O13" s="33">
        <f t="shared" si="13"/>
        <v>0</v>
      </c>
      <c r="P13" s="40">
        <f t="shared" si="14"/>
        <v>0</v>
      </c>
      <c r="Q13" s="33">
        <f t="shared" si="15"/>
        <v>0</v>
      </c>
      <c r="R13" s="40">
        <f t="shared" si="16"/>
        <v>0</v>
      </c>
      <c r="S13" s="41">
        <f t="shared" si="17"/>
        <v>0</v>
      </c>
      <c r="T13" s="40">
        <f t="shared" si="18"/>
        <v>0</v>
      </c>
      <c r="U13" s="41">
        <f t="shared" si="19"/>
        <v>0</v>
      </c>
      <c r="V13" s="53"/>
      <c r="W13" s="53"/>
      <c r="X13" t="s">
        <v>294</v>
      </c>
      <c r="Y13">
        <v>86219</v>
      </c>
      <c r="Z13">
        <v>57218</v>
      </c>
      <c r="AA13" s="51">
        <v>30557.7</v>
      </c>
      <c r="AB13" s="32">
        <f t="shared" si="3"/>
        <v>1748450478.6000001</v>
      </c>
      <c r="AC13">
        <v>2630</v>
      </c>
      <c r="AD13" s="37">
        <f t="shared" si="4"/>
        <v>3.0503717278094155E-2</v>
      </c>
      <c r="AE13">
        <v>2.5694600000000001E-2</v>
      </c>
      <c r="AF13" s="3">
        <f t="shared" si="5"/>
        <v>2.5694600000000003E-4</v>
      </c>
      <c r="AG13" s="11">
        <f>+'Seat capacity elasticities'!R43</f>
        <v>5.7421838018887859E-2</v>
      </c>
      <c r="AH13" s="11">
        <f>+'Seat capacity elasticities'!S43</f>
        <v>0.10883026651989734</v>
      </c>
      <c r="AI13" s="11">
        <f>+'Seat capacity elasticities'!T43</f>
        <v>0.15754728120705697</v>
      </c>
      <c r="AJ13" s="11">
        <f>+'Seat capacity elasticities'!U43</f>
        <v>0.12887794719461529</v>
      </c>
      <c r="AK13" s="32">
        <f t="shared" si="20"/>
        <v>1003992.4016621617</v>
      </c>
      <c r="AL13" s="33">
        <f t="shared" si="21"/>
        <v>5.7421838018887868E-4</v>
      </c>
      <c r="AM13" s="40">
        <f t="shared" si="22"/>
        <v>1902843.3158288009</v>
      </c>
      <c r="AN13" s="33">
        <f t="shared" si="23"/>
        <v>1.0883026651989736E-3</v>
      </c>
      <c r="AO13" s="40">
        <f t="shared" si="24"/>
        <v>4143493.4957455988</v>
      </c>
      <c r="AP13" s="41">
        <f t="shared" si="25"/>
        <v>1.5754728120705699E-3</v>
      </c>
      <c r="AQ13" s="40">
        <f t="shared" si="26"/>
        <v>3389490.011218382</v>
      </c>
      <c r="AR13" s="41">
        <f t="shared" si="27"/>
        <v>1.2887794719461528E-3</v>
      </c>
      <c r="AV13" t="s">
        <v>294</v>
      </c>
      <c r="AW13">
        <v>86219</v>
      </c>
      <c r="AX13">
        <v>57218</v>
      </c>
      <c r="AY13" s="51">
        <v>30557.7</v>
      </c>
      <c r="AZ13" s="32">
        <f t="shared" si="6"/>
        <v>1748450478.6000001</v>
      </c>
      <c r="BA13">
        <v>2630</v>
      </c>
      <c r="BB13" s="37">
        <f t="shared" si="7"/>
        <v>3.0503717278094155E-2</v>
      </c>
      <c r="BC13">
        <v>0</v>
      </c>
      <c r="BD13" s="3">
        <f t="shared" si="8"/>
        <v>0</v>
      </c>
      <c r="BE13" s="11">
        <f>+'Seat capacity elasticities'!Y43</f>
        <v>0</v>
      </c>
      <c r="BF13" s="11">
        <f>+'Seat capacity elasticities'!Z43</f>
        <v>0</v>
      </c>
      <c r="BG13" s="11">
        <f>+'Seat capacity elasticities'!AA43</f>
        <v>0</v>
      </c>
      <c r="BH13" s="11">
        <f>+'Seat capacity elasticities'!AB43</f>
        <v>0</v>
      </c>
      <c r="BI13" s="32">
        <f t="shared" si="28"/>
        <v>0</v>
      </c>
      <c r="BJ13" s="33">
        <f t="shared" si="29"/>
        <v>0</v>
      </c>
      <c r="BK13" s="40">
        <f t="shared" si="30"/>
        <v>0</v>
      </c>
      <c r="BL13" s="33">
        <f t="shared" si="31"/>
        <v>0</v>
      </c>
      <c r="BM13" s="40">
        <f t="shared" si="32"/>
        <v>0</v>
      </c>
      <c r="BN13" s="41">
        <f t="shared" si="33"/>
        <v>0</v>
      </c>
      <c r="BO13" s="40">
        <f t="shared" si="34"/>
        <v>0</v>
      </c>
      <c r="BP13" s="41">
        <f t="shared" si="35"/>
        <v>0</v>
      </c>
      <c r="BQ13" s="53"/>
      <c r="BR13" s="53"/>
      <c r="BS13" t="s">
        <v>294</v>
      </c>
      <c r="BT13">
        <v>86219</v>
      </c>
      <c r="BU13">
        <v>57218</v>
      </c>
      <c r="BV13" s="51">
        <v>30557.7</v>
      </c>
      <c r="BW13" s="32">
        <f t="shared" si="9"/>
        <v>1748450478.6000001</v>
      </c>
      <c r="BX13">
        <v>2630</v>
      </c>
      <c r="BY13" s="37">
        <f t="shared" si="10"/>
        <v>3.0503717278094155E-2</v>
      </c>
      <c r="BZ13">
        <v>2.5694600000000001E-2</v>
      </c>
      <c r="CA13" s="3">
        <f t="shared" si="11"/>
        <v>2.5694600000000003E-4</v>
      </c>
      <c r="CB13" s="11">
        <f>+'Seat capacity elasticities'!AF43</f>
        <v>0.6326812692305277</v>
      </c>
      <c r="CC13" s="11">
        <f>+'Seat capacity elasticities'!AG43</f>
        <v>0.50556484739853169</v>
      </c>
      <c r="CD13" s="11">
        <f>+'Seat capacity elasticities'!AH43</f>
        <v>1.7358764065530725</v>
      </c>
      <c r="CE13" s="11">
        <f>+'Seat capacity elasticities'!AI43</f>
        <v>0.59869521402457693</v>
      </c>
      <c r="CF13" s="32">
        <f t="shared" si="36"/>
        <v>11062118.679873718</v>
      </c>
      <c r="CG13" s="33">
        <f t="shared" si="37"/>
        <v>6.3268126923052776E-3</v>
      </c>
      <c r="CH13" s="40">
        <f t="shared" si="38"/>
        <v>8839550.9939729888</v>
      </c>
      <c r="CI13" s="33">
        <f t="shared" si="39"/>
        <v>5.0556484739853174E-3</v>
      </c>
      <c r="CJ13" s="40">
        <f t="shared" si="40"/>
        <v>45653549.492345802</v>
      </c>
      <c r="CK13" s="41">
        <f t="shared" si="41"/>
        <v>1.7358764065530722E-2</v>
      </c>
      <c r="CL13" s="40">
        <f t="shared" si="42"/>
        <v>15745684.128846372</v>
      </c>
      <c r="CM13" s="41">
        <f t="shared" si="43"/>
        <v>5.9869521402457684E-3</v>
      </c>
      <c r="CO13" s="70">
        <f t="shared" si="44"/>
        <v>0</v>
      </c>
      <c r="CP13" s="70">
        <f t="shared" si="45"/>
        <v>0</v>
      </c>
      <c r="CQ13" s="70">
        <f t="shared" si="46"/>
        <v>0</v>
      </c>
      <c r="CR13" s="70">
        <f t="shared" si="47"/>
        <v>0</v>
      </c>
      <c r="CS13" s="70">
        <f t="shared" si="48"/>
        <v>0</v>
      </c>
      <c r="CT13" s="70">
        <f t="shared" si="49"/>
        <v>0</v>
      </c>
      <c r="CU13" s="69">
        <f t="shared" si="50"/>
        <v>0</v>
      </c>
      <c r="CV13" s="69">
        <f t="shared" si="51"/>
        <v>0</v>
      </c>
      <c r="CW13" s="70">
        <f t="shared" si="52"/>
        <v>0</v>
      </c>
      <c r="CX13" s="69">
        <f t="shared" si="53"/>
        <v>0</v>
      </c>
      <c r="CY13" s="69">
        <f t="shared" si="54"/>
        <v>0</v>
      </c>
      <c r="CZ13" s="70">
        <f t="shared" si="55"/>
        <v>0</v>
      </c>
      <c r="DB13" s="70">
        <f t="shared" si="56"/>
        <v>17.546792996297697</v>
      </c>
      <c r="DC13" s="70">
        <f t="shared" si="57"/>
        <v>193.33284420765699</v>
      </c>
      <c r="DD13" s="70">
        <f t="shared" si="58"/>
        <v>210.8796372039547</v>
      </c>
      <c r="DE13" s="70">
        <f t="shared" si="59"/>
        <v>33.256026352350673</v>
      </c>
      <c r="DF13" s="70">
        <f t="shared" si="60"/>
        <v>154.48898937350114</v>
      </c>
      <c r="DG13" s="70">
        <f t="shared" si="61"/>
        <v>187.74501572585183</v>
      </c>
      <c r="DH13" s="69">
        <f t="shared" si="62"/>
        <v>72.415909254877818</v>
      </c>
      <c r="DI13" s="69">
        <f t="shared" si="63"/>
        <v>797.88789353605159</v>
      </c>
      <c r="DJ13" s="70">
        <f t="shared" si="64"/>
        <v>870.30380279092947</v>
      </c>
      <c r="DK13" s="69">
        <f t="shared" si="65"/>
        <v>59.238176993575138</v>
      </c>
      <c r="DL13" s="69">
        <f t="shared" si="66"/>
        <v>275.187600560075</v>
      </c>
      <c r="DM13" s="70">
        <f t="shared" si="67"/>
        <v>334.42577755365016</v>
      </c>
    </row>
    <row r="14" spans="1:117">
      <c r="A14" t="s">
        <v>296</v>
      </c>
      <c r="B14">
        <v>365790</v>
      </c>
      <c r="C14">
        <v>236261</v>
      </c>
      <c r="D14" s="51">
        <v>52499.14</v>
      </c>
      <c r="E14" s="32">
        <f t="shared" si="0"/>
        <v>12403499315.539999</v>
      </c>
      <c r="F14">
        <v>22202</v>
      </c>
      <c r="G14" s="37">
        <f t="shared" si="1"/>
        <v>6.0696027775499602E-2</v>
      </c>
      <c r="H14">
        <v>0</v>
      </c>
      <c r="I14" s="3">
        <f t="shared" si="2"/>
        <v>0</v>
      </c>
      <c r="J14" s="11">
        <f>+'Seat capacity elasticities'!K44</f>
        <v>0</v>
      </c>
      <c r="K14" s="11">
        <f>+'Seat capacity elasticities'!L44</f>
        <v>0</v>
      </c>
      <c r="L14" s="11">
        <f>+'Seat capacity elasticities'!M44</f>
        <v>0</v>
      </c>
      <c r="M14" s="11">
        <f>+'Seat capacity elasticities'!N44</f>
        <v>0</v>
      </c>
      <c r="N14" s="32">
        <f t="shared" si="12"/>
        <v>0</v>
      </c>
      <c r="O14" s="33">
        <f t="shared" si="13"/>
        <v>0</v>
      </c>
      <c r="P14" s="40">
        <f t="shared" si="14"/>
        <v>0</v>
      </c>
      <c r="Q14" s="33">
        <f t="shared" si="15"/>
        <v>0</v>
      </c>
      <c r="R14" s="40">
        <f t="shared" si="16"/>
        <v>0</v>
      </c>
      <c r="S14" s="41">
        <f t="shared" si="17"/>
        <v>0</v>
      </c>
      <c r="T14" s="40">
        <f t="shared" si="18"/>
        <v>0</v>
      </c>
      <c r="U14" s="41">
        <f t="shared" si="19"/>
        <v>0</v>
      </c>
      <c r="V14" s="53"/>
      <c r="W14" s="53"/>
      <c r="X14" t="s">
        <v>296</v>
      </c>
      <c r="Y14">
        <v>365790</v>
      </c>
      <c r="Z14">
        <v>236261</v>
      </c>
      <c r="AA14" s="51">
        <v>52499.14</v>
      </c>
      <c r="AB14" s="32">
        <f t="shared" si="3"/>
        <v>12403499315.539999</v>
      </c>
      <c r="AC14">
        <v>22202</v>
      </c>
      <c r="AD14" s="37">
        <f t="shared" si="4"/>
        <v>6.0696027775499602E-2</v>
      </c>
      <c r="AE14">
        <v>5.7494E-3</v>
      </c>
      <c r="AF14" s="3">
        <f t="shared" si="5"/>
        <v>5.7494000000000002E-5</v>
      </c>
      <c r="AG14" s="11">
        <f>+'Seat capacity elasticities'!R44</f>
        <v>1.4587208458799131E-2</v>
      </c>
      <c r="AH14" s="11">
        <f>+'Seat capacity elasticities'!S44</f>
        <v>2.7646795002107417E-2</v>
      </c>
      <c r="AI14" s="11">
        <f>+'Seat capacity elasticities'!T44</f>
        <v>4.0022665807535523E-2</v>
      </c>
      <c r="AJ14" s="11">
        <f>+'Seat capacity elasticities'!U44</f>
        <v>3.2739625660390362E-2</v>
      </c>
      <c r="AK14" s="32">
        <f t="shared" si="20"/>
        <v>1809324.3013435432</v>
      </c>
      <c r="AL14" s="33">
        <f t="shared" si="21"/>
        <v>1.4587208458799133E-4</v>
      </c>
      <c r="AM14" s="40">
        <f t="shared" si="22"/>
        <v>3429170.0288551403</v>
      </c>
      <c r="AN14" s="33">
        <f t="shared" si="23"/>
        <v>2.764679500210742E-4</v>
      </c>
      <c r="AO14" s="40">
        <f t="shared" si="24"/>
        <v>8885832.2625890374</v>
      </c>
      <c r="AP14" s="41">
        <f t="shared" si="25"/>
        <v>4.0022665807535528E-4</v>
      </c>
      <c r="AQ14" s="40">
        <f t="shared" si="26"/>
        <v>7268851.689119868</v>
      </c>
      <c r="AR14" s="41">
        <f t="shared" si="27"/>
        <v>3.2739625660390363E-4</v>
      </c>
      <c r="AV14" t="s">
        <v>296</v>
      </c>
      <c r="AW14">
        <v>365790</v>
      </c>
      <c r="AX14">
        <v>236261</v>
      </c>
      <c r="AY14" s="51">
        <v>52499.14</v>
      </c>
      <c r="AZ14" s="32">
        <f t="shared" si="6"/>
        <v>12403499315.539999</v>
      </c>
      <c r="BA14">
        <v>22202</v>
      </c>
      <c r="BB14" s="37">
        <f t="shared" si="7"/>
        <v>6.0696027775499602E-2</v>
      </c>
      <c r="BC14">
        <v>0</v>
      </c>
      <c r="BD14" s="3">
        <f t="shared" si="8"/>
        <v>0</v>
      </c>
      <c r="BE14" s="11">
        <f>+'Seat capacity elasticities'!Y44</f>
        <v>0</v>
      </c>
      <c r="BF14" s="11">
        <f>+'Seat capacity elasticities'!Z44</f>
        <v>0</v>
      </c>
      <c r="BG14" s="11">
        <f>+'Seat capacity elasticities'!AA44</f>
        <v>0</v>
      </c>
      <c r="BH14" s="11">
        <f>+'Seat capacity elasticities'!AB44</f>
        <v>0</v>
      </c>
      <c r="BI14" s="32">
        <f t="shared" si="28"/>
        <v>0</v>
      </c>
      <c r="BJ14" s="33">
        <f t="shared" si="29"/>
        <v>0</v>
      </c>
      <c r="BK14" s="40">
        <f t="shared" si="30"/>
        <v>0</v>
      </c>
      <c r="BL14" s="33">
        <f t="shared" si="31"/>
        <v>0</v>
      </c>
      <c r="BM14" s="40">
        <f t="shared" si="32"/>
        <v>0</v>
      </c>
      <c r="BN14" s="41">
        <f t="shared" si="33"/>
        <v>0</v>
      </c>
      <c r="BO14" s="40">
        <f t="shared" si="34"/>
        <v>0</v>
      </c>
      <c r="BP14" s="41">
        <f t="shared" si="35"/>
        <v>0</v>
      </c>
      <c r="BQ14" s="53"/>
      <c r="BR14" s="53"/>
      <c r="BS14" t="s">
        <v>296</v>
      </c>
      <c r="BT14">
        <v>365790</v>
      </c>
      <c r="BU14">
        <v>236261</v>
      </c>
      <c r="BV14" s="51">
        <v>52499.14</v>
      </c>
      <c r="BW14" s="32">
        <f t="shared" si="9"/>
        <v>12403499315.539999</v>
      </c>
      <c r="BX14">
        <v>22202</v>
      </c>
      <c r="BY14" s="37">
        <f t="shared" si="10"/>
        <v>6.0696027775499602E-2</v>
      </c>
      <c r="BZ14">
        <v>5.7494E-3</v>
      </c>
      <c r="CA14" s="3">
        <f t="shared" si="11"/>
        <v>5.7494000000000002E-5</v>
      </c>
      <c r="CB14" s="11">
        <f>+'Seat capacity elasticities'!AF44</f>
        <v>3.3368508383277852E-2</v>
      </c>
      <c r="CC14" s="11">
        <f>+'Seat capacity elasticities'!AG44</f>
        <v>2.6664207823357666E-2</v>
      </c>
      <c r="CD14" s="11">
        <f>+'Seat capacity elasticities'!AH44</f>
        <v>9.1552586177946454E-2</v>
      </c>
      <c r="CE14" s="11">
        <f>+'Seat capacity elasticities'!AI44</f>
        <v>3.1576035580291976E-2</v>
      </c>
      <c r="CF14" s="32">
        <f t="shared" si="36"/>
        <v>4138862.7089257757</v>
      </c>
      <c r="CG14" s="33">
        <f t="shared" si="37"/>
        <v>3.3368508383277852E-4</v>
      </c>
      <c r="CH14" s="40">
        <f t="shared" si="38"/>
        <v>3307294.8348643309</v>
      </c>
      <c r="CI14" s="33">
        <f t="shared" si="39"/>
        <v>2.6664207823357667E-4</v>
      </c>
      <c r="CJ14" s="40">
        <f t="shared" si="40"/>
        <v>20326505.183227669</v>
      </c>
      <c r="CK14" s="41">
        <f t="shared" si="41"/>
        <v>9.1552586177946445E-4</v>
      </c>
      <c r="CL14" s="40">
        <f t="shared" si="42"/>
        <v>7010511.4195364257</v>
      </c>
      <c r="CM14" s="41">
        <f t="shared" si="43"/>
        <v>3.1576035580291984E-4</v>
      </c>
      <c r="CO14" s="70">
        <f t="shared" si="44"/>
        <v>0</v>
      </c>
      <c r="CP14" s="70">
        <f t="shared" si="45"/>
        <v>0</v>
      </c>
      <c r="CQ14" s="70">
        <f t="shared" si="46"/>
        <v>0</v>
      </c>
      <c r="CR14" s="70">
        <f t="shared" si="47"/>
        <v>0</v>
      </c>
      <c r="CS14" s="70">
        <f t="shared" si="48"/>
        <v>0</v>
      </c>
      <c r="CT14" s="70">
        <f t="shared" si="49"/>
        <v>0</v>
      </c>
      <c r="CU14" s="69">
        <f t="shared" si="50"/>
        <v>0</v>
      </c>
      <c r="CV14" s="69">
        <f t="shared" si="51"/>
        <v>0</v>
      </c>
      <c r="CW14" s="70">
        <f t="shared" si="52"/>
        <v>0</v>
      </c>
      <c r="CX14" s="69">
        <f t="shared" si="53"/>
        <v>0</v>
      </c>
      <c r="CY14" s="69">
        <f t="shared" si="54"/>
        <v>0</v>
      </c>
      <c r="CZ14" s="70">
        <f t="shared" si="55"/>
        <v>0</v>
      </c>
      <c r="DB14" s="70">
        <f t="shared" si="56"/>
        <v>7.6581589908767986</v>
      </c>
      <c r="DC14" s="70">
        <f t="shared" si="57"/>
        <v>17.518179932048774</v>
      </c>
      <c r="DD14" s="70">
        <f t="shared" si="58"/>
        <v>25.176338922925574</v>
      </c>
      <c r="DE14" s="70">
        <f t="shared" si="59"/>
        <v>14.514329613669375</v>
      </c>
      <c r="DF14" s="70">
        <f t="shared" si="60"/>
        <v>13.998479795075493</v>
      </c>
      <c r="DG14" s="70">
        <f t="shared" si="61"/>
        <v>28.512809408744868</v>
      </c>
      <c r="DH14" s="69">
        <f t="shared" si="62"/>
        <v>37.610237248589641</v>
      </c>
      <c r="DI14" s="69">
        <f t="shared" si="63"/>
        <v>86.034111356625388</v>
      </c>
      <c r="DJ14" s="70">
        <f t="shared" si="64"/>
        <v>123.64434860521503</v>
      </c>
      <c r="DK14" s="69">
        <f t="shared" si="65"/>
        <v>30.766193697308772</v>
      </c>
      <c r="DL14" s="69">
        <f t="shared" si="66"/>
        <v>29.672740822803704</v>
      </c>
      <c r="DM14" s="70">
        <f t="shared" si="67"/>
        <v>60.438934520112475</v>
      </c>
    </row>
    <row r="15" spans="1:117">
      <c r="A15" t="s">
        <v>298</v>
      </c>
      <c r="B15">
        <v>131253</v>
      </c>
      <c r="C15">
        <v>53469</v>
      </c>
      <c r="D15" s="51">
        <v>29337.73</v>
      </c>
      <c r="E15" s="32">
        <f t="shared" si="0"/>
        <v>1568659085.3699999</v>
      </c>
      <c r="F15">
        <v>2823</v>
      </c>
      <c r="G15" s="37">
        <f t="shared" si="1"/>
        <v>2.1508079815318507E-2</v>
      </c>
      <c r="H15">
        <v>0</v>
      </c>
      <c r="I15" s="3">
        <f t="shared" si="2"/>
        <v>0</v>
      </c>
      <c r="J15" s="11">
        <f>+'Seat capacity elasticities'!K45</f>
        <v>0</v>
      </c>
      <c r="K15" s="11">
        <f>+'Seat capacity elasticities'!L45</f>
        <v>0</v>
      </c>
      <c r="L15" s="11">
        <f>+'Seat capacity elasticities'!M45</f>
        <v>0</v>
      </c>
      <c r="M15" s="11">
        <f>+'Seat capacity elasticities'!N45</f>
        <v>0</v>
      </c>
      <c r="N15" s="32">
        <f t="shared" si="12"/>
        <v>0</v>
      </c>
      <c r="O15" s="33">
        <f t="shared" si="13"/>
        <v>0</v>
      </c>
      <c r="P15" s="40">
        <f t="shared" si="14"/>
        <v>0</v>
      </c>
      <c r="Q15" s="33">
        <f t="shared" si="15"/>
        <v>0</v>
      </c>
      <c r="R15" s="40">
        <f t="shared" si="16"/>
        <v>0</v>
      </c>
      <c r="S15" s="41">
        <f t="shared" si="17"/>
        <v>0</v>
      </c>
      <c r="T15" s="40">
        <f t="shared" si="18"/>
        <v>0</v>
      </c>
      <c r="U15" s="41">
        <f t="shared" si="19"/>
        <v>0</v>
      </c>
      <c r="V15" s="53"/>
      <c r="W15" s="53"/>
      <c r="X15" t="s">
        <v>298</v>
      </c>
      <c r="Y15">
        <v>131253</v>
      </c>
      <c r="Z15">
        <v>53469</v>
      </c>
      <c r="AA15" s="51">
        <v>29337.73</v>
      </c>
      <c r="AB15" s="32">
        <f t="shared" si="3"/>
        <v>1568659085.3699999</v>
      </c>
      <c r="AC15">
        <v>2823</v>
      </c>
      <c r="AD15" s="37">
        <f t="shared" si="4"/>
        <v>2.1508079815318507E-2</v>
      </c>
      <c r="AE15">
        <v>2.9103000000000002E-3</v>
      </c>
      <c r="AF15" s="3">
        <f t="shared" si="5"/>
        <v>2.9103000000000002E-5</v>
      </c>
      <c r="AG15" s="11">
        <f>+'Seat capacity elasticities'!R45</f>
        <v>1.7065613459352841E-2</v>
      </c>
      <c r="AH15" s="11">
        <f>+'Seat capacity elasticities'!S45</f>
        <v>3.2344058030605125E-2</v>
      </c>
      <c r="AI15" s="11">
        <f>+'Seat capacity elasticities'!T45</f>
        <v>4.682262176573343E-2</v>
      </c>
      <c r="AJ15" s="11">
        <f>+'Seat capacity elasticities'!U45</f>
        <v>3.8302173983611333E-2</v>
      </c>
      <c r="AK15" s="32">
        <f t="shared" si="20"/>
        <v>267701.29600426386</v>
      </c>
      <c r="AL15" s="33">
        <f t="shared" si="21"/>
        <v>1.7065613459352839E-4</v>
      </c>
      <c r="AM15" s="40">
        <f t="shared" si="22"/>
        <v>507368.00487443234</v>
      </c>
      <c r="AN15" s="33">
        <f t="shared" si="23"/>
        <v>3.2344058030605124E-4</v>
      </c>
      <c r="AO15" s="40">
        <f t="shared" si="24"/>
        <v>1321802.6124466546</v>
      </c>
      <c r="AP15" s="41">
        <f t="shared" si="25"/>
        <v>4.6822621765733424E-4</v>
      </c>
      <c r="AQ15" s="40">
        <f t="shared" si="26"/>
        <v>1081270.3715573479</v>
      </c>
      <c r="AR15" s="41">
        <f t="shared" si="27"/>
        <v>3.8302173983611332E-4</v>
      </c>
      <c r="AV15" t="s">
        <v>298</v>
      </c>
      <c r="AW15">
        <v>131253</v>
      </c>
      <c r="AX15">
        <v>53469</v>
      </c>
      <c r="AY15" s="51">
        <v>29337.73</v>
      </c>
      <c r="AZ15" s="32">
        <f t="shared" si="6"/>
        <v>1568659085.3699999</v>
      </c>
      <c r="BA15">
        <v>2823</v>
      </c>
      <c r="BB15" s="37">
        <f t="shared" si="7"/>
        <v>2.1508079815318507E-2</v>
      </c>
      <c r="BC15">
        <v>0</v>
      </c>
      <c r="BD15" s="3">
        <f t="shared" si="8"/>
        <v>0</v>
      </c>
      <c r="BE15" s="11">
        <f>+'Seat capacity elasticities'!Y45</f>
        <v>0</v>
      </c>
      <c r="BF15" s="11">
        <f>+'Seat capacity elasticities'!Z45</f>
        <v>0</v>
      </c>
      <c r="BG15" s="11">
        <f>+'Seat capacity elasticities'!AA45</f>
        <v>0</v>
      </c>
      <c r="BH15" s="11">
        <f>+'Seat capacity elasticities'!AB45</f>
        <v>0</v>
      </c>
      <c r="BI15" s="32">
        <f t="shared" si="28"/>
        <v>0</v>
      </c>
      <c r="BJ15" s="33">
        <f t="shared" si="29"/>
        <v>0</v>
      </c>
      <c r="BK15" s="40">
        <f t="shared" si="30"/>
        <v>0</v>
      </c>
      <c r="BL15" s="33">
        <f t="shared" si="31"/>
        <v>0</v>
      </c>
      <c r="BM15" s="40">
        <f t="shared" si="32"/>
        <v>0</v>
      </c>
      <c r="BN15" s="41">
        <f t="shared" si="33"/>
        <v>0</v>
      </c>
      <c r="BO15" s="40">
        <f t="shared" si="34"/>
        <v>0</v>
      </c>
      <c r="BP15" s="41">
        <f t="shared" si="35"/>
        <v>0</v>
      </c>
      <c r="BQ15" s="53"/>
      <c r="BR15" s="53"/>
      <c r="BS15" t="s">
        <v>298</v>
      </c>
      <c r="BT15">
        <v>131253</v>
      </c>
      <c r="BU15">
        <v>53469</v>
      </c>
      <c r="BV15" s="51">
        <v>29337.73</v>
      </c>
      <c r="BW15" s="32">
        <f t="shared" si="9"/>
        <v>1568659085.3699999</v>
      </c>
      <c r="BX15">
        <v>2823</v>
      </c>
      <c r="BY15" s="37">
        <f t="shared" si="10"/>
        <v>2.1508079815318507E-2</v>
      </c>
      <c r="BZ15">
        <v>2.9103000000000002E-3</v>
      </c>
      <c r="CA15" s="3">
        <f t="shared" si="11"/>
        <v>2.9103000000000002E-5</v>
      </c>
      <c r="CB15" s="11">
        <f>+'Seat capacity elasticities'!AF45</f>
        <v>4.70732970875073E-2</v>
      </c>
      <c r="CC15" s="11">
        <f>+'Seat capacity elasticities'!AG45</f>
        <v>3.7615471511485456E-2</v>
      </c>
      <c r="CD15" s="11">
        <f>+'Seat capacity elasticities'!AH45</f>
        <v>0.12915417251446049</v>
      </c>
      <c r="CE15" s="11">
        <f>+'Seat capacity elasticities'!AI45</f>
        <v>4.4544637316232781E-2</v>
      </c>
      <c r="CF15" s="32">
        <f t="shared" si="36"/>
        <v>738419.55154639482</v>
      </c>
      <c r="CG15" s="33">
        <f t="shared" si="37"/>
        <v>4.7073297087507301E-4</v>
      </c>
      <c r="CH15" s="40">
        <f t="shared" si="38"/>
        <v>590058.51136968064</v>
      </c>
      <c r="CI15" s="33">
        <f t="shared" si="39"/>
        <v>3.7615471511485456E-4</v>
      </c>
      <c r="CJ15" s="40">
        <f t="shared" si="40"/>
        <v>3646022.2900832198</v>
      </c>
      <c r="CK15" s="41">
        <f t="shared" si="41"/>
        <v>1.291541725144605E-3</v>
      </c>
      <c r="CL15" s="40">
        <f t="shared" si="42"/>
        <v>1257495.1114372516</v>
      </c>
      <c r="CM15" s="41">
        <f t="shared" si="43"/>
        <v>4.4544637316232786E-4</v>
      </c>
      <c r="CO15" s="70">
        <f t="shared" si="44"/>
        <v>0</v>
      </c>
      <c r="CP15" s="70">
        <f t="shared" si="45"/>
        <v>0</v>
      </c>
      <c r="CQ15" s="70">
        <f t="shared" si="46"/>
        <v>0</v>
      </c>
      <c r="CR15" s="70">
        <f t="shared" si="47"/>
        <v>0</v>
      </c>
      <c r="CS15" s="70">
        <f t="shared" si="48"/>
        <v>0</v>
      </c>
      <c r="CT15" s="70">
        <f t="shared" si="49"/>
        <v>0</v>
      </c>
      <c r="CU15" s="69">
        <f t="shared" si="50"/>
        <v>0</v>
      </c>
      <c r="CV15" s="69">
        <f t="shared" si="51"/>
        <v>0</v>
      </c>
      <c r="CW15" s="70">
        <f t="shared" si="52"/>
        <v>0</v>
      </c>
      <c r="CX15" s="69">
        <f t="shared" si="53"/>
        <v>0</v>
      </c>
      <c r="CY15" s="69">
        <f t="shared" si="54"/>
        <v>0</v>
      </c>
      <c r="CZ15" s="70">
        <f t="shared" si="55"/>
        <v>0</v>
      </c>
      <c r="DB15" s="70">
        <f t="shared" si="56"/>
        <v>5.0066635995485953</v>
      </c>
      <c r="DC15" s="70">
        <f t="shared" si="57"/>
        <v>13.810236801630754</v>
      </c>
      <c r="DD15" s="70">
        <f t="shared" si="58"/>
        <v>18.81690040117935</v>
      </c>
      <c r="DE15" s="70">
        <f t="shared" si="59"/>
        <v>9.4890124160622484</v>
      </c>
      <c r="DF15" s="70">
        <f t="shared" si="60"/>
        <v>11.035525470266521</v>
      </c>
      <c r="DG15" s="70">
        <f t="shared" si="61"/>
        <v>20.524537886328769</v>
      </c>
      <c r="DH15" s="69">
        <f t="shared" si="62"/>
        <v>24.720915155448104</v>
      </c>
      <c r="DI15" s="69">
        <f t="shared" si="63"/>
        <v>68.1894609976476</v>
      </c>
      <c r="DJ15" s="70">
        <f t="shared" si="64"/>
        <v>92.910376153095712</v>
      </c>
      <c r="DK15" s="69">
        <f t="shared" si="65"/>
        <v>20.222378790651554</v>
      </c>
      <c r="DL15" s="69">
        <f t="shared" si="66"/>
        <v>23.518208895570361</v>
      </c>
      <c r="DM15" s="70">
        <f t="shared" si="67"/>
        <v>43.740587686221915</v>
      </c>
    </row>
    <row r="16" spans="1:117">
      <c r="A16" t="s">
        <v>300</v>
      </c>
      <c r="B16">
        <v>344767</v>
      </c>
      <c r="C16">
        <v>240701</v>
      </c>
      <c r="D16" s="51">
        <v>49048.7</v>
      </c>
      <c r="E16" s="32">
        <f t="shared" si="0"/>
        <v>11806071138.699999</v>
      </c>
      <c r="F16">
        <v>13279</v>
      </c>
      <c r="G16" s="37">
        <f t="shared" si="1"/>
        <v>3.8515867237873695E-2</v>
      </c>
      <c r="H16">
        <v>0</v>
      </c>
      <c r="I16" s="3">
        <f t="shared" si="2"/>
        <v>0</v>
      </c>
      <c r="J16" s="11">
        <f>+'Seat capacity elasticities'!K46</f>
        <v>0</v>
      </c>
      <c r="K16" s="11">
        <f>+'Seat capacity elasticities'!L46</f>
        <v>0</v>
      </c>
      <c r="L16" s="11">
        <f>+'Seat capacity elasticities'!M46</f>
        <v>0</v>
      </c>
      <c r="M16" s="11">
        <f>+'Seat capacity elasticities'!N46</f>
        <v>0</v>
      </c>
      <c r="N16" s="32">
        <f t="shared" si="12"/>
        <v>0</v>
      </c>
      <c r="O16" s="33">
        <f t="shared" si="13"/>
        <v>0</v>
      </c>
      <c r="P16" s="40">
        <f t="shared" si="14"/>
        <v>0</v>
      </c>
      <c r="Q16" s="33">
        <f t="shared" si="15"/>
        <v>0</v>
      </c>
      <c r="R16" s="40">
        <f t="shared" si="16"/>
        <v>0</v>
      </c>
      <c r="S16" s="41">
        <f t="shared" si="17"/>
        <v>0</v>
      </c>
      <c r="T16" s="40">
        <f t="shared" si="18"/>
        <v>0</v>
      </c>
      <c r="U16" s="41">
        <f t="shared" si="19"/>
        <v>0</v>
      </c>
      <c r="V16" s="53"/>
      <c r="W16" s="53"/>
      <c r="X16" t="s">
        <v>300</v>
      </c>
      <c r="Y16">
        <v>344767</v>
      </c>
      <c r="Z16">
        <v>240701</v>
      </c>
      <c r="AA16" s="51">
        <v>49048.7</v>
      </c>
      <c r="AB16" s="32">
        <f t="shared" si="3"/>
        <v>11806071138.699999</v>
      </c>
      <c r="AC16">
        <v>13279</v>
      </c>
      <c r="AD16" s="37">
        <f t="shared" si="4"/>
        <v>3.8515867237873695E-2</v>
      </c>
      <c r="AE16">
        <v>1.13166E-2</v>
      </c>
      <c r="AF16" s="3">
        <f t="shared" si="5"/>
        <v>1.1316599999999999E-4</v>
      </c>
      <c r="AG16" s="11">
        <f>+'Seat capacity elasticities'!R46</f>
        <v>1.1274293923734878E-2</v>
      </c>
      <c r="AH16" s="11">
        <f>+'Seat capacity elasticities'!S46</f>
        <v>2.1367905571746622E-2</v>
      </c>
      <c r="AI16" s="11">
        <f>+'Seat capacity elasticities'!T46</f>
        <v>3.0933080801583059E-2</v>
      </c>
      <c r="AJ16" s="11">
        <f>+'Seat capacity elasticities'!U46</f>
        <v>2.5304098703384157E-2</v>
      </c>
      <c r="AK16" s="32">
        <f t="shared" si="20"/>
        <v>1331051.1610222713</v>
      </c>
      <c r="AL16" s="33">
        <f t="shared" si="21"/>
        <v>1.127429392373488E-4</v>
      </c>
      <c r="AM16" s="40">
        <f t="shared" si="22"/>
        <v>2522710.1326506468</v>
      </c>
      <c r="AN16" s="33">
        <f t="shared" si="23"/>
        <v>2.1367905571746622E-4</v>
      </c>
      <c r="AO16" s="40">
        <f t="shared" si="24"/>
        <v>4107603.7996422146</v>
      </c>
      <c r="AP16" s="41">
        <f t="shared" si="25"/>
        <v>3.0933080801583059E-4</v>
      </c>
      <c r="AQ16" s="40">
        <f t="shared" si="26"/>
        <v>3360131.2668223823</v>
      </c>
      <c r="AR16" s="41">
        <f t="shared" si="27"/>
        <v>2.530409870338416E-4</v>
      </c>
      <c r="AV16" t="s">
        <v>300</v>
      </c>
      <c r="AW16">
        <v>344767</v>
      </c>
      <c r="AX16">
        <v>240701</v>
      </c>
      <c r="AY16" s="51">
        <v>49048.7</v>
      </c>
      <c r="AZ16" s="32">
        <f t="shared" si="6"/>
        <v>11806071138.699999</v>
      </c>
      <c r="BA16">
        <v>13279</v>
      </c>
      <c r="BB16" s="37">
        <f t="shared" si="7"/>
        <v>3.8515867237873695E-2</v>
      </c>
      <c r="BC16">
        <v>0</v>
      </c>
      <c r="BD16" s="3">
        <f t="shared" si="8"/>
        <v>0</v>
      </c>
      <c r="BE16" s="11">
        <f>+'Seat capacity elasticities'!Y46</f>
        <v>0</v>
      </c>
      <c r="BF16" s="11">
        <f>+'Seat capacity elasticities'!Z46</f>
        <v>0</v>
      </c>
      <c r="BG16" s="11">
        <f>+'Seat capacity elasticities'!AA46</f>
        <v>0</v>
      </c>
      <c r="BH16" s="11">
        <f>+'Seat capacity elasticities'!AB46</f>
        <v>0</v>
      </c>
      <c r="BI16" s="32">
        <f t="shared" si="28"/>
        <v>0</v>
      </c>
      <c r="BJ16" s="33">
        <f t="shared" si="29"/>
        <v>0</v>
      </c>
      <c r="BK16" s="40">
        <f t="shared" si="30"/>
        <v>0</v>
      </c>
      <c r="BL16" s="33">
        <f t="shared" si="31"/>
        <v>0</v>
      </c>
      <c r="BM16" s="40">
        <f t="shared" si="32"/>
        <v>0</v>
      </c>
      <c r="BN16" s="41">
        <f t="shared" si="33"/>
        <v>0</v>
      </c>
      <c r="BO16" s="40">
        <f t="shared" si="34"/>
        <v>0</v>
      </c>
      <c r="BP16" s="41">
        <f t="shared" si="35"/>
        <v>0</v>
      </c>
      <c r="BQ16" s="53"/>
      <c r="BR16" s="53"/>
      <c r="BS16" t="s">
        <v>300</v>
      </c>
      <c r="BT16">
        <v>344767</v>
      </c>
      <c r="BU16">
        <v>240701</v>
      </c>
      <c r="BV16" s="51">
        <v>49048.7</v>
      </c>
      <c r="BW16" s="32">
        <f t="shared" si="9"/>
        <v>11806071138.699999</v>
      </c>
      <c r="BX16">
        <v>13279</v>
      </c>
      <c r="BY16" s="37">
        <f t="shared" si="10"/>
        <v>3.8515867237873695E-2</v>
      </c>
      <c r="BZ16">
        <v>1.13166E-2</v>
      </c>
      <c r="CA16" s="3">
        <f t="shared" si="11"/>
        <v>1.1316599999999999E-4</v>
      </c>
      <c r="CB16" s="11">
        <f>+'Seat capacity elasticities'!AF46</f>
        <v>6.9684529649612373E-2</v>
      </c>
      <c r="CC16" s="11">
        <f>+'Seat capacity elasticities'!AG46</f>
        <v>5.5683723087285038E-2</v>
      </c>
      <c r="CD16" s="11">
        <f>+'Seat capacity elasticities'!AH46</f>
        <v>0.19119221131301589</v>
      </c>
      <c r="CE16" s="11">
        <f>+'Seat capacity elasticities'!AI46</f>
        <v>6.5941251024416503E-2</v>
      </c>
      <c r="CF16" s="32">
        <f t="shared" si="36"/>
        <v>8227005.1431017304</v>
      </c>
      <c r="CG16" s="33">
        <f t="shared" si="37"/>
        <v>6.9684529649612374E-4</v>
      </c>
      <c r="CH16" s="40">
        <f t="shared" si="38"/>
        <v>6574059.9603615869</v>
      </c>
      <c r="CI16" s="33">
        <f t="shared" si="39"/>
        <v>5.5683723087285037E-4</v>
      </c>
      <c r="CJ16" s="40">
        <f t="shared" si="40"/>
        <v>25388413.740255382</v>
      </c>
      <c r="CK16" s="41">
        <f t="shared" si="41"/>
        <v>1.911922113130159E-3</v>
      </c>
      <c r="CL16" s="40">
        <f t="shared" si="42"/>
        <v>8756338.7235322669</v>
      </c>
      <c r="CM16" s="41">
        <f t="shared" si="43"/>
        <v>6.5941251024416502E-4</v>
      </c>
      <c r="CO16" s="70">
        <f t="shared" si="44"/>
        <v>0</v>
      </c>
      <c r="CP16" s="70">
        <f t="shared" si="45"/>
        <v>0</v>
      </c>
      <c r="CQ16" s="70">
        <f t="shared" si="46"/>
        <v>0</v>
      </c>
      <c r="CR16" s="70">
        <f t="shared" si="47"/>
        <v>0</v>
      </c>
      <c r="CS16" s="70">
        <f t="shared" si="48"/>
        <v>0</v>
      </c>
      <c r="CT16" s="70">
        <f t="shared" si="49"/>
        <v>0</v>
      </c>
      <c r="CU16" s="69">
        <f t="shared" si="50"/>
        <v>0</v>
      </c>
      <c r="CV16" s="69">
        <f t="shared" si="51"/>
        <v>0</v>
      </c>
      <c r="CW16" s="70">
        <f t="shared" si="52"/>
        <v>0</v>
      </c>
      <c r="CX16" s="69">
        <f t="shared" si="53"/>
        <v>0</v>
      </c>
      <c r="CY16" s="69">
        <f t="shared" si="54"/>
        <v>0</v>
      </c>
      <c r="CZ16" s="70">
        <f t="shared" si="55"/>
        <v>0</v>
      </c>
      <c r="DB16" s="70">
        <f t="shared" si="56"/>
        <v>5.5298946037709493</v>
      </c>
      <c r="DC16" s="70">
        <f t="shared" si="57"/>
        <v>34.179355894249426</v>
      </c>
      <c r="DD16" s="70">
        <f t="shared" si="58"/>
        <v>39.709250498020374</v>
      </c>
      <c r="DE16" s="70">
        <f t="shared" si="59"/>
        <v>10.480679900169283</v>
      </c>
      <c r="DF16" s="70">
        <f t="shared" si="60"/>
        <v>27.312142285913175</v>
      </c>
      <c r="DG16" s="70">
        <f t="shared" si="61"/>
        <v>37.792822186082461</v>
      </c>
      <c r="DH16" s="69">
        <f t="shared" si="62"/>
        <v>17.0651713106394</v>
      </c>
      <c r="DI16" s="69">
        <f t="shared" si="63"/>
        <v>105.47697658196427</v>
      </c>
      <c r="DJ16" s="70">
        <f t="shared" si="64"/>
        <v>122.54214789260367</v>
      </c>
      <c r="DK16" s="69">
        <f t="shared" si="65"/>
        <v>13.95977277544498</v>
      </c>
      <c r="DL16" s="69">
        <f t="shared" si="66"/>
        <v>36.378489177578267</v>
      </c>
      <c r="DM16" s="70">
        <f t="shared" si="67"/>
        <v>50.338261953023249</v>
      </c>
    </row>
    <row r="17" spans="1:117">
      <c r="A17" t="s">
        <v>969</v>
      </c>
      <c r="B17">
        <v>113422</v>
      </c>
      <c r="C17">
        <v>66665</v>
      </c>
      <c r="D17" s="51">
        <v>29444.720000000001</v>
      </c>
      <c r="E17" s="32">
        <f t="shared" si="0"/>
        <v>1962932258.8000002</v>
      </c>
      <c r="F17">
        <v>2815</v>
      </c>
      <c r="G17" s="37">
        <f t="shared" si="1"/>
        <v>2.4818818218687734E-2</v>
      </c>
      <c r="H17">
        <v>0</v>
      </c>
      <c r="I17" s="3">
        <f t="shared" si="2"/>
        <v>0</v>
      </c>
      <c r="J17" s="11">
        <f>+'Seat capacity elasticities'!K47</f>
        <v>0</v>
      </c>
      <c r="K17" s="11">
        <f>+'Seat capacity elasticities'!L47</f>
        <v>0</v>
      </c>
      <c r="L17" s="11">
        <f>+'Seat capacity elasticities'!M47</f>
        <v>0</v>
      </c>
      <c r="M17" s="11">
        <f>+'Seat capacity elasticities'!N47</f>
        <v>0</v>
      </c>
      <c r="N17" s="32">
        <f t="shared" si="12"/>
        <v>0</v>
      </c>
      <c r="O17" s="33">
        <f t="shared" si="13"/>
        <v>0</v>
      </c>
      <c r="P17" s="40">
        <f t="shared" si="14"/>
        <v>0</v>
      </c>
      <c r="Q17" s="33">
        <f t="shared" si="15"/>
        <v>0</v>
      </c>
      <c r="R17" s="40">
        <f t="shared" si="16"/>
        <v>0</v>
      </c>
      <c r="S17" s="41">
        <f t="shared" si="17"/>
        <v>0</v>
      </c>
      <c r="T17" s="40">
        <f t="shared" si="18"/>
        <v>0</v>
      </c>
      <c r="U17" s="41">
        <f t="shared" si="19"/>
        <v>0</v>
      </c>
      <c r="V17" s="53"/>
      <c r="W17" s="53"/>
      <c r="X17" t="s">
        <v>969</v>
      </c>
      <c r="Y17">
        <v>113422</v>
      </c>
      <c r="Z17">
        <v>66665</v>
      </c>
      <c r="AA17" s="51">
        <v>29444.720000000001</v>
      </c>
      <c r="AB17" s="32">
        <f t="shared" si="3"/>
        <v>1962932258.8000002</v>
      </c>
      <c r="AC17">
        <v>2815</v>
      </c>
      <c r="AD17" s="37">
        <f t="shared" si="4"/>
        <v>2.4818818218687734E-2</v>
      </c>
      <c r="AE17">
        <v>1.9945000000000002E-3</v>
      </c>
      <c r="AF17" s="3">
        <f t="shared" si="5"/>
        <v>1.9945000000000003E-5</v>
      </c>
      <c r="AG17" s="11">
        <f>+'Seat capacity elasticities'!R47</f>
        <v>1.0569580656077597E-2</v>
      </c>
      <c r="AH17" s="11">
        <f>+'Seat capacity elasticities'!S47</f>
        <v>2.0032278998559909E-2</v>
      </c>
      <c r="AI17" s="11">
        <f>+'Seat capacity elasticities'!T47</f>
        <v>2.8999571475158747E-2</v>
      </c>
      <c r="AJ17" s="11">
        <f>+'Seat capacity elasticities'!U47</f>
        <v>2.3722435656189363E-2</v>
      </c>
      <c r="AK17" s="32">
        <f t="shared" si="20"/>
        <v>207473.70831803186</v>
      </c>
      <c r="AL17" s="33">
        <f t="shared" si="21"/>
        <v>1.0569580656077597E-4</v>
      </c>
      <c r="AM17" s="40">
        <f t="shared" si="22"/>
        <v>393220.06663555012</v>
      </c>
      <c r="AN17" s="33">
        <f t="shared" si="23"/>
        <v>2.0032278998559911E-4</v>
      </c>
      <c r="AO17" s="40">
        <f t="shared" si="24"/>
        <v>816337.93702571874</v>
      </c>
      <c r="AP17" s="41">
        <f t="shared" si="25"/>
        <v>2.8999571475158748E-4</v>
      </c>
      <c r="AQ17" s="40">
        <f t="shared" si="26"/>
        <v>667786.56372173061</v>
      </c>
      <c r="AR17" s="41">
        <f t="shared" si="27"/>
        <v>2.3722435656189364E-4</v>
      </c>
      <c r="AV17" t="s">
        <v>969</v>
      </c>
      <c r="AW17">
        <v>113422</v>
      </c>
      <c r="AX17">
        <v>66665</v>
      </c>
      <c r="AY17" s="51">
        <v>29444.720000000001</v>
      </c>
      <c r="AZ17" s="32">
        <f t="shared" si="6"/>
        <v>1962932258.8000002</v>
      </c>
      <c r="BA17">
        <v>2815</v>
      </c>
      <c r="BB17" s="37">
        <f t="shared" si="7"/>
        <v>2.4818818218687734E-2</v>
      </c>
      <c r="BC17">
        <v>0</v>
      </c>
      <c r="BD17" s="3">
        <f t="shared" si="8"/>
        <v>0</v>
      </c>
      <c r="BE17" s="11">
        <f>+'Seat capacity elasticities'!Y47</f>
        <v>0</v>
      </c>
      <c r="BF17" s="11">
        <f>+'Seat capacity elasticities'!Z47</f>
        <v>0</v>
      </c>
      <c r="BG17" s="11">
        <f>+'Seat capacity elasticities'!AA47</f>
        <v>0</v>
      </c>
      <c r="BH17" s="11">
        <f>+'Seat capacity elasticities'!AB47</f>
        <v>0</v>
      </c>
      <c r="BI17" s="32">
        <f t="shared" si="28"/>
        <v>0</v>
      </c>
      <c r="BJ17" s="33">
        <f t="shared" si="29"/>
        <v>0</v>
      </c>
      <c r="BK17" s="40">
        <f t="shared" si="30"/>
        <v>0</v>
      </c>
      <c r="BL17" s="33">
        <f t="shared" si="31"/>
        <v>0</v>
      </c>
      <c r="BM17" s="40">
        <f t="shared" si="32"/>
        <v>0</v>
      </c>
      <c r="BN17" s="41">
        <f t="shared" si="33"/>
        <v>0</v>
      </c>
      <c r="BO17" s="40">
        <f t="shared" si="34"/>
        <v>0</v>
      </c>
      <c r="BP17" s="41">
        <f t="shared" si="35"/>
        <v>0</v>
      </c>
      <c r="BQ17" s="53"/>
      <c r="BR17" s="53"/>
      <c r="BS17" t="s">
        <v>969</v>
      </c>
      <c r="BT17">
        <v>113422</v>
      </c>
      <c r="BU17">
        <v>66665</v>
      </c>
      <c r="BV17" s="51">
        <v>29444.720000000001</v>
      </c>
      <c r="BW17" s="32">
        <f t="shared" si="9"/>
        <v>1962932258.8000002</v>
      </c>
      <c r="BX17">
        <v>2815</v>
      </c>
      <c r="BY17" s="37">
        <f t="shared" si="10"/>
        <v>2.4818818218687734E-2</v>
      </c>
      <c r="BZ17">
        <v>1.9945000000000002E-3</v>
      </c>
      <c r="CA17" s="3">
        <f t="shared" si="11"/>
        <v>1.9945000000000003E-5</v>
      </c>
      <c r="CB17" s="11">
        <f>+'Seat capacity elasticities'!AF47</f>
        <v>3.7332135806172874E-2</v>
      </c>
      <c r="CC17" s="11">
        <f>+'Seat capacity elasticities'!AG47</f>
        <v>2.9831475119950279E-2</v>
      </c>
      <c r="CD17" s="11">
        <f>+'Seat capacity elasticities'!AH47</f>
        <v>0.1024275206234346</v>
      </c>
      <c r="CE17" s="11">
        <f>+'Seat capacity elasticities'!AI47</f>
        <v>3.5326746852572699E-2</v>
      </c>
      <c r="CF17" s="32">
        <f t="shared" si="36"/>
        <v>732804.53663839295</v>
      </c>
      <c r="CG17" s="33">
        <f t="shared" si="37"/>
        <v>3.7332135806172878E-4</v>
      </c>
      <c r="CH17" s="40">
        <f t="shared" si="38"/>
        <v>585571.6484054001</v>
      </c>
      <c r="CI17" s="33">
        <f t="shared" si="39"/>
        <v>2.9831475119950282E-4</v>
      </c>
      <c r="CJ17" s="40">
        <f t="shared" si="40"/>
        <v>2883334.7055496839</v>
      </c>
      <c r="CK17" s="41">
        <f t="shared" si="41"/>
        <v>1.0242752062343458E-3</v>
      </c>
      <c r="CL17" s="40">
        <f t="shared" si="42"/>
        <v>994447.92389992171</v>
      </c>
      <c r="CM17" s="41">
        <f t="shared" si="43"/>
        <v>3.5326746852572705E-4</v>
      </c>
      <c r="CO17" s="70">
        <f t="shared" si="44"/>
        <v>0</v>
      </c>
      <c r="CP17" s="70">
        <f t="shared" si="45"/>
        <v>0</v>
      </c>
      <c r="CQ17" s="70">
        <f t="shared" si="46"/>
        <v>0</v>
      </c>
      <c r="CR17" s="70">
        <f t="shared" si="47"/>
        <v>0</v>
      </c>
      <c r="CS17" s="70">
        <f t="shared" si="48"/>
        <v>0</v>
      </c>
      <c r="CT17" s="70">
        <f t="shared" si="49"/>
        <v>0</v>
      </c>
      <c r="CU17" s="69">
        <f t="shared" si="50"/>
        <v>0</v>
      </c>
      <c r="CV17" s="69">
        <f t="shared" si="51"/>
        <v>0</v>
      </c>
      <c r="CW17" s="70">
        <f t="shared" si="52"/>
        <v>0</v>
      </c>
      <c r="CX17" s="69">
        <f t="shared" si="53"/>
        <v>0</v>
      </c>
      <c r="CY17" s="69">
        <f t="shared" si="54"/>
        <v>0</v>
      </c>
      <c r="CZ17" s="70">
        <f t="shared" si="55"/>
        <v>0</v>
      </c>
      <c r="DB17" s="70">
        <f t="shared" si="56"/>
        <v>3.1121834293562118</v>
      </c>
      <c r="DC17" s="70">
        <f t="shared" si="57"/>
        <v>10.992342858147348</v>
      </c>
      <c r="DD17" s="70">
        <f t="shared" si="58"/>
        <v>14.10452628750356</v>
      </c>
      <c r="DE17" s="70">
        <f t="shared" si="59"/>
        <v>5.8984484607447705</v>
      </c>
      <c r="DF17" s="70">
        <f t="shared" si="60"/>
        <v>8.783794320939025</v>
      </c>
      <c r="DG17" s="70">
        <f t="shared" si="61"/>
        <v>14.682242781683795</v>
      </c>
      <c r="DH17" s="69">
        <f t="shared" si="62"/>
        <v>12.245375189765525</v>
      </c>
      <c r="DI17" s="69">
        <f t="shared" si="63"/>
        <v>43.251101860791778</v>
      </c>
      <c r="DJ17" s="70">
        <f t="shared" si="64"/>
        <v>55.496477050557303</v>
      </c>
      <c r="DK17" s="69">
        <f t="shared" si="65"/>
        <v>10.017048882048011</v>
      </c>
      <c r="DL17" s="69">
        <f t="shared" si="66"/>
        <v>14.91709178579347</v>
      </c>
      <c r="DM17" s="70">
        <f t="shared" si="67"/>
        <v>24.934140667841483</v>
      </c>
    </row>
    <row r="18" spans="1:117">
      <c r="A18" t="s">
        <v>302</v>
      </c>
      <c r="B18">
        <v>219780</v>
      </c>
      <c r="C18">
        <v>151240</v>
      </c>
      <c r="D18" s="51">
        <v>37370.67</v>
      </c>
      <c r="E18" s="32">
        <f t="shared" si="0"/>
        <v>5651940130.8000002</v>
      </c>
      <c r="F18">
        <v>8555</v>
      </c>
      <c r="G18" s="37">
        <f t="shared" si="1"/>
        <v>3.8925288925288924E-2</v>
      </c>
      <c r="H18">
        <v>0</v>
      </c>
      <c r="I18" s="3">
        <f t="shared" si="2"/>
        <v>0</v>
      </c>
      <c r="J18" s="11">
        <f>+'Seat capacity elasticities'!K48</f>
        <v>0</v>
      </c>
      <c r="K18" s="11">
        <f>+'Seat capacity elasticities'!L48</f>
        <v>0</v>
      </c>
      <c r="L18" s="11">
        <f>+'Seat capacity elasticities'!M48</f>
        <v>0</v>
      </c>
      <c r="M18" s="11">
        <f>+'Seat capacity elasticities'!N48</f>
        <v>0</v>
      </c>
      <c r="N18" s="32">
        <f t="shared" si="12"/>
        <v>0</v>
      </c>
      <c r="O18" s="33">
        <f t="shared" si="13"/>
        <v>0</v>
      </c>
      <c r="P18" s="40">
        <f t="shared" si="14"/>
        <v>0</v>
      </c>
      <c r="Q18" s="33">
        <f t="shared" si="15"/>
        <v>0</v>
      </c>
      <c r="R18" s="40">
        <f t="shared" si="16"/>
        <v>0</v>
      </c>
      <c r="S18" s="41">
        <f t="shared" si="17"/>
        <v>0</v>
      </c>
      <c r="T18" s="40">
        <f t="shared" si="18"/>
        <v>0</v>
      </c>
      <c r="U18" s="41">
        <f t="shared" si="19"/>
        <v>0</v>
      </c>
      <c r="V18" s="53"/>
      <c r="W18" s="53"/>
      <c r="X18" t="s">
        <v>302</v>
      </c>
      <c r="Y18">
        <v>219780</v>
      </c>
      <c r="Z18">
        <v>151240</v>
      </c>
      <c r="AA18" s="51">
        <v>37370.67</v>
      </c>
      <c r="AB18" s="32">
        <f t="shared" si="3"/>
        <v>5651940130.8000002</v>
      </c>
      <c r="AC18">
        <v>8555</v>
      </c>
      <c r="AD18" s="37">
        <f t="shared" si="4"/>
        <v>3.8925288925288924E-2</v>
      </c>
      <c r="AE18">
        <v>5.2017000000000001E-3</v>
      </c>
      <c r="AF18" s="3">
        <f t="shared" si="5"/>
        <v>5.2017E-5</v>
      </c>
      <c r="AG18" s="11">
        <f>+'Seat capacity elasticities'!R48</f>
        <v>7.111842528304063E-3</v>
      </c>
      <c r="AH18" s="11">
        <f>+'Seat capacity elasticities'!S48</f>
        <v>1.3478908800311896E-2</v>
      </c>
      <c r="AI18" s="11">
        <f>+'Seat capacity elasticities'!T48</f>
        <v>1.9512636539751219E-2</v>
      </c>
      <c r="AJ18" s="11">
        <f>+'Seat capacity elasticities'!U48</f>
        <v>1.5961865684579878E-2</v>
      </c>
      <c r="AK18" s="32">
        <f t="shared" si="20"/>
        <v>401957.08189651871</v>
      </c>
      <c r="AL18" s="33">
        <f t="shared" si="21"/>
        <v>7.1118425283040628E-5</v>
      </c>
      <c r="AM18" s="40">
        <f t="shared" si="22"/>
        <v>761819.85567876103</v>
      </c>
      <c r="AN18" s="33">
        <f t="shared" si="23"/>
        <v>1.3478908800311899E-4</v>
      </c>
      <c r="AO18" s="40">
        <f t="shared" si="24"/>
        <v>1669306.0559757168</v>
      </c>
      <c r="AP18" s="41">
        <f t="shared" si="25"/>
        <v>1.9512636539751219E-4</v>
      </c>
      <c r="AQ18" s="40">
        <f t="shared" si="26"/>
        <v>1365537.6093158084</v>
      </c>
      <c r="AR18" s="41">
        <f t="shared" si="27"/>
        <v>1.5961865684579877E-4</v>
      </c>
      <c r="AV18" t="s">
        <v>302</v>
      </c>
      <c r="AW18">
        <v>219780</v>
      </c>
      <c r="AX18">
        <v>151240</v>
      </c>
      <c r="AY18" s="51">
        <v>37370.67</v>
      </c>
      <c r="AZ18" s="32">
        <f t="shared" si="6"/>
        <v>5651940130.8000002</v>
      </c>
      <c r="BA18">
        <v>8555</v>
      </c>
      <c r="BB18" s="37">
        <f t="shared" si="7"/>
        <v>3.8925288925288924E-2</v>
      </c>
      <c r="BC18">
        <v>0</v>
      </c>
      <c r="BD18" s="3">
        <f t="shared" si="8"/>
        <v>0</v>
      </c>
      <c r="BE18" s="11">
        <f>+'Seat capacity elasticities'!Y48</f>
        <v>0</v>
      </c>
      <c r="BF18" s="11">
        <f>+'Seat capacity elasticities'!Z48</f>
        <v>0</v>
      </c>
      <c r="BG18" s="11">
        <f>+'Seat capacity elasticities'!AA48</f>
        <v>0</v>
      </c>
      <c r="BH18" s="11">
        <f>+'Seat capacity elasticities'!AB48</f>
        <v>0</v>
      </c>
      <c r="BI18" s="32">
        <f t="shared" si="28"/>
        <v>0</v>
      </c>
      <c r="BJ18" s="33">
        <f t="shared" si="29"/>
        <v>0</v>
      </c>
      <c r="BK18" s="40">
        <f t="shared" si="30"/>
        <v>0</v>
      </c>
      <c r="BL18" s="33">
        <f t="shared" si="31"/>
        <v>0</v>
      </c>
      <c r="BM18" s="40">
        <f t="shared" si="32"/>
        <v>0</v>
      </c>
      <c r="BN18" s="41">
        <f t="shared" si="33"/>
        <v>0</v>
      </c>
      <c r="BO18" s="40">
        <f t="shared" si="34"/>
        <v>0</v>
      </c>
      <c r="BP18" s="41">
        <f t="shared" si="35"/>
        <v>0</v>
      </c>
      <c r="BQ18" s="53"/>
      <c r="BR18" s="53"/>
      <c r="BS18" t="s">
        <v>302</v>
      </c>
      <c r="BT18">
        <v>219780</v>
      </c>
      <c r="BU18">
        <v>151240</v>
      </c>
      <c r="BV18" s="51">
        <v>37370.67</v>
      </c>
      <c r="BW18" s="32">
        <f t="shared" si="9"/>
        <v>5651940130.8000002</v>
      </c>
      <c r="BX18">
        <v>8555</v>
      </c>
      <c r="BY18" s="37">
        <f t="shared" si="10"/>
        <v>3.8925288925288924E-2</v>
      </c>
      <c r="BZ18">
        <v>5.2017000000000001E-3</v>
      </c>
      <c r="CA18" s="3">
        <f t="shared" si="11"/>
        <v>5.2017E-5</v>
      </c>
      <c r="CB18" s="11">
        <f>+'Seat capacity elasticities'!AF48</f>
        <v>5.0246200812090462E-2</v>
      </c>
      <c r="CC18" s="11">
        <f>+'Seat capacity elasticities'!AG48</f>
        <v>4.0150884942137595E-2</v>
      </c>
      <c r="CD18" s="11">
        <f>+'Seat capacity elasticities'!AH48</f>
        <v>0.13785961233642149</v>
      </c>
      <c r="CE18" s="11">
        <f>+'Seat capacity elasticities'!AI48</f>
        <v>4.7547100589373469E-2</v>
      </c>
      <c r="CF18" s="32">
        <f t="shared" si="36"/>
        <v>2839885.1879008966</v>
      </c>
      <c r="CG18" s="33">
        <f t="shared" si="37"/>
        <v>5.0246200812090463E-4</v>
      </c>
      <c r="CH18" s="40">
        <f t="shared" si="38"/>
        <v>2269303.9789160094</v>
      </c>
      <c r="CI18" s="33">
        <f t="shared" si="39"/>
        <v>4.0150884942137598E-4</v>
      </c>
      <c r="CJ18" s="40">
        <f t="shared" si="40"/>
        <v>11793889.83538086</v>
      </c>
      <c r="CK18" s="41">
        <f t="shared" si="41"/>
        <v>1.3785961233642151E-3</v>
      </c>
      <c r="CL18" s="40">
        <f t="shared" si="42"/>
        <v>4067654.4554209001</v>
      </c>
      <c r="CM18" s="41">
        <f t="shared" si="43"/>
        <v>4.7547100589373471E-4</v>
      </c>
      <c r="CO18" s="70">
        <f t="shared" si="44"/>
        <v>0</v>
      </c>
      <c r="CP18" s="70">
        <f t="shared" si="45"/>
        <v>0</v>
      </c>
      <c r="CQ18" s="70">
        <f t="shared" si="46"/>
        <v>0</v>
      </c>
      <c r="CR18" s="70">
        <f t="shared" si="47"/>
        <v>0</v>
      </c>
      <c r="CS18" s="70">
        <f t="shared" si="48"/>
        <v>0</v>
      </c>
      <c r="CT18" s="70">
        <f t="shared" si="49"/>
        <v>0</v>
      </c>
      <c r="CU18" s="69">
        <f t="shared" si="50"/>
        <v>0</v>
      </c>
      <c r="CV18" s="69">
        <f t="shared" si="51"/>
        <v>0</v>
      </c>
      <c r="CW18" s="70">
        <f t="shared" si="52"/>
        <v>0</v>
      </c>
      <c r="CX18" s="69">
        <f t="shared" si="53"/>
        <v>0</v>
      </c>
      <c r="CY18" s="69">
        <f t="shared" si="54"/>
        <v>0</v>
      </c>
      <c r="CZ18" s="70">
        <f t="shared" si="55"/>
        <v>0</v>
      </c>
      <c r="DB18" s="70">
        <f t="shared" si="56"/>
        <v>2.6577432021721683</v>
      </c>
      <c r="DC18" s="70">
        <f t="shared" si="57"/>
        <v>18.77734189302365</v>
      </c>
      <c r="DD18" s="70">
        <f t="shared" si="58"/>
        <v>21.435085095195817</v>
      </c>
      <c r="DE18" s="70">
        <f t="shared" si="59"/>
        <v>5.0371585273655182</v>
      </c>
      <c r="DF18" s="70">
        <f t="shared" si="60"/>
        <v>15.004654713805934</v>
      </c>
      <c r="DG18" s="70">
        <f t="shared" si="61"/>
        <v>20.041813241171454</v>
      </c>
      <c r="DH18" s="69">
        <f t="shared" si="62"/>
        <v>11.037464004071124</v>
      </c>
      <c r="DI18" s="69">
        <f t="shared" si="63"/>
        <v>77.9812869305796</v>
      </c>
      <c r="DJ18" s="70">
        <f t="shared" si="64"/>
        <v>89.018750934650726</v>
      </c>
      <c r="DK18" s="69">
        <f t="shared" si="65"/>
        <v>9.0289447852142839</v>
      </c>
      <c r="DL18" s="69">
        <f t="shared" si="66"/>
        <v>26.895361382047739</v>
      </c>
      <c r="DM18" s="70">
        <f t="shared" si="67"/>
        <v>35.924306167262024</v>
      </c>
    </row>
    <row r="19" spans="1:117">
      <c r="A19" t="s">
        <v>304</v>
      </c>
      <c r="B19">
        <v>189926</v>
      </c>
      <c r="C19">
        <v>115868</v>
      </c>
      <c r="D19" s="51">
        <v>30693.91</v>
      </c>
      <c r="E19" s="32">
        <f t="shared" si="0"/>
        <v>3556441963.8800001</v>
      </c>
      <c r="F19">
        <v>4556</v>
      </c>
      <c r="G19" s="37">
        <f t="shared" si="1"/>
        <v>2.398829017617388E-2</v>
      </c>
      <c r="H19">
        <v>0</v>
      </c>
      <c r="I19" s="3">
        <f t="shared" si="2"/>
        <v>0</v>
      </c>
      <c r="J19" s="11">
        <f>+'Seat capacity elasticities'!K49</f>
        <v>0</v>
      </c>
      <c r="K19" s="11">
        <f>+'Seat capacity elasticities'!L49</f>
        <v>0</v>
      </c>
      <c r="L19" s="11">
        <f>+'Seat capacity elasticities'!M49</f>
        <v>0</v>
      </c>
      <c r="M19" s="11">
        <f>+'Seat capacity elasticities'!N49</f>
        <v>0</v>
      </c>
      <c r="N19" s="32">
        <f t="shared" si="12"/>
        <v>0</v>
      </c>
      <c r="O19" s="33">
        <f t="shared" si="13"/>
        <v>0</v>
      </c>
      <c r="P19" s="40">
        <f t="shared" si="14"/>
        <v>0</v>
      </c>
      <c r="Q19" s="33">
        <f t="shared" si="15"/>
        <v>0</v>
      </c>
      <c r="R19" s="40">
        <f t="shared" si="16"/>
        <v>0</v>
      </c>
      <c r="S19" s="41">
        <f t="shared" si="17"/>
        <v>0</v>
      </c>
      <c r="T19" s="40">
        <f t="shared" si="18"/>
        <v>0</v>
      </c>
      <c r="U19" s="41">
        <f t="shared" si="19"/>
        <v>0</v>
      </c>
      <c r="V19" s="53"/>
      <c r="W19" s="53"/>
      <c r="X19" t="s">
        <v>304</v>
      </c>
      <c r="Y19">
        <v>189926</v>
      </c>
      <c r="Z19">
        <v>115868</v>
      </c>
      <c r="AA19" s="51">
        <v>30693.91</v>
      </c>
      <c r="AB19" s="32">
        <f t="shared" si="3"/>
        <v>3556441963.8800001</v>
      </c>
      <c r="AC19">
        <v>4556</v>
      </c>
      <c r="AD19" s="37">
        <f t="shared" si="4"/>
        <v>2.398829017617388E-2</v>
      </c>
      <c r="AE19">
        <v>5.0238000000000001E-3</v>
      </c>
      <c r="AF19" s="3">
        <f t="shared" si="5"/>
        <v>5.0238000000000002E-5</v>
      </c>
      <c r="AG19" s="11">
        <f>+'Seat capacity elasticities'!R49</f>
        <v>1.9255860564772326E-2</v>
      </c>
      <c r="AH19" s="11">
        <f>+'Seat capacity elasticities'!S49</f>
        <v>3.6495182140370307E-2</v>
      </c>
      <c r="AI19" s="11">
        <f>+'Seat capacity elasticities'!T49</f>
        <v>5.2831964004429487E-2</v>
      </c>
      <c r="AJ19" s="11">
        <f>+'Seat capacity elasticities'!U49</f>
        <v>4.3217978850438522E-2</v>
      </c>
      <c r="AK19" s="32">
        <f t="shared" si="20"/>
        <v>684823.5056317834</v>
      </c>
      <c r="AL19" s="33">
        <f t="shared" si="21"/>
        <v>1.9255860564772325E-4</v>
      </c>
      <c r="AM19" s="40">
        <f t="shared" si="22"/>
        <v>1297929.9724345689</v>
      </c>
      <c r="AN19" s="33">
        <f t="shared" si="23"/>
        <v>3.6495182140370311E-4</v>
      </c>
      <c r="AO19" s="40">
        <f t="shared" si="24"/>
        <v>2407024.2800418078</v>
      </c>
      <c r="AP19" s="41">
        <f t="shared" si="25"/>
        <v>5.2831964004429498E-4</v>
      </c>
      <c r="AQ19" s="40">
        <f t="shared" si="26"/>
        <v>1969011.116425979</v>
      </c>
      <c r="AR19" s="41">
        <f t="shared" si="27"/>
        <v>4.321797885043852E-4</v>
      </c>
      <c r="AV19" t="s">
        <v>304</v>
      </c>
      <c r="AW19">
        <v>189926</v>
      </c>
      <c r="AX19">
        <v>115868</v>
      </c>
      <c r="AY19" s="51">
        <v>30693.91</v>
      </c>
      <c r="AZ19" s="32">
        <f t="shared" si="6"/>
        <v>3556441963.8800001</v>
      </c>
      <c r="BA19">
        <v>4556</v>
      </c>
      <c r="BB19" s="37">
        <f t="shared" si="7"/>
        <v>2.398829017617388E-2</v>
      </c>
      <c r="BC19">
        <v>0</v>
      </c>
      <c r="BD19" s="3">
        <f t="shared" si="8"/>
        <v>0</v>
      </c>
      <c r="BE19" s="11">
        <f>+'Seat capacity elasticities'!Y49</f>
        <v>0</v>
      </c>
      <c r="BF19" s="11">
        <f>+'Seat capacity elasticities'!Z49</f>
        <v>0</v>
      </c>
      <c r="BG19" s="11">
        <f>+'Seat capacity elasticities'!AA49</f>
        <v>0</v>
      </c>
      <c r="BH19" s="11">
        <f>+'Seat capacity elasticities'!AB49</f>
        <v>0</v>
      </c>
      <c r="BI19" s="32">
        <f t="shared" si="28"/>
        <v>0</v>
      </c>
      <c r="BJ19" s="33">
        <f t="shared" si="29"/>
        <v>0</v>
      </c>
      <c r="BK19" s="40">
        <f t="shared" si="30"/>
        <v>0</v>
      </c>
      <c r="BL19" s="33">
        <f t="shared" si="31"/>
        <v>0</v>
      </c>
      <c r="BM19" s="40">
        <f t="shared" si="32"/>
        <v>0</v>
      </c>
      <c r="BN19" s="41">
        <f t="shared" si="33"/>
        <v>0</v>
      </c>
      <c r="BO19" s="40">
        <f t="shared" si="34"/>
        <v>0</v>
      </c>
      <c r="BP19" s="41">
        <f t="shared" si="35"/>
        <v>0</v>
      </c>
      <c r="BQ19" s="53"/>
      <c r="BR19" s="53"/>
      <c r="BS19" t="s">
        <v>304</v>
      </c>
      <c r="BT19">
        <v>189926</v>
      </c>
      <c r="BU19">
        <v>115868</v>
      </c>
      <c r="BV19" s="51">
        <v>30693.91</v>
      </c>
      <c r="BW19" s="32">
        <f t="shared" si="9"/>
        <v>3556441963.8800001</v>
      </c>
      <c r="BX19">
        <v>4556</v>
      </c>
      <c r="BY19" s="37">
        <f t="shared" si="10"/>
        <v>2.398829017617388E-2</v>
      </c>
      <c r="BZ19">
        <v>5.0238000000000001E-3</v>
      </c>
      <c r="CA19" s="3">
        <f t="shared" si="11"/>
        <v>5.0238000000000002E-5</v>
      </c>
      <c r="CB19" s="11">
        <f>+'Seat capacity elasticities'!AF49</f>
        <v>5.6155722245724203E-2</v>
      </c>
      <c r="CC19" s="11">
        <f>+'Seat capacity elasticities'!AG49</f>
        <v>4.4873083064783131E-2</v>
      </c>
      <c r="CD19" s="11">
        <f>+'Seat capacity elasticities'!AH49</f>
        <v>0.15407346175722164</v>
      </c>
      <c r="CE19" s="11">
        <f>+'Seat capacity elasticities'!AI49</f>
        <v>5.3139177313558966E-2</v>
      </c>
      <c r="CF19" s="32">
        <f t="shared" si="36"/>
        <v>1997145.671066832</v>
      </c>
      <c r="CG19" s="33">
        <f t="shared" si="37"/>
        <v>5.6155722245724204E-4</v>
      </c>
      <c r="CH19" s="40">
        <f t="shared" si="38"/>
        <v>1595885.156602677</v>
      </c>
      <c r="CI19" s="33">
        <f t="shared" si="39"/>
        <v>4.4873083064783133E-4</v>
      </c>
      <c r="CJ19" s="40">
        <f t="shared" si="40"/>
        <v>7019586.9176590182</v>
      </c>
      <c r="CK19" s="41">
        <f t="shared" si="41"/>
        <v>1.5407346175722164E-3</v>
      </c>
      <c r="CL19" s="40">
        <f t="shared" si="42"/>
        <v>2421020.918405747</v>
      </c>
      <c r="CM19" s="41">
        <f t="shared" si="43"/>
        <v>5.3139177313558982E-4</v>
      </c>
      <c r="CO19" s="70">
        <f t="shared" si="44"/>
        <v>0</v>
      </c>
      <c r="CP19" s="70">
        <f t="shared" si="45"/>
        <v>0</v>
      </c>
      <c r="CQ19" s="70">
        <f t="shared" si="46"/>
        <v>0</v>
      </c>
      <c r="CR19" s="70">
        <f t="shared" si="47"/>
        <v>0</v>
      </c>
      <c r="CS19" s="70">
        <f t="shared" si="48"/>
        <v>0</v>
      </c>
      <c r="CT19" s="70">
        <f t="shared" si="49"/>
        <v>0</v>
      </c>
      <c r="CU19" s="69">
        <f t="shared" si="50"/>
        <v>0</v>
      </c>
      <c r="CV19" s="69">
        <f t="shared" si="51"/>
        <v>0</v>
      </c>
      <c r="CW19" s="70">
        <f t="shared" si="52"/>
        <v>0</v>
      </c>
      <c r="CX19" s="69">
        <f t="shared" si="53"/>
        <v>0</v>
      </c>
      <c r="CY19" s="69">
        <f t="shared" si="54"/>
        <v>0</v>
      </c>
      <c r="CZ19" s="70">
        <f t="shared" si="55"/>
        <v>0</v>
      </c>
      <c r="DB19" s="70">
        <f t="shared" si="56"/>
        <v>5.9103765114767093</v>
      </c>
      <c r="DC19" s="70">
        <f t="shared" si="57"/>
        <v>17.236386845952566</v>
      </c>
      <c r="DD19" s="70">
        <f t="shared" si="58"/>
        <v>23.146763357429275</v>
      </c>
      <c r="DE19" s="70">
        <f t="shared" si="59"/>
        <v>11.201798360501337</v>
      </c>
      <c r="DF19" s="70">
        <f t="shared" si="60"/>
        <v>13.773303730129777</v>
      </c>
      <c r="DG19" s="70">
        <f t="shared" si="61"/>
        <v>24.975102090631115</v>
      </c>
      <c r="DH19" s="69">
        <f t="shared" si="62"/>
        <v>20.773848517639106</v>
      </c>
      <c r="DI19" s="69">
        <f t="shared" si="63"/>
        <v>60.582619167147257</v>
      </c>
      <c r="DJ19" s="70">
        <f t="shared" si="64"/>
        <v>81.356467684786367</v>
      </c>
      <c r="DK19" s="69">
        <f t="shared" si="65"/>
        <v>16.993571274432792</v>
      </c>
      <c r="DL19" s="69">
        <f t="shared" si="66"/>
        <v>20.894646653137595</v>
      </c>
      <c r="DM19" s="70">
        <f t="shared" si="67"/>
        <v>37.888217927570388</v>
      </c>
    </row>
    <row r="20" spans="1:117">
      <c r="A20" t="s">
        <v>280</v>
      </c>
      <c r="B20">
        <v>5385586</v>
      </c>
      <c r="C20">
        <v>3235326</v>
      </c>
      <c r="D20" s="51">
        <v>44729.85</v>
      </c>
      <c r="E20" s="32">
        <f t="shared" si="0"/>
        <v>144715646681.10001</v>
      </c>
      <c r="F20">
        <v>244325</v>
      </c>
      <c r="G20" s="37">
        <f t="shared" si="1"/>
        <v>4.5366465227739378E-2</v>
      </c>
      <c r="H20">
        <v>3.5412999999999998E-3</v>
      </c>
      <c r="I20" s="3">
        <f t="shared" si="2"/>
        <v>3.5413000000000001E-5</v>
      </c>
      <c r="J20" s="11">
        <f>+'Seat capacity elasticities'!K50</f>
        <v>5.1612929827808112E-3</v>
      </c>
      <c r="K20" s="11">
        <f>+'Seat capacity elasticities'!L50</f>
        <v>2.5609681381886001E-2</v>
      </c>
      <c r="L20" s="11">
        <f>+'Seat capacity elasticities'!M50</f>
        <v>1.4160948256005114E-2</v>
      </c>
      <c r="M20" s="11">
        <f>+'Seat capacity elasticities'!N50</f>
        <v>3.0327254268022897E-2</v>
      </c>
      <c r="N20" s="32">
        <f t="shared" si="12"/>
        <v>7469198.5171374865</v>
      </c>
      <c r="O20" s="33">
        <f t="shared" si="13"/>
        <v>5.1612929827808113E-5</v>
      </c>
      <c r="P20" s="40">
        <f t="shared" si="14"/>
        <v>37061216.024765596</v>
      </c>
      <c r="Q20" s="33">
        <f t="shared" si="15"/>
        <v>2.5609681381885999E-4</v>
      </c>
      <c r="R20" s="40">
        <f t="shared" si="16"/>
        <v>34598736.826484494</v>
      </c>
      <c r="S20" s="41">
        <f t="shared" si="17"/>
        <v>1.4160948256005114E-4</v>
      </c>
      <c r="T20" s="40">
        <f t="shared" si="18"/>
        <v>74097063.990346938</v>
      </c>
      <c r="U20" s="41">
        <f t="shared" si="19"/>
        <v>3.0327254268022893E-4</v>
      </c>
      <c r="V20" s="53"/>
      <c r="W20" s="53"/>
      <c r="X20" t="s">
        <v>280</v>
      </c>
      <c r="Y20">
        <v>5385586</v>
      </c>
      <c r="Z20">
        <v>3235326</v>
      </c>
      <c r="AA20" s="51">
        <v>44729.85</v>
      </c>
      <c r="AB20" s="32">
        <f t="shared" si="3"/>
        <v>144715646681.10001</v>
      </c>
      <c r="AC20">
        <v>244325</v>
      </c>
      <c r="AD20" s="37">
        <f t="shared" si="4"/>
        <v>4.5366465227739378E-2</v>
      </c>
      <c r="AE20">
        <v>6.9099000000000001E-3</v>
      </c>
      <c r="AF20" s="3">
        <f t="shared" si="5"/>
        <v>6.9098999999999997E-5</v>
      </c>
      <c r="AG20" s="11">
        <f>+'Seat capacity elasticities'!R50</f>
        <v>9.2582294637776914E-3</v>
      </c>
      <c r="AH20" s="11">
        <f>+'Seat capacity elasticities'!S50</f>
        <v>1.754690575585318E-2</v>
      </c>
      <c r="AI20" s="11">
        <f>+'Seat capacity elasticities'!T50</f>
        <v>2.5401640406032655E-2</v>
      </c>
      <c r="AJ20" s="11">
        <f>+'Seat capacity elasticities'!U50</f>
        <v>2.077923050035245E-2</v>
      </c>
      <c r="AK20" s="32">
        <f t="shared" si="20"/>
        <v>13398106.639726024</v>
      </c>
      <c r="AL20" s="33">
        <f t="shared" si="21"/>
        <v>9.258229463777692E-5</v>
      </c>
      <c r="AM20" s="40">
        <f t="shared" si="22"/>
        <v>25393118.137106091</v>
      </c>
      <c r="AN20" s="33">
        <f t="shared" si="23"/>
        <v>1.7546905755853182E-4</v>
      </c>
      <c r="AO20" s="40">
        <f t="shared" si="24"/>
        <v>62062557.922039293</v>
      </c>
      <c r="AP20" s="41">
        <f t="shared" si="25"/>
        <v>2.5401640406032657E-4</v>
      </c>
      <c r="AQ20" s="40">
        <f t="shared" si="26"/>
        <v>50768854.919986129</v>
      </c>
      <c r="AR20" s="41">
        <f t="shared" si="27"/>
        <v>2.0779230500352452E-4</v>
      </c>
      <c r="AV20" t="s">
        <v>280</v>
      </c>
      <c r="AW20">
        <v>5385586</v>
      </c>
      <c r="AX20">
        <v>3235326</v>
      </c>
      <c r="AY20" s="51">
        <v>44729.85</v>
      </c>
      <c r="AZ20" s="32">
        <f t="shared" si="6"/>
        <v>144715646681.10001</v>
      </c>
      <c r="BA20">
        <v>244325</v>
      </c>
      <c r="BB20" s="37">
        <f t="shared" si="7"/>
        <v>4.5366465227739378E-2</v>
      </c>
      <c r="BC20">
        <v>3.5412999999999998E-3</v>
      </c>
      <c r="BD20" s="3">
        <f t="shared" si="8"/>
        <v>3.5413000000000001E-5</v>
      </c>
      <c r="BE20" s="11">
        <f>+'Seat capacity elasticities'!Y50</f>
        <v>1.3299658490618803E-2</v>
      </c>
      <c r="BF20" s="11">
        <f>+'Seat capacity elasticities'!Z50</f>
        <v>3.6279378545063613E-2</v>
      </c>
      <c r="BG20" s="11">
        <f>+'Seat capacity elasticities'!AA50</f>
        <v>3.6490037735993831E-2</v>
      </c>
      <c r="BH20" s="11">
        <f>+'Seat capacity elasticities'!AB50</f>
        <v>4.2962421961259545E-2</v>
      </c>
      <c r="BI20" s="32">
        <f t="shared" si="28"/>
        <v>19246686.791076824</v>
      </c>
      <c r="BJ20" s="33">
        <f t="shared" si="29"/>
        <v>1.3299658490618802E-4</v>
      </c>
      <c r="BK20" s="40">
        <f t="shared" si="30"/>
        <v>52501937.27337306</v>
      </c>
      <c r="BL20" s="33">
        <f t="shared" si="31"/>
        <v>3.6279378545063615E-4</v>
      </c>
      <c r="BM20" s="40">
        <f t="shared" si="32"/>
        <v>89154284.698466942</v>
      </c>
      <c r="BN20" s="41">
        <f t="shared" si="33"/>
        <v>3.6490037735993836E-4</v>
      </c>
      <c r="BO20" s="40">
        <f t="shared" si="34"/>
        <v>104967937.45684738</v>
      </c>
      <c r="BP20" s="41">
        <f t="shared" si="35"/>
        <v>4.296242196125955E-4</v>
      </c>
      <c r="BQ20" s="53"/>
      <c r="BR20" s="53"/>
      <c r="BS20" t="s">
        <v>280</v>
      </c>
      <c r="BT20">
        <v>5385586</v>
      </c>
      <c r="BU20">
        <v>3235326</v>
      </c>
      <c r="BV20" s="51">
        <v>44729.85</v>
      </c>
      <c r="BW20" s="32">
        <f t="shared" si="9"/>
        <v>144715646681.10001</v>
      </c>
      <c r="BX20">
        <v>244325</v>
      </c>
      <c r="BY20" s="37">
        <f t="shared" si="10"/>
        <v>4.5366465227739378E-2</v>
      </c>
      <c r="BZ20">
        <v>6.9099000000000001E-3</v>
      </c>
      <c r="CA20" s="3">
        <f t="shared" si="11"/>
        <v>6.9098999999999997E-5</v>
      </c>
      <c r="CB20" s="11">
        <f>+'Seat capacity elasticities'!AF50</f>
        <v>2.7238607043924409E-3</v>
      </c>
      <c r="CC20" s="11">
        <f>+'Seat capacity elasticities'!AG50</f>
        <v>2.1765907864252847E-3</v>
      </c>
      <c r="CD20" s="11">
        <f>+'Seat capacity elasticities'!AH50</f>
        <v>7.4734084308240249E-3</v>
      </c>
      <c r="CE20" s="11">
        <f>+'Seat capacity elasticities'!AI50</f>
        <v>2.5775417207667844E-3</v>
      </c>
      <c r="CF20" s="32">
        <f t="shared" si="36"/>
        <v>3941852.6330538867</v>
      </c>
      <c r="CG20" s="33">
        <f t="shared" si="37"/>
        <v>2.7238607043924411E-5</v>
      </c>
      <c r="CH20" s="40">
        <f t="shared" si="38"/>
        <v>3149867.4321765909</v>
      </c>
      <c r="CI20" s="33">
        <f t="shared" si="39"/>
        <v>2.1765907864252846E-5</v>
      </c>
      <c r="CJ20" s="40">
        <f t="shared" si="40"/>
        <v>18259405.148610797</v>
      </c>
      <c r="CK20" s="41">
        <f t="shared" si="41"/>
        <v>7.4734084308240246E-5</v>
      </c>
      <c r="CL20" s="40">
        <f t="shared" si="42"/>
        <v>6297578.8092634473</v>
      </c>
      <c r="CM20" s="41">
        <f t="shared" si="43"/>
        <v>2.5775417207667851E-5</v>
      </c>
      <c r="CO20" s="70">
        <f t="shared" si="44"/>
        <v>2.3086386092583826</v>
      </c>
      <c r="CP20" s="70">
        <f t="shared" si="45"/>
        <v>5.9489172933660548</v>
      </c>
      <c r="CQ20" s="70">
        <f t="shared" si="46"/>
        <v>8.2575559026244374</v>
      </c>
      <c r="CR20" s="70">
        <f t="shared" si="47"/>
        <v>11.455172067595536</v>
      </c>
      <c r="CS20" s="70">
        <f t="shared" si="48"/>
        <v>16.227711604139138</v>
      </c>
      <c r="CT20" s="70">
        <f t="shared" si="49"/>
        <v>27.682883671734672</v>
      </c>
      <c r="CU20" s="69">
        <f t="shared" si="50"/>
        <v>10.694049634096995</v>
      </c>
      <c r="CV20" s="69">
        <f t="shared" si="51"/>
        <v>27.556507349944624</v>
      </c>
      <c r="CW20" s="70">
        <f t="shared" si="52"/>
        <v>38.250556984041623</v>
      </c>
      <c r="CX20" s="69">
        <f t="shared" si="53"/>
        <v>22.902503175985029</v>
      </c>
      <c r="CY20" s="69">
        <f t="shared" si="54"/>
        <v>32.444315489952906</v>
      </c>
      <c r="CZ20" s="70">
        <f t="shared" si="55"/>
        <v>55.346818665937931</v>
      </c>
      <c r="DB20" s="70">
        <f t="shared" si="56"/>
        <v>4.1411921518035664</v>
      </c>
      <c r="DC20" s="70">
        <f t="shared" si="57"/>
        <v>1.2183788072836823</v>
      </c>
      <c r="DD20" s="70">
        <f t="shared" si="58"/>
        <v>5.3595709590872485</v>
      </c>
      <c r="DE20" s="70">
        <f t="shared" si="59"/>
        <v>7.8487046242344949</v>
      </c>
      <c r="DF20" s="70">
        <f t="shared" si="60"/>
        <v>0.97358579388185018</v>
      </c>
      <c r="DG20" s="70">
        <f t="shared" si="61"/>
        <v>8.8222904181163457</v>
      </c>
      <c r="DH20" s="69">
        <f t="shared" si="62"/>
        <v>19.182783411019258</v>
      </c>
      <c r="DI20" s="69">
        <f t="shared" si="63"/>
        <v>5.6437605201487564</v>
      </c>
      <c r="DJ20" s="70">
        <f t="shared" si="64"/>
        <v>24.826543931168015</v>
      </c>
      <c r="DK20" s="69">
        <f t="shared" si="65"/>
        <v>15.69203688283225</v>
      </c>
      <c r="DL20" s="69">
        <f t="shared" si="66"/>
        <v>1.9465051773031365</v>
      </c>
      <c r="DM20" s="70">
        <f t="shared" si="67"/>
        <v>17.638542060135386</v>
      </c>
    </row>
    <row r="21" spans="1:117">
      <c r="A21" t="s">
        <v>307</v>
      </c>
      <c r="B21">
        <v>133105</v>
      </c>
      <c r="C21">
        <v>68995</v>
      </c>
      <c r="D21" s="51">
        <v>26619.3</v>
      </c>
      <c r="E21" s="32">
        <f t="shared" si="0"/>
        <v>1836598603.5</v>
      </c>
      <c r="F21">
        <v>2552</v>
      </c>
      <c r="G21" s="37">
        <f t="shared" si="1"/>
        <v>1.9172833477329926E-2</v>
      </c>
      <c r="H21">
        <v>0</v>
      </c>
      <c r="I21" s="3">
        <f t="shared" si="2"/>
        <v>0</v>
      </c>
      <c r="J21" s="11">
        <f>+'Seat capacity elasticities'!K51</f>
        <v>0</v>
      </c>
      <c r="K21" s="11">
        <f>+'Seat capacity elasticities'!L51</f>
        <v>0</v>
      </c>
      <c r="L21" s="11">
        <f>+'Seat capacity elasticities'!M51</f>
        <v>0</v>
      </c>
      <c r="M21" s="11">
        <f>+'Seat capacity elasticities'!N51</f>
        <v>0</v>
      </c>
      <c r="N21" s="32">
        <f t="shared" si="12"/>
        <v>0</v>
      </c>
      <c r="O21" s="33">
        <f t="shared" si="13"/>
        <v>0</v>
      </c>
      <c r="P21" s="40">
        <f t="shared" si="14"/>
        <v>0</v>
      </c>
      <c r="Q21" s="33">
        <f t="shared" si="15"/>
        <v>0</v>
      </c>
      <c r="R21" s="40">
        <f t="shared" si="16"/>
        <v>0</v>
      </c>
      <c r="S21" s="41">
        <f t="shared" si="17"/>
        <v>0</v>
      </c>
      <c r="T21" s="40">
        <f t="shared" si="18"/>
        <v>0</v>
      </c>
      <c r="U21" s="41">
        <f t="shared" si="19"/>
        <v>0</v>
      </c>
      <c r="V21" s="53"/>
      <c r="W21" s="53"/>
      <c r="X21" t="s">
        <v>307</v>
      </c>
      <c r="Y21">
        <v>133105</v>
      </c>
      <c r="Z21">
        <v>68995</v>
      </c>
      <c r="AA21" s="51">
        <v>26619.3</v>
      </c>
      <c r="AB21" s="32">
        <f t="shared" si="3"/>
        <v>1836598603.5</v>
      </c>
      <c r="AC21">
        <v>2552</v>
      </c>
      <c r="AD21" s="37">
        <f t="shared" si="4"/>
        <v>1.9172833477329926E-2</v>
      </c>
      <c r="AE21">
        <v>1.9497E-3</v>
      </c>
      <c r="AF21" s="3">
        <f t="shared" si="5"/>
        <v>1.9497E-5</v>
      </c>
      <c r="AG21" s="11">
        <f>+'Seat capacity elasticities'!R51</f>
        <v>8.1652384227016515E-3</v>
      </c>
      <c r="AH21" s="11">
        <f>+'Seat capacity elasticities'!S51</f>
        <v>1.547538540039122E-2</v>
      </c>
      <c r="AI21" s="11">
        <f>+'Seat capacity elasticities'!T51</f>
        <v>2.2402820221130888E-2</v>
      </c>
      <c r="AJ21" s="11">
        <f>+'Seat capacity elasticities'!U51</f>
        <v>1.8326114289936971E-2</v>
      </c>
      <c r="AK21" s="32">
        <f t="shared" si="20"/>
        <v>149962.65484378397</v>
      </c>
      <c r="AL21" s="33">
        <f t="shared" si="21"/>
        <v>8.165238422701652E-5</v>
      </c>
      <c r="AM21" s="40">
        <f t="shared" si="22"/>
        <v>284220.71214982803</v>
      </c>
      <c r="AN21" s="33">
        <f t="shared" si="23"/>
        <v>1.547538540039122E-4</v>
      </c>
      <c r="AO21" s="40">
        <f t="shared" si="24"/>
        <v>571719.97204326023</v>
      </c>
      <c r="AP21" s="41">
        <f t="shared" si="25"/>
        <v>2.2402820221130887E-4</v>
      </c>
      <c r="AQ21" s="40">
        <f t="shared" si="26"/>
        <v>467682.43667919148</v>
      </c>
      <c r="AR21" s="41">
        <f t="shared" si="27"/>
        <v>1.8326114289936971E-4</v>
      </c>
      <c r="AV21" t="s">
        <v>307</v>
      </c>
      <c r="AW21">
        <v>133105</v>
      </c>
      <c r="AX21">
        <v>68995</v>
      </c>
      <c r="AY21" s="51">
        <v>26619.3</v>
      </c>
      <c r="AZ21" s="32">
        <f t="shared" si="6"/>
        <v>1836598603.5</v>
      </c>
      <c r="BA21">
        <v>2552</v>
      </c>
      <c r="BB21" s="37">
        <f t="shared" si="7"/>
        <v>1.9172833477329926E-2</v>
      </c>
      <c r="BC21">
        <v>0</v>
      </c>
      <c r="BD21" s="3">
        <f t="shared" si="8"/>
        <v>0</v>
      </c>
      <c r="BE21" s="11">
        <f>+'Seat capacity elasticities'!Y51</f>
        <v>0</v>
      </c>
      <c r="BF21" s="11">
        <f>+'Seat capacity elasticities'!Z51</f>
        <v>0</v>
      </c>
      <c r="BG21" s="11">
        <f>+'Seat capacity elasticities'!AA51</f>
        <v>0</v>
      </c>
      <c r="BH21" s="11">
        <f>+'Seat capacity elasticities'!AB51</f>
        <v>0</v>
      </c>
      <c r="BI21" s="32">
        <f t="shared" si="28"/>
        <v>0</v>
      </c>
      <c r="BJ21" s="33">
        <f t="shared" si="29"/>
        <v>0</v>
      </c>
      <c r="BK21" s="40">
        <f t="shared" si="30"/>
        <v>0</v>
      </c>
      <c r="BL21" s="33">
        <f t="shared" si="31"/>
        <v>0</v>
      </c>
      <c r="BM21" s="40">
        <f t="shared" si="32"/>
        <v>0</v>
      </c>
      <c r="BN21" s="41">
        <f t="shared" si="33"/>
        <v>0</v>
      </c>
      <c r="BO21" s="40">
        <f t="shared" si="34"/>
        <v>0</v>
      </c>
      <c r="BP21" s="41">
        <f t="shared" si="35"/>
        <v>0</v>
      </c>
      <c r="BQ21" s="53"/>
      <c r="BR21" s="53"/>
      <c r="BS21" t="s">
        <v>307</v>
      </c>
      <c r="BT21">
        <v>133105</v>
      </c>
      <c r="BU21">
        <v>68995</v>
      </c>
      <c r="BV21" s="51">
        <v>26619.3</v>
      </c>
      <c r="BW21" s="32">
        <f t="shared" si="9"/>
        <v>1836598603.5</v>
      </c>
      <c r="BX21">
        <v>2552</v>
      </c>
      <c r="BY21" s="37">
        <f t="shared" si="10"/>
        <v>1.9172833477329926E-2</v>
      </c>
      <c r="BZ21">
        <v>1.9497E-3</v>
      </c>
      <c r="CA21" s="3">
        <f t="shared" si="11"/>
        <v>1.9497E-5</v>
      </c>
      <c r="CB21" s="11">
        <f>+'Seat capacity elasticities'!AF51</f>
        <v>3.1097073444187696E-2</v>
      </c>
      <c r="CC21" s="11">
        <f>+'Seat capacity elasticities'!AG51</f>
        <v>2.4849142775275158E-2</v>
      </c>
      <c r="CD21" s="11">
        <f>+'Seat capacity elasticities'!AH51</f>
        <v>8.5320490316182843E-2</v>
      </c>
      <c r="CE21" s="11">
        <f>+'Seat capacity elasticities'!AI51</f>
        <v>2.9426616444404793E-2</v>
      </c>
      <c r="CF21" s="32">
        <f t="shared" si="36"/>
        <v>571128.41660532064</v>
      </c>
      <c r="CG21" s="33">
        <f t="shared" si="37"/>
        <v>3.1097073444187698E-4</v>
      </c>
      <c r="CH21" s="40">
        <f t="shared" si="38"/>
        <v>456379.00919242471</v>
      </c>
      <c r="CI21" s="33">
        <f t="shared" si="39"/>
        <v>2.4849142775275161E-4</v>
      </c>
      <c r="CJ21" s="40">
        <f t="shared" si="40"/>
        <v>2177378.9128689859</v>
      </c>
      <c r="CK21" s="41">
        <f t="shared" si="41"/>
        <v>8.532049031618284E-4</v>
      </c>
      <c r="CL21" s="40">
        <f t="shared" si="42"/>
        <v>750967.25166121032</v>
      </c>
      <c r="CM21" s="41">
        <f t="shared" si="43"/>
        <v>2.9426616444404796E-4</v>
      </c>
      <c r="CO21" s="70">
        <f t="shared" si="44"/>
        <v>0</v>
      </c>
      <c r="CP21" s="70">
        <f t="shared" si="45"/>
        <v>0</v>
      </c>
      <c r="CQ21" s="70">
        <f t="shared" si="46"/>
        <v>0</v>
      </c>
      <c r="CR21" s="70">
        <f t="shared" si="47"/>
        <v>0</v>
      </c>
      <c r="CS21" s="70">
        <f t="shared" si="48"/>
        <v>0</v>
      </c>
      <c r="CT21" s="70">
        <f t="shared" si="49"/>
        <v>0</v>
      </c>
      <c r="CU21" s="69">
        <f t="shared" si="50"/>
        <v>0</v>
      </c>
      <c r="CV21" s="69">
        <f t="shared" si="51"/>
        <v>0</v>
      </c>
      <c r="CW21" s="70">
        <f t="shared" si="52"/>
        <v>0</v>
      </c>
      <c r="CX21" s="69">
        <f t="shared" si="53"/>
        <v>0</v>
      </c>
      <c r="CY21" s="69">
        <f t="shared" si="54"/>
        <v>0</v>
      </c>
      <c r="CZ21" s="70">
        <f t="shared" si="55"/>
        <v>0</v>
      </c>
      <c r="DB21" s="70">
        <f t="shared" si="56"/>
        <v>2.1735293114542209</v>
      </c>
      <c r="DC21" s="70">
        <f t="shared" si="57"/>
        <v>8.277823271328657</v>
      </c>
      <c r="DD21" s="70">
        <f t="shared" si="58"/>
        <v>10.451352582782878</v>
      </c>
      <c r="DE21" s="70">
        <f t="shared" si="59"/>
        <v>4.1194392658863404</v>
      </c>
      <c r="DF21" s="70">
        <f t="shared" si="60"/>
        <v>6.6146678627788207</v>
      </c>
      <c r="DG21" s="70">
        <f t="shared" si="61"/>
        <v>10.734107128665162</v>
      </c>
      <c r="DH21" s="69">
        <f t="shared" si="62"/>
        <v>8.2863971598414405</v>
      </c>
      <c r="DI21" s="69">
        <f t="shared" si="63"/>
        <v>31.55850297657781</v>
      </c>
      <c r="DJ21" s="70">
        <f t="shared" si="64"/>
        <v>39.844900136419248</v>
      </c>
      <c r="DK21" s="69">
        <f t="shared" si="65"/>
        <v>6.7784975241566991</v>
      </c>
      <c r="DL21" s="69">
        <f t="shared" si="66"/>
        <v>10.88437208002334</v>
      </c>
      <c r="DM21" s="70">
        <f t="shared" si="67"/>
        <v>17.662869604180038</v>
      </c>
    </row>
    <row r="22" spans="1:117">
      <c r="A22" t="s">
        <v>309</v>
      </c>
      <c r="B22">
        <v>534612</v>
      </c>
      <c r="C22">
        <v>306044</v>
      </c>
      <c r="D22" s="51">
        <v>34759.18</v>
      </c>
      <c r="E22" s="32">
        <f t="shared" si="0"/>
        <v>10637838483.92</v>
      </c>
      <c r="F22">
        <v>13429</v>
      </c>
      <c r="G22" s="37">
        <f t="shared" si="1"/>
        <v>2.5119151833479233E-2</v>
      </c>
      <c r="H22">
        <v>0</v>
      </c>
      <c r="I22" s="3">
        <f t="shared" si="2"/>
        <v>0</v>
      </c>
      <c r="J22" s="11">
        <f>+'Seat capacity elasticities'!K52</f>
        <v>0</v>
      </c>
      <c r="K22" s="11">
        <f>+'Seat capacity elasticities'!L52</f>
        <v>0</v>
      </c>
      <c r="L22" s="11">
        <f>+'Seat capacity elasticities'!M52</f>
        <v>0</v>
      </c>
      <c r="M22" s="11">
        <f>+'Seat capacity elasticities'!N52</f>
        <v>0</v>
      </c>
      <c r="N22" s="32">
        <f t="shared" si="12"/>
        <v>0</v>
      </c>
      <c r="O22" s="33">
        <f t="shared" si="13"/>
        <v>0</v>
      </c>
      <c r="P22" s="40">
        <f t="shared" si="14"/>
        <v>0</v>
      </c>
      <c r="Q22" s="33">
        <f t="shared" si="15"/>
        <v>0</v>
      </c>
      <c r="R22" s="40">
        <f t="shared" si="16"/>
        <v>0</v>
      </c>
      <c r="S22" s="41">
        <f t="shared" si="17"/>
        <v>0</v>
      </c>
      <c r="T22" s="40">
        <f t="shared" si="18"/>
        <v>0</v>
      </c>
      <c r="U22" s="41">
        <f t="shared" si="19"/>
        <v>0</v>
      </c>
      <c r="V22" s="53"/>
      <c r="W22" s="53"/>
      <c r="X22" t="s">
        <v>309</v>
      </c>
      <c r="Y22">
        <v>534612</v>
      </c>
      <c r="Z22">
        <v>306044</v>
      </c>
      <c r="AA22" s="51">
        <v>34759.18</v>
      </c>
      <c r="AB22" s="32">
        <f t="shared" si="3"/>
        <v>10637838483.92</v>
      </c>
      <c r="AC22">
        <v>13429</v>
      </c>
      <c r="AD22" s="37">
        <f t="shared" si="4"/>
        <v>2.5119151833479233E-2</v>
      </c>
      <c r="AE22">
        <v>1.3477000000000001E-3</v>
      </c>
      <c r="AF22" s="3">
        <f t="shared" si="5"/>
        <v>1.3477000000000002E-5</v>
      </c>
      <c r="AG22" s="11">
        <f>+'Seat capacity elasticities'!R52</f>
        <v>6.5005513393980186E-3</v>
      </c>
      <c r="AH22" s="11">
        <f>+'Seat capacity elasticities'!S52</f>
        <v>1.2320342907871689E-2</v>
      </c>
      <c r="AI22" s="11">
        <f>+'Seat capacity elasticities'!T52</f>
        <v>1.7835447718203952E-2</v>
      </c>
      <c r="AJ22" s="11">
        <f>+'Seat capacity elasticities'!U52</f>
        <v>1.4589879759321737E-2</v>
      </c>
      <c r="AK22" s="32">
        <f t="shared" si="20"/>
        <v>691518.15204945952</v>
      </c>
      <c r="AL22" s="33">
        <f t="shared" si="21"/>
        <v>6.5005513393980193E-5</v>
      </c>
      <c r="AM22" s="40">
        <f t="shared" si="22"/>
        <v>1310618.1792044831</v>
      </c>
      <c r="AN22" s="33">
        <f t="shared" si="23"/>
        <v>1.232034290787169E-4</v>
      </c>
      <c r="AO22" s="40">
        <f t="shared" si="24"/>
        <v>2395122.2740776087</v>
      </c>
      <c r="AP22" s="41">
        <f t="shared" si="25"/>
        <v>1.7835447718203952E-4</v>
      </c>
      <c r="AQ22" s="40">
        <f t="shared" si="26"/>
        <v>1959274.9528793162</v>
      </c>
      <c r="AR22" s="41">
        <f t="shared" si="27"/>
        <v>1.4589879759321737E-4</v>
      </c>
      <c r="AV22" t="s">
        <v>309</v>
      </c>
      <c r="AW22">
        <v>534612</v>
      </c>
      <c r="AX22">
        <v>306044</v>
      </c>
      <c r="AY22" s="51">
        <v>34759.18</v>
      </c>
      <c r="AZ22" s="32">
        <f t="shared" si="6"/>
        <v>10637838483.92</v>
      </c>
      <c r="BA22">
        <v>13429</v>
      </c>
      <c r="BB22" s="37">
        <f t="shared" si="7"/>
        <v>2.5119151833479233E-2</v>
      </c>
      <c r="BC22">
        <v>0</v>
      </c>
      <c r="BD22" s="3">
        <f t="shared" si="8"/>
        <v>0</v>
      </c>
      <c r="BE22" s="11">
        <f>+'Seat capacity elasticities'!Y52</f>
        <v>0</v>
      </c>
      <c r="BF22" s="11">
        <f>+'Seat capacity elasticities'!Z52</f>
        <v>0</v>
      </c>
      <c r="BG22" s="11">
        <f>+'Seat capacity elasticities'!AA52</f>
        <v>0</v>
      </c>
      <c r="BH22" s="11">
        <f>+'Seat capacity elasticities'!AB52</f>
        <v>0</v>
      </c>
      <c r="BI22" s="32">
        <f t="shared" si="28"/>
        <v>0</v>
      </c>
      <c r="BJ22" s="33">
        <f t="shared" si="29"/>
        <v>0</v>
      </c>
      <c r="BK22" s="40">
        <f t="shared" si="30"/>
        <v>0</v>
      </c>
      <c r="BL22" s="33">
        <f t="shared" si="31"/>
        <v>0</v>
      </c>
      <c r="BM22" s="40">
        <f t="shared" si="32"/>
        <v>0</v>
      </c>
      <c r="BN22" s="41">
        <f t="shared" si="33"/>
        <v>0</v>
      </c>
      <c r="BO22" s="40">
        <f t="shared" si="34"/>
        <v>0</v>
      </c>
      <c r="BP22" s="41">
        <f t="shared" si="35"/>
        <v>0</v>
      </c>
      <c r="BQ22" s="53"/>
      <c r="BR22" s="53"/>
      <c r="BS22" t="s">
        <v>309</v>
      </c>
      <c r="BT22">
        <v>534612</v>
      </c>
      <c r="BU22">
        <v>306044</v>
      </c>
      <c r="BV22" s="51">
        <v>34759.18</v>
      </c>
      <c r="BW22" s="32">
        <f t="shared" si="9"/>
        <v>10637838483.92</v>
      </c>
      <c r="BX22">
        <v>13429</v>
      </c>
      <c r="BY22" s="37">
        <f t="shared" si="10"/>
        <v>2.5119151833479233E-2</v>
      </c>
      <c r="BZ22">
        <v>1.3477000000000001E-3</v>
      </c>
      <c r="CA22" s="3">
        <f t="shared" si="11"/>
        <v>1.3477000000000002E-5</v>
      </c>
      <c r="CB22" s="11">
        <f>+'Seat capacity elasticities'!AF52</f>
        <v>5.3518092150830207E-3</v>
      </c>
      <c r="CC22" s="11">
        <f>+'Seat capacity elasticities'!AG52</f>
        <v>4.2765397692588279E-3</v>
      </c>
      <c r="CD22" s="11">
        <f>+'Seat capacity elasticities'!AH52</f>
        <v>1.4683664272429949E-2</v>
      </c>
      <c r="CE22" s="11">
        <f>+'Seat capacity elasticities'!AI52</f>
        <v>5.0643234109644013E-3</v>
      </c>
      <c r="CF22" s="32">
        <f t="shared" si="36"/>
        <v>569316.82026807847</v>
      </c>
      <c r="CG22" s="33">
        <f t="shared" si="37"/>
        <v>5.3518092150830205E-5</v>
      </c>
      <c r="CH22" s="40">
        <f t="shared" si="38"/>
        <v>454931.3933543592</v>
      </c>
      <c r="CI22" s="33">
        <f t="shared" si="39"/>
        <v>4.2765397692588281E-5</v>
      </c>
      <c r="CJ22" s="40">
        <f t="shared" si="40"/>
        <v>1971869.2751446178</v>
      </c>
      <c r="CK22" s="41">
        <f t="shared" si="41"/>
        <v>1.4683664272429947E-4</v>
      </c>
      <c r="CL22" s="40">
        <f t="shared" si="42"/>
        <v>680087.99085840932</v>
      </c>
      <c r="CM22" s="41">
        <f t="shared" si="43"/>
        <v>5.0643234109644007E-5</v>
      </c>
      <c r="CO22" s="70">
        <f t="shared" si="44"/>
        <v>0</v>
      </c>
      <c r="CP22" s="70">
        <f t="shared" si="45"/>
        <v>0</v>
      </c>
      <c r="CQ22" s="70">
        <f t="shared" si="46"/>
        <v>0</v>
      </c>
      <c r="CR22" s="70">
        <f t="shared" si="47"/>
        <v>0</v>
      </c>
      <c r="CS22" s="70">
        <f t="shared" si="48"/>
        <v>0</v>
      </c>
      <c r="CT22" s="70">
        <f t="shared" si="49"/>
        <v>0</v>
      </c>
      <c r="CU22" s="69">
        <f t="shared" si="50"/>
        <v>0</v>
      </c>
      <c r="CV22" s="69">
        <f t="shared" si="51"/>
        <v>0</v>
      </c>
      <c r="CW22" s="70">
        <f t="shared" si="52"/>
        <v>0</v>
      </c>
      <c r="CX22" s="69">
        <f t="shared" si="53"/>
        <v>0</v>
      </c>
      <c r="CY22" s="69">
        <f t="shared" si="54"/>
        <v>0</v>
      </c>
      <c r="CZ22" s="70">
        <f t="shared" si="55"/>
        <v>0</v>
      </c>
      <c r="DB22" s="70">
        <f t="shared" si="56"/>
        <v>2.2595383410537684</v>
      </c>
      <c r="DC22" s="70">
        <f t="shared" si="57"/>
        <v>1.8602449983272944</v>
      </c>
      <c r="DD22" s="70">
        <f t="shared" si="58"/>
        <v>4.1197833393810628</v>
      </c>
      <c r="DE22" s="70">
        <f t="shared" si="59"/>
        <v>4.2824501679643552</v>
      </c>
      <c r="DF22" s="70">
        <f t="shared" si="60"/>
        <v>1.4864901561682609</v>
      </c>
      <c r="DG22" s="70">
        <f t="shared" si="61"/>
        <v>5.7689403241326165</v>
      </c>
      <c r="DH22" s="69">
        <f t="shared" si="62"/>
        <v>7.8260716566167243</v>
      </c>
      <c r="DI22" s="69">
        <f t="shared" si="63"/>
        <v>6.4430907815367</v>
      </c>
      <c r="DJ22" s="70">
        <f t="shared" si="64"/>
        <v>14.269162438153424</v>
      </c>
      <c r="DK22" s="69">
        <f t="shared" si="65"/>
        <v>6.4019387829178687</v>
      </c>
      <c r="DL22" s="69">
        <f t="shared" si="66"/>
        <v>2.2221902434238521</v>
      </c>
      <c r="DM22" s="70">
        <f t="shared" si="67"/>
        <v>8.6241290263417199</v>
      </c>
    </row>
    <row r="23" spans="1:117">
      <c r="A23" t="s">
        <v>970</v>
      </c>
      <c r="B23">
        <v>1654100</v>
      </c>
      <c r="C23">
        <v>1064064</v>
      </c>
      <c r="D23" s="51">
        <v>44621.43</v>
      </c>
      <c r="E23" s="32">
        <f t="shared" si="0"/>
        <v>47480057291.519997</v>
      </c>
      <c r="F23">
        <v>69128</v>
      </c>
      <c r="G23" s="37">
        <f t="shared" si="1"/>
        <v>4.179191100900792E-2</v>
      </c>
      <c r="H23">
        <v>0</v>
      </c>
      <c r="I23" s="3">
        <f t="shared" si="2"/>
        <v>0</v>
      </c>
      <c r="J23" s="11">
        <f>+'Seat capacity elasticities'!K53</f>
        <v>0</v>
      </c>
      <c r="K23" s="11">
        <f>+'Seat capacity elasticities'!L53</f>
        <v>0</v>
      </c>
      <c r="L23" s="11">
        <f>+'Seat capacity elasticities'!M53</f>
        <v>0</v>
      </c>
      <c r="M23" s="11">
        <f>+'Seat capacity elasticities'!N53</f>
        <v>0</v>
      </c>
      <c r="N23" s="32">
        <f t="shared" si="12"/>
        <v>0</v>
      </c>
      <c r="O23" s="33">
        <f t="shared" si="13"/>
        <v>0</v>
      </c>
      <c r="P23" s="40">
        <f t="shared" si="14"/>
        <v>0</v>
      </c>
      <c r="Q23" s="33">
        <f t="shared" si="15"/>
        <v>0</v>
      </c>
      <c r="R23" s="40">
        <f t="shared" si="16"/>
        <v>0</v>
      </c>
      <c r="S23" s="41">
        <f t="shared" si="17"/>
        <v>0</v>
      </c>
      <c r="T23" s="40">
        <f t="shared" si="18"/>
        <v>0</v>
      </c>
      <c r="U23" s="41">
        <f t="shared" si="19"/>
        <v>0</v>
      </c>
      <c r="V23" s="53"/>
      <c r="W23" s="53"/>
      <c r="X23" t="s">
        <v>970</v>
      </c>
      <c r="Y23">
        <v>1654100</v>
      </c>
      <c r="Z23">
        <v>1064064</v>
      </c>
      <c r="AA23" s="51">
        <v>44621.43</v>
      </c>
      <c r="AB23" s="32">
        <f t="shared" si="3"/>
        <v>47480057291.519997</v>
      </c>
      <c r="AC23">
        <v>69128</v>
      </c>
      <c r="AD23" s="37">
        <f t="shared" si="4"/>
        <v>4.179191100900792E-2</v>
      </c>
      <c r="AE23">
        <v>8.2965000000000001E-3</v>
      </c>
      <c r="AF23" s="3">
        <f t="shared" si="5"/>
        <v>8.2965000000000003E-5</v>
      </c>
      <c r="AG23" s="11">
        <f>+'Seat capacity elasticities'!R53</f>
        <v>1.2335681247053707E-2</v>
      </c>
      <c r="AH23" s="11">
        <f>+'Seat capacity elasticities'!S53</f>
        <v>2.3379528140143567E-2</v>
      </c>
      <c r="AI23" s="11">
        <f>+'Seat capacity elasticities'!T53</f>
        <v>3.3845190425129304E-2</v>
      </c>
      <c r="AJ23" s="11">
        <f>+'Seat capacity elasticities'!U53</f>
        <v>2.7686283323854224E-2</v>
      </c>
      <c r="AK23" s="32">
        <f t="shared" si="20"/>
        <v>5856988.5234003887</v>
      </c>
      <c r="AL23" s="33">
        <f t="shared" si="21"/>
        <v>1.2335681247053709E-4</v>
      </c>
      <c r="AM23" s="40">
        <f t="shared" si="22"/>
        <v>11100613.355427206</v>
      </c>
      <c r="AN23" s="33">
        <f t="shared" si="23"/>
        <v>2.3379528140143568E-4</v>
      </c>
      <c r="AO23" s="40">
        <f t="shared" si="24"/>
        <v>23396503.237083387</v>
      </c>
      <c r="AP23" s="41">
        <f t="shared" si="25"/>
        <v>3.3845190425129307E-4</v>
      </c>
      <c r="AQ23" s="40">
        <f t="shared" si="26"/>
        <v>19138973.93611395</v>
      </c>
      <c r="AR23" s="41">
        <f t="shared" si="27"/>
        <v>2.768628332385423E-4</v>
      </c>
      <c r="AV23" t="s">
        <v>970</v>
      </c>
      <c r="AW23">
        <v>1654100</v>
      </c>
      <c r="AX23">
        <v>1064064</v>
      </c>
      <c r="AY23" s="51">
        <v>44621.43</v>
      </c>
      <c r="AZ23" s="32">
        <f t="shared" si="6"/>
        <v>47480057291.519997</v>
      </c>
      <c r="BA23">
        <v>69128</v>
      </c>
      <c r="BB23" s="37">
        <f t="shared" si="7"/>
        <v>4.179191100900792E-2</v>
      </c>
      <c r="BC23">
        <v>0</v>
      </c>
      <c r="BD23" s="3">
        <f t="shared" si="8"/>
        <v>0</v>
      </c>
      <c r="BE23" s="11">
        <f>+'Seat capacity elasticities'!Y53</f>
        <v>0</v>
      </c>
      <c r="BF23" s="11">
        <f>+'Seat capacity elasticities'!Z53</f>
        <v>0</v>
      </c>
      <c r="BG23" s="11">
        <f>+'Seat capacity elasticities'!AA53</f>
        <v>0</v>
      </c>
      <c r="BH23" s="11">
        <f>+'Seat capacity elasticities'!AB53</f>
        <v>0</v>
      </c>
      <c r="BI23" s="32">
        <f t="shared" si="28"/>
        <v>0</v>
      </c>
      <c r="BJ23" s="33">
        <f t="shared" si="29"/>
        <v>0</v>
      </c>
      <c r="BK23" s="40">
        <f t="shared" si="30"/>
        <v>0</v>
      </c>
      <c r="BL23" s="33">
        <f t="shared" si="31"/>
        <v>0</v>
      </c>
      <c r="BM23" s="40">
        <f t="shared" si="32"/>
        <v>0</v>
      </c>
      <c r="BN23" s="41">
        <f t="shared" si="33"/>
        <v>0</v>
      </c>
      <c r="BO23" s="40">
        <f t="shared" si="34"/>
        <v>0</v>
      </c>
      <c r="BP23" s="41">
        <f t="shared" si="35"/>
        <v>0</v>
      </c>
      <c r="BQ23" s="53"/>
      <c r="BR23" s="53"/>
      <c r="BS23" t="s">
        <v>970</v>
      </c>
      <c r="BT23">
        <v>1654100</v>
      </c>
      <c r="BU23">
        <v>1064064</v>
      </c>
      <c r="BV23" s="51">
        <v>44621.43</v>
      </c>
      <c r="BW23" s="32">
        <f t="shared" si="9"/>
        <v>47480057291.519997</v>
      </c>
      <c r="BX23">
        <v>69128</v>
      </c>
      <c r="BY23" s="37">
        <f t="shared" si="10"/>
        <v>4.179191100900792E-2</v>
      </c>
      <c r="BZ23">
        <v>8.2965000000000001E-3</v>
      </c>
      <c r="CA23" s="3">
        <f t="shared" si="11"/>
        <v>8.2965000000000003E-5</v>
      </c>
      <c r="CB23" s="11">
        <f>+'Seat capacity elasticities'!AF53</f>
        <v>1.0648274870096354E-2</v>
      </c>
      <c r="CC23" s="11">
        <f>+'Seat capacity elasticities'!AG53</f>
        <v>8.5088554404419321E-3</v>
      </c>
      <c r="CD23" s="11">
        <f>+'Seat capacity elasticities'!AH53</f>
        <v>2.9215483398098301E-2</v>
      </c>
      <c r="CE23" s="11">
        <f>+'Seat capacity elasticities'!AI53</f>
        <v>1.0076276179470709E-2</v>
      </c>
      <c r="CF23" s="32">
        <f t="shared" si="36"/>
        <v>5055807.0088802753</v>
      </c>
      <c r="CG23" s="33">
        <f t="shared" si="37"/>
        <v>1.0648274870096353E-4</v>
      </c>
      <c r="CH23" s="40">
        <f t="shared" si="38"/>
        <v>4040009.437974446</v>
      </c>
      <c r="CI23" s="33">
        <f t="shared" si="39"/>
        <v>8.5088554404419328E-5</v>
      </c>
      <c r="CJ23" s="40">
        <f t="shared" si="40"/>
        <v>20196079.363437396</v>
      </c>
      <c r="CK23" s="41">
        <f t="shared" si="41"/>
        <v>2.9215483398098305E-4</v>
      </c>
      <c r="CL23" s="40">
        <f t="shared" si="42"/>
        <v>6965528.1973445127</v>
      </c>
      <c r="CM23" s="41">
        <f t="shared" si="43"/>
        <v>1.007627617947071E-4</v>
      </c>
      <c r="CO23" s="70">
        <f t="shared" si="44"/>
        <v>0</v>
      </c>
      <c r="CP23" s="70">
        <f t="shared" si="45"/>
        <v>0</v>
      </c>
      <c r="CQ23" s="70">
        <f t="shared" si="46"/>
        <v>0</v>
      </c>
      <c r="CR23" s="70">
        <f t="shared" si="47"/>
        <v>0</v>
      </c>
      <c r="CS23" s="70">
        <f t="shared" si="48"/>
        <v>0</v>
      </c>
      <c r="CT23" s="70">
        <f t="shared" si="49"/>
        <v>0</v>
      </c>
      <c r="CU23" s="69">
        <f t="shared" si="50"/>
        <v>0</v>
      </c>
      <c r="CV23" s="69">
        <f t="shared" si="51"/>
        <v>0</v>
      </c>
      <c r="CW23" s="70">
        <f t="shared" si="52"/>
        <v>0</v>
      </c>
      <c r="CX23" s="69">
        <f t="shared" si="53"/>
        <v>0</v>
      </c>
      <c r="CY23" s="69">
        <f t="shared" si="54"/>
        <v>0</v>
      </c>
      <c r="CZ23" s="70">
        <f t="shared" si="55"/>
        <v>0</v>
      </c>
      <c r="DB23" s="70">
        <f t="shared" si="56"/>
        <v>5.5043573726771964</v>
      </c>
      <c r="DC23" s="70">
        <f t="shared" si="57"/>
        <v>4.7514125173676351</v>
      </c>
      <c r="DD23" s="70">
        <f t="shared" si="58"/>
        <v>10.255769890044832</v>
      </c>
      <c r="DE23" s="70">
        <f t="shared" si="59"/>
        <v>10.432279783384462</v>
      </c>
      <c r="DF23" s="70">
        <f t="shared" si="60"/>
        <v>3.7967729741579888</v>
      </c>
      <c r="DG23" s="70">
        <f t="shared" si="61"/>
        <v>14.229052757542451</v>
      </c>
      <c r="DH23" s="69">
        <f t="shared" si="62"/>
        <v>21.987872192916392</v>
      </c>
      <c r="DI23" s="69">
        <f t="shared" si="63"/>
        <v>18.980135934903725</v>
      </c>
      <c r="DJ23" s="70">
        <f t="shared" si="64"/>
        <v>40.968008127820113</v>
      </c>
      <c r="DK23" s="69">
        <f t="shared" si="65"/>
        <v>17.986675553457264</v>
      </c>
      <c r="DL23" s="69">
        <f t="shared" si="66"/>
        <v>6.5461553039521236</v>
      </c>
      <c r="DM23" s="70">
        <f t="shared" si="67"/>
        <v>24.532830857409387</v>
      </c>
    </row>
    <row r="24" spans="1:117">
      <c r="A24" t="s">
        <v>311</v>
      </c>
      <c r="B24">
        <v>797145</v>
      </c>
      <c r="C24">
        <v>370844</v>
      </c>
      <c r="D24" s="51">
        <v>37829.410000000003</v>
      </c>
      <c r="E24" s="32">
        <f t="shared" si="0"/>
        <v>14028809722.040001</v>
      </c>
      <c r="F24">
        <v>22985</v>
      </c>
      <c r="G24" s="37">
        <f t="shared" si="1"/>
        <v>2.8834151879520035E-2</v>
      </c>
      <c r="H24">
        <v>0</v>
      </c>
      <c r="I24" s="3">
        <f t="shared" si="2"/>
        <v>0</v>
      </c>
      <c r="J24" s="11">
        <f>+'Seat capacity elasticities'!K54</f>
        <v>0</v>
      </c>
      <c r="K24" s="11">
        <f>+'Seat capacity elasticities'!L54</f>
        <v>0</v>
      </c>
      <c r="L24" s="11">
        <f>+'Seat capacity elasticities'!M54</f>
        <v>0</v>
      </c>
      <c r="M24" s="11">
        <f>+'Seat capacity elasticities'!N54</f>
        <v>0</v>
      </c>
      <c r="N24" s="32">
        <f t="shared" si="12"/>
        <v>0</v>
      </c>
      <c r="O24" s="33">
        <f t="shared" si="13"/>
        <v>0</v>
      </c>
      <c r="P24" s="40">
        <f t="shared" si="14"/>
        <v>0</v>
      </c>
      <c r="Q24" s="33">
        <f t="shared" si="15"/>
        <v>0</v>
      </c>
      <c r="R24" s="40">
        <f t="shared" si="16"/>
        <v>0</v>
      </c>
      <c r="S24" s="41">
        <f t="shared" si="17"/>
        <v>0</v>
      </c>
      <c r="T24" s="40">
        <f t="shared" si="18"/>
        <v>0</v>
      </c>
      <c r="U24" s="41">
        <f t="shared" si="19"/>
        <v>0</v>
      </c>
      <c r="V24" s="53"/>
      <c r="W24" s="53"/>
      <c r="X24" t="s">
        <v>311</v>
      </c>
      <c r="Y24">
        <v>797145</v>
      </c>
      <c r="Z24">
        <v>370844</v>
      </c>
      <c r="AA24" s="51">
        <v>37829.410000000003</v>
      </c>
      <c r="AB24" s="32">
        <f t="shared" si="3"/>
        <v>14028809722.040001</v>
      </c>
      <c r="AC24">
        <v>22985</v>
      </c>
      <c r="AD24" s="37">
        <f t="shared" si="4"/>
        <v>2.8834151879520035E-2</v>
      </c>
      <c r="AE24">
        <v>3.8245000000000002E-3</v>
      </c>
      <c r="AF24" s="3">
        <f t="shared" si="5"/>
        <v>3.8245000000000004E-5</v>
      </c>
      <c r="AG24" s="11">
        <f>+'Seat capacity elasticities'!R54</f>
        <v>8.0771016556858317E-3</v>
      </c>
      <c r="AH24" s="11">
        <f>+'Seat capacity elasticities'!S54</f>
        <v>1.5308341847355205E-2</v>
      </c>
      <c r="AI24" s="11">
        <f>+'Seat capacity elasticities'!T54</f>
        <v>2.2161000932567627E-2</v>
      </c>
      <c r="AJ24" s="11">
        <f>+'Seat capacity elasticities'!U54</f>
        <v>1.8128299556078531E-2</v>
      </c>
      <c r="AK24" s="32">
        <f t="shared" si="20"/>
        <v>1133121.2223319078</v>
      </c>
      <c r="AL24" s="33">
        <f t="shared" si="21"/>
        <v>8.0771016556858318E-5</v>
      </c>
      <c r="AM24" s="40">
        <f t="shared" si="22"/>
        <v>2147578.1493648849</v>
      </c>
      <c r="AN24" s="33">
        <f t="shared" si="23"/>
        <v>1.5308341847355205E-4</v>
      </c>
      <c r="AO24" s="40">
        <f t="shared" si="24"/>
        <v>5093706.0643506693</v>
      </c>
      <c r="AP24" s="41">
        <f t="shared" si="25"/>
        <v>2.2161000932567629E-4</v>
      </c>
      <c r="AQ24" s="40">
        <f t="shared" si="26"/>
        <v>4166789.6529646502</v>
      </c>
      <c r="AR24" s="41">
        <f t="shared" si="27"/>
        <v>1.8128299556078532E-4</v>
      </c>
      <c r="AV24" t="s">
        <v>311</v>
      </c>
      <c r="AW24">
        <v>797145</v>
      </c>
      <c r="AX24">
        <v>370844</v>
      </c>
      <c r="AY24" s="51">
        <v>37829.410000000003</v>
      </c>
      <c r="AZ24" s="32">
        <f t="shared" si="6"/>
        <v>14028809722.040001</v>
      </c>
      <c r="BA24">
        <v>22985</v>
      </c>
      <c r="BB24" s="37">
        <f t="shared" si="7"/>
        <v>2.8834151879520035E-2</v>
      </c>
      <c r="BC24">
        <v>0</v>
      </c>
      <c r="BD24" s="3">
        <f t="shared" si="8"/>
        <v>0</v>
      </c>
      <c r="BE24" s="11">
        <f>+'Seat capacity elasticities'!Y54</f>
        <v>0</v>
      </c>
      <c r="BF24" s="11">
        <f>+'Seat capacity elasticities'!Z54</f>
        <v>0</v>
      </c>
      <c r="BG24" s="11">
        <f>+'Seat capacity elasticities'!AA54</f>
        <v>0</v>
      </c>
      <c r="BH24" s="11">
        <f>+'Seat capacity elasticities'!AB54</f>
        <v>0</v>
      </c>
      <c r="BI24" s="32">
        <f t="shared" si="28"/>
        <v>0</v>
      </c>
      <c r="BJ24" s="33">
        <f t="shared" si="29"/>
        <v>0</v>
      </c>
      <c r="BK24" s="40">
        <f t="shared" si="30"/>
        <v>0</v>
      </c>
      <c r="BL24" s="33">
        <f t="shared" si="31"/>
        <v>0</v>
      </c>
      <c r="BM24" s="40">
        <f t="shared" si="32"/>
        <v>0</v>
      </c>
      <c r="BN24" s="41">
        <f t="shared" si="33"/>
        <v>0</v>
      </c>
      <c r="BO24" s="40">
        <f t="shared" si="34"/>
        <v>0</v>
      </c>
      <c r="BP24" s="41">
        <f t="shared" si="35"/>
        <v>0</v>
      </c>
      <c r="BQ24" s="53"/>
      <c r="BR24" s="53"/>
      <c r="BS24" t="s">
        <v>311</v>
      </c>
      <c r="BT24">
        <v>797145</v>
      </c>
      <c r="BU24">
        <v>370844</v>
      </c>
      <c r="BV24" s="51">
        <v>37829.410000000003</v>
      </c>
      <c r="BW24" s="32">
        <f t="shared" si="9"/>
        <v>14028809722.040001</v>
      </c>
      <c r="BX24">
        <v>22985</v>
      </c>
      <c r="BY24" s="37">
        <f t="shared" si="10"/>
        <v>2.8834151879520035E-2</v>
      </c>
      <c r="BZ24">
        <v>3.8245000000000002E-3</v>
      </c>
      <c r="CA24" s="3">
        <f t="shared" si="11"/>
        <v>3.8245000000000004E-5</v>
      </c>
      <c r="CB24" s="11">
        <f>+'Seat capacity elasticities'!AF54</f>
        <v>1.0185525404190378E-2</v>
      </c>
      <c r="CC24" s="11">
        <f>+'Seat capacity elasticities'!AG54</f>
        <v>8.1390802084376126E-3</v>
      </c>
      <c r="CD24" s="11">
        <f>+'Seat capacity elasticities'!AH54</f>
        <v>2.7945845874312952E-2</v>
      </c>
      <c r="CE24" s="11">
        <f>+'Seat capacity elasticities'!AI54</f>
        <v>9.63838445736033E-3</v>
      </c>
      <c r="CF24" s="32">
        <f t="shared" si="36"/>
        <v>1428907.9781439139</v>
      </c>
      <c r="CG24" s="33">
        <f t="shared" si="37"/>
        <v>1.0185525404190379E-4</v>
      </c>
      <c r="CH24" s="40">
        <f t="shared" si="38"/>
        <v>1141816.0755659293</v>
      </c>
      <c r="CI24" s="33">
        <f t="shared" si="39"/>
        <v>8.1390802084376122E-5</v>
      </c>
      <c r="CJ24" s="40">
        <f t="shared" si="40"/>
        <v>6423352.6742108325</v>
      </c>
      <c r="CK24" s="41">
        <f t="shared" si="41"/>
        <v>2.7945845874312954E-4</v>
      </c>
      <c r="CL24" s="40">
        <f t="shared" si="42"/>
        <v>2215382.6675242716</v>
      </c>
      <c r="CM24" s="41">
        <f t="shared" si="43"/>
        <v>9.6383844573603303E-5</v>
      </c>
      <c r="CO24" s="70">
        <f t="shared" si="44"/>
        <v>0</v>
      </c>
      <c r="CP24" s="70">
        <f t="shared" si="45"/>
        <v>0</v>
      </c>
      <c r="CQ24" s="70">
        <f t="shared" si="46"/>
        <v>0</v>
      </c>
      <c r="CR24" s="70">
        <f t="shared" si="47"/>
        <v>0</v>
      </c>
      <c r="CS24" s="70">
        <f t="shared" si="48"/>
        <v>0</v>
      </c>
      <c r="CT24" s="70">
        <f t="shared" si="49"/>
        <v>0</v>
      </c>
      <c r="CU24" s="69">
        <f t="shared" si="50"/>
        <v>0</v>
      </c>
      <c r="CV24" s="69">
        <f t="shared" si="51"/>
        <v>0</v>
      </c>
      <c r="CW24" s="70">
        <f t="shared" si="52"/>
        <v>0</v>
      </c>
      <c r="CX24" s="69">
        <f t="shared" si="53"/>
        <v>0</v>
      </c>
      <c r="CY24" s="69">
        <f t="shared" si="54"/>
        <v>0</v>
      </c>
      <c r="CZ24" s="70">
        <f t="shared" si="55"/>
        <v>0</v>
      </c>
      <c r="DB24" s="70">
        <f t="shared" si="56"/>
        <v>3.0555199014461816</v>
      </c>
      <c r="DC24" s="70">
        <f t="shared" si="57"/>
        <v>3.8531241658053359</v>
      </c>
      <c r="DD24" s="70">
        <f t="shared" si="58"/>
        <v>6.908644067251517</v>
      </c>
      <c r="DE24" s="70">
        <f t="shared" si="59"/>
        <v>5.7910554016375748</v>
      </c>
      <c r="DF24" s="70">
        <f t="shared" si="60"/>
        <v>3.0789660222787192</v>
      </c>
      <c r="DG24" s="70">
        <f t="shared" si="61"/>
        <v>8.8700214239162936</v>
      </c>
      <c r="DH24" s="69">
        <f t="shared" si="62"/>
        <v>13.735441491167901</v>
      </c>
      <c r="DI24" s="69">
        <f t="shared" si="63"/>
        <v>17.320902250571216</v>
      </c>
      <c r="DJ24" s="70">
        <f t="shared" si="64"/>
        <v>31.056343741739116</v>
      </c>
      <c r="DK24" s="69">
        <f t="shared" si="65"/>
        <v>11.235963512864304</v>
      </c>
      <c r="DL24" s="69">
        <f t="shared" si="66"/>
        <v>5.9738937869407938</v>
      </c>
      <c r="DM24" s="70">
        <f t="shared" si="67"/>
        <v>17.209857299805098</v>
      </c>
    </row>
    <row r="25" spans="1:117">
      <c r="A25" t="s">
        <v>282</v>
      </c>
      <c r="B25">
        <v>2677712</v>
      </c>
      <c r="C25">
        <v>1711130</v>
      </c>
      <c r="D25" s="51">
        <v>44573.68</v>
      </c>
      <c r="E25" s="32">
        <f t="shared" si="0"/>
        <v>76271361058.399994</v>
      </c>
      <c r="F25">
        <v>108896</v>
      </c>
      <c r="G25" s="37">
        <f t="shared" si="1"/>
        <v>4.0667554987242838E-2</v>
      </c>
      <c r="H25">
        <v>1.00573E-2</v>
      </c>
      <c r="I25" s="3">
        <f t="shared" si="2"/>
        <v>1.00573E-4</v>
      </c>
      <c r="J25" s="11">
        <f>+'Seat capacity elasticities'!K55</f>
        <v>1.0216468592947368E-2</v>
      </c>
      <c r="K25" s="11">
        <f>+'Seat capacity elasticities'!L55</f>
        <v>5.0692821815447514E-2</v>
      </c>
      <c r="L25" s="11">
        <f>+'Seat capacity elasticities'!M55</f>
        <v>2.8030744153935017E-2</v>
      </c>
      <c r="M25" s="11">
        <f>+'Seat capacity elasticities'!N55</f>
        <v>6.003097320250364E-2</v>
      </c>
      <c r="N25" s="32">
        <f t="shared" si="12"/>
        <v>7792239.6479449254</v>
      </c>
      <c r="O25" s="33">
        <f t="shared" si="13"/>
        <v>1.021646859294737E-4</v>
      </c>
      <c r="P25" s="40">
        <f t="shared" si="14"/>
        <v>38664105.157551333</v>
      </c>
      <c r="Q25" s="33">
        <f t="shared" si="15"/>
        <v>5.0692821815447519E-4</v>
      </c>
      <c r="R25" s="40">
        <f t="shared" si="16"/>
        <v>30524359.153869078</v>
      </c>
      <c r="S25" s="41">
        <f t="shared" si="17"/>
        <v>2.8030744153935021E-4</v>
      </c>
      <c r="T25" s="40">
        <f t="shared" si="18"/>
        <v>65371328.578598365</v>
      </c>
      <c r="U25" s="41">
        <f t="shared" si="19"/>
        <v>6.0030973202503644E-4</v>
      </c>
      <c r="V25" s="53"/>
      <c r="W25" s="53"/>
      <c r="X25" t="s">
        <v>282</v>
      </c>
      <c r="Y25">
        <v>2677712</v>
      </c>
      <c r="Z25">
        <v>1711130</v>
      </c>
      <c r="AA25" s="51">
        <v>44573.68</v>
      </c>
      <c r="AB25" s="32">
        <f t="shared" si="3"/>
        <v>76271361058.399994</v>
      </c>
      <c r="AC25">
        <v>108896</v>
      </c>
      <c r="AD25" s="37">
        <f t="shared" si="4"/>
        <v>4.0667554987242838E-2</v>
      </c>
      <c r="AE25">
        <v>1.54778E-2</v>
      </c>
      <c r="AF25" s="3">
        <f t="shared" si="5"/>
        <v>1.54778E-4</v>
      </c>
      <c r="AG25" s="11">
        <f>+'Seat capacity elasticities'!R55</f>
        <v>1.4454032097146402E-2</v>
      </c>
      <c r="AH25" s="11">
        <f>+'Seat capacity elasticities'!S55</f>
        <v>2.7394388958816893E-2</v>
      </c>
      <c r="AI25" s="11">
        <f>+'Seat capacity elasticities'!T55</f>
        <v>3.9657272179896265E-2</v>
      </c>
      <c r="AJ25" s="11">
        <f>+'Seat capacity elasticities'!U55</f>
        <v>3.2440723767020008E-2</v>
      </c>
      <c r="AK25" s="32">
        <f t="shared" si="20"/>
        <v>11024287.008311559</v>
      </c>
      <c r="AL25" s="33">
        <f t="shared" si="21"/>
        <v>1.4454032097146403E-4</v>
      </c>
      <c r="AM25" s="40">
        <f t="shared" si="22"/>
        <v>20894073.312521696</v>
      </c>
      <c r="AN25" s="33">
        <f t="shared" si="23"/>
        <v>2.7394388958816893E-4</v>
      </c>
      <c r="AO25" s="40">
        <f t="shared" si="24"/>
        <v>43185183.113019831</v>
      </c>
      <c r="AP25" s="41">
        <f t="shared" si="25"/>
        <v>3.965727217989626E-4</v>
      </c>
      <c r="AQ25" s="40">
        <f t="shared" si="26"/>
        <v>35326650.553334102</v>
      </c>
      <c r="AR25" s="41">
        <f t="shared" si="27"/>
        <v>3.2440723767020001E-4</v>
      </c>
      <c r="AV25" t="s">
        <v>282</v>
      </c>
      <c r="AW25">
        <v>2677712</v>
      </c>
      <c r="AX25">
        <v>1711130</v>
      </c>
      <c r="AY25" s="51">
        <v>44573.68</v>
      </c>
      <c r="AZ25" s="32">
        <f t="shared" si="6"/>
        <v>76271361058.399994</v>
      </c>
      <c r="BA25">
        <v>108896</v>
      </c>
      <c r="BB25" s="37">
        <f t="shared" si="7"/>
        <v>4.0667554987242838E-2</v>
      </c>
      <c r="BC25">
        <v>1.00573E-2</v>
      </c>
      <c r="BD25" s="3">
        <f t="shared" si="8"/>
        <v>1.00573E-4</v>
      </c>
      <c r="BE25" s="11">
        <f>+'Seat capacity elasticities'!Y55</f>
        <v>7.5967577092812405E-2</v>
      </c>
      <c r="BF25" s="11">
        <f>+'Seat capacity elasticities'!Z55</f>
        <v>0.20722761328386644</v>
      </c>
      <c r="BG25" s="11">
        <f>+'Seat capacity elasticities'!AA55</f>
        <v>0.20843089743876328</v>
      </c>
      <c r="BH25" s="11">
        <f>+'Seat capacity elasticities'!AB55</f>
        <v>0.24540112099405234</v>
      </c>
      <c r="BI25" s="32">
        <f t="shared" si="28"/>
        <v>57941505.011777319</v>
      </c>
      <c r="BJ25" s="33">
        <f t="shared" si="29"/>
        <v>7.5967577092812409E-4</v>
      </c>
      <c r="BK25" s="40">
        <f t="shared" si="30"/>
        <v>158055321.14044264</v>
      </c>
      <c r="BL25" s="33">
        <f t="shared" si="31"/>
        <v>2.0722761328386642E-3</v>
      </c>
      <c r="BM25" s="40">
        <f t="shared" si="32"/>
        <v>226972910.07491562</v>
      </c>
      <c r="BN25" s="41">
        <f t="shared" si="33"/>
        <v>2.0843089743876326E-3</v>
      </c>
      <c r="BO25" s="40">
        <f t="shared" si="34"/>
        <v>267232004.71768326</v>
      </c>
      <c r="BP25" s="41">
        <f t="shared" si="35"/>
        <v>2.4540112099405236E-3</v>
      </c>
      <c r="BQ25" s="53"/>
      <c r="BR25" s="53"/>
      <c r="BS25" t="s">
        <v>282</v>
      </c>
      <c r="BT25">
        <v>2677712</v>
      </c>
      <c r="BU25">
        <v>1711130</v>
      </c>
      <c r="BV25" s="51">
        <v>44573.68</v>
      </c>
      <c r="BW25" s="32">
        <f t="shared" si="9"/>
        <v>76271361058.399994</v>
      </c>
      <c r="BX25">
        <v>108896</v>
      </c>
      <c r="BY25" s="37">
        <f t="shared" si="10"/>
        <v>4.0667554987242838E-2</v>
      </c>
      <c r="BZ25">
        <v>1.54778E-2</v>
      </c>
      <c r="CA25" s="3">
        <f t="shared" si="11"/>
        <v>1.54778E-4</v>
      </c>
      <c r="CB25" s="11">
        <f>+'Seat capacity elasticities'!AF55</f>
        <v>1.2271325134420988E-2</v>
      </c>
      <c r="CC25" s="11">
        <f>+'Seat capacity elasticities'!AG55</f>
        <v>9.8058073167024695E-3</v>
      </c>
      <c r="CD25" s="11">
        <f>+'Seat capacity elasticities'!AH55</f>
        <v>3.3668617697328339E-2</v>
      </c>
      <c r="CE25" s="11">
        <f>+'Seat capacity elasticities'!AI55</f>
        <v>1.1612140243463451E-2</v>
      </c>
      <c r="CF25" s="32">
        <f t="shared" si="36"/>
        <v>9359506.6999244206</v>
      </c>
      <c r="CG25" s="33">
        <f t="shared" si="37"/>
        <v>1.2271325134420989E-4</v>
      </c>
      <c r="CH25" s="40">
        <f t="shared" si="38"/>
        <v>7479022.703213145</v>
      </c>
      <c r="CI25" s="33">
        <f t="shared" si="39"/>
        <v>9.8058073167024701E-5</v>
      </c>
      <c r="CJ25" s="40">
        <f t="shared" si="40"/>
        <v>36663777.927682668</v>
      </c>
      <c r="CK25" s="41">
        <f t="shared" si="41"/>
        <v>3.3668617697328341E-4</v>
      </c>
      <c r="CL25" s="40">
        <f t="shared" si="42"/>
        <v>12645156.23952196</v>
      </c>
      <c r="CM25" s="41">
        <f t="shared" si="43"/>
        <v>1.1612140243463452E-4</v>
      </c>
      <c r="CO25" s="70">
        <f t="shared" si="44"/>
        <v>4.5538560179208627</v>
      </c>
      <c r="CP25" s="70">
        <f t="shared" si="45"/>
        <v>33.861544717103506</v>
      </c>
      <c r="CQ25" s="70">
        <f t="shared" si="46"/>
        <v>38.41540073502437</v>
      </c>
      <c r="CR25" s="70">
        <f t="shared" si="47"/>
        <v>22.595656178987763</v>
      </c>
      <c r="CS25" s="70">
        <f t="shared" si="48"/>
        <v>92.368973216788106</v>
      </c>
      <c r="CT25" s="70">
        <f t="shared" si="49"/>
        <v>114.96462939577587</v>
      </c>
      <c r="CU25" s="69">
        <f t="shared" si="50"/>
        <v>17.838714272947747</v>
      </c>
      <c r="CV25" s="69">
        <f t="shared" si="51"/>
        <v>132.6450416244912</v>
      </c>
      <c r="CW25" s="70">
        <f t="shared" si="52"/>
        <v>150.48375589743895</v>
      </c>
      <c r="CX25" s="69">
        <f t="shared" si="53"/>
        <v>38.203601467216615</v>
      </c>
      <c r="CY25" s="69">
        <f t="shared" si="54"/>
        <v>156.17282422591109</v>
      </c>
      <c r="CZ25" s="70">
        <f t="shared" si="55"/>
        <v>194.37642569312771</v>
      </c>
      <c r="DB25" s="70">
        <f t="shared" si="56"/>
        <v>6.4426940140793265</v>
      </c>
      <c r="DC25" s="70">
        <f t="shared" si="57"/>
        <v>5.4697811971763812</v>
      </c>
      <c r="DD25" s="70">
        <f t="shared" si="58"/>
        <v>11.912475211255707</v>
      </c>
      <c r="DE25" s="70">
        <f t="shared" si="59"/>
        <v>12.210687272458372</v>
      </c>
      <c r="DF25" s="70">
        <f t="shared" si="60"/>
        <v>4.3708091747635454</v>
      </c>
      <c r="DG25" s="70">
        <f t="shared" si="61"/>
        <v>16.581496447221916</v>
      </c>
      <c r="DH25" s="69">
        <f t="shared" si="62"/>
        <v>25.237815427828295</v>
      </c>
      <c r="DI25" s="69">
        <f t="shared" si="63"/>
        <v>21.426646676572012</v>
      </c>
      <c r="DJ25" s="70">
        <f t="shared" si="64"/>
        <v>46.664462104400307</v>
      </c>
      <c r="DK25" s="69">
        <f t="shared" si="65"/>
        <v>20.64521722682327</v>
      </c>
      <c r="DL25" s="69">
        <f t="shared" si="66"/>
        <v>7.3899447964339116</v>
      </c>
      <c r="DM25" s="70">
        <f t="shared" si="67"/>
        <v>28.035162023257183</v>
      </c>
    </row>
    <row r="26" spans="1:117">
      <c r="A26" t="s">
        <v>314</v>
      </c>
      <c r="B26">
        <v>149268</v>
      </c>
      <c r="C26">
        <v>95667</v>
      </c>
      <c r="D26" s="51">
        <v>32412.02</v>
      </c>
      <c r="E26" s="32">
        <f t="shared" si="0"/>
        <v>3100760717.3400002</v>
      </c>
      <c r="F26">
        <v>4449</v>
      </c>
      <c r="G26" s="37">
        <f t="shared" si="1"/>
        <v>2.9805450598922742E-2</v>
      </c>
      <c r="H26">
        <v>0</v>
      </c>
      <c r="I26" s="3">
        <f t="shared" si="2"/>
        <v>0</v>
      </c>
      <c r="J26" s="11">
        <f>+'Seat capacity elasticities'!K56</f>
        <v>0</v>
      </c>
      <c r="K26" s="11">
        <f>+'Seat capacity elasticities'!L56</f>
        <v>0</v>
      </c>
      <c r="L26" s="11">
        <f>+'Seat capacity elasticities'!M56</f>
        <v>0</v>
      </c>
      <c r="M26" s="11">
        <f>+'Seat capacity elasticities'!N56</f>
        <v>0</v>
      </c>
      <c r="N26" s="32">
        <f t="shared" si="12"/>
        <v>0</v>
      </c>
      <c r="O26" s="33">
        <f t="shared" si="13"/>
        <v>0</v>
      </c>
      <c r="P26" s="40">
        <f t="shared" si="14"/>
        <v>0</v>
      </c>
      <c r="Q26" s="33">
        <f t="shared" si="15"/>
        <v>0</v>
      </c>
      <c r="R26" s="40">
        <f t="shared" si="16"/>
        <v>0</v>
      </c>
      <c r="S26" s="41">
        <f t="shared" si="17"/>
        <v>0</v>
      </c>
      <c r="T26" s="40">
        <f t="shared" si="18"/>
        <v>0</v>
      </c>
      <c r="U26" s="41">
        <f t="shared" si="19"/>
        <v>0</v>
      </c>
      <c r="V26" s="53"/>
      <c r="W26" s="53"/>
      <c r="X26" t="s">
        <v>314</v>
      </c>
      <c r="Y26">
        <v>149268</v>
      </c>
      <c r="Z26">
        <v>95667</v>
      </c>
      <c r="AA26" s="51">
        <v>32412.02</v>
      </c>
      <c r="AB26" s="32">
        <f t="shared" si="3"/>
        <v>3100760717.3400002</v>
      </c>
      <c r="AC26">
        <v>4449</v>
      </c>
      <c r="AD26" s="37">
        <f t="shared" si="4"/>
        <v>2.9805450598922742E-2</v>
      </c>
      <c r="AE26">
        <v>3.4453999999999999E-3</v>
      </c>
      <c r="AF26" s="3">
        <f t="shared" si="5"/>
        <v>3.4453999999999999E-5</v>
      </c>
      <c r="AG26" s="11">
        <f>+'Seat capacity elasticities'!R56</f>
        <v>7.4380933198503326E-3</v>
      </c>
      <c r="AH26" s="11">
        <f>+'Seat capacity elasticities'!S56</f>
        <v>1.4097244294634263E-2</v>
      </c>
      <c r="AI26" s="11">
        <f>+'Seat capacity elasticities'!T56</f>
        <v>2.0407765065293331E-2</v>
      </c>
      <c r="AJ26" s="11">
        <f>+'Seat capacity elasticities'!U56</f>
        <v>1.6694105085751101E-2</v>
      </c>
      <c r="AK26" s="32">
        <f t="shared" si="20"/>
        <v>230637.47578100982</v>
      </c>
      <c r="AL26" s="33">
        <f t="shared" si="21"/>
        <v>7.4380933198503338E-5</v>
      </c>
      <c r="AM26" s="40">
        <f t="shared" si="22"/>
        <v>437121.81331547367</v>
      </c>
      <c r="AN26" s="33">
        <f t="shared" si="23"/>
        <v>1.4097244294634264E-4</v>
      </c>
      <c r="AO26" s="40">
        <f t="shared" si="24"/>
        <v>907941.46775490034</v>
      </c>
      <c r="AP26" s="41">
        <f t="shared" si="25"/>
        <v>2.0407765065293332E-4</v>
      </c>
      <c r="AQ26" s="40">
        <f t="shared" si="26"/>
        <v>742720.73526506638</v>
      </c>
      <c r="AR26" s="41">
        <f t="shared" si="27"/>
        <v>1.6694105085751098E-4</v>
      </c>
      <c r="AV26" t="s">
        <v>314</v>
      </c>
      <c r="AW26">
        <v>149268</v>
      </c>
      <c r="AX26">
        <v>95667</v>
      </c>
      <c r="AY26" s="51">
        <v>32412.02</v>
      </c>
      <c r="AZ26" s="32">
        <f t="shared" si="6"/>
        <v>3100760717.3400002</v>
      </c>
      <c r="BA26">
        <v>4449</v>
      </c>
      <c r="BB26" s="37">
        <f t="shared" si="7"/>
        <v>2.9805450598922742E-2</v>
      </c>
      <c r="BC26">
        <v>0</v>
      </c>
      <c r="BD26" s="3">
        <f t="shared" si="8"/>
        <v>0</v>
      </c>
      <c r="BE26" s="11">
        <f>+'Seat capacity elasticities'!Y56</f>
        <v>0</v>
      </c>
      <c r="BF26" s="11">
        <f>+'Seat capacity elasticities'!Z56</f>
        <v>0</v>
      </c>
      <c r="BG26" s="11">
        <f>+'Seat capacity elasticities'!AA56</f>
        <v>0</v>
      </c>
      <c r="BH26" s="11">
        <f>+'Seat capacity elasticities'!AB56</f>
        <v>0</v>
      </c>
      <c r="BI26" s="32">
        <f t="shared" si="28"/>
        <v>0</v>
      </c>
      <c r="BJ26" s="33">
        <f t="shared" si="29"/>
        <v>0</v>
      </c>
      <c r="BK26" s="40">
        <f t="shared" si="30"/>
        <v>0</v>
      </c>
      <c r="BL26" s="33">
        <f t="shared" si="31"/>
        <v>0</v>
      </c>
      <c r="BM26" s="40">
        <f t="shared" si="32"/>
        <v>0</v>
      </c>
      <c r="BN26" s="41">
        <f t="shared" si="33"/>
        <v>0</v>
      </c>
      <c r="BO26" s="40">
        <f t="shared" si="34"/>
        <v>0</v>
      </c>
      <c r="BP26" s="41">
        <f t="shared" si="35"/>
        <v>0</v>
      </c>
      <c r="BQ26" s="53"/>
      <c r="BR26" s="53"/>
      <c r="BS26" t="s">
        <v>314</v>
      </c>
      <c r="BT26">
        <v>149268</v>
      </c>
      <c r="BU26">
        <v>95667</v>
      </c>
      <c r="BV26" s="51">
        <v>32412.02</v>
      </c>
      <c r="BW26" s="32">
        <f t="shared" si="9"/>
        <v>3100760717.3400002</v>
      </c>
      <c r="BX26">
        <v>4449</v>
      </c>
      <c r="BY26" s="37">
        <f t="shared" si="10"/>
        <v>2.9805450598922742E-2</v>
      </c>
      <c r="BZ26">
        <v>3.4453999999999999E-3</v>
      </c>
      <c r="CA26" s="3">
        <f t="shared" si="11"/>
        <v>3.4453999999999999E-5</v>
      </c>
      <c r="CB26" s="11">
        <f>+'Seat capacity elasticities'!AF56</f>
        <v>4.9002589769260169E-2</v>
      </c>
      <c r="CC26" s="11">
        <f>+'Seat capacity elasticities'!AG56</f>
        <v>3.9157136497749018E-2</v>
      </c>
      <c r="CD26" s="11">
        <f>+'Seat capacity elasticities'!AH56</f>
        <v>0.13444753871710372</v>
      </c>
      <c r="CE26" s="11">
        <f>+'Seat capacity elasticities'!AI56</f>
        <v>4.6370293221018578E-2</v>
      </c>
      <c r="CF26" s="32">
        <f t="shared" si="36"/>
        <v>1519453.0540444893</v>
      </c>
      <c r="CG26" s="33">
        <f t="shared" si="37"/>
        <v>4.9002589769260173E-4</v>
      </c>
      <c r="CH26" s="40">
        <f t="shared" si="38"/>
        <v>1214169.1065574056</v>
      </c>
      <c r="CI26" s="33">
        <f t="shared" si="39"/>
        <v>3.9157136497749019E-4</v>
      </c>
      <c r="CJ26" s="40">
        <f t="shared" si="40"/>
        <v>5981570.9975239439</v>
      </c>
      <c r="CK26" s="41">
        <f t="shared" si="41"/>
        <v>1.3444753871710371E-3</v>
      </c>
      <c r="CL26" s="40">
        <f t="shared" si="42"/>
        <v>2063014.3454031167</v>
      </c>
      <c r="CM26" s="41">
        <f t="shared" si="43"/>
        <v>4.6370293221018581E-4</v>
      </c>
      <c r="CO26" s="70">
        <f t="shared" si="44"/>
        <v>0</v>
      </c>
      <c r="CP26" s="70">
        <f t="shared" si="45"/>
        <v>0</v>
      </c>
      <c r="CQ26" s="70">
        <f t="shared" si="46"/>
        <v>0</v>
      </c>
      <c r="CR26" s="70">
        <f t="shared" si="47"/>
        <v>0</v>
      </c>
      <c r="CS26" s="70">
        <f t="shared" si="48"/>
        <v>0</v>
      </c>
      <c r="CT26" s="70">
        <f t="shared" si="49"/>
        <v>0</v>
      </c>
      <c r="CU26" s="69">
        <f t="shared" si="50"/>
        <v>0</v>
      </c>
      <c r="CV26" s="69">
        <f t="shared" si="51"/>
        <v>0</v>
      </c>
      <c r="CW26" s="70">
        <f t="shared" si="52"/>
        <v>0</v>
      </c>
      <c r="CX26" s="69">
        <f t="shared" si="53"/>
        <v>0</v>
      </c>
      <c r="CY26" s="69">
        <f t="shared" si="54"/>
        <v>0</v>
      </c>
      <c r="CZ26" s="70">
        <f t="shared" si="55"/>
        <v>0</v>
      </c>
      <c r="DB26" s="70">
        <f t="shared" si="56"/>
        <v>2.4108362944485542</v>
      </c>
      <c r="DC26" s="70">
        <f t="shared" si="57"/>
        <v>15.882729196530562</v>
      </c>
      <c r="DD26" s="70">
        <f t="shared" si="58"/>
        <v>18.293565490979116</v>
      </c>
      <c r="DE26" s="70">
        <f t="shared" si="59"/>
        <v>4.5692016402257174</v>
      </c>
      <c r="DF26" s="70">
        <f t="shared" si="60"/>
        <v>12.691618913077713</v>
      </c>
      <c r="DG26" s="70">
        <f t="shared" si="61"/>
        <v>17.260820553303432</v>
      </c>
      <c r="DH26" s="69">
        <f t="shared" si="62"/>
        <v>9.4906442948446212</v>
      </c>
      <c r="DI26" s="69">
        <f t="shared" si="63"/>
        <v>62.524914521454043</v>
      </c>
      <c r="DJ26" s="70">
        <f t="shared" si="64"/>
        <v>72.015558816298665</v>
      </c>
      <c r="DK26" s="69">
        <f t="shared" si="65"/>
        <v>7.763604328191188</v>
      </c>
      <c r="DL26" s="69">
        <f t="shared" si="66"/>
        <v>21.564534744510819</v>
      </c>
      <c r="DM26" s="70">
        <f t="shared" si="67"/>
        <v>29.328139072702008</v>
      </c>
    </row>
    <row r="27" spans="1:117">
      <c r="A27" t="s">
        <v>316</v>
      </c>
      <c r="B27">
        <v>779340</v>
      </c>
      <c r="C27">
        <v>483553</v>
      </c>
      <c r="D27" s="51">
        <v>38533.21</v>
      </c>
      <c r="E27" s="32">
        <f t="shared" si="0"/>
        <v>18632849295.130001</v>
      </c>
      <c r="F27">
        <v>34223</v>
      </c>
      <c r="G27" s="37">
        <f t="shared" si="1"/>
        <v>4.3912798008571355E-2</v>
      </c>
      <c r="H27">
        <v>0</v>
      </c>
      <c r="I27" s="3">
        <f t="shared" si="2"/>
        <v>0</v>
      </c>
      <c r="J27" s="11">
        <f>+'Seat capacity elasticities'!K57</f>
        <v>0</v>
      </c>
      <c r="K27" s="11">
        <f>+'Seat capacity elasticities'!L57</f>
        <v>0</v>
      </c>
      <c r="L27" s="11">
        <f>+'Seat capacity elasticities'!M57</f>
        <v>0</v>
      </c>
      <c r="M27" s="11">
        <f>+'Seat capacity elasticities'!N57</f>
        <v>0</v>
      </c>
      <c r="N27" s="32">
        <f t="shared" si="12"/>
        <v>0</v>
      </c>
      <c r="O27" s="33">
        <f t="shared" si="13"/>
        <v>0</v>
      </c>
      <c r="P27" s="40">
        <f t="shared" si="14"/>
        <v>0</v>
      </c>
      <c r="Q27" s="33">
        <f t="shared" si="15"/>
        <v>0</v>
      </c>
      <c r="R27" s="40">
        <f t="shared" si="16"/>
        <v>0</v>
      </c>
      <c r="S27" s="41">
        <f t="shared" si="17"/>
        <v>0</v>
      </c>
      <c r="T27" s="40">
        <f t="shared" si="18"/>
        <v>0</v>
      </c>
      <c r="U27" s="41">
        <f t="shared" si="19"/>
        <v>0</v>
      </c>
      <c r="V27" s="53"/>
      <c r="W27" s="53"/>
      <c r="X27" t="s">
        <v>316</v>
      </c>
      <c r="Y27">
        <v>779340</v>
      </c>
      <c r="Z27">
        <v>483553</v>
      </c>
      <c r="AA27" s="51">
        <v>38533.21</v>
      </c>
      <c r="AB27" s="32">
        <f t="shared" si="3"/>
        <v>18632849295.130001</v>
      </c>
      <c r="AC27">
        <v>34223</v>
      </c>
      <c r="AD27" s="37">
        <f t="shared" si="4"/>
        <v>4.3912798008571355E-2</v>
      </c>
      <c r="AE27">
        <v>3.0089000000000001E-3</v>
      </c>
      <c r="AF27" s="3">
        <f t="shared" si="5"/>
        <v>3.0089000000000003E-5</v>
      </c>
      <c r="AG27" s="11">
        <f>+'Seat capacity elasticities'!R57</f>
        <v>5.7330854358914234E-3</v>
      </c>
      <c r="AH27" s="11">
        <f>+'Seat capacity elasticities'!S57</f>
        <v>1.0865782731722624E-2</v>
      </c>
      <c r="AI27" s="11">
        <f>+'Seat capacity elasticities'!T57</f>
        <v>1.5729765094864557E-2</v>
      </c>
      <c r="AJ27" s="11">
        <f>+'Seat capacity elasticities'!U57</f>
        <v>1.2867374287566267E-2</v>
      </c>
      <c r="AK27" s="32">
        <f t="shared" si="20"/>
        <v>1068237.1692306958</v>
      </c>
      <c r="AL27" s="33">
        <f t="shared" si="21"/>
        <v>5.7330854358914231E-5</v>
      </c>
      <c r="AM27" s="40">
        <f t="shared" si="22"/>
        <v>2024604.9211381366</v>
      </c>
      <c r="AN27" s="33">
        <f t="shared" si="23"/>
        <v>1.0865782731722626E-4</v>
      </c>
      <c r="AO27" s="40">
        <f t="shared" si="24"/>
        <v>5383197.5084154978</v>
      </c>
      <c r="AP27" s="41">
        <f t="shared" si="25"/>
        <v>1.5729765094864558E-4</v>
      </c>
      <c r="AQ27" s="40">
        <f t="shared" si="26"/>
        <v>4403601.5024338039</v>
      </c>
      <c r="AR27" s="41">
        <f t="shared" si="27"/>
        <v>1.2867374287566267E-4</v>
      </c>
      <c r="AV27" t="s">
        <v>316</v>
      </c>
      <c r="AW27">
        <v>779340</v>
      </c>
      <c r="AX27">
        <v>483553</v>
      </c>
      <c r="AY27" s="51">
        <v>38533.21</v>
      </c>
      <c r="AZ27" s="32">
        <f t="shared" si="6"/>
        <v>18632849295.130001</v>
      </c>
      <c r="BA27">
        <v>34223</v>
      </c>
      <c r="BB27" s="37">
        <f t="shared" si="7"/>
        <v>4.3912798008571355E-2</v>
      </c>
      <c r="BC27">
        <v>0</v>
      </c>
      <c r="BD27" s="3">
        <f t="shared" si="8"/>
        <v>0</v>
      </c>
      <c r="BE27" s="11">
        <f>+'Seat capacity elasticities'!Y57</f>
        <v>0</v>
      </c>
      <c r="BF27" s="11">
        <f>+'Seat capacity elasticities'!Z57</f>
        <v>0</v>
      </c>
      <c r="BG27" s="11">
        <f>+'Seat capacity elasticities'!AA57</f>
        <v>0</v>
      </c>
      <c r="BH27" s="11">
        <f>+'Seat capacity elasticities'!AB57</f>
        <v>0</v>
      </c>
      <c r="BI27" s="32">
        <f t="shared" si="28"/>
        <v>0</v>
      </c>
      <c r="BJ27" s="33">
        <f t="shared" si="29"/>
        <v>0</v>
      </c>
      <c r="BK27" s="40">
        <f t="shared" si="30"/>
        <v>0</v>
      </c>
      <c r="BL27" s="33">
        <f t="shared" si="31"/>
        <v>0</v>
      </c>
      <c r="BM27" s="40">
        <f t="shared" si="32"/>
        <v>0</v>
      </c>
      <c r="BN27" s="41">
        <f t="shared" si="33"/>
        <v>0</v>
      </c>
      <c r="BO27" s="40">
        <f t="shared" si="34"/>
        <v>0</v>
      </c>
      <c r="BP27" s="41">
        <f t="shared" si="35"/>
        <v>0</v>
      </c>
      <c r="BQ27" s="53"/>
      <c r="BR27" s="53"/>
      <c r="BS27" t="s">
        <v>316</v>
      </c>
      <c r="BT27">
        <v>779340</v>
      </c>
      <c r="BU27">
        <v>483553</v>
      </c>
      <c r="BV27" s="51">
        <v>38533.21</v>
      </c>
      <c r="BW27" s="32">
        <f t="shared" si="9"/>
        <v>18632849295.130001</v>
      </c>
      <c r="BX27">
        <v>34223</v>
      </c>
      <c r="BY27" s="37">
        <f t="shared" si="10"/>
        <v>4.3912798008571355E-2</v>
      </c>
      <c r="BZ27">
        <v>3.0089000000000001E-3</v>
      </c>
      <c r="CA27" s="3">
        <f t="shared" si="11"/>
        <v>3.0089000000000003E-5</v>
      </c>
      <c r="CB27" s="11">
        <f>+'Seat capacity elasticities'!AF57</f>
        <v>8.1964705833484069E-3</v>
      </c>
      <c r="CC27" s="11">
        <f>+'Seat capacity elasticities'!AG57</f>
        <v>6.5496603127146056E-3</v>
      </c>
      <c r="CD27" s="11">
        <f>+'Seat capacity elasticities'!AH57</f>
        <v>2.2488511347815127E-2</v>
      </c>
      <c r="CE27" s="11">
        <f>+'Seat capacity elasticities'!AI57</f>
        <v>7.756176686109402E-3</v>
      </c>
      <c r="CF27" s="32">
        <f t="shared" si="36"/>
        <v>1527236.0113149716</v>
      </c>
      <c r="CG27" s="33">
        <f t="shared" si="37"/>
        <v>8.1964705833484071E-5</v>
      </c>
      <c r="CH27" s="40">
        <f t="shared" si="38"/>
        <v>1220388.3354110529</v>
      </c>
      <c r="CI27" s="33">
        <f t="shared" si="39"/>
        <v>6.5496603127146056E-5</v>
      </c>
      <c r="CJ27" s="40">
        <f t="shared" si="40"/>
        <v>7696243.2385627711</v>
      </c>
      <c r="CK27" s="41">
        <f t="shared" si="41"/>
        <v>2.2488511347815127E-4</v>
      </c>
      <c r="CL27" s="40">
        <f t="shared" si="42"/>
        <v>2654396.3472872209</v>
      </c>
      <c r="CM27" s="41">
        <f t="shared" si="43"/>
        <v>7.7561766861094033E-5</v>
      </c>
      <c r="CO27" s="70">
        <f t="shared" si="44"/>
        <v>0</v>
      </c>
      <c r="CP27" s="70">
        <f t="shared" si="45"/>
        <v>0</v>
      </c>
      <c r="CQ27" s="70">
        <f t="shared" si="46"/>
        <v>0</v>
      </c>
      <c r="CR27" s="70">
        <f t="shared" si="47"/>
        <v>0</v>
      </c>
      <c r="CS27" s="70">
        <f t="shared" si="48"/>
        <v>0</v>
      </c>
      <c r="CT27" s="70">
        <f t="shared" si="49"/>
        <v>0</v>
      </c>
      <c r="CU27" s="69">
        <f t="shared" si="50"/>
        <v>0</v>
      </c>
      <c r="CV27" s="69">
        <f t="shared" si="51"/>
        <v>0</v>
      </c>
      <c r="CW27" s="70">
        <f t="shared" si="52"/>
        <v>0</v>
      </c>
      <c r="CX27" s="69">
        <f t="shared" si="53"/>
        <v>0</v>
      </c>
      <c r="CY27" s="69">
        <f t="shared" si="54"/>
        <v>0</v>
      </c>
      <c r="CZ27" s="70">
        <f t="shared" si="55"/>
        <v>0</v>
      </c>
      <c r="DB27" s="70">
        <f t="shared" si="56"/>
        <v>2.2091418504914575</v>
      </c>
      <c r="DC27" s="70">
        <f t="shared" si="57"/>
        <v>3.158363222469867</v>
      </c>
      <c r="DD27" s="70">
        <f t="shared" si="58"/>
        <v>5.3675050729613245</v>
      </c>
      <c r="DE27" s="70">
        <f t="shared" si="59"/>
        <v>4.1869348781584161</v>
      </c>
      <c r="DF27" s="70">
        <f t="shared" si="60"/>
        <v>2.5237943625849759</v>
      </c>
      <c r="DG27" s="70">
        <f t="shared" si="61"/>
        <v>6.7107292407433921</v>
      </c>
      <c r="DH27" s="69">
        <f t="shared" si="62"/>
        <v>11.132590446994431</v>
      </c>
      <c r="DI27" s="69">
        <f t="shared" si="63"/>
        <v>15.916028312434772</v>
      </c>
      <c r="DJ27" s="70">
        <f t="shared" si="64"/>
        <v>27.048618759429203</v>
      </c>
      <c r="DK27" s="69">
        <f t="shared" si="65"/>
        <v>9.1067607944399143</v>
      </c>
      <c r="DL27" s="69">
        <f t="shared" si="66"/>
        <v>5.4893596922927186</v>
      </c>
      <c r="DM27" s="70">
        <f t="shared" si="67"/>
        <v>14.596120486732634</v>
      </c>
    </row>
    <row r="28" spans="1:117">
      <c r="A28" t="s">
        <v>318</v>
      </c>
      <c r="B28">
        <v>136404</v>
      </c>
      <c r="C28">
        <v>68614</v>
      </c>
      <c r="D28" s="51">
        <v>39451.65</v>
      </c>
      <c r="E28" s="32">
        <f t="shared" si="0"/>
        <v>2706935513.0999999</v>
      </c>
      <c r="F28">
        <v>4179</v>
      </c>
      <c r="G28" s="37">
        <f t="shared" si="1"/>
        <v>3.0636931468285389E-2</v>
      </c>
      <c r="H28">
        <v>0</v>
      </c>
      <c r="I28" s="3">
        <f t="shared" si="2"/>
        <v>0</v>
      </c>
      <c r="J28" s="11">
        <f>+'Seat capacity elasticities'!K58</f>
        <v>0</v>
      </c>
      <c r="K28" s="11">
        <f>+'Seat capacity elasticities'!L58</f>
        <v>0</v>
      </c>
      <c r="L28" s="11">
        <f>+'Seat capacity elasticities'!M58</f>
        <v>0</v>
      </c>
      <c r="M28" s="11">
        <f>+'Seat capacity elasticities'!N58</f>
        <v>0</v>
      </c>
      <c r="N28" s="32">
        <f t="shared" si="12"/>
        <v>0</v>
      </c>
      <c r="O28" s="33">
        <f t="shared" si="13"/>
        <v>0</v>
      </c>
      <c r="P28" s="40">
        <f t="shared" si="14"/>
        <v>0</v>
      </c>
      <c r="Q28" s="33">
        <f t="shared" si="15"/>
        <v>0</v>
      </c>
      <c r="R28" s="40">
        <f t="shared" si="16"/>
        <v>0</v>
      </c>
      <c r="S28" s="41">
        <f t="shared" si="17"/>
        <v>0</v>
      </c>
      <c r="T28" s="40">
        <f t="shared" si="18"/>
        <v>0</v>
      </c>
      <c r="U28" s="41">
        <f t="shared" si="19"/>
        <v>0</v>
      </c>
      <c r="V28" s="53"/>
      <c r="W28" s="53"/>
      <c r="X28" t="s">
        <v>318</v>
      </c>
      <c r="Y28">
        <v>136404</v>
      </c>
      <c r="Z28">
        <v>68614</v>
      </c>
      <c r="AA28" s="51">
        <v>39451.65</v>
      </c>
      <c r="AB28" s="32">
        <f t="shared" si="3"/>
        <v>2706935513.0999999</v>
      </c>
      <c r="AC28">
        <v>4179</v>
      </c>
      <c r="AD28" s="37">
        <f t="shared" si="4"/>
        <v>3.0636931468285389E-2</v>
      </c>
      <c r="AE28">
        <v>5.2088999999999998E-3</v>
      </c>
      <c r="AF28" s="3">
        <f t="shared" si="5"/>
        <v>5.2089000000000002E-5</v>
      </c>
      <c r="AG28" s="11">
        <f>+'Seat capacity elasticities'!R58</f>
        <v>1.6964275700217916E-2</v>
      </c>
      <c r="AH28" s="11">
        <f>+'Seat capacity elasticities'!S58</f>
        <v>3.2151994945972491E-2</v>
      </c>
      <c r="AI28" s="11">
        <f>+'Seat capacity elasticities'!T58</f>
        <v>4.6544583148612338E-2</v>
      </c>
      <c r="AJ28" s="11">
        <f>+'Seat capacity elasticities'!U58</f>
        <v>3.8074730857072692E-2</v>
      </c>
      <c r="AK28" s="32">
        <f t="shared" si="20"/>
        <v>459212.00346939248</v>
      </c>
      <c r="AL28" s="33">
        <f t="shared" si="21"/>
        <v>1.6964275700217916E-4</v>
      </c>
      <c r="AM28" s="40">
        <f t="shared" si="22"/>
        <v>870333.7693626465</v>
      </c>
      <c r="AN28" s="33">
        <f t="shared" si="23"/>
        <v>3.2151994945972491E-4</v>
      </c>
      <c r="AO28" s="40">
        <f t="shared" si="24"/>
        <v>1945098.1297805097</v>
      </c>
      <c r="AP28" s="41">
        <f t="shared" si="25"/>
        <v>4.6544583148612343E-4</v>
      </c>
      <c r="AQ28" s="40">
        <f t="shared" si="26"/>
        <v>1591143.0025170681</v>
      </c>
      <c r="AR28" s="41">
        <f t="shared" si="27"/>
        <v>3.8074730857072699E-4</v>
      </c>
      <c r="AV28" t="s">
        <v>318</v>
      </c>
      <c r="AW28">
        <v>136404</v>
      </c>
      <c r="AX28">
        <v>68614</v>
      </c>
      <c r="AY28" s="51">
        <v>39451.65</v>
      </c>
      <c r="AZ28" s="32">
        <f t="shared" si="6"/>
        <v>2706935513.0999999</v>
      </c>
      <c r="BA28">
        <v>4179</v>
      </c>
      <c r="BB28" s="37">
        <f t="shared" si="7"/>
        <v>3.0636931468285389E-2</v>
      </c>
      <c r="BC28">
        <v>0</v>
      </c>
      <c r="BD28" s="3">
        <f t="shared" si="8"/>
        <v>0</v>
      </c>
      <c r="BE28" s="11">
        <f>+'Seat capacity elasticities'!Y58</f>
        <v>0</v>
      </c>
      <c r="BF28" s="11">
        <f>+'Seat capacity elasticities'!Z58</f>
        <v>0</v>
      </c>
      <c r="BG28" s="11">
        <f>+'Seat capacity elasticities'!AA58</f>
        <v>0</v>
      </c>
      <c r="BH28" s="11">
        <f>+'Seat capacity elasticities'!AB58</f>
        <v>0</v>
      </c>
      <c r="BI28" s="32">
        <f t="shared" si="28"/>
        <v>0</v>
      </c>
      <c r="BJ28" s="33">
        <f t="shared" si="29"/>
        <v>0</v>
      </c>
      <c r="BK28" s="40">
        <f t="shared" si="30"/>
        <v>0</v>
      </c>
      <c r="BL28" s="33">
        <f t="shared" si="31"/>
        <v>0</v>
      </c>
      <c r="BM28" s="40">
        <f t="shared" si="32"/>
        <v>0</v>
      </c>
      <c r="BN28" s="41">
        <f t="shared" si="33"/>
        <v>0</v>
      </c>
      <c r="BO28" s="40">
        <f t="shared" si="34"/>
        <v>0</v>
      </c>
      <c r="BP28" s="41">
        <f t="shared" si="35"/>
        <v>0</v>
      </c>
      <c r="BQ28" s="53"/>
      <c r="BR28" s="53"/>
      <c r="BS28" t="s">
        <v>318</v>
      </c>
      <c r="BT28">
        <v>136404</v>
      </c>
      <c r="BU28">
        <v>68614</v>
      </c>
      <c r="BV28" s="51">
        <v>39451.65</v>
      </c>
      <c r="BW28" s="32">
        <f t="shared" si="9"/>
        <v>2706935513.0999999</v>
      </c>
      <c r="BX28">
        <v>4179</v>
      </c>
      <c r="BY28" s="37">
        <f t="shared" si="10"/>
        <v>3.0636931468285389E-2</v>
      </c>
      <c r="BZ28">
        <v>5.2088999999999998E-3</v>
      </c>
      <c r="CA28" s="3">
        <f t="shared" si="11"/>
        <v>5.2089000000000002E-5</v>
      </c>
      <c r="CB28" s="11">
        <f>+'Seat capacity elasticities'!AF58</f>
        <v>8.1070903179750936E-2</v>
      </c>
      <c r="CC28" s="11">
        <f>+'Seat capacity elasticities'!AG58</f>
        <v>6.4782380620150432E-2</v>
      </c>
      <c r="CD28" s="11">
        <f>+'Seat capacity elasticities'!AH58</f>
        <v>0.22243280294805312</v>
      </c>
      <c r="CE28" s="11">
        <f>+'Seat capacity elasticities'!AI58</f>
        <v>7.6715977050178144E-2</v>
      </c>
      <c r="CF28" s="32">
        <f t="shared" si="36"/>
        <v>2194537.0689635952</v>
      </c>
      <c r="CG28" s="33">
        <f t="shared" si="37"/>
        <v>8.1070903179750935E-4</v>
      </c>
      <c r="CH28" s="40">
        <f t="shared" si="38"/>
        <v>1753617.2672384642</v>
      </c>
      <c r="CI28" s="33">
        <f t="shared" si="39"/>
        <v>6.4782380620150438E-4</v>
      </c>
      <c r="CJ28" s="40">
        <f t="shared" si="40"/>
        <v>9295466.83519914</v>
      </c>
      <c r="CK28" s="41">
        <f t="shared" si="41"/>
        <v>2.2243280294805311E-3</v>
      </c>
      <c r="CL28" s="40">
        <f t="shared" si="42"/>
        <v>3205960.6809269451</v>
      </c>
      <c r="CM28" s="41">
        <f t="shared" si="43"/>
        <v>7.6715977050178152E-4</v>
      </c>
      <c r="CO28" s="70">
        <f t="shared" si="44"/>
        <v>0</v>
      </c>
      <c r="CP28" s="70">
        <f t="shared" si="45"/>
        <v>0</v>
      </c>
      <c r="CQ28" s="70">
        <f t="shared" si="46"/>
        <v>0</v>
      </c>
      <c r="CR28" s="70">
        <f t="shared" si="47"/>
        <v>0</v>
      </c>
      <c r="CS28" s="70">
        <f t="shared" si="48"/>
        <v>0</v>
      </c>
      <c r="CT28" s="70">
        <f t="shared" si="49"/>
        <v>0</v>
      </c>
      <c r="CU28" s="69">
        <f t="shared" si="50"/>
        <v>0</v>
      </c>
      <c r="CV28" s="69">
        <f t="shared" si="51"/>
        <v>0</v>
      </c>
      <c r="CW28" s="70">
        <f t="shared" si="52"/>
        <v>0</v>
      </c>
      <c r="CX28" s="69">
        <f t="shared" si="53"/>
        <v>0</v>
      </c>
      <c r="CY28" s="69">
        <f t="shared" si="54"/>
        <v>0</v>
      </c>
      <c r="CZ28" s="70">
        <f t="shared" si="55"/>
        <v>0</v>
      </c>
      <c r="DB28" s="70">
        <f t="shared" si="56"/>
        <v>6.6926866742850217</v>
      </c>
      <c r="DC28" s="70">
        <f t="shared" si="57"/>
        <v>31.983808974314211</v>
      </c>
      <c r="DD28" s="70">
        <f t="shared" si="58"/>
        <v>38.676495648599236</v>
      </c>
      <c r="DE28" s="70">
        <f t="shared" si="59"/>
        <v>12.684492514102756</v>
      </c>
      <c r="DF28" s="70">
        <f t="shared" si="60"/>
        <v>25.557718063929581</v>
      </c>
      <c r="DG28" s="70">
        <f t="shared" si="61"/>
        <v>38.242210578032335</v>
      </c>
      <c r="DH28" s="69">
        <f t="shared" si="62"/>
        <v>28.348414751807354</v>
      </c>
      <c r="DI28" s="69">
        <f t="shared" si="63"/>
        <v>135.47478408486811</v>
      </c>
      <c r="DJ28" s="70">
        <f t="shared" si="64"/>
        <v>163.82319883667546</v>
      </c>
      <c r="DK28" s="69">
        <f t="shared" si="65"/>
        <v>23.189771803379312</v>
      </c>
      <c r="DL28" s="69">
        <f t="shared" si="66"/>
        <v>46.724585083611871</v>
      </c>
      <c r="DM28" s="70">
        <f t="shared" si="67"/>
        <v>69.914356886991186</v>
      </c>
    </row>
    <row r="29" spans="1:117">
      <c r="A29" t="s">
        <v>320</v>
      </c>
      <c r="B29">
        <v>107597</v>
      </c>
      <c r="C29">
        <v>50175</v>
      </c>
      <c r="D29" s="51">
        <v>36092.14</v>
      </c>
      <c r="E29" s="32">
        <f t="shared" si="0"/>
        <v>1810923124.5</v>
      </c>
      <c r="F29">
        <v>2449</v>
      </c>
      <c r="G29" s="37">
        <f t="shared" si="1"/>
        <v>2.2760857644729873E-2</v>
      </c>
      <c r="H29">
        <v>0</v>
      </c>
      <c r="I29" s="3">
        <f t="shared" si="2"/>
        <v>0</v>
      </c>
      <c r="J29" s="11">
        <f>+'Seat capacity elasticities'!K59</f>
        <v>0</v>
      </c>
      <c r="K29" s="11">
        <f>+'Seat capacity elasticities'!L59</f>
        <v>0</v>
      </c>
      <c r="L29" s="11">
        <f>+'Seat capacity elasticities'!M59</f>
        <v>0</v>
      </c>
      <c r="M29" s="11">
        <f>+'Seat capacity elasticities'!N59</f>
        <v>0</v>
      </c>
      <c r="N29" s="32">
        <f t="shared" si="12"/>
        <v>0</v>
      </c>
      <c r="O29" s="33">
        <f t="shared" si="13"/>
        <v>0</v>
      </c>
      <c r="P29" s="40">
        <f t="shared" si="14"/>
        <v>0</v>
      </c>
      <c r="Q29" s="33">
        <f t="shared" si="15"/>
        <v>0</v>
      </c>
      <c r="R29" s="40">
        <f t="shared" si="16"/>
        <v>0</v>
      </c>
      <c r="S29" s="41">
        <f t="shared" si="17"/>
        <v>0</v>
      </c>
      <c r="T29" s="40">
        <f t="shared" si="18"/>
        <v>0</v>
      </c>
      <c r="U29" s="41">
        <f t="shared" si="19"/>
        <v>0</v>
      </c>
      <c r="V29" s="53"/>
      <c r="W29" s="53"/>
      <c r="X29" t="s">
        <v>320</v>
      </c>
      <c r="Y29">
        <v>107597</v>
      </c>
      <c r="Z29">
        <v>50175</v>
      </c>
      <c r="AA29" s="51">
        <v>36092.14</v>
      </c>
      <c r="AB29" s="32">
        <f t="shared" si="3"/>
        <v>1810923124.5</v>
      </c>
      <c r="AC29">
        <v>2449</v>
      </c>
      <c r="AD29" s="37">
        <f t="shared" si="4"/>
        <v>2.2760857644729873E-2</v>
      </c>
      <c r="AE29">
        <v>1.1446100000000001E-2</v>
      </c>
      <c r="AF29" s="3">
        <f t="shared" si="5"/>
        <v>1.1446100000000001E-4</v>
      </c>
      <c r="AG29" s="11">
        <f>+'Seat capacity elasticities'!R59</f>
        <v>3.0624304626249335E-2</v>
      </c>
      <c r="AH29" s="11">
        <f>+'Seat capacity elasticities'!S59</f>
        <v>5.8041528266039824E-2</v>
      </c>
      <c r="AI29" s="11">
        <f>+'Seat capacity elasticities'!T59</f>
        <v>8.4023362873463889E-2</v>
      </c>
      <c r="AJ29" s="11">
        <f>+'Seat capacity elasticities'!U59</f>
        <v>6.8733388736099799E-2</v>
      </c>
      <c r="AK29" s="32">
        <f t="shared" si="20"/>
        <v>554582.61419407255</v>
      </c>
      <c r="AL29" s="33">
        <f t="shared" si="21"/>
        <v>3.0624304626249339E-4</v>
      </c>
      <c r="AM29" s="40">
        <f t="shared" si="22"/>
        <v>1051087.4571829191</v>
      </c>
      <c r="AN29" s="33">
        <f t="shared" si="23"/>
        <v>5.8041528266039827E-4</v>
      </c>
      <c r="AO29" s="40">
        <f t="shared" si="24"/>
        <v>2057732.1567711309</v>
      </c>
      <c r="AP29" s="41">
        <f t="shared" si="25"/>
        <v>8.4023362873463891E-4</v>
      </c>
      <c r="AQ29" s="40">
        <f t="shared" si="26"/>
        <v>1683280.6901470842</v>
      </c>
      <c r="AR29" s="41">
        <f t="shared" si="27"/>
        <v>6.8733388736099798E-4</v>
      </c>
      <c r="AV29" t="s">
        <v>320</v>
      </c>
      <c r="AW29">
        <v>107597</v>
      </c>
      <c r="AX29">
        <v>50175</v>
      </c>
      <c r="AY29" s="51">
        <v>36092.14</v>
      </c>
      <c r="AZ29" s="32">
        <f t="shared" si="6"/>
        <v>1810923124.5</v>
      </c>
      <c r="BA29">
        <v>2449</v>
      </c>
      <c r="BB29" s="37">
        <f t="shared" si="7"/>
        <v>2.2760857644729873E-2</v>
      </c>
      <c r="BC29">
        <v>0</v>
      </c>
      <c r="BD29" s="3">
        <f t="shared" si="8"/>
        <v>0</v>
      </c>
      <c r="BE29" s="11">
        <f>+'Seat capacity elasticities'!Y59</f>
        <v>0</v>
      </c>
      <c r="BF29" s="11">
        <f>+'Seat capacity elasticities'!Z59</f>
        <v>0</v>
      </c>
      <c r="BG29" s="11">
        <f>+'Seat capacity elasticities'!AA59</f>
        <v>0</v>
      </c>
      <c r="BH29" s="11">
        <f>+'Seat capacity elasticities'!AB59</f>
        <v>0</v>
      </c>
      <c r="BI29" s="32">
        <f t="shared" si="28"/>
        <v>0</v>
      </c>
      <c r="BJ29" s="33">
        <f t="shared" si="29"/>
        <v>0</v>
      </c>
      <c r="BK29" s="40">
        <f t="shared" si="30"/>
        <v>0</v>
      </c>
      <c r="BL29" s="33">
        <f t="shared" si="31"/>
        <v>0</v>
      </c>
      <c r="BM29" s="40">
        <f t="shared" si="32"/>
        <v>0</v>
      </c>
      <c r="BN29" s="41">
        <f t="shared" si="33"/>
        <v>0</v>
      </c>
      <c r="BO29" s="40">
        <f t="shared" si="34"/>
        <v>0</v>
      </c>
      <c r="BP29" s="41">
        <f t="shared" si="35"/>
        <v>0</v>
      </c>
      <c r="BQ29" s="53"/>
      <c r="BR29" s="53"/>
      <c r="BS29" t="s">
        <v>320</v>
      </c>
      <c r="BT29">
        <v>107597</v>
      </c>
      <c r="BU29">
        <v>50175</v>
      </c>
      <c r="BV29" s="51">
        <v>36092.14</v>
      </c>
      <c r="BW29" s="32">
        <f t="shared" si="9"/>
        <v>1810923124.5</v>
      </c>
      <c r="BX29">
        <v>2449</v>
      </c>
      <c r="BY29" s="37">
        <f t="shared" si="10"/>
        <v>2.2760857644729873E-2</v>
      </c>
      <c r="BZ29">
        <v>1.1446100000000001E-2</v>
      </c>
      <c r="CA29" s="3">
        <f t="shared" si="11"/>
        <v>1.1446100000000001E-4</v>
      </c>
      <c r="CB29" s="11">
        <f>+'Seat capacity elasticities'!AF59</f>
        <v>0.2258413549346529</v>
      </c>
      <c r="CC29" s="11">
        <f>+'Seat capacity elasticities'!AG59</f>
        <v>0.18046598768868091</v>
      </c>
      <c r="CD29" s="11">
        <f>+'Seat capacity elasticities'!AH59</f>
        <v>0.61963693050662894</v>
      </c>
      <c r="CE29" s="11">
        <f>+'Seat capacity elasticities'!AI59</f>
        <v>0.21370972226291163</v>
      </c>
      <c r="CF29" s="32">
        <f t="shared" si="36"/>
        <v>4089813.3211957514</v>
      </c>
      <c r="CG29" s="33">
        <f t="shared" si="37"/>
        <v>2.2584135493465291E-3</v>
      </c>
      <c r="CH29" s="40">
        <f t="shared" si="38"/>
        <v>3268100.3029116457</v>
      </c>
      <c r="CI29" s="33">
        <f t="shared" si="39"/>
        <v>1.8046598768868092E-3</v>
      </c>
      <c r="CJ29" s="40">
        <f t="shared" si="40"/>
        <v>15174908.428107342</v>
      </c>
      <c r="CK29" s="41">
        <f t="shared" si="41"/>
        <v>6.1963693050662884E-3</v>
      </c>
      <c r="CL29" s="40">
        <f t="shared" si="42"/>
        <v>5233751.0982187046</v>
      </c>
      <c r="CM29" s="41">
        <f t="shared" si="43"/>
        <v>2.1370972226291158E-3</v>
      </c>
      <c r="CO29" s="70">
        <f t="shared" si="44"/>
        <v>0</v>
      </c>
      <c r="CP29" s="70">
        <f t="shared" si="45"/>
        <v>0</v>
      </c>
      <c r="CQ29" s="70">
        <f t="shared" si="46"/>
        <v>0</v>
      </c>
      <c r="CR29" s="70">
        <f t="shared" si="47"/>
        <v>0</v>
      </c>
      <c r="CS29" s="70">
        <f t="shared" si="48"/>
        <v>0</v>
      </c>
      <c r="CT29" s="70">
        <f t="shared" si="49"/>
        <v>0</v>
      </c>
      <c r="CU29" s="69">
        <f t="shared" si="50"/>
        <v>0</v>
      </c>
      <c r="CV29" s="69">
        <f t="shared" si="51"/>
        <v>0</v>
      </c>
      <c r="CW29" s="70">
        <f t="shared" si="52"/>
        <v>0</v>
      </c>
      <c r="CX29" s="69">
        <f t="shared" si="53"/>
        <v>0</v>
      </c>
      <c r="CY29" s="69">
        <f t="shared" si="54"/>
        <v>0</v>
      </c>
      <c r="CZ29" s="70">
        <f t="shared" si="55"/>
        <v>0</v>
      </c>
      <c r="DB29" s="70">
        <f t="shared" si="56"/>
        <v>11.052966899732388</v>
      </c>
      <c r="DC29" s="70">
        <f t="shared" si="57"/>
        <v>81.510978000911834</v>
      </c>
      <c r="DD29" s="70">
        <f t="shared" si="58"/>
        <v>92.563944900644216</v>
      </c>
      <c r="DE29" s="70">
        <f t="shared" si="59"/>
        <v>20.948429639918668</v>
      </c>
      <c r="DF29" s="70">
        <f t="shared" si="60"/>
        <v>65.134036928981473</v>
      </c>
      <c r="DG29" s="70">
        <f t="shared" si="61"/>
        <v>86.082466568900145</v>
      </c>
      <c r="DH29" s="69">
        <f t="shared" si="62"/>
        <v>41.011104270475954</v>
      </c>
      <c r="DI29" s="69">
        <f t="shared" si="63"/>
        <v>302.43962985764506</v>
      </c>
      <c r="DJ29" s="70">
        <f t="shared" si="64"/>
        <v>343.45073412812098</v>
      </c>
      <c r="DK29" s="69">
        <f t="shared" si="65"/>
        <v>33.54819512002161</v>
      </c>
      <c r="DL29" s="69">
        <f t="shared" si="66"/>
        <v>104.30993718422928</v>
      </c>
      <c r="DM29" s="70">
        <f t="shared" si="67"/>
        <v>137.85813230425089</v>
      </c>
    </row>
    <row r="30" spans="1:117">
      <c r="A30" t="s">
        <v>322</v>
      </c>
      <c r="B30">
        <v>377477</v>
      </c>
      <c r="C30">
        <v>214052</v>
      </c>
      <c r="D30" s="51">
        <v>41429.879999999997</v>
      </c>
      <c r="E30" s="32">
        <f t="shared" si="0"/>
        <v>8868148673.7600002</v>
      </c>
      <c r="F30">
        <v>13646</v>
      </c>
      <c r="G30" s="37">
        <f t="shared" si="1"/>
        <v>3.6150546920739539E-2</v>
      </c>
      <c r="H30">
        <v>0</v>
      </c>
      <c r="I30" s="3">
        <f t="shared" si="2"/>
        <v>0</v>
      </c>
      <c r="J30" s="11">
        <f>+'Seat capacity elasticities'!K60</f>
        <v>0</v>
      </c>
      <c r="K30" s="11">
        <f>+'Seat capacity elasticities'!L60</f>
        <v>0</v>
      </c>
      <c r="L30" s="11">
        <f>+'Seat capacity elasticities'!M60</f>
        <v>0</v>
      </c>
      <c r="M30" s="11">
        <f>+'Seat capacity elasticities'!N60</f>
        <v>0</v>
      </c>
      <c r="N30" s="32">
        <f t="shared" si="12"/>
        <v>0</v>
      </c>
      <c r="O30" s="33">
        <f t="shared" si="13"/>
        <v>0</v>
      </c>
      <c r="P30" s="40">
        <f t="shared" si="14"/>
        <v>0</v>
      </c>
      <c r="Q30" s="33">
        <f t="shared" si="15"/>
        <v>0</v>
      </c>
      <c r="R30" s="40">
        <f t="shared" si="16"/>
        <v>0</v>
      </c>
      <c r="S30" s="41">
        <f t="shared" si="17"/>
        <v>0</v>
      </c>
      <c r="T30" s="40">
        <f t="shared" si="18"/>
        <v>0</v>
      </c>
      <c r="U30" s="41">
        <f t="shared" si="19"/>
        <v>0</v>
      </c>
      <c r="V30" s="53"/>
      <c r="W30" s="53"/>
      <c r="X30" t="s">
        <v>322</v>
      </c>
      <c r="Y30">
        <v>377477</v>
      </c>
      <c r="Z30">
        <v>214052</v>
      </c>
      <c r="AA30" s="51">
        <v>41429.879999999997</v>
      </c>
      <c r="AB30" s="32">
        <f t="shared" si="3"/>
        <v>8868148673.7600002</v>
      </c>
      <c r="AC30">
        <v>13646</v>
      </c>
      <c r="AD30" s="37">
        <f t="shared" si="4"/>
        <v>3.6150546920739539E-2</v>
      </c>
      <c r="AE30">
        <v>2.5444E-3</v>
      </c>
      <c r="AF30" s="3">
        <f t="shared" si="5"/>
        <v>2.5444000000000002E-5</v>
      </c>
      <c r="AG30" s="11">
        <f>+'Seat capacity elasticities'!R60</f>
        <v>7.9233850810260294E-3</v>
      </c>
      <c r="AH30" s="11">
        <f>+'Seat capacity elasticities'!S60</f>
        <v>1.5017006418780987E-2</v>
      </c>
      <c r="AI30" s="11">
        <f>+'Seat capacity elasticities'!T60</f>
        <v>2.1739251485847592E-2</v>
      </c>
      <c r="AJ30" s="11">
        <f>+'Seat capacity elasticities'!U60</f>
        <v>1.7783297074872223E-2</v>
      </c>
      <c r="AK30" s="32">
        <f t="shared" si="20"/>
        <v>702657.56897990755</v>
      </c>
      <c r="AL30" s="33">
        <f t="shared" si="21"/>
        <v>7.923385081026029E-5</v>
      </c>
      <c r="AM30" s="40">
        <f t="shared" si="22"/>
        <v>1331730.4555655802</v>
      </c>
      <c r="AN30" s="33">
        <f t="shared" si="23"/>
        <v>1.5017006418780986E-4</v>
      </c>
      <c r="AO30" s="40">
        <f t="shared" si="24"/>
        <v>2966538.2577587622</v>
      </c>
      <c r="AP30" s="41">
        <f t="shared" si="25"/>
        <v>2.1739251485847593E-4</v>
      </c>
      <c r="AQ30" s="40">
        <f t="shared" si="26"/>
        <v>2426708.7188370638</v>
      </c>
      <c r="AR30" s="41">
        <f t="shared" si="27"/>
        <v>1.7783297074872224E-4</v>
      </c>
      <c r="AV30" t="s">
        <v>322</v>
      </c>
      <c r="AW30">
        <v>377477</v>
      </c>
      <c r="AX30">
        <v>214052</v>
      </c>
      <c r="AY30" s="51">
        <v>41429.879999999997</v>
      </c>
      <c r="AZ30" s="32">
        <f t="shared" si="6"/>
        <v>8868148673.7600002</v>
      </c>
      <c r="BA30">
        <v>13646</v>
      </c>
      <c r="BB30" s="37">
        <f t="shared" si="7"/>
        <v>3.6150546920739539E-2</v>
      </c>
      <c r="BC30">
        <v>0</v>
      </c>
      <c r="BD30" s="3">
        <f t="shared" si="8"/>
        <v>0</v>
      </c>
      <c r="BE30" s="11">
        <f>+'Seat capacity elasticities'!Y60</f>
        <v>0</v>
      </c>
      <c r="BF30" s="11">
        <f>+'Seat capacity elasticities'!Z60</f>
        <v>0</v>
      </c>
      <c r="BG30" s="11">
        <f>+'Seat capacity elasticities'!AA60</f>
        <v>0</v>
      </c>
      <c r="BH30" s="11">
        <f>+'Seat capacity elasticities'!AB60</f>
        <v>0</v>
      </c>
      <c r="BI30" s="32">
        <f t="shared" si="28"/>
        <v>0</v>
      </c>
      <c r="BJ30" s="33">
        <f t="shared" si="29"/>
        <v>0</v>
      </c>
      <c r="BK30" s="40">
        <f t="shared" si="30"/>
        <v>0</v>
      </c>
      <c r="BL30" s="33">
        <f t="shared" si="31"/>
        <v>0</v>
      </c>
      <c r="BM30" s="40">
        <f t="shared" si="32"/>
        <v>0</v>
      </c>
      <c r="BN30" s="41">
        <f t="shared" si="33"/>
        <v>0</v>
      </c>
      <c r="BO30" s="40">
        <f t="shared" si="34"/>
        <v>0</v>
      </c>
      <c r="BP30" s="41">
        <f t="shared" si="35"/>
        <v>0</v>
      </c>
      <c r="BQ30" s="53"/>
      <c r="BR30" s="53"/>
      <c r="BS30" t="s">
        <v>322</v>
      </c>
      <c r="BT30">
        <v>377477</v>
      </c>
      <c r="BU30">
        <v>214052</v>
      </c>
      <c r="BV30" s="51">
        <v>41429.879999999997</v>
      </c>
      <c r="BW30" s="32">
        <f t="shared" si="9"/>
        <v>8868148673.7600002</v>
      </c>
      <c r="BX30">
        <v>13646</v>
      </c>
      <c r="BY30" s="37">
        <f t="shared" si="10"/>
        <v>3.6150546920739539E-2</v>
      </c>
      <c r="BZ30">
        <v>2.5444E-3</v>
      </c>
      <c r="CA30" s="3">
        <f t="shared" si="11"/>
        <v>2.5444000000000002E-5</v>
      </c>
      <c r="CB30" s="11">
        <f>+'Seat capacity elasticities'!AF60</f>
        <v>1.4310044671698165E-2</v>
      </c>
      <c r="CC30" s="11">
        <f>+'Seat capacity elasticities'!AG60</f>
        <v>1.14349134430866E-2</v>
      </c>
      <c r="CD30" s="11">
        <f>+'Seat capacity elasticities'!AH60</f>
        <v>3.9262216427763917E-2</v>
      </c>
      <c r="CE30" s="11">
        <f>+'Seat capacity elasticities'!AI60</f>
        <v>1.3541344866813078E-2</v>
      </c>
      <c r="CF30" s="32">
        <f t="shared" si="36"/>
        <v>1269036.0367676644</v>
      </c>
      <c r="CG30" s="33">
        <f t="shared" si="37"/>
        <v>1.4310044671698164E-4</v>
      </c>
      <c r="CH30" s="40">
        <f t="shared" si="38"/>
        <v>1014065.1248486883</v>
      </c>
      <c r="CI30" s="33">
        <f t="shared" si="39"/>
        <v>1.14349134430866E-4</v>
      </c>
      <c r="CJ30" s="40">
        <f t="shared" si="40"/>
        <v>5357722.0537326643</v>
      </c>
      <c r="CK30" s="41">
        <f t="shared" si="41"/>
        <v>3.9262216427763915E-4</v>
      </c>
      <c r="CL30" s="40">
        <f t="shared" si="42"/>
        <v>1847851.9205253129</v>
      </c>
      <c r="CM30" s="41">
        <f t="shared" si="43"/>
        <v>1.354134486681308E-4</v>
      </c>
      <c r="CO30" s="70">
        <f t="shared" si="44"/>
        <v>0</v>
      </c>
      <c r="CP30" s="70">
        <f t="shared" si="45"/>
        <v>0</v>
      </c>
      <c r="CQ30" s="70">
        <f t="shared" si="46"/>
        <v>0</v>
      </c>
      <c r="CR30" s="70">
        <f t="shared" si="47"/>
        <v>0</v>
      </c>
      <c r="CS30" s="70">
        <f t="shared" si="48"/>
        <v>0</v>
      </c>
      <c r="CT30" s="70">
        <f t="shared" si="49"/>
        <v>0</v>
      </c>
      <c r="CU30" s="69">
        <f t="shared" si="50"/>
        <v>0</v>
      </c>
      <c r="CV30" s="69">
        <f t="shared" si="51"/>
        <v>0</v>
      </c>
      <c r="CW30" s="70">
        <f t="shared" si="52"/>
        <v>0</v>
      </c>
      <c r="CX30" s="69">
        <f t="shared" si="53"/>
        <v>0</v>
      </c>
      <c r="CY30" s="69">
        <f t="shared" si="54"/>
        <v>0</v>
      </c>
      <c r="CZ30" s="70">
        <f t="shared" si="55"/>
        <v>0</v>
      </c>
      <c r="DB30" s="70">
        <f t="shared" si="56"/>
        <v>3.2826489310069866</v>
      </c>
      <c r="DC30" s="70">
        <f t="shared" si="57"/>
        <v>5.9286343354309441</v>
      </c>
      <c r="DD30" s="70">
        <f t="shared" si="58"/>
        <v>9.2112832664379312</v>
      </c>
      <c r="DE30" s="70">
        <f t="shared" si="59"/>
        <v>6.2215277388932604</v>
      </c>
      <c r="DF30" s="70">
        <f t="shared" si="60"/>
        <v>4.7374709175746466</v>
      </c>
      <c r="DG30" s="70">
        <f t="shared" si="61"/>
        <v>10.958998656467907</v>
      </c>
      <c r="DH30" s="69">
        <f t="shared" si="62"/>
        <v>13.858960709354561</v>
      </c>
      <c r="DI30" s="69">
        <f t="shared" si="63"/>
        <v>25.030002306601499</v>
      </c>
      <c r="DJ30" s="70">
        <f t="shared" si="64"/>
        <v>38.888963015956058</v>
      </c>
      <c r="DK30" s="69">
        <f t="shared" si="65"/>
        <v>11.337005581994394</v>
      </c>
      <c r="DL30" s="69">
        <f t="shared" si="66"/>
        <v>8.6327243871830817</v>
      </c>
      <c r="DM30" s="70">
        <f t="shared" si="67"/>
        <v>19.969729969177475</v>
      </c>
    </row>
    <row r="31" spans="1:117">
      <c r="A31" t="s">
        <v>324</v>
      </c>
      <c r="B31">
        <v>196960</v>
      </c>
      <c r="C31">
        <v>116172</v>
      </c>
      <c r="D31" s="51">
        <v>35949.519999999997</v>
      </c>
      <c r="E31" s="32">
        <f t="shared" si="0"/>
        <v>4176327637.4399996</v>
      </c>
      <c r="F31">
        <v>6442</v>
      </c>
      <c r="G31" s="37">
        <f t="shared" si="1"/>
        <v>3.2707148659626317E-2</v>
      </c>
      <c r="H31">
        <v>0</v>
      </c>
      <c r="I31" s="3">
        <f t="shared" si="2"/>
        <v>0</v>
      </c>
      <c r="J31" s="11">
        <f>+'Seat capacity elasticities'!K61</f>
        <v>0</v>
      </c>
      <c r="K31" s="11">
        <f>+'Seat capacity elasticities'!L61</f>
        <v>0</v>
      </c>
      <c r="L31" s="11">
        <f>+'Seat capacity elasticities'!M61</f>
        <v>0</v>
      </c>
      <c r="M31" s="11">
        <f>+'Seat capacity elasticities'!N61</f>
        <v>0</v>
      </c>
      <c r="N31" s="32">
        <f t="shared" si="12"/>
        <v>0</v>
      </c>
      <c r="O31" s="33">
        <f t="shared" si="13"/>
        <v>0</v>
      </c>
      <c r="P31" s="40">
        <f t="shared" si="14"/>
        <v>0</v>
      </c>
      <c r="Q31" s="33">
        <f t="shared" si="15"/>
        <v>0</v>
      </c>
      <c r="R31" s="40">
        <f t="shared" si="16"/>
        <v>0</v>
      </c>
      <c r="S31" s="41">
        <f t="shared" si="17"/>
        <v>0</v>
      </c>
      <c r="T31" s="40">
        <f t="shared" si="18"/>
        <v>0</v>
      </c>
      <c r="U31" s="41">
        <f t="shared" si="19"/>
        <v>0</v>
      </c>
      <c r="V31" s="53"/>
      <c r="W31" s="53"/>
      <c r="X31" t="s">
        <v>324</v>
      </c>
      <c r="Y31">
        <v>196960</v>
      </c>
      <c r="Z31">
        <v>116172</v>
      </c>
      <c r="AA31" s="51">
        <v>35949.519999999997</v>
      </c>
      <c r="AB31" s="32">
        <f t="shared" si="3"/>
        <v>4176327637.4399996</v>
      </c>
      <c r="AC31">
        <v>6442</v>
      </c>
      <c r="AD31" s="37">
        <f t="shared" si="4"/>
        <v>3.2707148659626317E-2</v>
      </c>
      <c r="AE31">
        <v>1.0604499999999999E-2</v>
      </c>
      <c r="AF31" s="3">
        <f t="shared" si="5"/>
        <v>1.0604499999999999E-4</v>
      </c>
      <c r="AG31" s="11">
        <f>+'Seat capacity elasticities'!R61</f>
        <v>2.2056765708303158E-2</v>
      </c>
      <c r="AH31" s="11">
        <f>+'Seat capacity elasticities'!S61</f>
        <v>4.1803672146683686E-2</v>
      </c>
      <c r="AI31" s="11">
        <f>+'Seat capacity elasticities'!T61</f>
        <v>6.0516757900037549E-2</v>
      </c>
      <c r="AJ31" s="11">
        <f>+'Seat capacity elasticities'!U61</f>
        <v>4.9504348594757004E-2</v>
      </c>
      <c r="AK31" s="32">
        <f t="shared" si="20"/>
        <v>921162.80220125336</v>
      </c>
      <c r="AL31" s="33">
        <f t="shared" si="21"/>
        <v>2.2056765708303161E-4</v>
      </c>
      <c r="AM31" s="40">
        <f t="shared" si="22"/>
        <v>1745858.3133267581</v>
      </c>
      <c r="AN31" s="33">
        <f t="shared" si="23"/>
        <v>4.180367214668369E-4</v>
      </c>
      <c r="AO31" s="40">
        <f t="shared" si="24"/>
        <v>3898489.5439204192</v>
      </c>
      <c r="AP31" s="41">
        <f t="shared" si="25"/>
        <v>6.0516757900037552E-4</v>
      </c>
      <c r="AQ31" s="40">
        <f t="shared" si="26"/>
        <v>3189070.1364742462</v>
      </c>
      <c r="AR31" s="41">
        <f t="shared" si="27"/>
        <v>4.9504348594757008E-4</v>
      </c>
      <c r="AV31" t="s">
        <v>324</v>
      </c>
      <c r="AW31">
        <v>196960</v>
      </c>
      <c r="AX31">
        <v>116172</v>
      </c>
      <c r="AY31" s="51">
        <v>35949.519999999997</v>
      </c>
      <c r="AZ31" s="32">
        <f t="shared" si="6"/>
        <v>4176327637.4399996</v>
      </c>
      <c r="BA31">
        <v>6442</v>
      </c>
      <c r="BB31" s="37">
        <f t="shared" si="7"/>
        <v>3.2707148659626317E-2</v>
      </c>
      <c r="BC31">
        <v>0</v>
      </c>
      <c r="BD31" s="3">
        <f t="shared" si="8"/>
        <v>0</v>
      </c>
      <c r="BE31" s="11">
        <f>+'Seat capacity elasticities'!Y61</f>
        <v>0</v>
      </c>
      <c r="BF31" s="11">
        <f>+'Seat capacity elasticities'!Z61</f>
        <v>0</v>
      </c>
      <c r="BG31" s="11">
        <f>+'Seat capacity elasticities'!AA61</f>
        <v>0</v>
      </c>
      <c r="BH31" s="11">
        <f>+'Seat capacity elasticities'!AB61</f>
        <v>0</v>
      </c>
      <c r="BI31" s="32">
        <f t="shared" si="28"/>
        <v>0</v>
      </c>
      <c r="BJ31" s="33">
        <f t="shared" si="29"/>
        <v>0</v>
      </c>
      <c r="BK31" s="40">
        <f t="shared" si="30"/>
        <v>0</v>
      </c>
      <c r="BL31" s="33">
        <f t="shared" si="31"/>
        <v>0</v>
      </c>
      <c r="BM31" s="40">
        <f t="shared" si="32"/>
        <v>0</v>
      </c>
      <c r="BN31" s="41">
        <f t="shared" si="33"/>
        <v>0</v>
      </c>
      <c r="BO31" s="40">
        <f t="shared" si="34"/>
        <v>0</v>
      </c>
      <c r="BP31" s="41">
        <f t="shared" si="35"/>
        <v>0</v>
      </c>
      <c r="BQ31" s="53"/>
      <c r="BR31" s="53"/>
      <c r="BS31" t="s">
        <v>324</v>
      </c>
      <c r="BT31">
        <v>196960</v>
      </c>
      <c r="BU31">
        <v>116172</v>
      </c>
      <c r="BV31" s="51">
        <v>35949.519999999997</v>
      </c>
      <c r="BW31" s="32">
        <f t="shared" si="9"/>
        <v>4176327637.4399996</v>
      </c>
      <c r="BX31">
        <v>6442</v>
      </c>
      <c r="BY31" s="37">
        <f t="shared" si="10"/>
        <v>3.2707148659626317E-2</v>
      </c>
      <c r="BZ31">
        <v>1.0604499999999999E-2</v>
      </c>
      <c r="CA31" s="3">
        <f t="shared" si="11"/>
        <v>1.0604499999999999E-4</v>
      </c>
      <c r="CB31" s="11">
        <f>+'Seat capacity elasticities'!AF61</f>
        <v>0.11430316560861563</v>
      </c>
      <c r="CC31" s="11">
        <f>+'Seat capacity elasticities'!AG61</f>
        <v>9.1337716617358844E-2</v>
      </c>
      <c r="CD31" s="11">
        <f>+'Seat capacity elasticities'!AH61</f>
        <v>0.31361157351100316</v>
      </c>
      <c r="CE31" s="11">
        <f>+'Seat capacity elasticities'!AI61</f>
        <v>0.10816308546792495</v>
      </c>
      <c r="CF31" s="32">
        <f t="shared" si="36"/>
        <v>4773674.6957814274</v>
      </c>
      <c r="CG31" s="33">
        <f t="shared" si="37"/>
        <v>1.1430316560861564E-3</v>
      </c>
      <c r="CH31" s="40">
        <f t="shared" si="38"/>
        <v>3814562.3024973846</v>
      </c>
      <c r="CI31" s="33">
        <f t="shared" si="39"/>
        <v>9.133771661735885E-4</v>
      </c>
      <c r="CJ31" s="40">
        <f t="shared" si="40"/>
        <v>20202857.565578822</v>
      </c>
      <c r="CK31" s="41">
        <f t="shared" si="41"/>
        <v>3.1361157351100315E-3</v>
      </c>
      <c r="CL31" s="40">
        <f t="shared" si="42"/>
        <v>6967865.9658437259</v>
      </c>
      <c r="CM31" s="41">
        <f t="shared" si="43"/>
        <v>1.0816308546792496E-3</v>
      </c>
      <c r="CO31" s="70">
        <f t="shared" si="44"/>
        <v>0</v>
      </c>
      <c r="CP31" s="70">
        <f t="shared" si="45"/>
        <v>0</v>
      </c>
      <c r="CQ31" s="70">
        <f t="shared" si="46"/>
        <v>0</v>
      </c>
      <c r="CR31" s="70">
        <f t="shared" si="47"/>
        <v>0</v>
      </c>
      <c r="CS31" s="70">
        <f t="shared" si="48"/>
        <v>0</v>
      </c>
      <c r="CT31" s="70">
        <f t="shared" si="49"/>
        <v>0</v>
      </c>
      <c r="CU31" s="69">
        <f t="shared" si="50"/>
        <v>0</v>
      </c>
      <c r="CV31" s="69">
        <f t="shared" si="51"/>
        <v>0</v>
      </c>
      <c r="CW31" s="70">
        <f t="shared" si="52"/>
        <v>0</v>
      </c>
      <c r="CX31" s="69">
        <f t="shared" si="53"/>
        <v>0</v>
      </c>
      <c r="CY31" s="69">
        <f t="shared" si="54"/>
        <v>0</v>
      </c>
      <c r="CZ31" s="70">
        <f t="shared" si="55"/>
        <v>0</v>
      </c>
      <c r="DB31" s="70">
        <f t="shared" si="56"/>
        <v>7.9293013996595851</v>
      </c>
      <c r="DC31" s="70">
        <f t="shared" si="57"/>
        <v>41.091439381102397</v>
      </c>
      <c r="DD31" s="70">
        <f t="shared" si="58"/>
        <v>49.020740780761983</v>
      </c>
      <c r="DE31" s="70">
        <f t="shared" si="59"/>
        <v>15.028219479106481</v>
      </c>
      <c r="DF31" s="70">
        <f t="shared" si="60"/>
        <v>32.835470702900736</v>
      </c>
      <c r="DG31" s="70">
        <f t="shared" si="61"/>
        <v>47.863690182007218</v>
      </c>
      <c r="DH31" s="69">
        <f t="shared" si="62"/>
        <v>33.557910201429081</v>
      </c>
      <c r="DI31" s="69">
        <f t="shared" si="63"/>
        <v>173.90470651773941</v>
      </c>
      <c r="DJ31" s="70">
        <f t="shared" si="64"/>
        <v>207.46261671916849</v>
      </c>
      <c r="DK31" s="69">
        <f t="shared" si="65"/>
        <v>27.451280312590349</v>
      </c>
      <c r="DL31" s="69">
        <f t="shared" si="66"/>
        <v>59.978875855143457</v>
      </c>
      <c r="DM31" s="70">
        <f t="shared" si="67"/>
        <v>87.430156167733799</v>
      </c>
    </row>
    <row r="32" spans="1:117">
      <c r="A32" t="s">
        <v>326</v>
      </c>
      <c r="B32">
        <v>157730</v>
      </c>
      <c r="C32">
        <v>101177</v>
      </c>
      <c r="D32" s="51">
        <v>32447.22</v>
      </c>
      <c r="E32" s="32">
        <f t="shared" si="0"/>
        <v>3282912377.9400001</v>
      </c>
      <c r="F32">
        <v>5636</v>
      </c>
      <c r="G32" s="37">
        <f t="shared" si="1"/>
        <v>3.5731946998034614E-2</v>
      </c>
      <c r="H32">
        <v>0</v>
      </c>
      <c r="I32" s="3">
        <f t="shared" si="2"/>
        <v>0</v>
      </c>
      <c r="J32" s="11">
        <f>+'Seat capacity elasticities'!K62</f>
        <v>0</v>
      </c>
      <c r="K32" s="11">
        <f>+'Seat capacity elasticities'!L62</f>
        <v>0</v>
      </c>
      <c r="L32" s="11">
        <f>+'Seat capacity elasticities'!M62</f>
        <v>0</v>
      </c>
      <c r="M32" s="11">
        <f>+'Seat capacity elasticities'!N62</f>
        <v>0</v>
      </c>
      <c r="N32" s="32">
        <f t="shared" si="12"/>
        <v>0</v>
      </c>
      <c r="O32" s="33">
        <f t="shared" si="13"/>
        <v>0</v>
      </c>
      <c r="P32" s="40">
        <f t="shared" si="14"/>
        <v>0</v>
      </c>
      <c r="Q32" s="33">
        <f t="shared" si="15"/>
        <v>0</v>
      </c>
      <c r="R32" s="40">
        <f t="shared" si="16"/>
        <v>0</v>
      </c>
      <c r="S32" s="41">
        <f t="shared" si="17"/>
        <v>0</v>
      </c>
      <c r="T32" s="40">
        <f t="shared" si="18"/>
        <v>0</v>
      </c>
      <c r="U32" s="41">
        <f t="shared" si="19"/>
        <v>0</v>
      </c>
      <c r="V32" s="53"/>
      <c r="W32" s="53"/>
      <c r="X32" t="s">
        <v>326</v>
      </c>
      <c r="Y32">
        <v>157730</v>
      </c>
      <c r="Z32">
        <v>101177</v>
      </c>
      <c r="AA32" s="51">
        <v>32447.22</v>
      </c>
      <c r="AB32" s="32">
        <f t="shared" si="3"/>
        <v>3282912377.9400001</v>
      </c>
      <c r="AC32">
        <v>5636</v>
      </c>
      <c r="AD32" s="37">
        <f t="shared" si="4"/>
        <v>3.5731946998034614E-2</v>
      </c>
      <c r="AE32">
        <v>1.6297E-3</v>
      </c>
      <c r="AF32" s="3">
        <f t="shared" si="5"/>
        <v>1.6297E-5</v>
      </c>
      <c r="AG32" s="11">
        <f>+'Seat capacity elasticities'!R62</f>
        <v>4.1107780723226442E-3</v>
      </c>
      <c r="AH32" s="11">
        <f>+'Seat capacity elasticities'!S62</f>
        <v>7.7910615307692976E-3</v>
      </c>
      <c r="AI32" s="11">
        <f>+'Seat capacity elasticities'!T62</f>
        <v>1.1278669079296786E-2</v>
      </c>
      <c r="AJ32" s="11">
        <f>+'Seat capacity elasticities'!U62</f>
        <v>9.22625707591101E-3</v>
      </c>
      <c r="AK32" s="32">
        <f t="shared" si="20"/>
        <v>134953.24216592341</v>
      </c>
      <c r="AL32" s="33">
        <f t="shared" si="21"/>
        <v>4.1107780723226443E-5</v>
      </c>
      <c r="AM32" s="40">
        <f t="shared" si="22"/>
        <v>255773.72336654694</v>
      </c>
      <c r="AN32" s="33">
        <f t="shared" si="23"/>
        <v>7.7910615307692985E-5</v>
      </c>
      <c r="AO32" s="40">
        <f t="shared" si="24"/>
        <v>635665.78930916684</v>
      </c>
      <c r="AP32" s="41">
        <f t="shared" si="25"/>
        <v>1.1278669079296786E-4</v>
      </c>
      <c r="AQ32" s="40">
        <f t="shared" si="26"/>
        <v>519991.84879834449</v>
      </c>
      <c r="AR32" s="41">
        <f t="shared" si="27"/>
        <v>9.2262570759110092E-5</v>
      </c>
      <c r="AV32" t="s">
        <v>326</v>
      </c>
      <c r="AW32">
        <v>157730</v>
      </c>
      <c r="AX32">
        <v>101177</v>
      </c>
      <c r="AY32" s="51">
        <v>32447.22</v>
      </c>
      <c r="AZ32" s="32">
        <f t="shared" si="6"/>
        <v>3282912377.9400001</v>
      </c>
      <c r="BA32">
        <v>5636</v>
      </c>
      <c r="BB32" s="37">
        <f t="shared" si="7"/>
        <v>3.5731946998034614E-2</v>
      </c>
      <c r="BC32">
        <v>0</v>
      </c>
      <c r="BD32" s="3">
        <f t="shared" si="8"/>
        <v>0</v>
      </c>
      <c r="BE32" s="11">
        <f>+'Seat capacity elasticities'!Y62</f>
        <v>0</v>
      </c>
      <c r="BF32" s="11">
        <f>+'Seat capacity elasticities'!Z62</f>
        <v>0</v>
      </c>
      <c r="BG32" s="11">
        <f>+'Seat capacity elasticities'!AA62</f>
        <v>0</v>
      </c>
      <c r="BH32" s="11">
        <f>+'Seat capacity elasticities'!AB62</f>
        <v>0</v>
      </c>
      <c r="BI32" s="32">
        <f t="shared" si="28"/>
        <v>0</v>
      </c>
      <c r="BJ32" s="33">
        <f t="shared" si="29"/>
        <v>0</v>
      </c>
      <c r="BK32" s="40">
        <f t="shared" si="30"/>
        <v>0</v>
      </c>
      <c r="BL32" s="33">
        <f t="shared" si="31"/>
        <v>0</v>
      </c>
      <c r="BM32" s="40">
        <f t="shared" si="32"/>
        <v>0</v>
      </c>
      <c r="BN32" s="41">
        <f t="shared" si="33"/>
        <v>0</v>
      </c>
      <c r="BO32" s="40">
        <f t="shared" si="34"/>
        <v>0</v>
      </c>
      <c r="BP32" s="41">
        <f t="shared" si="35"/>
        <v>0</v>
      </c>
      <c r="BQ32" s="53"/>
      <c r="BR32" s="53"/>
      <c r="BS32" t="s">
        <v>326</v>
      </c>
      <c r="BT32">
        <v>157730</v>
      </c>
      <c r="BU32">
        <v>101177</v>
      </c>
      <c r="BV32" s="51">
        <v>32447.22</v>
      </c>
      <c r="BW32" s="32">
        <f t="shared" si="9"/>
        <v>3282912377.9400001</v>
      </c>
      <c r="BX32">
        <v>5636</v>
      </c>
      <c r="BY32" s="37">
        <f t="shared" si="10"/>
        <v>3.5731946998034614E-2</v>
      </c>
      <c r="BZ32">
        <v>1.6297E-3</v>
      </c>
      <c r="CA32" s="3">
        <f t="shared" si="11"/>
        <v>1.6297E-5</v>
      </c>
      <c r="CB32" s="11">
        <f>+'Seat capacity elasticities'!AF62</f>
        <v>2.1935091969607579E-2</v>
      </c>
      <c r="CC32" s="11">
        <f>+'Seat capacity elasticities'!AG62</f>
        <v>1.7527959121936221E-2</v>
      </c>
      <c r="CD32" s="11">
        <f>+'Seat capacity elasticities'!AH62</f>
        <v>6.0182923815529817E-2</v>
      </c>
      <c r="CE32" s="11">
        <f>+'Seat capacity elasticities'!AI62</f>
        <v>2.0756793697029735E-2</v>
      </c>
      <c r="CF32" s="32">
        <f t="shared" si="36"/>
        <v>720109.84938277013</v>
      </c>
      <c r="CG32" s="33">
        <f t="shared" si="37"/>
        <v>2.1935091969607577E-4</v>
      </c>
      <c r="CH32" s="40">
        <f t="shared" si="38"/>
        <v>575427.53961430758</v>
      </c>
      <c r="CI32" s="33">
        <f t="shared" si="39"/>
        <v>1.7527959121936223E-4</v>
      </c>
      <c r="CJ32" s="40">
        <f t="shared" si="40"/>
        <v>3391909.5862432607</v>
      </c>
      <c r="CK32" s="41">
        <f t="shared" si="41"/>
        <v>6.0182923815529823E-4</v>
      </c>
      <c r="CL32" s="40">
        <f t="shared" si="42"/>
        <v>1169852.892764596</v>
      </c>
      <c r="CM32" s="41">
        <f t="shared" si="43"/>
        <v>2.0756793697029738E-4</v>
      </c>
      <c r="CO32" s="70">
        <f t="shared" si="44"/>
        <v>0</v>
      </c>
      <c r="CP32" s="70">
        <f t="shared" si="45"/>
        <v>0</v>
      </c>
      <c r="CQ32" s="70">
        <f t="shared" si="46"/>
        <v>0</v>
      </c>
      <c r="CR32" s="70">
        <f t="shared" si="47"/>
        <v>0</v>
      </c>
      <c r="CS32" s="70">
        <f t="shared" si="48"/>
        <v>0</v>
      </c>
      <c r="CT32" s="70">
        <f t="shared" si="49"/>
        <v>0</v>
      </c>
      <c r="CU32" s="69">
        <f t="shared" si="50"/>
        <v>0</v>
      </c>
      <c r="CV32" s="69">
        <f t="shared" si="51"/>
        <v>0</v>
      </c>
      <c r="CW32" s="70">
        <f t="shared" si="52"/>
        <v>0</v>
      </c>
      <c r="CX32" s="69">
        <f t="shared" si="53"/>
        <v>0</v>
      </c>
      <c r="CY32" s="69">
        <f t="shared" si="54"/>
        <v>0</v>
      </c>
      <c r="CZ32" s="70">
        <f t="shared" si="55"/>
        <v>0</v>
      </c>
      <c r="DB32" s="70">
        <f t="shared" si="56"/>
        <v>1.3338332048382875</v>
      </c>
      <c r="DC32" s="70">
        <f t="shared" si="57"/>
        <v>7.1173275485809038</v>
      </c>
      <c r="DD32" s="70">
        <f t="shared" si="58"/>
        <v>8.4511607534191917</v>
      </c>
      <c r="DE32" s="70">
        <f t="shared" si="59"/>
        <v>2.5279828752240818</v>
      </c>
      <c r="DF32" s="70">
        <f t="shared" si="60"/>
        <v>5.6873354578047142</v>
      </c>
      <c r="DG32" s="70">
        <f t="shared" si="61"/>
        <v>8.2153183330287955</v>
      </c>
      <c r="DH32" s="69">
        <f t="shared" si="62"/>
        <v>6.2827103917804132</v>
      </c>
      <c r="DI32" s="69">
        <f t="shared" si="63"/>
        <v>33.524512352048987</v>
      </c>
      <c r="DJ32" s="70">
        <f t="shared" si="64"/>
        <v>39.807222743829399</v>
      </c>
      <c r="DK32" s="69">
        <f t="shared" si="65"/>
        <v>5.139427427165705</v>
      </c>
      <c r="DL32" s="69">
        <f t="shared" si="66"/>
        <v>11.562439020376134</v>
      </c>
      <c r="DM32" s="70">
        <f t="shared" si="67"/>
        <v>16.701866447541839</v>
      </c>
    </row>
    <row r="33" spans="1:117">
      <c r="A33" t="s">
        <v>328</v>
      </c>
      <c r="B33">
        <v>152320</v>
      </c>
      <c r="C33">
        <v>110554</v>
      </c>
      <c r="D33" s="51">
        <v>33995.19</v>
      </c>
      <c r="E33" s="32">
        <f t="shared" si="0"/>
        <v>3758304235.2600002</v>
      </c>
      <c r="F33">
        <v>6033</v>
      </c>
      <c r="G33" s="37">
        <f t="shared" si="1"/>
        <v>3.9607405462184872E-2</v>
      </c>
      <c r="H33">
        <v>0</v>
      </c>
      <c r="I33" s="3">
        <f t="shared" si="2"/>
        <v>0</v>
      </c>
      <c r="J33" s="11">
        <f>+'Seat capacity elasticities'!K63</f>
        <v>0</v>
      </c>
      <c r="K33" s="11">
        <f>+'Seat capacity elasticities'!L63</f>
        <v>0</v>
      </c>
      <c r="L33" s="11">
        <f>+'Seat capacity elasticities'!M63</f>
        <v>0</v>
      </c>
      <c r="M33" s="11">
        <f>+'Seat capacity elasticities'!N63</f>
        <v>0</v>
      </c>
      <c r="N33" s="32">
        <f t="shared" si="12"/>
        <v>0</v>
      </c>
      <c r="O33" s="33">
        <f t="shared" si="13"/>
        <v>0</v>
      </c>
      <c r="P33" s="40">
        <f t="shared" si="14"/>
        <v>0</v>
      </c>
      <c r="Q33" s="33">
        <f t="shared" si="15"/>
        <v>0</v>
      </c>
      <c r="R33" s="40">
        <f t="shared" si="16"/>
        <v>0</v>
      </c>
      <c r="S33" s="41">
        <f t="shared" si="17"/>
        <v>0</v>
      </c>
      <c r="T33" s="40">
        <f t="shared" si="18"/>
        <v>0</v>
      </c>
      <c r="U33" s="41">
        <f t="shared" si="19"/>
        <v>0</v>
      </c>
      <c r="V33" s="53"/>
      <c r="W33" s="53"/>
      <c r="X33" t="s">
        <v>328</v>
      </c>
      <c r="Y33">
        <v>152320</v>
      </c>
      <c r="Z33">
        <v>110554</v>
      </c>
      <c r="AA33" s="51">
        <v>33995.19</v>
      </c>
      <c r="AB33" s="32">
        <f t="shared" si="3"/>
        <v>3758304235.2600002</v>
      </c>
      <c r="AC33">
        <v>6033</v>
      </c>
      <c r="AD33" s="37">
        <f t="shared" si="4"/>
        <v>3.9607405462184872E-2</v>
      </c>
      <c r="AE33">
        <v>5.7543000000000004E-3</v>
      </c>
      <c r="AF33" s="3">
        <f t="shared" si="5"/>
        <v>5.7543000000000008E-5</v>
      </c>
      <c r="AG33" s="11">
        <f>+'Seat capacity elasticities'!R63</f>
        <v>1.4565134331226512E-2</v>
      </c>
      <c r="AH33" s="11">
        <f>+'Seat capacity elasticities'!S63</f>
        <v>2.7604958424425376E-2</v>
      </c>
      <c r="AI33" s="11">
        <f>+'Seat capacity elasticities'!T63</f>
        <v>3.9962101414195483E-2</v>
      </c>
      <c r="AJ33" s="11">
        <f>+'Seat capacity elasticities'!U63</f>
        <v>3.2690082344714266E-2</v>
      </c>
      <c r="AK33" s="32">
        <f t="shared" si="20"/>
        <v>547402.06044179434</v>
      </c>
      <c r="AL33" s="33">
        <f t="shared" si="21"/>
        <v>1.4565134331226512E-4</v>
      </c>
      <c r="AM33" s="40">
        <f t="shared" si="22"/>
        <v>1037478.3216069411</v>
      </c>
      <c r="AN33" s="33">
        <f t="shared" si="23"/>
        <v>2.7604958424425372E-4</v>
      </c>
      <c r="AO33" s="40">
        <f t="shared" si="24"/>
        <v>2410913.5783184133</v>
      </c>
      <c r="AP33" s="41">
        <f t="shared" si="25"/>
        <v>3.9962101414195477E-4</v>
      </c>
      <c r="AQ33" s="40">
        <f t="shared" si="26"/>
        <v>1972192.6678566115</v>
      </c>
      <c r="AR33" s="41">
        <f t="shared" si="27"/>
        <v>3.2690082344714259E-4</v>
      </c>
      <c r="AV33" t="s">
        <v>328</v>
      </c>
      <c r="AW33">
        <v>152320</v>
      </c>
      <c r="AX33">
        <v>110554</v>
      </c>
      <c r="AY33" s="51">
        <v>33995.19</v>
      </c>
      <c r="AZ33" s="32">
        <f t="shared" si="6"/>
        <v>3758304235.2600002</v>
      </c>
      <c r="BA33">
        <v>6033</v>
      </c>
      <c r="BB33" s="37">
        <f t="shared" si="7"/>
        <v>3.9607405462184872E-2</v>
      </c>
      <c r="BC33">
        <v>0</v>
      </c>
      <c r="BD33" s="3">
        <f t="shared" si="8"/>
        <v>0</v>
      </c>
      <c r="BE33" s="11">
        <f>+'Seat capacity elasticities'!Y63</f>
        <v>0</v>
      </c>
      <c r="BF33" s="11">
        <f>+'Seat capacity elasticities'!Z63</f>
        <v>0</v>
      </c>
      <c r="BG33" s="11">
        <f>+'Seat capacity elasticities'!AA63</f>
        <v>0</v>
      </c>
      <c r="BH33" s="11">
        <f>+'Seat capacity elasticities'!AB63</f>
        <v>0</v>
      </c>
      <c r="BI33" s="32">
        <f t="shared" si="28"/>
        <v>0</v>
      </c>
      <c r="BJ33" s="33">
        <f t="shared" si="29"/>
        <v>0</v>
      </c>
      <c r="BK33" s="40">
        <f t="shared" si="30"/>
        <v>0</v>
      </c>
      <c r="BL33" s="33">
        <f t="shared" si="31"/>
        <v>0</v>
      </c>
      <c r="BM33" s="40">
        <f t="shared" si="32"/>
        <v>0</v>
      </c>
      <c r="BN33" s="41">
        <f t="shared" si="33"/>
        <v>0</v>
      </c>
      <c r="BO33" s="40">
        <f t="shared" si="34"/>
        <v>0</v>
      </c>
      <c r="BP33" s="41">
        <f t="shared" si="35"/>
        <v>0</v>
      </c>
      <c r="BQ33" s="53"/>
      <c r="BR33" s="53"/>
      <c r="BS33" t="s">
        <v>328</v>
      </c>
      <c r="BT33">
        <v>152320</v>
      </c>
      <c r="BU33">
        <v>110554</v>
      </c>
      <c r="BV33" s="51">
        <v>33995.19</v>
      </c>
      <c r="BW33" s="32">
        <f t="shared" si="9"/>
        <v>3758304235.2600002</v>
      </c>
      <c r="BX33">
        <v>6033</v>
      </c>
      <c r="BY33" s="37">
        <f t="shared" si="10"/>
        <v>3.9607405462184872E-2</v>
      </c>
      <c r="BZ33">
        <v>5.7543000000000004E-3</v>
      </c>
      <c r="CA33" s="3">
        <f t="shared" si="11"/>
        <v>5.7543000000000008E-5</v>
      </c>
      <c r="CB33" s="11">
        <f>+'Seat capacity elasticities'!AF63</f>
        <v>8.02013477427828E-2</v>
      </c>
      <c r="CC33" s="11">
        <f>+'Seat capacity elasticities'!AG63</f>
        <v>6.408753365189733E-2</v>
      </c>
      <c r="CD33" s="11">
        <f>+'Seat capacity elasticities'!AH63</f>
        <v>0.22004701907767121</v>
      </c>
      <c r="CE33" s="11">
        <f>+'Seat capacity elasticities'!AI63</f>
        <v>7.589313195619421E-2</v>
      </c>
      <c r="CF33" s="32">
        <f t="shared" si="36"/>
        <v>3014210.6489526066</v>
      </c>
      <c r="CG33" s="33">
        <f t="shared" si="37"/>
        <v>8.0201347742782803E-4</v>
      </c>
      <c r="CH33" s="40">
        <f t="shared" si="38"/>
        <v>2408604.4915129351</v>
      </c>
      <c r="CI33" s="33">
        <f t="shared" si="39"/>
        <v>6.4087533651897323E-4</v>
      </c>
      <c r="CJ33" s="40">
        <f t="shared" si="40"/>
        <v>13275436.660955902</v>
      </c>
      <c r="CK33" s="41">
        <f t="shared" si="41"/>
        <v>2.2004701907767116E-3</v>
      </c>
      <c r="CL33" s="40">
        <f t="shared" si="42"/>
        <v>4578632.6509171966</v>
      </c>
      <c r="CM33" s="41">
        <f t="shared" si="43"/>
        <v>7.5893131956194214E-4</v>
      </c>
      <c r="CO33" s="70">
        <f t="shared" si="44"/>
        <v>0</v>
      </c>
      <c r="CP33" s="70">
        <f t="shared" si="45"/>
        <v>0</v>
      </c>
      <c r="CQ33" s="70">
        <f t="shared" si="46"/>
        <v>0</v>
      </c>
      <c r="CR33" s="70">
        <f t="shared" si="47"/>
        <v>0</v>
      </c>
      <c r="CS33" s="70">
        <f t="shared" si="48"/>
        <v>0</v>
      </c>
      <c r="CT33" s="70">
        <f t="shared" si="49"/>
        <v>0</v>
      </c>
      <c r="CU33" s="69">
        <f t="shared" si="50"/>
        <v>0</v>
      </c>
      <c r="CV33" s="69">
        <f t="shared" si="51"/>
        <v>0</v>
      </c>
      <c r="CW33" s="70">
        <f t="shared" si="52"/>
        <v>0</v>
      </c>
      <c r="CX33" s="69">
        <f t="shared" si="53"/>
        <v>0</v>
      </c>
      <c r="CY33" s="69">
        <f t="shared" si="54"/>
        <v>0</v>
      </c>
      <c r="CZ33" s="70">
        <f t="shared" si="55"/>
        <v>0</v>
      </c>
      <c r="DB33" s="70">
        <f t="shared" si="56"/>
        <v>4.9514450896556825</v>
      </c>
      <c r="DC33" s="70">
        <f t="shared" si="57"/>
        <v>27.264600547719727</v>
      </c>
      <c r="DD33" s="70">
        <f t="shared" si="58"/>
        <v>32.216045637375409</v>
      </c>
      <c r="DE33" s="70">
        <f t="shared" si="59"/>
        <v>9.3843580658044132</v>
      </c>
      <c r="DF33" s="70">
        <f t="shared" si="60"/>
        <v>21.786678831276436</v>
      </c>
      <c r="DG33" s="70">
        <f t="shared" si="61"/>
        <v>31.17103689708085</v>
      </c>
      <c r="DH33" s="69">
        <f t="shared" si="62"/>
        <v>21.807565337467782</v>
      </c>
      <c r="DI33" s="69">
        <f t="shared" si="63"/>
        <v>120.08101616364765</v>
      </c>
      <c r="DJ33" s="70">
        <f t="shared" si="64"/>
        <v>141.88858150111542</v>
      </c>
      <c r="DK33" s="69">
        <f t="shared" si="65"/>
        <v>17.839179657512272</v>
      </c>
      <c r="DL33" s="69">
        <f t="shared" si="66"/>
        <v>41.415350425287158</v>
      </c>
      <c r="DM33" s="70">
        <f t="shared" si="67"/>
        <v>59.254530082799434</v>
      </c>
    </row>
    <row r="34" spans="1:117">
      <c r="A34" t="s">
        <v>330</v>
      </c>
      <c r="B34">
        <v>244870</v>
      </c>
      <c r="C34">
        <v>140905</v>
      </c>
      <c r="D34" s="51">
        <v>36418.5</v>
      </c>
      <c r="E34" s="32">
        <f t="shared" si="0"/>
        <v>5131548742.5</v>
      </c>
      <c r="F34">
        <v>6238</v>
      </c>
      <c r="G34" s="37">
        <f t="shared" si="1"/>
        <v>2.5474741699677381E-2</v>
      </c>
      <c r="H34">
        <v>0</v>
      </c>
      <c r="I34" s="3">
        <f t="shared" si="2"/>
        <v>0</v>
      </c>
      <c r="J34" s="11">
        <f>+'Seat capacity elasticities'!K64</f>
        <v>0</v>
      </c>
      <c r="K34" s="11">
        <f>+'Seat capacity elasticities'!L64</f>
        <v>0</v>
      </c>
      <c r="L34" s="11">
        <f>+'Seat capacity elasticities'!M64</f>
        <v>0</v>
      </c>
      <c r="M34" s="11">
        <f>+'Seat capacity elasticities'!N64</f>
        <v>0</v>
      </c>
      <c r="N34" s="32">
        <f t="shared" si="12"/>
        <v>0</v>
      </c>
      <c r="O34" s="33">
        <f t="shared" si="13"/>
        <v>0</v>
      </c>
      <c r="P34" s="40">
        <f t="shared" si="14"/>
        <v>0</v>
      </c>
      <c r="Q34" s="33">
        <f t="shared" si="15"/>
        <v>0</v>
      </c>
      <c r="R34" s="40">
        <f t="shared" si="16"/>
        <v>0</v>
      </c>
      <c r="S34" s="41">
        <f t="shared" si="17"/>
        <v>0</v>
      </c>
      <c r="T34" s="40">
        <f t="shared" si="18"/>
        <v>0</v>
      </c>
      <c r="U34" s="41">
        <f t="shared" si="19"/>
        <v>0</v>
      </c>
      <c r="V34" s="53"/>
      <c r="W34" s="53"/>
      <c r="X34" t="s">
        <v>330</v>
      </c>
      <c r="Y34">
        <v>244870</v>
      </c>
      <c r="Z34">
        <v>140905</v>
      </c>
      <c r="AA34" s="51">
        <v>36418.5</v>
      </c>
      <c r="AB34" s="32">
        <f t="shared" si="3"/>
        <v>5131548742.5</v>
      </c>
      <c r="AC34">
        <v>6238</v>
      </c>
      <c r="AD34" s="37">
        <f t="shared" si="4"/>
        <v>2.5474741699677381E-2</v>
      </c>
      <c r="AE34">
        <v>6.8547E-3</v>
      </c>
      <c r="AF34" s="3">
        <f t="shared" si="5"/>
        <v>6.8547000000000006E-5</v>
      </c>
      <c r="AG34" s="11">
        <f>+'Seat capacity elasticities'!R64</f>
        <v>8.3149048925780789E-3</v>
      </c>
      <c r="AH34" s="11">
        <f>+'Seat capacity elasticities'!S64</f>
        <v>1.575904476010009E-2</v>
      </c>
      <c r="AI34" s="11">
        <f>+'Seat capacity elasticities'!T64</f>
        <v>2.2813457467001228E-2</v>
      </c>
      <c r="AJ34" s="11">
        <f>+'Seat capacity elasticities'!U64</f>
        <v>1.8662026689592215E-2</v>
      </c>
      <c r="AK34" s="32">
        <f t="shared" si="20"/>
        <v>426683.39745516144</v>
      </c>
      <c r="AL34" s="33">
        <f t="shared" si="21"/>
        <v>8.3149048925780798E-5</v>
      </c>
      <c r="AM34" s="40">
        <f t="shared" si="22"/>
        <v>808683.06321692839</v>
      </c>
      <c r="AN34" s="33">
        <f t="shared" si="23"/>
        <v>1.5759044760100093E-4</v>
      </c>
      <c r="AO34" s="40">
        <f t="shared" si="24"/>
        <v>1423103.4767915367</v>
      </c>
      <c r="AP34" s="41">
        <f t="shared" si="25"/>
        <v>2.281345746700123E-4</v>
      </c>
      <c r="AQ34" s="40">
        <f t="shared" si="26"/>
        <v>1164137.2248967623</v>
      </c>
      <c r="AR34" s="41">
        <f t="shared" si="27"/>
        <v>1.8662026689592214E-4</v>
      </c>
      <c r="AV34" t="s">
        <v>330</v>
      </c>
      <c r="AW34">
        <v>244870</v>
      </c>
      <c r="AX34">
        <v>140905</v>
      </c>
      <c r="AY34" s="51">
        <v>36418.5</v>
      </c>
      <c r="AZ34" s="32">
        <f t="shared" si="6"/>
        <v>5131548742.5</v>
      </c>
      <c r="BA34">
        <v>6238</v>
      </c>
      <c r="BB34" s="37">
        <f t="shared" si="7"/>
        <v>2.5474741699677381E-2</v>
      </c>
      <c r="BC34">
        <v>0</v>
      </c>
      <c r="BD34" s="3">
        <f t="shared" si="8"/>
        <v>0</v>
      </c>
      <c r="BE34" s="11">
        <f>+'Seat capacity elasticities'!Y64</f>
        <v>0</v>
      </c>
      <c r="BF34" s="11">
        <f>+'Seat capacity elasticities'!Z64</f>
        <v>0</v>
      </c>
      <c r="BG34" s="11">
        <f>+'Seat capacity elasticities'!AA64</f>
        <v>0</v>
      </c>
      <c r="BH34" s="11">
        <f>+'Seat capacity elasticities'!AB64</f>
        <v>0</v>
      </c>
      <c r="BI34" s="32">
        <f t="shared" si="28"/>
        <v>0</v>
      </c>
      <c r="BJ34" s="33">
        <f t="shared" si="29"/>
        <v>0</v>
      </c>
      <c r="BK34" s="40">
        <f t="shared" si="30"/>
        <v>0</v>
      </c>
      <c r="BL34" s="33">
        <f t="shared" si="31"/>
        <v>0</v>
      </c>
      <c r="BM34" s="40">
        <f t="shared" si="32"/>
        <v>0</v>
      </c>
      <c r="BN34" s="41">
        <f t="shared" si="33"/>
        <v>0</v>
      </c>
      <c r="BO34" s="40">
        <f t="shared" si="34"/>
        <v>0</v>
      </c>
      <c r="BP34" s="41">
        <f t="shared" si="35"/>
        <v>0</v>
      </c>
      <c r="BQ34" s="53"/>
      <c r="BR34" s="53"/>
      <c r="BS34" t="s">
        <v>330</v>
      </c>
      <c r="BT34">
        <v>244870</v>
      </c>
      <c r="BU34">
        <v>140905</v>
      </c>
      <c r="BV34" s="51">
        <v>36418.5</v>
      </c>
      <c r="BW34" s="32">
        <f t="shared" si="9"/>
        <v>5131548742.5</v>
      </c>
      <c r="BX34">
        <v>6238</v>
      </c>
      <c r="BY34" s="37">
        <f t="shared" si="10"/>
        <v>2.5474741699677381E-2</v>
      </c>
      <c r="BZ34">
        <v>6.8547E-3</v>
      </c>
      <c r="CA34" s="3">
        <f t="shared" si="11"/>
        <v>6.8547000000000006E-5</v>
      </c>
      <c r="CB34" s="11">
        <f>+'Seat capacity elasticities'!AF64</f>
        <v>5.9429074721334602E-2</v>
      </c>
      <c r="CC34" s="11">
        <f>+'Seat capacity elasticities'!AG64</f>
        <v>4.7488763384869521E-2</v>
      </c>
      <c r="CD34" s="11">
        <f>+'Seat capacity elasticities'!AH64</f>
        <v>0.16305450104048483</v>
      </c>
      <c r="CE34" s="11">
        <f>+'Seat capacity elasticities'!AI64</f>
        <v>5.623669348208233E-2</v>
      </c>
      <c r="CF34" s="32">
        <f t="shared" si="36"/>
        <v>3049631.9365420314</v>
      </c>
      <c r="CG34" s="33">
        <f t="shared" si="37"/>
        <v>5.9429074721334602E-4</v>
      </c>
      <c r="CH34" s="40">
        <f t="shared" si="38"/>
        <v>2436909.0403050724</v>
      </c>
      <c r="CI34" s="33">
        <f t="shared" si="39"/>
        <v>4.7488763384869522E-4</v>
      </c>
      <c r="CJ34" s="40">
        <f t="shared" si="40"/>
        <v>10171339.774905445</v>
      </c>
      <c r="CK34" s="41">
        <f t="shared" si="41"/>
        <v>1.6305450104048484E-3</v>
      </c>
      <c r="CL34" s="40">
        <f t="shared" si="42"/>
        <v>3508044.9394122963</v>
      </c>
      <c r="CM34" s="41">
        <f t="shared" si="43"/>
        <v>5.6236693482082341E-4</v>
      </c>
      <c r="CO34" s="70">
        <f t="shared" si="44"/>
        <v>0</v>
      </c>
      <c r="CP34" s="70">
        <f t="shared" si="45"/>
        <v>0</v>
      </c>
      <c r="CQ34" s="70">
        <f t="shared" si="46"/>
        <v>0</v>
      </c>
      <c r="CR34" s="70">
        <f t="shared" si="47"/>
        <v>0</v>
      </c>
      <c r="CS34" s="70">
        <f t="shared" si="48"/>
        <v>0</v>
      </c>
      <c r="CT34" s="70">
        <f t="shared" si="49"/>
        <v>0</v>
      </c>
      <c r="CU34" s="69">
        <f t="shared" si="50"/>
        <v>0</v>
      </c>
      <c r="CV34" s="69">
        <f t="shared" si="51"/>
        <v>0</v>
      </c>
      <c r="CW34" s="70">
        <f t="shared" si="52"/>
        <v>0</v>
      </c>
      <c r="CX34" s="69">
        <f t="shared" si="53"/>
        <v>0</v>
      </c>
      <c r="CY34" s="69">
        <f t="shared" si="54"/>
        <v>0</v>
      </c>
      <c r="CZ34" s="70">
        <f t="shared" si="55"/>
        <v>0</v>
      </c>
      <c r="DB34" s="70">
        <f t="shared" si="56"/>
        <v>3.028163638303548</v>
      </c>
      <c r="DC34" s="70">
        <f t="shared" si="57"/>
        <v>21.643177577389242</v>
      </c>
      <c r="DD34" s="70">
        <f t="shared" si="58"/>
        <v>24.671341215692792</v>
      </c>
      <c r="DE34" s="70">
        <f t="shared" si="59"/>
        <v>5.7392077159570523</v>
      </c>
      <c r="DF34" s="70">
        <f t="shared" si="60"/>
        <v>17.294695293318707</v>
      </c>
      <c r="DG34" s="70">
        <f t="shared" si="61"/>
        <v>23.033903009275761</v>
      </c>
      <c r="DH34" s="69">
        <f t="shared" si="62"/>
        <v>10.099737247021302</v>
      </c>
      <c r="DI34" s="69">
        <f t="shared" si="63"/>
        <v>72.185797345058333</v>
      </c>
      <c r="DJ34" s="70">
        <f t="shared" si="64"/>
        <v>82.285534592079642</v>
      </c>
      <c r="DK34" s="69">
        <f t="shared" si="65"/>
        <v>8.2618588758153528</v>
      </c>
      <c r="DL34" s="69">
        <f t="shared" si="66"/>
        <v>24.896525598185274</v>
      </c>
      <c r="DM34" s="70">
        <f t="shared" si="67"/>
        <v>33.158384474000627</v>
      </c>
    </row>
    <row r="35" spans="1:117">
      <c r="A35" t="s">
        <v>332</v>
      </c>
      <c r="B35">
        <v>1123146</v>
      </c>
      <c r="C35">
        <v>683998</v>
      </c>
      <c r="D35" s="51">
        <v>40845.019999999997</v>
      </c>
      <c r="E35" s="32">
        <f t="shared" si="0"/>
        <v>27937911989.959999</v>
      </c>
      <c r="F35">
        <v>48442</v>
      </c>
      <c r="G35" s="37">
        <f t="shared" si="1"/>
        <v>4.3130634841774804E-2</v>
      </c>
      <c r="H35">
        <v>0</v>
      </c>
      <c r="I35" s="3">
        <f t="shared" si="2"/>
        <v>0</v>
      </c>
      <c r="J35" s="11">
        <f>+'Seat capacity elasticities'!K65</f>
        <v>0</v>
      </c>
      <c r="K35" s="11">
        <f>+'Seat capacity elasticities'!L65</f>
        <v>0</v>
      </c>
      <c r="L35" s="11">
        <f>+'Seat capacity elasticities'!M65</f>
        <v>0</v>
      </c>
      <c r="M35" s="11">
        <f>+'Seat capacity elasticities'!N65</f>
        <v>0</v>
      </c>
      <c r="N35" s="32">
        <f t="shared" si="12"/>
        <v>0</v>
      </c>
      <c r="O35" s="33">
        <f t="shared" si="13"/>
        <v>0</v>
      </c>
      <c r="P35" s="40">
        <f t="shared" si="14"/>
        <v>0</v>
      </c>
      <c r="Q35" s="33">
        <f t="shared" si="15"/>
        <v>0</v>
      </c>
      <c r="R35" s="40">
        <f t="shared" si="16"/>
        <v>0</v>
      </c>
      <c r="S35" s="41">
        <f t="shared" si="17"/>
        <v>0</v>
      </c>
      <c r="T35" s="40">
        <f t="shared" si="18"/>
        <v>0</v>
      </c>
      <c r="U35" s="41">
        <f t="shared" si="19"/>
        <v>0</v>
      </c>
      <c r="V35" s="53"/>
      <c r="W35" s="53"/>
      <c r="X35" t="s">
        <v>332</v>
      </c>
      <c r="Y35">
        <v>1123146</v>
      </c>
      <c r="Z35">
        <v>683998</v>
      </c>
      <c r="AA35" s="51">
        <v>40845.019999999997</v>
      </c>
      <c r="AB35" s="32">
        <f t="shared" si="3"/>
        <v>27937911989.959999</v>
      </c>
      <c r="AC35">
        <v>48442</v>
      </c>
      <c r="AD35" s="37">
        <f t="shared" si="4"/>
        <v>4.3130634841774804E-2</v>
      </c>
      <c r="AE35">
        <v>2.6599000000000002E-3</v>
      </c>
      <c r="AF35" s="3">
        <f t="shared" si="5"/>
        <v>2.6599000000000004E-5</v>
      </c>
      <c r="AG35" s="11">
        <f>+'Seat capacity elasticities'!R65</f>
        <v>6.4296969267567056E-3</v>
      </c>
      <c r="AH35" s="11">
        <f>+'Seat capacity elasticities'!S65</f>
        <v>1.2186054196853272E-2</v>
      </c>
      <c r="AI35" s="11">
        <f>+'Seat capacity elasticities'!T65</f>
        <v>1.7641045719621287E-2</v>
      </c>
      <c r="AJ35" s="11">
        <f>+'Seat capacity elasticities'!U65</f>
        <v>1.4430853654168348E-2</v>
      </c>
      <c r="AK35" s="32">
        <f t="shared" si="20"/>
        <v>1796323.068618451</v>
      </c>
      <c r="AL35" s="33">
        <f t="shared" si="21"/>
        <v>6.4296969267567042E-5</v>
      </c>
      <c r="AM35" s="40">
        <f t="shared" si="22"/>
        <v>3404529.0965656936</v>
      </c>
      <c r="AN35" s="33">
        <f t="shared" si="23"/>
        <v>1.218605419685327E-4</v>
      </c>
      <c r="AO35" s="40">
        <f t="shared" si="24"/>
        <v>8545675.3674989436</v>
      </c>
      <c r="AP35" s="41">
        <f t="shared" si="25"/>
        <v>1.7641045719621285E-4</v>
      </c>
      <c r="AQ35" s="40">
        <f t="shared" si="26"/>
        <v>6990594.1271522315</v>
      </c>
      <c r="AR35" s="41">
        <f t="shared" si="27"/>
        <v>1.4430853654168348E-4</v>
      </c>
      <c r="AV35" t="s">
        <v>332</v>
      </c>
      <c r="AW35">
        <v>1123146</v>
      </c>
      <c r="AX35">
        <v>683998</v>
      </c>
      <c r="AY35" s="51">
        <v>40845.019999999997</v>
      </c>
      <c r="AZ35" s="32">
        <f t="shared" si="6"/>
        <v>27937911989.959999</v>
      </c>
      <c r="BA35">
        <v>48442</v>
      </c>
      <c r="BB35" s="37">
        <f t="shared" si="7"/>
        <v>4.3130634841774804E-2</v>
      </c>
      <c r="BC35">
        <v>0</v>
      </c>
      <c r="BD35" s="3">
        <f t="shared" si="8"/>
        <v>0</v>
      </c>
      <c r="BE35" s="11">
        <f>+'Seat capacity elasticities'!Y65</f>
        <v>0</v>
      </c>
      <c r="BF35" s="11">
        <f>+'Seat capacity elasticities'!Z65</f>
        <v>0</v>
      </c>
      <c r="BG35" s="11">
        <f>+'Seat capacity elasticities'!AA65</f>
        <v>0</v>
      </c>
      <c r="BH35" s="11">
        <f>+'Seat capacity elasticities'!AB65</f>
        <v>0</v>
      </c>
      <c r="BI35" s="32">
        <f t="shared" si="28"/>
        <v>0</v>
      </c>
      <c r="BJ35" s="33">
        <f t="shared" si="29"/>
        <v>0</v>
      </c>
      <c r="BK35" s="40">
        <f t="shared" si="30"/>
        <v>0</v>
      </c>
      <c r="BL35" s="33">
        <f t="shared" si="31"/>
        <v>0</v>
      </c>
      <c r="BM35" s="40">
        <f t="shared" si="32"/>
        <v>0</v>
      </c>
      <c r="BN35" s="41">
        <f t="shared" si="33"/>
        <v>0</v>
      </c>
      <c r="BO35" s="40">
        <f t="shared" si="34"/>
        <v>0</v>
      </c>
      <c r="BP35" s="41">
        <f t="shared" si="35"/>
        <v>0</v>
      </c>
      <c r="BQ35" s="53"/>
      <c r="BR35" s="53"/>
      <c r="BS35" t="s">
        <v>332</v>
      </c>
      <c r="BT35">
        <v>1123146</v>
      </c>
      <c r="BU35">
        <v>683998</v>
      </c>
      <c r="BV35" s="51">
        <v>40845.019999999997</v>
      </c>
      <c r="BW35" s="32">
        <f t="shared" si="9"/>
        <v>27937911989.959999</v>
      </c>
      <c r="BX35">
        <v>48442</v>
      </c>
      <c r="BY35" s="37">
        <f t="shared" si="10"/>
        <v>4.3130634841774804E-2</v>
      </c>
      <c r="BZ35">
        <v>2.6599000000000002E-3</v>
      </c>
      <c r="CA35" s="3">
        <f t="shared" si="11"/>
        <v>2.6599000000000004E-5</v>
      </c>
      <c r="CB35" s="11">
        <f>+'Seat capacity elasticities'!AF65</f>
        <v>5.0277675675433715E-3</v>
      </c>
      <c r="CC35" s="11">
        <f>+'Seat capacity elasticities'!AG65</f>
        <v>4.0176035970399225E-3</v>
      </c>
      <c r="CD35" s="11">
        <f>+'Seat capacity elasticities'!AH65</f>
        <v>1.379459693622008E-2</v>
      </c>
      <c r="CE35" s="11">
        <f>+'Seat capacity elasticities'!AI65</f>
        <v>4.7576884701788554E-3</v>
      </c>
      <c r="CF35" s="32">
        <f t="shared" si="36"/>
        <v>1404653.2780800196</v>
      </c>
      <c r="CG35" s="33">
        <f t="shared" si="37"/>
        <v>5.0277675675433708E-5</v>
      </c>
      <c r="CH35" s="40">
        <f t="shared" si="38"/>
        <v>1122434.5570464807</v>
      </c>
      <c r="CI35" s="33">
        <f t="shared" si="39"/>
        <v>4.0176035970399222E-5</v>
      </c>
      <c r="CJ35" s="40">
        <f t="shared" si="40"/>
        <v>6682378.6478437325</v>
      </c>
      <c r="CK35" s="41">
        <f t="shared" si="41"/>
        <v>1.3794596936220083E-4</v>
      </c>
      <c r="CL35" s="40">
        <f t="shared" si="42"/>
        <v>2304719.4487240412</v>
      </c>
      <c r="CM35" s="41">
        <f t="shared" si="43"/>
        <v>4.757688470178856E-5</v>
      </c>
      <c r="CO35" s="70">
        <f t="shared" si="44"/>
        <v>0</v>
      </c>
      <c r="CP35" s="70">
        <f t="shared" si="45"/>
        <v>0</v>
      </c>
      <c r="CQ35" s="70">
        <f t="shared" si="46"/>
        <v>0</v>
      </c>
      <c r="CR35" s="70">
        <f t="shared" si="47"/>
        <v>0</v>
      </c>
      <c r="CS35" s="70">
        <f t="shared" si="48"/>
        <v>0</v>
      </c>
      <c r="CT35" s="70">
        <f t="shared" si="49"/>
        <v>0</v>
      </c>
      <c r="CU35" s="69">
        <f t="shared" si="50"/>
        <v>0</v>
      </c>
      <c r="CV35" s="69">
        <f t="shared" si="51"/>
        <v>0</v>
      </c>
      <c r="CW35" s="70">
        <f t="shared" si="52"/>
        <v>0</v>
      </c>
      <c r="CX35" s="69">
        <f t="shared" si="53"/>
        <v>0</v>
      </c>
      <c r="CY35" s="69">
        <f t="shared" si="54"/>
        <v>0</v>
      </c>
      <c r="CZ35" s="70">
        <f t="shared" si="55"/>
        <v>0</v>
      </c>
      <c r="DB35" s="70">
        <f t="shared" si="56"/>
        <v>2.6262109956731612</v>
      </c>
      <c r="DC35" s="70">
        <f t="shared" si="57"/>
        <v>2.0535926685166035</v>
      </c>
      <c r="DD35" s="70">
        <f t="shared" si="58"/>
        <v>4.6798036641897642</v>
      </c>
      <c r="DE35" s="70">
        <f t="shared" si="59"/>
        <v>4.9773962739155575</v>
      </c>
      <c r="DF35" s="70">
        <f t="shared" si="60"/>
        <v>1.6409909927316757</v>
      </c>
      <c r="DG35" s="70">
        <f t="shared" si="61"/>
        <v>6.6183872666472334</v>
      </c>
      <c r="DH35" s="69">
        <f t="shared" si="62"/>
        <v>12.493713969191347</v>
      </c>
      <c r="DI35" s="69">
        <f t="shared" si="63"/>
        <v>9.7695879927188862</v>
      </c>
      <c r="DJ35" s="70">
        <f t="shared" si="64"/>
        <v>22.263301961910233</v>
      </c>
      <c r="DK35" s="69">
        <f t="shared" si="65"/>
        <v>10.220196736177929</v>
      </c>
      <c r="DL35" s="69">
        <f t="shared" si="66"/>
        <v>3.369482730540208</v>
      </c>
      <c r="DM35" s="70">
        <f t="shared" si="67"/>
        <v>13.589679466718136</v>
      </c>
    </row>
    <row r="36" spans="1:117">
      <c r="A36" t="s">
        <v>334</v>
      </c>
      <c r="B36">
        <v>104629</v>
      </c>
      <c r="C36">
        <v>79821</v>
      </c>
      <c r="D36" s="51">
        <v>34038.949999999997</v>
      </c>
      <c r="E36" s="32">
        <f t="shared" si="0"/>
        <v>2717023027.9499998</v>
      </c>
      <c r="F36">
        <v>3724</v>
      </c>
      <c r="G36" s="37">
        <f t="shared" si="1"/>
        <v>3.5592426573894428E-2</v>
      </c>
      <c r="H36">
        <v>0</v>
      </c>
      <c r="I36" s="3">
        <f t="shared" si="2"/>
        <v>0</v>
      </c>
      <c r="J36" s="11">
        <f>+'Seat capacity elasticities'!K66</f>
        <v>0</v>
      </c>
      <c r="K36" s="11">
        <f>+'Seat capacity elasticities'!L66</f>
        <v>0</v>
      </c>
      <c r="L36" s="11">
        <f>+'Seat capacity elasticities'!M66</f>
        <v>0</v>
      </c>
      <c r="M36" s="11">
        <f>+'Seat capacity elasticities'!N66</f>
        <v>0</v>
      </c>
      <c r="N36" s="32">
        <f t="shared" si="12"/>
        <v>0</v>
      </c>
      <c r="O36" s="33">
        <f t="shared" si="13"/>
        <v>0</v>
      </c>
      <c r="P36" s="40">
        <f t="shared" si="14"/>
        <v>0</v>
      </c>
      <c r="Q36" s="33">
        <f t="shared" si="15"/>
        <v>0</v>
      </c>
      <c r="R36" s="40">
        <f t="shared" si="16"/>
        <v>0</v>
      </c>
      <c r="S36" s="41">
        <f t="shared" si="17"/>
        <v>0</v>
      </c>
      <c r="T36" s="40">
        <f t="shared" si="18"/>
        <v>0</v>
      </c>
      <c r="U36" s="41">
        <f t="shared" si="19"/>
        <v>0</v>
      </c>
      <c r="V36" s="53"/>
      <c r="W36" s="53"/>
      <c r="X36" t="s">
        <v>334</v>
      </c>
      <c r="Y36">
        <v>104629</v>
      </c>
      <c r="Z36">
        <v>79821</v>
      </c>
      <c r="AA36" s="51">
        <v>34038.949999999997</v>
      </c>
      <c r="AB36" s="32">
        <f t="shared" si="3"/>
        <v>2717023027.9499998</v>
      </c>
      <c r="AC36">
        <v>3724</v>
      </c>
      <c r="AD36" s="37">
        <f t="shared" si="4"/>
        <v>3.5592426573894428E-2</v>
      </c>
      <c r="AE36">
        <v>5.3774000000000001E-3</v>
      </c>
      <c r="AF36" s="3">
        <f t="shared" si="5"/>
        <v>5.3774000000000004E-5</v>
      </c>
      <c r="AG36" s="11">
        <f>+'Seat capacity elasticities'!R66</f>
        <v>1.0066857363970467E-2</v>
      </c>
      <c r="AH36" s="11">
        <f>+'Seat capacity elasticities'!S66</f>
        <v>1.9079479301556432E-2</v>
      </c>
      <c r="AI36" s="11">
        <f>+'Seat capacity elasticities'!T66</f>
        <v>2.7620258471543521E-2</v>
      </c>
      <c r="AJ36" s="11">
        <f>+'Seat capacity elasticities'!U66</f>
        <v>2.2594120225527353E-2</v>
      </c>
      <c r="AK36" s="32">
        <f t="shared" si="20"/>
        <v>273518.83276995795</v>
      </c>
      <c r="AL36" s="33">
        <f t="shared" si="21"/>
        <v>1.0066857363970469E-4</v>
      </c>
      <c r="AM36" s="40">
        <f t="shared" si="22"/>
        <v>518393.8462362421</v>
      </c>
      <c r="AN36" s="33">
        <f t="shared" si="23"/>
        <v>1.9079479301556434E-4</v>
      </c>
      <c r="AO36" s="40">
        <f t="shared" si="24"/>
        <v>1028578.4254802808</v>
      </c>
      <c r="AP36" s="41">
        <f t="shared" si="25"/>
        <v>2.7620258471543527E-4</v>
      </c>
      <c r="AQ36" s="40">
        <f t="shared" si="26"/>
        <v>841405.03719863854</v>
      </c>
      <c r="AR36" s="41">
        <f t="shared" si="27"/>
        <v>2.2594120225527352E-4</v>
      </c>
      <c r="AV36" t="s">
        <v>334</v>
      </c>
      <c r="AW36">
        <v>104629</v>
      </c>
      <c r="AX36">
        <v>79821</v>
      </c>
      <c r="AY36" s="51">
        <v>34038.949999999997</v>
      </c>
      <c r="AZ36" s="32">
        <f t="shared" si="6"/>
        <v>2717023027.9499998</v>
      </c>
      <c r="BA36">
        <v>3724</v>
      </c>
      <c r="BB36" s="37">
        <f t="shared" si="7"/>
        <v>3.5592426573894428E-2</v>
      </c>
      <c r="BC36">
        <v>0</v>
      </c>
      <c r="BD36" s="3">
        <f t="shared" si="8"/>
        <v>0</v>
      </c>
      <c r="BE36" s="11">
        <f>+'Seat capacity elasticities'!Y66</f>
        <v>0</v>
      </c>
      <c r="BF36" s="11">
        <f>+'Seat capacity elasticities'!Z66</f>
        <v>0</v>
      </c>
      <c r="BG36" s="11">
        <f>+'Seat capacity elasticities'!AA66</f>
        <v>0</v>
      </c>
      <c r="BH36" s="11">
        <f>+'Seat capacity elasticities'!AB66</f>
        <v>0</v>
      </c>
      <c r="BI36" s="32">
        <f t="shared" si="28"/>
        <v>0</v>
      </c>
      <c r="BJ36" s="33">
        <f t="shared" si="29"/>
        <v>0</v>
      </c>
      <c r="BK36" s="40">
        <f t="shared" si="30"/>
        <v>0</v>
      </c>
      <c r="BL36" s="33">
        <f t="shared" si="31"/>
        <v>0</v>
      </c>
      <c r="BM36" s="40">
        <f t="shared" si="32"/>
        <v>0</v>
      </c>
      <c r="BN36" s="41">
        <f t="shared" si="33"/>
        <v>0</v>
      </c>
      <c r="BO36" s="40">
        <f t="shared" si="34"/>
        <v>0</v>
      </c>
      <c r="BP36" s="41">
        <f t="shared" si="35"/>
        <v>0</v>
      </c>
      <c r="BQ36" s="53"/>
      <c r="BR36" s="53"/>
      <c r="BS36" t="s">
        <v>334</v>
      </c>
      <c r="BT36">
        <v>104629</v>
      </c>
      <c r="BU36">
        <v>79821</v>
      </c>
      <c r="BV36" s="51">
        <v>34038.949999999997</v>
      </c>
      <c r="BW36" s="32">
        <f t="shared" si="9"/>
        <v>2717023027.9499998</v>
      </c>
      <c r="BX36">
        <v>3724</v>
      </c>
      <c r="BY36" s="37">
        <f t="shared" si="10"/>
        <v>3.5592426573894428E-2</v>
      </c>
      <c r="BZ36">
        <v>5.3774000000000001E-3</v>
      </c>
      <c r="CA36" s="3">
        <f t="shared" si="11"/>
        <v>5.3774000000000004E-5</v>
      </c>
      <c r="CB36" s="11">
        <f>+'Seat capacity elasticities'!AF66</f>
        <v>0.10911045472697022</v>
      </c>
      <c r="CC36" s="11">
        <f>+'Seat capacity elasticities'!AG66</f>
        <v>8.7188309621863913E-2</v>
      </c>
      <c r="CD36" s="11">
        <f>+'Seat capacity elasticities'!AH66</f>
        <v>0.29936442452165113</v>
      </c>
      <c r="CE36" s="11">
        <f>+'Seat capacity elasticities'!AI66</f>
        <v>0.10324931402589148</v>
      </c>
      <c r="CF36" s="32">
        <f t="shared" si="36"/>
        <v>2964556.1808327399</v>
      </c>
      <c r="CG36" s="33">
        <f t="shared" si="37"/>
        <v>1.0911045472697023E-3</v>
      </c>
      <c r="CH36" s="40">
        <f t="shared" si="38"/>
        <v>2368926.450106388</v>
      </c>
      <c r="CI36" s="33">
        <f t="shared" si="39"/>
        <v>8.7188309621863912E-4</v>
      </c>
      <c r="CJ36" s="40">
        <f t="shared" si="40"/>
        <v>11148331.169186288</v>
      </c>
      <c r="CK36" s="41">
        <f t="shared" si="41"/>
        <v>2.9936442452165113E-3</v>
      </c>
      <c r="CL36" s="40">
        <f t="shared" si="42"/>
        <v>3845004.4543241989</v>
      </c>
      <c r="CM36" s="41">
        <f t="shared" si="43"/>
        <v>1.0324931402589147E-3</v>
      </c>
      <c r="CO36" s="70">
        <f t="shared" si="44"/>
        <v>0</v>
      </c>
      <c r="CP36" s="70">
        <f t="shared" si="45"/>
        <v>0</v>
      </c>
      <c r="CQ36" s="70">
        <f t="shared" si="46"/>
        <v>0</v>
      </c>
      <c r="CR36" s="70">
        <f t="shared" si="47"/>
        <v>0</v>
      </c>
      <c r="CS36" s="70">
        <f t="shared" si="48"/>
        <v>0</v>
      </c>
      <c r="CT36" s="70">
        <f t="shared" si="49"/>
        <v>0</v>
      </c>
      <c r="CU36" s="69">
        <f t="shared" si="50"/>
        <v>0</v>
      </c>
      <c r="CV36" s="69">
        <f t="shared" si="51"/>
        <v>0</v>
      </c>
      <c r="CW36" s="70">
        <f t="shared" si="52"/>
        <v>0</v>
      </c>
      <c r="CX36" s="69">
        <f t="shared" si="53"/>
        <v>0</v>
      </c>
      <c r="CY36" s="69">
        <f t="shared" si="54"/>
        <v>0</v>
      </c>
      <c r="CZ36" s="70">
        <f t="shared" si="55"/>
        <v>0</v>
      </c>
      <c r="DB36" s="70">
        <f t="shared" si="56"/>
        <v>3.4266525446932254</v>
      </c>
      <c r="DC36" s="70">
        <f t="shared" si="57"/>
        <v>37.140053129286024</v>
      </c>
      <c r="DD36" s="70">
        <f t="shared" si="58"/>
        <v>40.56670567397925</v>
      </c>
      <c r="DE36" s="70">
        <f t="shared" si="59"/>
        <v>6.494454419717143</v>
      </c>
      <c r="DF36" s="70">
        <f t="shared" si="60"/>
        <v>29.677985118031444</v>
      </c>
      <c r="DG36" s="70">
        <f t="shared" si="61"/>
        <v>36.172439537748588</v>
      </c>
      <c r="DH36" s="69">
        <f t="shared" si="62"/>
        <v>12.886062884206922</v>
      </c>
      <c r="DI36" s="69">
        <f t="shared" si="63"/>
        <v>139.66664373017488</v>
      </c>
      <c r="DJ36" s="70">
        <f t="shared" si="64"/>
        <v>152.5527066143818</v>
      </c>
      <c r="DK36" s="69">
        <f t="shared" si="65"/>
        <v>10.541148785390293</v>
      </c>
      <c r="DL36" s="69">
        <f t="shared" si="66"/>
        <v>48.170336807659623</v>
      </c>
      <c r="DM36" s="70">
        <f t="shared" si="67"/>
        <v>58.711485593049915</v>
      </c>
    </row>
    <row r="37" spans="1:117">
      <c r="A37" t="s">
        <v>336</v>
      </c>
      <c r="B37">
        <v>158521</v>
      </c>
      <c r="C37">
        <v>84568</v>
      </c>
      <c r="D37" s="51">
        <v>32417.74</v>
      </c>
      <c r="E37" s="32">
        <f t="shared" si="0"/>
        <v>2741503436.3200002</v>
      </c>
      <c r="F37">
        <v>3741</v>
      </c>
      <c r="G37" s="37">
        <f t="shared" si="1"/>
        <v>2.3599396925328506E-2</v>
      </c>
      <c r="H37">
        <v>0</v>
      </c>
      <c r="I37" s="3">
        <f t="shared" si="2"/>
        <v>0</v>
      </c>
      <c r="J37" s="11">
        <f>+'Seat capacity elasticities'!K67</f>
        <v>0</v>
      </c>
      <c r="K37" s="11">
        <f>+'Seat capacity elasticities'!L67</f>
        <v>0</v>
      </c>
      <c r="L37" s="11">
        <f>+'Seat capacity elasticities'!M67</f>
        <v>0</v>
      </c>
      <c r="M37" s="11">
        <f>+'Seat capacity elasticities'!N67</f>
        <v>0</v>
      </c>
      <c r="N37" s="32">
        <f t="shared" si="12"/>
        <v>0</v>
      </c>
      <c r="O37" s="33">
        <f t="shared" si="13"/>
        <v>0</v>
      </c>
      <c r="P37" s="40">
        <f t="shared" si="14"/>
        <v>0</v>
      </c>
      <c r="Q37" s="33">
        <f t="shared" si="15"/>
        <v>0</v>
      </c>
      <c r="R37" s="40">
        <f t="shared" si="16"/>
        <v>0</v>
      </c>
      <c r="S37" s="41">
        <f t="shared" si="17"/>
        <v>0</v>
      </c>
      <c r="T37" s="40">
        <f t="shared" si="18"/>
        <v>0</v>
      </c>
      <c r="U37" s="41">
        <f t="shared" si="19"/>
        <v>0</v>
      </c>
      <c r="V37" s="53"/>
      <c r="W37" s="53"/>
      <c r="X37" t="s">
        <v>336</v>
      </c>
      <c r="Y37">
        <v>158521</v>
      </c>
      <c r="Z37">
        <v>84568</v>
      </c>
      <c r="AA37" s="51">
        <v>32417.74</v>
      </c>
      <c r="AB37" s="32">
        <f t="shared" si="3"/>
        <v>2741503436.3200002</v>
      </c>
      <c r="AC37">
        <v>3741</v>
      </c>
      <c r="AD37" s="37">
        <f t="shared" si="4"/>
        <v>2.3599396925328506E-2</v>
      </c>
      <c r="AE37">
        <v>2.1759500000000001E-2</v>
      </c>
      <c r="AF37" s="3">
        <f t="shared" si="5"/>
        <v>2.1759500000000001E-4</v>
      </c>
      <c r="AG37" s="11">
        <f>+'Seat capacity elasticities'!R67</f>
        <v>7.3909736089919284E-2</v>
      </c>
      <c r="AH37" s="11">
        <f>+'Seat capacity elasticities'!S67</f>
        <v>0.14007939408758374</v>
      </c>
      <c r="AI37" s="11">
        <f>+'Seat capacity elasticities'!T67</f>
        <v>0.202784835481367</v>
      </c>
      <c r="AJ37" s="11">
        <f>+'Seat capacity elasticities'!U67</f>
        <v>0.16588349299845442</v>
      </c>
      <c r="AK37" s="32">
        <f t="shared" si="20"/>
        <v>2026237.9546801804</v>
      </c>
      <c r="AL37" s="33">
        <f t="shared" si="21"/>
        <v>7.3909736089919278E-4</v>
      </c>
      <c r="AM37" s="40">
        <f t="shared" si="22"/>
        <v>3840281.4024873432</v>
      </c>
      <c r="AN37" s="33">
        <f t="shared" si="23"/>
        <v>1.4007939408758373E-3</v>
      </c>
      <c r="AO37" s="40">
        <f t="shared" si="24"/>
        <v>7586180.6953579392</v>
      </c>
      <c r="AP37" s="41">
        <f t="shared" si="25"/>
        <v>2.0278483548136698E-3</v>
      </c>
      <c r="AQ37" s="40">
        <f t="shared" si="26"/>
        <v>6205701.4730721796</v>
      </c>
      <c r="AR37" s="41">
        <f t="shared" si="27"/>
        <v>1.6588349299845441E-3</v>
      </c>
      <c r="AV37" t="s">
        <v>336</v>
      </c>
      <c r="AW37">
        <v>158521</v>
      </c>
      <c r="AX37">
        <v>84568</v>
      </c>
      <c r="AY37" s="51">
        <v>32417.74</v>
      </c>
      <c r="AZ37" s="32">
        <f t="shared" si="6"/>
        <v>2741503436.3200002</v>
      </c>
      <c r="BA37">
        <v>3741</v>
      </c>
      <c r="BB37" s="37">
        <f t="shared" si="7"/>
        <v>2.3599396925328506E-2</v>
      </c>
      <c r="BC37">
        <v>0</v>
      </c>
      <c r="BD37" s="3">
        <f t="shared" si="8"/>
        <v>0</v>
      </c>
      <c r="BE37" s="11">
        <f>+'Seat capacity elasticities'!Y67</f>
        <v>0</v>
      </c>
      <c r="BF37" s="11">
        <f>+'Seat capacity elasticities'!Z67</f>
        <v>0</v>
      </c>
      <c r="BG37" s="11">
        <f>+'Seat capacity elasticities'!AA67</f>
        <v>0</v>
      </c>
      <c r="BH37" s="11">
        <f>+'Seat capacity elasticities'!AB67</f>
        <v>0</v>
      </c>
      <c r="BI37" s="32">
        <f t="shared" si="28"/>
        <v>0</v>
      </c>
      <c r="BJ37" s="33">
        <f t="shared" si="29"/>
        <v>0</v>
      </c>
      <c r="BK37" s="40">
        <f t="shared" si="30"/>
        <v>0</v>
      </c>
      <c r="BL37" s="33">
        <f t="shared" si="31"/>
        <v>0</v>
      </c>
      <c r="BM37" s="40">
        <f t="shared" si="32"/>
        <v>0</v>
      </c>
      <c r="BN37" s="41">
        <f t="shared" si="33"/>
        <v>0</v>
      </c>
      <c r="BO37" s="40">
        <f t="shared" si="34"/>
        <v>0</v>
      </c>
      <c r="BP37" s="41">
        <f t="shared" si="35"/>
        <v>0</v>
      </c>
      <c r="BQ37" s="53"/>
      <c r="BR37" s="53"/>
      <c r="BS37" t="s">
        <v>336</v>
      </c>
      <c r="BT37">
        <v>158521</v>
      </c>
      <c r="BU37">
        <v>84568</v>
      </c>
      <c r="BV37" s="51">
        <v>32417.74</v>
      </c>
      <c r="BW37" s="32">
        <f t="shared" si="9"/>
        <v>2741503436.3200002</v>
      </c>
      <c r="BX37">
        <v>3741</v>
      </c>
      <c r="BY37" s="37">
        <f t="shared" si="10"/>
        <v>2.3599396925328506E-2</v>
      </c>
      <c r="BZ37">
        <v>2.1759500000000001E-2</v>
      </c>
      <c r="CA37" s="3">
        <f t="shared" si="11"/>
        <v>2.1759500000000001E-4</v>
      </c>
      <c r="CB37" s="11">
        <f>+'Seat capacity elasticities'!AF67</f>
        <v>0.29141251954155939</v>
      </c>
      <c r="CC37" s="11">
        <f>+'Seat capacity elasticities'!AG67</f>
        <v>0.23286279069274732</v>
      </c>
      <c r="CD37" s="11">
        <f>+'Seat capacity elasticities'!AH67</f>
        <v>0.7995433749154699</v>
      </c>
      <c r="CE37" s="11">
        <f>+'Seat capacity elasticities'!AI67</f>
        <v>0.27575856792562187</v>
      </c>
      <c r="CF37" s="32">
        <f t="shared" si="36"/>
        <v>7989084.237098543</v>
      </c>
      <c r="CG37" s="33">
        <f t="shared" si="37"/>
        <v>2.9141251954155939E-3</v>
      </c>
      <c r="CH37" s="40">
        <f t="shared" si="38"/>
        <v>6383941.4087523175</v>
      </c>
      <c r="CI37" s="33">
        <f t="shared" si="39"/>
        <v>2.3286279069274734E-3</v>
      </c>
      <c r="CJ37" s="40">
        <f t="shared" si="40"/>
        <v>29910917.655587737</v>
      </c>
      <c r="CK37" s="41">
        <f t="shared" si="41"/>
        <v>7.9954337491547015E-3</v>
      </c>
      <c r="CL37" s="40">
        <f t="shared" si="42"/>
        <v>10316128.026097514</v>
      </c>
      <c r="CM37" s="41">
        <f t="shared" si="43"/>
        <v>2.7575856792562184E-3</v>
      </c>
      <c r="CO37" s="70">
        <f t="shared" si="44"/>
        <v>0</v>
      </c>
      <c r="CP37" s="70">
        <f t="shared" si="45"/>
        <v>0</v>
      </c>
      <c r="CQ37" s="70">
        <f t="shared" si="46"/>
        <v>0</v>
      </c>
      <c r="CR37" s="70">
        <f t="shared" si="47"/>
        <v>0</v>
      </c>
      <c r="CS37" s="70">
        <f t="shared" si="48"/>
        <v>0</v>
      </c>
      <c r="CT37" s="70">
        <f t="shared" si="49"/>
        <v>0</v>
      </c>
      <c r="CU37" s="69">
        <f t="shared" si="50"/>
        <v>0</v>
      </c>
      <c r="CV37" s="69">
        <f t="shared" si="51"/>
        <v>0</v>
      </c>
      <c r="CW37" s="70">
        <f t="shared" si="52"/>
        <v>0</v>
      </c>
      <c r="CX37" s="69">
        <f t="shared" si="53"/>
        <v>0</v>
      </c>
      <c r="CY37" s="69">
        <f t="shared" si="54"/>
        <v>0</v>
      </c>
      <c r="CZ37" s="70">
        <f t="shared" si="55"/>
        <v>0</v>
      </c>
      <c r="DB37" s="70">
        <f t="shared" si="56"/>
        <v>23.9598660803162</v>
      </c>
      <c r="DC37" s="70">
        <f t="shared" si="57"/>
        <v>94.46935291243193</v>
      </c>
      <c r="DD37" s="70">
        <f t="shared" si="58"/>
        <v>118.42921899274813</v>
      </c>
      <c r="DE37" s="70">
        <f t="shared" si="59"/>
        <v>45.41057376888827</v>
      </c>
      <c r="DF37" s="70">
        <f t="shared" si="60"/>
        <v>75.488854043519027</v>
      </c>
      <c r="DG37" s="70">
        <f t="shared" si="61"/>
        <v>120.8994278124073</v>
      </c>
      <c r="DH37" s="69">
        <f t="shared" si="62"/>
        <v>89.705097617987178</v>
      </c>
      <c r="DI37" s="69">
        <f t="shared" si="63"/>
        <v>353.69073001120682</v>
      </c>
      <c r="DJ37" s="70">
        <f t="shared" si="64"/>
        <v>443.395827629194</v>
      </c>
      <c r="DK37" s="69">
        <f t="shared" si="65"/>
        <v>73.381201791128788</v>
      </c>
      <c r="DL37" s="69">
        <f t="shared" si="66"/>
        <v>121.98618893786673</v>
      </c>
      <c r="DM37" s="70">
        <f t="shared" si="67"/>
        <v>195.36739072899553</v>
      </c>
    </row>
    <row r="38" spans="1:117">
      <c r="A38" t="s">
        <v>338</v>
      </c>
      <c r="B38">
        <v>184165</v>
      </c>
      <c r="C38">
        <v>105177</v>
      </c>
      <c r="D38" s="51">
        <v>31276.44</v>
      </c>
      <c r="E38" s="32">
        <f t="shared" si="0"/>
        <v>3289562129.8799996</v>
      </c>
      <c r="F38">
        <v>4543</v>
      </c>
      <c r="G38" s="37">
        <f t="shared" si="1"/>
        <v>2.4668096543860124E-2</v>
      </c>
      <c r="H38">
        <v>0</v>
      </c>
      <c r="I38" s="3">
        <f t="shared" si="2"/>
        <v>0</v>
      </c>
      <c r="J38" s="11">
        <f>+'Seat capacity elasticities'!K68</f>
        <v>0</v>
      </c>
      <c r="K38" s="11">
        <f>+'Seat capacity elasticities'!L68</f>
        <v>0</v>
      </c>
      <c r="L38" s="11">
        <f>+'Seat capacity elasticities'!M68</f>
        <v>0</v>
      </c>
      <c r="M38" s="11">
        <f>+'Seat capacity elasticities'!N68</f>
        <v>0</v>
      </c>
      <c r="N38" s="32">
        <f t="shared" si="12"/>
        <v>0</v>
      </c>
      <c r="O38" s="33">
        <f t="shared" si="13"/>
        <v>0</v>
      </c>
      <c r="P38" s="40">
        <f t="shared" si="14"/>
        <v>0</v>
      </c>
      <c r="Q38" s="33">
        <f t="shared" si="15"/>
        <v>0</v>
      </c>
      <c r="R38" s="40">
        <f t="shared" si="16"/>
        <v>0</v>
      </c>
      <c r="S38" s="41">
        <f t="shared" si="17"/>
        <v>0</v>
      </c>
      <c r="T38" s="40">
        <f t="shared" si="18"/>
        <v>0</v>
      </c>
      <c r="U38" s="41">
        <f t="shared" si="19"/>
        <v>0</v>
      </c>
      <c r="V38" s="53"/>
      <c r="W38" s="53"/>
      <c r="X38" t="s">
        <v>338</v>
      </c>
      <c r="Y38">
        <v>184165</v>
      </c>
      <c r="Z38">
        <v>105177</v>
      </c>
      <c r="AA38" s="51">
        <v>31276.44</v>
      </c>
      <c r="AB38" s="32">
        <f t="shared" si="3"/>
        <v>3289562129.8799996</v>
      </c>
      <c r="AC38">
        <v>4543</v>
      </c>
      <c r="AD38" s="37">
        <f t="shared" si="4"/>
        <v>2.4668096543860124E-2</v>
      </c>
      <c r="AE38">
        <v>6.6687999999999999E-3</v>
      </c>
      <c r="AF38" s="3">
        <f t="shared" si="5"/>
        <v>6.6687999999999996E-5</v>
      </c>
      <c r="AG38" s="11">
        <f>+'Seat capacity elasticities'!R68</f>
        <v>1.2781517976648145E-2</v>
      </c>
      <c r="AH38" s="11">
        <f>+'Seat capacity elasticities'!S68</f>
        <v>2.4224512065774126E-2</v>
      </c>
      <c r="AI38" s="11">
        <f>+'Seat capacity elasticities'!T68</f>
        <v>3.5068424773475056E-2</v>
      </c>
      <c r="AJ38" s="11">
        <f>+'Seat capacity elasticities'!U68</f>
        <v>2.8686922183153572E-2</v>
      </c>
      <c r="AK38" s="32">
        <f t="shared" si="20"/>
        <v>420455.97498362174</v>
      </c>
      <c r="AL38" s="33">
        <f t="shared" si="21"/>
        <v>1.2781517976648144E-4</v>
      </c>
      <c r="AM38" s="40">
        <f t="shared" si="22"/>
        <v>796880.37506391678</v>
      </c>
      <c r="AN38" s="33">
        <f t="shared" si="23"/>
        <v>2.4224512065774124E-4</v>
      </c>
      <c r="AO38" s="40">
        <f t="shared" si="24"/>
        <v>1593158.5374589718</v>
      </c>
      <c r="AP38" s="41">
        <f t="shared" si="25"/>
        <v>3.5068424773475055E-4</v>
      </c>
      <c r="AQ38" s="40">
        <f t="shared" si="26"/>
        <v>1303246.8747806668</v>
      </c>
      <c r="AR38" s="41">
        <f t="shared" si="27"/>
        <v>2.8686922183153571E-4</v>
      </c>
      <c r="AV38" t="s">
        <v>338</v>
      </c>
      <c r="AW38">
        <v>184165</v>
      </c>
      <c r="AX38">
        <v>105177</v>
      </c>
      <c r="AY38" s="51">
        <v>31276.44</v>
      </c>
      <c r="AZ38" s="32">
        <f t="shared" si="6"/>
        <v>3289562129.8799996</v>
      </c>
      <c r="BA38">
        <v>4543</v>
      </c>
      <c r="BB38" s="37">
        <f t="shared" si="7"/>
        <v>2.4668096543860124E-2</v>
      </c>
      <c r="BC38">
        <v>0</v>
      </c>
      <c r="BD38" s="3">
        <f t="shared" si="8"/>
        <v>0</v>
      </c>
      <c r="BE38" s="11">
        <f>+'Seat capacity elasticities'!Y68</f>
        <v>0</v>
      </c>
      <c r="BF38" s="11">
        <f>+'Seat capacity elasticities'!Z68</f>
        <v>0</v>
      </c>
      <c r="BG38" s="11">
        <f>+'Seat capacity elasticities'!AA68</f>
        <v>0</v>
      </c>
      <c r="BH38" s="11">
        <f>+'Seat capacity elasticities'!AB68</f>
        <v>0</v>
      </c>
      <c r="BI38" s="32">
        <f t="shared" si="28"/>
        <v>0</v>
      </c>
      <c r="BJ38" s="33">
        <f t="shared" si="29"/>
        <v>0</v>
      </c>
      <c r="BK38" s="40">
        <f t="shared" si="30"/>
        <v>0</v>
      </c>
      <c r="BL38" s="33">
        <f t="shared" si="31"/>
        <v>0</v>
      </c>
      <c r="BM38" s="40">
        <f t="shared" si="32"/>
        <v>0</v>
      </c>
      <c r="BN38" s="41">
        <f t="shared" si="33"/>
        <v>0</v>
      </c>
      <c r="BO38" s="40">
        <f t="shared" si="34"/>
        <v>0</v>
      </c>
      <c r="BP38" s="41">
        <f t="shared" si="35"/>
        <v>0</v>
      </c>
      <c r="BQ38" s="53"/>
      <c r="BR38" s="53"/>
      <c r="BS38" t="s">
        <v>338</v>
      </c>
      <c r="BT38">
        <v>184165</v>
      </c>
      <c r="BU38">
        <v>105177</v>
      </c>
      <c r="BV38" s="51">
        <v>31276.44</v>
      </c>
      <c r="BW38" s="32">
        <f t="shared" si="9"/>
        <v>3289562129.8799996</v>
      </c>
      <c r="BX38">
        <v>4543</v>
      </c>
      <c r="BY38" s="37">
        <f t="shared" si="10"/>
        <v>2.4668096543860124E-2</v>
      </c>
      <c r="BZ38">
        <v>6.6687999999999999E-3</v>
      </c>
      <c r="CA38" s="3">
        <f t="shared" si="11"/>
        <v>6.6687999999999996E-5</v>
      </c>
      <c r="CB38" s="11">
        <f>+'Seat capacity elasticities'!AF68</f>
        <v>7.6875276888457703E-2</v>
      </c>
      <c r="CC38" s="11">
        <f>+'Seat capacity elasticities'!AG68</f>
        <v>6.1429726971530964E-2</v>
      </c>
      <c r="CD38" s="11">
        <f>+'Seat capacity elasticities'!AH68</f>
        <v>0.2109213373112919</v>
      </c>
      <c r="CE38" s="11">
        <f>+'Seat capacity elasticities'!AI68</f>
        <v>7.2745729308391932E-2</v>
      </c>
      <c r="CF38" s="32">
        <f t="shared" si="36"/>
        <v>2528859.995763096</v>
      </c>
      <c r="CG38" s="33">
        <f t="shared" si="37"/>
        <v>7.6875276888457693E-4</v>
      </c>
      <c r="CH38" s="40">
        <f t="shared" si="38"/>
        <v>2020769.0349441625</v>
      </c>
      <c r="CI38" s="33">
        <f t="shared" si="39"/>
        <v>6.1429726971530963E-4</v>
      </c>
      <c r="CJ38" s="40">
        <f t="shared" si="40"/>
        <v>9582156.3540519904</v>
      </c>
      <c r="CK38" s="41">
        <f t="shared" si="41"/>
        <v>2.109213373112919E-3</v>
      </c>
      <c r="CL38" s="40">
        <f t="shared" si="42"/>
        <v>3304838.4824802452</v>
      </c>
      <c r="CM38" s="41">
        <f t="shared" si="43"/>
        <v>7.2745729308391926E-4</v>
      </c>
      <c r="CO38" s="70">
        <f t="shared" si="44"/>
        <v>0</v>
      </c>
      <c r="CP38" s="70">
        <f t="shared" si="45"/>
        <v>0</v>
      </c>
      <c r="CQ38" s="70">
        <f t="shared" si="46"/>
        <v>0</v>
      </c>
      <c r="CR38" s="70">
        <f t="shared" si="47"/>
        <v>0</v>
      </c>
      <c r="CS38" s="70">
        <f t="shared" si="48"/>
        <v>0</v>
      </c>
      <c r="CT38" s="70">
        <f t="shared" si="49"/>
        <v>0</v>
      </c>
      <c r="CU38" s="69">
        <f t="shared" si="50"/>
        <v>0</v>
      </c>
      <c r="CV38" s="69">
        <f t="shared" si="51"/>
        <v>0</v>
      </c>
      <c r="CW38" s="70">
        <f t="shared" si="52"/>
        <v>0</v>
      </c>
      <c r="CX38" s="69">
        <f t="shared" si="53"/>
        <v>0</v>
      </c>
      <c r="CY38" s="69">
        <f t="shared" si="54"/>
        <v>0</v>
      </c>
      <c r="CZ38" s="70">
        <f t="shared" si="55"/>
        <v>0</v>
      </c>
      <c r="DB38" s="70">
        <f t="shared" si="56"/>
        <v>3.9976038010555706</v>
      </c>
      <c r="DC38" s="70">
        <f t="shared" si="57"/>
        <v>24.043849850852336</v>
      </c>
      <c r="DD38" s="70">
        <f t="shared" si="58"/>
        <v>28.041453651907908</v>
      </c>
      <c r="DE38" s="70">
        <f t="shared" si="59"/>
        <v>7.5765649815446041</v>
      </c>
      <c r="DF38" s="70">
        <f t="shared" si="60"/>
        <v>19.213031698414696</v>
      </c>
      <c r="DG38" s="70">
        <f t="shared" si="61"/>
        <v>26.789596679959299</v>
      </c>
      <c r="DH38" s="69">
        <f t="shared" si="62"/>
        <v>15.147404256243968</v>
      </c>
      <c r="DI38" s="69">
        <f t="shared" si="63"/>
        <v>91.10505485088936</v>
      </c>
      <c r="DJ38" s="70">
        <f t="shared" si="64"/>
        <v>106.25245910713333</v>
      </c>
      <c r="DK38" s="69">
        <f t="shared" si="65"/>
        <v>12.390987333548845</v>
      </c>
      <c r="DL38" s="69">
        <f t="shared" si="66"/>
        <v>31.421684232106308</v>
      </c>
      <c r="DM38" s="70">
        <f t="shared" si="67"/>
        <v>43.812671565655151</v>
      </c>
    </row>
    <row r="39" spans="1:117">
      <c r="A39" t="s">
        <v>339</v>
      </c>
      <c r="B39">
        <v>165571</v>
      </c>
      <c r="C39">
        <v>112403</v>
      </c>
      <c r="D39" s="51">
        <v>40334.11</v>
      </c>
      <c r="E39" s="32">
        <f t="shared" si="0"/>
        <v>4533674966.3299999</v>
      </c>
      <c r="F39">
        <v>7490</v>
      </c>
      <c r="G39" s="37">
        <f t="shared" si="1"/>
        <v>4.5237390605842809E-2</v>
      </c>
      <c r="H39">
        <v>0</v>
      </c>
      <c r="I39" s="3">
        <f t="shared" si="2"/>
        <v>0</v>
      </c>
      <c r="J39" s="11">
        <f>+'Seat capacity elasticities'!K69</f>
        <v>0</v>
      </c>
      <c r="K39" s="11">
        <f>+'Seat capacity elasticities'!L69</f>
        <v>0</v>
      </c>
      <c r="L39" s="11">
        <f>+'Seat capacity elasticities'!M69</f>
        <v>0</v>
      </c>
      <c r="M39" s="11">
        <f>+'Seat capacity elasticities'!N69</f>
        <v>0</v>
      </c>
      <c r="N39" s="32">
        <f t="shared" si="12"/>
        <v>0</v>
      </c>
      <c r="O39" s="33">
        <f t="shared" si="13"/>
        <v>0</v>
      </c>
      <c r="P39" s="40">
        <f t="shared" si="14"/>
        <v>0</v>
      </c>
      <c r="Q39" s="33">
        <f t="shared" si="15"/>
        <v>0</v>
      </c>
      <c r="R39" s="40">
        <f t="shared" si="16"/>
        <v>0</v>
      </c>
      <c r="S39" s="41">
        <f t="shared" si="17"/>
        <v>0</v>
      </c>
      <c r="T39" s="40">
        <f t="shared" si="18"/>
        <v>0</v>
      </c>
      <c r="U39" s="41">
        <f t="shared" si="19"/>
        <v>0</v>
      </c>
      <c r="V39" s="53"/>
      <c r="W39" s="53"/>
      <c r="X39" t="s">
        <v>339</v>
      </c>
      <c r="Y39">
        <v>165571</v>
      </c>
      <c r="Z39">
        <v>112403</v>
      </c>
      <c r="AA39" s="51">
        <v>40334.11</v>
      </c>
      <c r="AB39" s="32">
        <f t="shared" si="3"/>
        <v>4533674966.3299999</v>
      </c>
      <c r="AC39">
        <v>7490</v>
      </c>
      <c r="AD39" s="37">
        <f t="shared" si="4"/>
        <v>4.5237390605842809E-2</v>
      </c>
      <c r="AE39">
        <v>5.1285999999999997E-3</v>
      </c>
      <c r="AF39" s="3">
        <f t="shared" si="5"/>
        <v>5.1285999999999997E-5</v>
      </c>
      <c r="AG39" s="11">
        <f>+'Seat capacity elasticities'!R69</f>
        <v>1.0441016468754097E-2</v>
      </c>
      <c r="AH39" s="11">
        <f>+'Seat capacity elasticities'!S69</f>
        <v>1.9788614301398385E-2</v>
      </c>
      <c r="AI39" s="11">
        <f>+'Seat capacity elasticities'!T69</f>
        <v>2.8646832188639403E-2</v>
      </c>
      <c r="AJ39" s="11">
        <f>+'Seat capacity elasticities'!U69</f>
        <v>2.3433885356919142E-2</v>
      </c>
      <c r="AK39" s="32">
        <f t="shared" si="20"/>
        <v>473361.74987429706</v>
      </c>
      <c r="AL39" s="33">
        <f t="shared" si="21"/>
        <v>1.0441016468754097E-4</v>
      </c>
      <c r="AM39" s="40">
        <f t="shared" si="22"/>
        <v>897151.4527660968</v>
      </c>
      <c r="AN39" s="33">
        <f t="shared" si="23"/>
        <v>1.9788614301398386E-4</v>
      </c>
      <c r="AO39" s="40">
        <f t="shared" si="24"/>
        <v>2145647.7309290911</v>
      </c>
      <c r="AP39" s="41">
        <f t="shared" si="25"/>
        <v>2.8646832188639401E-4</v>
      </c>
      <c r="AQ39" s="40">
        <f t="shared" si="26"/>
        <v>1755198.0132332435</v>
      </c>
      <c r="AR39" s="41">
        <f t="shared" si="27"/>
        <v>2.3433885356919141E-4</v>
      </c>
      <c r="AV39" t="s">
        <v>339</v>
      </c>
      <c r="AW39">
        <v>165571</v>
      </c>
      <c r="AX39">
        <v>112403</v>
      </c>
      <c r="AY39" s="51">
        <v>40334.11</v>
      </c>
      <c r="AZ39" s="32">
        <f t="shared" si="6"/>
        <v>4533674966.3299999</v>
      </c>
      <c r="BA39">
        <v>7490</v>
      </c>
      <c r="BB39" s="37">
        <f t="shared" si="7"/>
        <v>4.5237390605842809E-2</v>
      </c>
      <c r="BC39">
        <v>0</v>
      </c>
      <c r="BD39" s="3">
        <f t="shared" si="8"/>
        <v>0</v>
      </c>
      <c r="BE39" s="11">
        <f>+'Seat capacity elasticities'!Y69</f>
        <v>0</v>
      </c>
      <c r="BF39" s="11">
        <f>+'Seat capacity elasticities'!Z69</f>
        <v>0</v>
      </c>
      <c r="BG39" s="11">
        <f>+'Seat capacity elasticities'!AA69</f>
        <v>0</v>
      </c>
      <c r="BH39" s="11">
        <f>+'Seat capacity elasticities'!AB69</f>
        <v>0</v>
      </c>
      <c r="BI39" s="32">
        <f t="shared" si="28"/>
        <v>0</v>
      </c>
      <c r="BJ39" s="33">
        <f t="shared" si="29"/>
        <v>0</v>
      </c>
      <c r="BK39" s="40">
        <f t="shared" si="30"/>
        <v>0</v>
      </c>
      <c r="BL39" s="33">
        <f t="shared" si="31"/>
        <v>0</v>
      </c>
      <c r="BM39" s="40">
        <f t="shared" si="32"/>
        <v>0</v>
      </c>
      <c r="BN39" s="41">
        <f t="shared" si="33"/>
        <v>0</v>
      </c>
      <c r="BO39" s="40">
        <f t="shared" si="34"/>
        <v>0</v>
      </c>
      <c r="BP39" s="41">
        <f t="shared" si="35"/>
        <v>0</v>
      </c>
      <c r="BQ39" s="53"/>
      <c r="BR39" s="53"/>
      <c r="BS39" t="s">
        <v>339</v>
      </c>
      <c r="BT39">
        <v>165571</v>
      </c>
      <c r="BU39">
        <v>112403</v>
      </c>
      <c r="BV39" s="51">
        <v>40334.11</v>
      </c>
      <c r="BW39" s="32">
        <f t="shared" si="9"/>
        <v>4533674966.3299999</v>
      </c>
      <c r="BX39">
        <v>7490</v>
      </c>
      <c r="BY39" s="37">
        <f t="shared" si="10"/>
        <v>4.5237390605842809E-2</v>
      </c>
      <c r="BZ39">
        <v>5.1285999999999997E-3</v>
      </c>
      <c r="CA39" s="3">
        <f t="shared" si="11"/>
        <v>5.1285999999999997E-5</v>
      </c>
      <c r="CB39" s="11">
        <f>+'Seat capacity elasticities'!AF69</f>
        <v>6.575982573602715E-2</v>
      </c>
      <c r="CC39" s="11">
        <f>+'Seat capacity elasticities'!AG69</f>
        <v>5.254755890532762E-2</v>
      </c>
      <c r="CD39" s="11">
        <f>+'Seat capacity elasticities'!AH69</f>
        <v>0.18042407061148241</v>
      </c>
      <c r="CE39" s="11">
        <f>+'Seat capacity elasticities'!AI69</f>
        <v>6.2227372387887975E-2</v>
      </c>
      <c r="CF39" s="32">
        <f t="shared" si="36"/>
        <v>2981336.7572964956</v>
      </c>
      <c r="CG39" s="33">
        <f t="shared" si="37"/>
        <v>6.5759825736027156E-4</v>
      </c>
      <c r="CH39" s="40">
        <f t="shared" si="38"/>
        <v>2382335.523508349</v>
      </c>
      <c r="CI39" s="33">
        <f t="shared" si="39"/>
        <v>5.2547558905327617E-4</v>
      </c>
      <c r="CJ39" s="40">
        <f t="shared" si="40"/>
        <v>13513762.888800031</v>
      </c>
      <c r="CK39" s="41">
        <f t="shared" si="41"/>
        <v>1.8042407061148237E-3</v>
      </c>
      <c r="CL39" s="40">
        <f t="shared" si="42"/>
        <v>4660830.1918528089</v>
      </c>
      <c r="CM39" s="41">
        <f t="shared" si="43"/>
        <v>6.222737238788797E-4</v>
      </c>
      <c r="CO39" s="70">
        <f t="shared" si="44"/>
        <v>0</v>
      </c>
      <c r="CP39" s="70">
        <f t="shared" si="45"/>
        <v>0</v>
      </c>
      <c r="CQ39" s="70">
        <f t="shared" si="46"/>
        <v>0</v>
      </c>
      <c r="CR39" s="70">
        <f t="shared" si="47"/>
        <v>0</v>
      </c>
      <c r="CS39" s="70">
        <f t="shared" si="48"/>
        <v>0</v>
      </c>
      <c r="CT39" s="70">
        <f t="shared" si="49"/>
        <v>0</v>
      </c>
      <c r="CU39" s="69">
        <f t="shared" si="50"/>
        <v>0</v>
      </c>
      <c r="CV39" s="69">
        <f t="shared" si="51"/>
        <v>0</v>
      </c>
      <c r="CW39" s="70">
        <f t="shared" si="52"/>
        <v>0</v>
      </c>
      <c r="CX39" s="69">
        <f t="shared" si="53"/>
        <v>0</v>
      </c>
      <c r="CY39" s="69">
        <f t="shared" si="54"/>
        <v>0</v>
      </c>
      <c r="CZ39" s="70">
        <f t="shared" si="55"/>
        <v>0</v>
      </c>
      <c r="DB39" s="70">
        <f t="shared" si="56"/>
        <v>4.2112910676253934</v>
      </c>
      <c r="DC39" s="70">
        <f t="shared" si="57"/>
        <v>26.523640448177499</v>
      </c>
      <c r="DD39" s="70">
        <f t="shared" si="58"/>
        <v>30.734931515802892</v>
      </c>
      <c r="DE39" s="70">
        <f t="shared" si="59"/>
        <v>7.9815614598017559</v>
      </c>
      <c r="DF39" s="70">
        <f t="shared" si="60"/>
        <v>21.194590211189638</v>
      </c>
      <c r="DG39" s="70">
        <f t="shared" si="61"/>
        <v>29.176151670991395</v>
      </c>
      <c r="DH39" s="69">
        <f t="shared" si="62"/>
        <v>19.08888313416093</v>
      </c>
      <c r="DI39" s="69">
        <f t="shared" si="63"/>
        <v>120.22599831677118</v>
      </c>
      <c r="DJ39" s="70">
        <f t="shared" si="64"/>
        <v>139.31488145093212</v>
      </c>
      <c r="DK39" s="69">
        <f t="shared" si="65"/>
        <v>15.615223910689604</v>
      </c>
      <c r="DL39" s="69">
        <f t="shared" si="66"/>
        <v>41.465354055076901</v>
      </c>
      <c r="DM39" s="70">
        <f t="shared" si="67"/>
        <v>57.080577965766508</v>
      </c>
    </row>
    <row r="40" spans="1:117">
      <c r="A40" t="s">
        <v>340</v>
      </c>
      <c r="B40">
        <v>598719</v>
      </c>
      <c r="C40">
        <v>378922</v>
      </c>
      <c r="D40" s="51">
        <v>36215.620000000003</v>
      </c>
      <c r="E40" s="32">
        <f t="shared" si="0"/>
        <v>13722895161.640001</v>
      </c>
      <c r="F40">
        <v>21211</v>
      </c>
      <c r="G40" s="37">
        <f t="shared" si="1"/>
        <v>3.5427303960622596E-2</v>
      </c>
      <c r="H40">
        <v>0</v>
      </c>
      <c r="I40" s="3">
        <f t="shared" si="2"/>
        <v>0</v>
      </c>
      <c r="J40" s="11">
        <f>+'Seat capacity elasticities'!K70</f>
        <v>0</v>
      </c>
      <c r="K40" s="11">
        <f>+'Seat capacity elasticities'!L70</f>
        <v>0</v>
      </c>
      <c r="L40" s="11">
        <f>+'Seat capacity elasticities'!M70</f>
        <v>0</v>
      </c>
      <c r="M40" s="11">
        <f>+'Seat capacity elasticities'!N70</f>
        <v>0</v>
      </c>
      <c r="N40" s="32">
        <f t="shared" si="12"/>
        <v>0</v>
      </c>
      <c r="O40" s="33">
        <f t="shared" si="13"/>
        <v>0</v>
      </c>
      <c r="P40" s="40">
        <f t="shared" si="14"/>
        <v>0</v>
      </c>
      <c r="Q40" s="33">
        <f t="shared" si="15"/>
        <v>0</v>
      </c>
      <c r="R40" s="40">
        <f t="shared" si="16"/>
        <v>0</v>
      </c>
      <c r="S40" s="41">
        <f t="shared" si="17"/>
        <v>0</v>
      </c>
      <c r="T40" s="40">
        <f t="shared" si="18"/>
        <v>0</v>
      </c>
      <c r="U40" s="41">
        <f t="shared" si="19"/>
        <v>0</v>
      </c>
      <c r="V40" s="53"/>
      <c r="W40" s="53"/>
      <c r="X40" t="s">
        <v>340</v>
      </c>
      <c r="Y40">
        <v>598719</v>
      </c>
      <c r="Z40">
        <v>378922</v>
      </c>
      <c r="AA40" s="51">
        <v>36215.620000000003</v>
      </c>
      <c r="AB40" s="32">
        <f t="shared" si="3"/>
        <v>13722895161.640001</v>
      </c>
      <c r="AC40">
        <v>21211</v>
      </c>
      <c r="AD40" s="37">
        <f t="shared" si="4"/>
        <v>3.5427303960622596E-2</v>
      </c>
      <c r="AE40">
        <v>1.9854E-3</v>
      </c>
      <c r="AF40" s="3">
        <f t="shared" si="5"/>
        <v>1.9854E-5</v>
      </c>
      <c r="AG40" s="11">
        <f>+'Seat capacity elasticities'!R70</f>
        <v>3.8545654038975091E-3</v>
      </c>
      <c r="AH40" s="11">
        <f>+'Seat capacity elasticities'!S70</f>
        <v>7.3054676530304894E-3</v>
      </c>
      <c r="AI40" s="11">
        <f>+'Seat capacity elasticities'!T70</f>
        <v>1.0575702913220603E-2</v>
      </c>
      <c r="AJ40" s="11">
        <f>+'Seat capacity elasticities'!U70</f>
        <v>8.6512116943782118E-3</v>
      </c>
      <c r="AK40" s="32">
        <f t="shared" si="20"/>
        <v>528957.96931370057</v>
      </c>
      <c r="AL40" s="33">
        <f t="shared" si="21"/>
        <v>3.8545654038975083E-5</v>
      </c>
      <c r="AM40" s="40">
        <f t="shared" si="22"/>
        <v>1002521.6670928963</v>
      </c>
      <c r="AN40" s="33">
        <f t="shared" si="23"/>
        <v>7.305467653030489E-5</v>
      </c>
      <c r="AO40" s="40">
        <f t="shared" si="24"/>
        <v>2243212.344923222</v>
      </c>
      <c r="AP40" s="41">
        <f t="shared" si="25"/>
        <v>1.0575702913220603E-4</v>
      </c>
      <c r="AQ40" s="40">
        <f t="shared" si="26"/>
        <v>1835008.5124945624</v>
      </c>
      <c r="AR40" s="41">
        <f t="shared" si="27"/>
        <v>8.651211694378212E-5</v>
      </c>
      <c r="AV40" t="s">
        <v>340</v>
      </c>
      <c r="AW40">
        <v>598719</v>
      </c>
      <c r="AX40">
        <v>378922</v>
      </c>
      <c r="AY40" s="51">
        <v>36215.620000000003</v>
      </c>
      <c r="AZ40" s="32">
        <f t="shared" si="6"/>
        <v>13722895161.640001</v>
      </c>
      <c r="BA40">
        <v>21211</v>
      </c>
      <c r="BB40" s="37">
        <f t="shared" si="7"/>
        <v>3.5427303960622596E-2</v>
      </c>
      <c r="BC40">
        <v>0</v>
      </c>
      <c r="BD40" s="3">
        <f t="shared" si="8"/>
        <v>0</v>
      </c>
      <c r="BE40" s="11">
        <f>+'Seat capacity elasticities'!Y70</f>
        <v>0</v>
      </c>
      <c r="BF40" s="11">
        <f>+'Seat capacity elasticities'!Z70</f>
        <v>0</v>
      </c>
      <c r="BG40" s="11">
        <f>+'Seat capacity elasticities'!AA70</f>
        <v>0</v>
      </c>
      <c r="BH40" s="11">
        <f>+'Seat capacity elasticities'!AB70</f>
        <v>0</v>
      </c>
      <c r="BI40" s="32">
        <f t="shared" si="28"/>
        <v>0</v>
      </c>
      <c r="BJ40" s="33">
        <f t="shared" si="29"/>
        <v>0</v>
      </c>
      <c r="BK40" s="40">
        <f t="shared" si="30"/>
        <v>0</v>
      </c>
      <c r="BL40" s="33">
        <f t="shared" si="31"/>
        <v>0</v>
      </c>
      <c r="BM40" s="40">
        <f t="shared" si="32"/>
        <v>0</v>
      </c>
      <c r="BN40" s="41">
        <f t="shared" si="33"/>
        <v>0</v>
      </c>
      <c r="BO40" s="40">
        <f t="shared" si="34"/>
        <v>0</v>
      </c>
      <c r="BP40" s="41">
        <f t="shared" si="35"/>
        <v>0</v>
      </c>
      <c r="BQ40" s="53"/>
      <c r="BR40" s="53"/>
      <c r="BS40" t="s">
        <v>340</v>
      </c>
      <c r="BT40">
        <v>598719</v>
      </c>
      <c r="BU40">
        <v>378922</v>
      </c>
      <c r="BV40" s="51">
        <v>36215.620000000003</v>
      </c>
      <c r="BW40" s="32">
        <f t="shared" si="9"/>
        <v>13722895161.640001</v>
      </c>
      <c r="BX40">
        <v>21211</v>
      </c>
      <c r="BY40" s="37">
        <f t="shared" si="10"/>
        <v>3.5427303960622596E-2</v>
      </c>
      <c r="BZ40">
        <v>1.9854E-3</v>
      </c>
      <c r="CA40" s="3">
        <f t="shared" si="11"/>
        <v>1.9854E-5</v>
      </c>
      <c r="CB40" s="11">
        <f>+'Seat capacity elasticities'!AF70</f>
        <v>7.0399743130762967E-3</v>
      </c>
      <c r="CC40" s="11">
        <f>+'Seat capacity elasticities'!AG70</f>
        <v>5.6255238022277568E-3</v>
      </c>
      <c r="CD40" s="11">
        <f>+'Seat capacity elasticities'!AH70</f>
        <v>1.9315452988945797E-2</v>
      </c>
      <c r="CE40" s="11">
        <f>+'Seat capacity elasticities'!AI70</f>
        <v>6.6618045026381328E-3</v>
      </c>
      <c r="CF40" s="32">
        <f t="shared" si="36"/>
        <v>966088.29438984592</v>
      </c>
      <c r="CG40" s="33">
        <f t="shared" si="37"/>
        <v>7.0399743130762955E-5</v>
      </c>
      <c r="CH40" s="40">
        <f t="shared" si="38"/>
        <v>771984.73367281945</v>
      </c>
      <c r="CI40" s="33">
        <f t="shared" si="39"/>
        <v>5.6255238022277563E-5</v>
      </c>
      <c r="CJ40" s="40">
        <f t="shared" si="40"/>
        <v>4097000.7334852936</v>
      </c>
      <c r="CK40" s="41">
        <f t="shared" si="41"/>
        <v>1.9315452988945798E-4</v>
      </c>
      <c r="CL40" s="40">
        <f t="shared" si="42"/>
        <v>1413035.3530545745</v>
      </c>
      <c r="CM40" s="41">
        <f t="shared" si="43"/>
        <v>6.6618045026381337E-5</v>
      </c>
      <c r="CO40" s="70">
        <f t="shared" si="44"/>
        <v>0</v>
      </c>
      <c r="CP40" s="70">
        <f t="shared" si="45"/>
        <v>0</v>
      </c>
      <c r="CQ40" s="70">
        <f t="shared" si="46"/>
        <v>0</v>
      </c>
      <c r="CR40" s="70">
        <f t="shared" si="47"/>
        <v>0</v>
      </c>
      <c r="CS40" s="70">
        <f t="shared" si="48"/>
        <v>0</v>
      </c>
      <c r="CT40" s="70">
        <f t="shared" si="49"/>
        <v>0</v>
      </c>
      <c r="CU40" s="69">
        <f t="shared" si="50"/>
        <v>0</v>
      </c>
      <c r="CV40" s="69">
        <f t="shared" si="51"/>
        <v>0</v>
      </c>
      <c r="CW40" s="70">
        <f t="shared" si="52"/>
        <v>0</v>
      </c>
      <c r="CX40" s="69">
        <f t="shared" si="53"/>
        <v>0</v>
      </c>
      <c r="CY40" s="69">
        <f t="shared" si="54"/>
        <v>0</v>
      </c>
      <c r="CZ40" s="70">
        <f t="shared" si="55"/>
        <v>0</v>
      </c>
      <c r="DB40" s="70">
        <f t="shared" si="56"/>
        <v>1.395954759326987</v>
      </c>
      <c r="DC40" s="70">
        <f t="shared" si="57"/>
        <v>2.5495703453213219</v>
      </c>
      <c r="DD40" s="70">
        <f t="shared" si="58"/>
        <v>3.9455251046483086</v>
      </c>
      <c r="DE40" s="70">
        <f t="shared" si="59"/>
        <v>2.6457204044444405</v>
      </c>
      <c r="DF40" s="70">
        <f t="shared" si="60"/>
        <v>2.0373183232243561</v>
      </c>
      <c r="DG40" s="70">
        <f t="shared" si="61"/>
        <v>4.6830387276687961</v>
      </c>
      <c r="DH40" s="69">
        <f t="shared" si="62"/>
        <v>5.9199844425059034</v>
      </c>
      <c r="DI40" s="69">
        <f t="shared" si="63"/>
        <v>10.812253533669972</v>
      </c>
      <c r="DJ40" s="70">
        <f t="shared" si="64"/>
        <v>16.732237976175874</v>
      </c>
      <c r="DK40" s="69">
        <f t="shared" si="65"/>
        <v>4.8427077670194985</v>
      </c>
      <c r="DL40" s="69">
        <f t="shared" si="66"/>
        <v>3.7290929348377091</v>
      </c>
      <c r="DM40" s="70">
        <f t="shared" si="67"/>
        <v>8.5718007018572067</v>
      </c>
    </row>
    <row r="41" spans="1:117">
      <c r="A41" t="s">
        <v>341</v>
      </c>
      <c r="B41">
        <v>685926</v>
      </c>
      <c r="C41">
        <v>390477</v>
      </c>
      <c r="D41" s="51">
        <v>33197.120000000003</v>
      </c>
      <c r="E41" s="32">
        <f t="shared" si="0"/>
        <v>12962711826.240002</v>
      </c>
      <c r="F41">
        <v>21735</v>
      </c>
      <c r="G41" s="37">
        <f t="shared" si="1"/>
        <v>3.1687091610465269E-2</v>
      </c>
      <c r="H41">
        <v>0</v>
      </c>
      <c r="I41" s="3">
        <f t="shared" si="2"/>
        <v>0</v>
      </c>
      <c r="J41" s="11">
        <f>+'Seat capacity elasticities'!K71</f>
        <v>0</v>
      </c>
      <c r="K41" s="11">
        <f>+'Seat capacity elasticities'!L71</f>
        <v>0</v>
      </c>
      <c r="L41" s="11">
        <f>+'Seat capacity elasticities'!M71</f>
        <v>0</v>
      </c>
      <c r="M41" s="11">
        <f>+'Seat capacity elasticities'!N71</f>
        <v>0</v>
      </c>
      <c r="N41" s="32">
        <f t="shared" si="12"/>
        <v>0</v>
      </c>
      <c r="O41" s="33">
        <f t="shared" si="13"/>
        <v>0</v>
      </c>
      <c r="P41" s="40">
        <f t="shared" si="14"/>
        <v>0</v>
      </c>
      <c r="Q41" s="33">
        <f t="shared" si="15"/>
        <v>0</v>
      </c>
      <c r="R41" s="40">
        <f t="shared" si="16"/>
        <v>0</v>
      </c>
      <c r="S41" s="41">
        <f t="shared" si="17"/>
        <v>0</v>
      </c>
      <c r="T41" s="40">
        <f t="shared" si="18"/>
        <v>0</v>
      </c>
      <c r="U41" s="41">
        <f t="shared" si="19"/>
        <v>0</v>
      </c>
      <c r="V41" s="53"/>
      <c r="W41" s="53"/>
      <c r="X41" t="s">
        <v>341</v>
      </c>
      <c r="Y41">
        <v>685926</v>
      </c>
      <c r="Z41">
        <v>390477</v>
      </c>
      <c r="AA41" s="51">
        <v>33197.120000000003</v>
      </c>
      <c r="AB41" s="32">
        <f t="shared" si="3"/>
        <v>12962711826.240002</v>
      </c>
      <c r="AC41">
        <v>21735</v>
      </c>
      <c r="AD41" s="37">
        <f t="shared" si="4"/>
        <v>3.1687091610465269E-2</v>
      </c>
      <c r="AE41">
        <v>4.2731999999999996E-3</v>
      </c>
      <c r="AF41" s="3">
        <f t="shared" si="5"/>
        <v>4.2731999999999997E-5</v>
      </c>
      <c r="AG41" s="11">
        <f>+'Seat capacity elasticities'!R71</f>
        <v>6.9364327101974306E-3</v>
      </c>
      <c r="AH41" s="11">
        <f>+'Seat capacity elasticities'!S71</f>
        <v>1.3146458674830502E-2</v>
      </c>
      <c r="AI41" s="11">
        <f>+'Seat capacity elasticities'!T71</f>
        <v>1.9031367724729412E-2</v>
      </c>
      <c r="AJ41" s="11">
        <f>+'Seat capacity elasticities'!U71</f>
        <v>1.5568174746509806E-2</v>
      </c>
      <c r="AK41" s="32">
        <f t="shared" si="20"/>
        <v>899149.78324394219</v>
      </c>
      <c r="AL41" s="33">
        <f t="shared" si="21"/>
        <v>6.93643271019743E-5</v>
      </c>
      <c r="AM41" s="40">
        <f t="shared" si="22"/>
        <v>1704137.553374008</v>
      </c>
      <c r="AN41" s="33">
        <f t="shared" si="23"/>
        <v>1.3146458674830503E-4</v>
      </c>
      <c r="AO41" s="40">
        <f t="shared" si="24"/>
        <v>4136467.7749699387</v>
      </c>
      <c r="AP41" s="41">
        <f t="shared" si="25"/>
        <v>1.9031367724729414E-4</v>
      </c>
      <c r="AQ41" s="40">
        <f t="shared" si="26"/>
        <v>3383742.7811539066</v>
      </c>
      <c r="AR41" s="41">
        <f t="shared" si="27"/>
        <v>1.5568174746509808E-4</v>
      </c>
      <c r="AV41" t="s">
        <v>341</v>
      </c>
      <c r="AW41">
        <v>685926</v>
      </c>
      <c r="AX41">
        <v>390477</v>
      </c>
      <c r="AY41" s="51">
        <v>33197.120000000003</v>
      </c>
      <c r="AZ41" s="32">
        <f t="shared" si="6"/>
        <v>12962711826.240002</v>
      </c>
      <c r="BA41">
        <v>21735</v>
      </c>
      <c r="BB41" s="37">
        <f t="shared" si="7"/>
        <v>3.1687091610465269E-2</v>
      </c>
      <c r="BC41">
        <v>0</v>
      </c>
      <c r="BD41" s="3">
        <f t="shared" si="8"/>
        <v>0</v>
      </c>
      <c r="BE41" s="11">
        <f>+'Seat capacity elasticities'!Y71</f>
        <v>0</v>
      </c>
      <c r="BF41" s="11">
        <f>+'Seat capacity elasticities'!Z71</f>
        <v>0</v>
      </c>
      <c r="BG41" s="11">
        <f>+'Seat capacity elasticities'!AA71</f>
        <v>0</v>
      </c>
      <c r="BH41" s="11">
        <f>+'Seat capacity elasticities'!AB71</f>
        <v>0</v>
      </c>
      <c r="BI41" s="32">
        <f t="shared" si="28"/>
        <v>0</v>
      </c>
      <c r="BJ41" s="33">
        <f t="shared" si="29"/>
        <v>0</v>
      </c>
      <c r="BK41" s="40">
        <f t="shared" si="30"/>
        <v>0</v>
      </c>
      <c r="BL41" s="33">
        <f t="shared" si="31"/>
        <v>0</v>
      </c>
      <c r="BM41" s="40">
        <f t="shared" si="32"/>
        <v>0</v>
      </c>
      <c r="BN41" s="41">
        <f t="shared" si="33"/>
        <v>0</v>
      </c>
      <c r="BO41" s="40">
        <f t="shared" si="34"/>
        <v>0</v>
      </c>
      <c r="BP41" s="41">
        <f t="shared" si="35"/>
        <v>0</v>
      </c>
      <c r="BQ41" s="53"/>
      <c r="BR41" s="53"/>
      <c r="BS41" t="s">
        <v>341</v>
      </c>
      <c r="BT41">
        <v>685926</v>
      </c>
      <c r="BU41">
        <v>390477</v>
      </c>
      <c r="BV41" s="51">
        <v>33197.120000000003</v>
      </c>
      <c r="BW41" s="32">
        <f t="shared" si="9"/>
        <v>12962711826.240002</v>
      </c>
      <c r="BX41">
        <v>21735</v>
      </c>
      <c r="BY41" s="37">
        <f t="shared" si="10"/>
        <v>3.1687091610465269E-2</v>
      </c>
      <c r="BZ41">
        <v>4.2731999999999996E-3</v>
      </c>
      <c r="CA41" s="3">
        <f t="shared" si="11"/>
        <v>4.2731999999999997E-5</v>
      </c>
      <c r="CB41" s="11">
        <f>+'Seat capacity elasticities'!AF71</f>
        <v>1.3225803076688478E-2</v>
      </c>
      <c r="CC41" s="11">
        <f>+'Seat capacity elasticities'!AG71</f>
        <v>1.0568514415356757E-2</v>
      </c>
      <c r="CD41" s="11">
        <f>+'Seat capacity elasticities'!AH71</f>
        <v>3.6287401943260807E-2</v>
      </c>
      <c r="CE41" s="11">
        <f>+'Seat capacity elasticities'!AI71</f>
        <v>1.2515346018185634E-2</v>
      </c>
      <c r="CF41" s="32">
        <f t="shared" si="36"/>
        <v>1714422.7395371113</v>
      </c>
      <c r="CG41" s="33">
        <f t="shared" si="37"/>
        <v>1.3225803076688476E-4</v>
      </c>
      <c r="CH41" s="40">
        <f t="shared" si="38"/>
        <v>1369966.0679773297</v>
      </c>
      <c r="CI41" s="33">
        <f t="shared" si="39"/>
        <v>1.0568514415356757E-4</v>
      </c>
      <c r="CJ41" s="40">
        <f t="shared" si="40"/>
        <v>7887066.8123677364</v>
      </c>
      <c r="CK41" s="41">
        <f t="shared" si="41"/>
        <v>3.6287401943260809E-4</v>
      </c>
      <c r="CL41" s="40">
        <f t="shared" si="42"/>
        <v>2720210.4570526476</v>
      </c>
      <c r="CM41" s="41">
        <f t="shared" si="43"/>
        <v>1.2515346018185635E-4</v>
      </c>
      <c r="CO41" s="70">
        <f t="shared" si="44"/>
        <v>0</v>
      </c>
      <c r="CP41" s="70">
        <f t="shared" si="45"/>
        <v>0</v>
      </c>
      <c r="CQ41" s="70">
        <f t="shared" si="46"/>
        <v>0</v>
      </c>
      <c r="CR41" s="70">
        <f t="shared" si="47"/>
        <v>0</v>
      </c>
      <c r="CS41" s="70">
        <f t="shared" si="48"/>
        <v>0</v>
      </c>
      <c r="CT41" s="70">
        <f t="shared" si="49"/>
        <v>0</v>
      </c>
      <c r="CU41" s="69">
        <f t="shared" si="50"/>
        <v>0</v>
      </c>
      <c r="CV41" s="69">
        <f t="shared" si="51"/>
        <v>0</v>
      </c>
      <c r="CW41" s="70">
        <f t="shared" si="52"/>
        <v>0</v>
      </c>
      <c r="CX41" s="69">
        <f t="shared" si="53"/>
        <v>0</v>
      </c>
      <c r="CY41" s="69">
        <f t="shared" si="54"/>
        <v>0</v>
      </c>
      <c r="CZ41" s="70">
        <f t="shared" si="55"/>
        <v>0</v>
      </c>
      <c r="DB41" s="70">
        <f t="shared" si="56"/>
        <v>2.3026958905234935</v>
      </c>
      <c r="DC41" s="70">
        <f t="shared" si="57"/>
        <v>4.3905857183319661</v>
      </c>
      <c r="DD41" s="70">
        <f t="shared" si="58"/>
        <v>6.6932816088554592</v>
      </c>
      <c r="DE41" s="70">
        <f t="shared" si="59"/>
        <v>4.3642456620338921</v>
      </c>
      <c r="DF41" s="70">
        <f t="shared" si="60"/>
        <v>3.5084424126832814</v>
      </c>
      <c r="DG41" s="70">
        <f t="shared" si="61"/>
        <v>7.872688074717173</v>
      </c>
      <c r="DH41" s="69">
        <f t="shared" si="62"/>
        <v>10.59337112037313</v>
      </c>
      <c r="DI41" s="69">
        <f t="shared" si="63"/>
        <v>20.198543863960584</v>
      </c>
      <c r="DJ41" s="70">
        <f t="shared" si="64"/>
        <v>30.791914984333715</v>
      </c>
      <c r="DK41" s="69">
        <f t="shared" si="65"/>
        <v>8.6656647668208535</v>
      </c>
      <c r="DL41" s="69">
        <f t="shared" si="66"/>
        <v>6.9663781914239449</v>
      </c>
      <c r="DM41" s="70">
        <f t="shared" si="67"/>
        <v>15.632042958244799</v>
      </c>
    </row>
    <row r="42" spans="1:117">
      <c r="A42" t="s">
        <v>342</v>
      </c>
      <c r="B42">
        <v>239865</v>
      </c>
      <c r="C42">
        <v>130123</v>
      </c>
      <c r="D42" s="51">
        <v>33306.449999999997</v>
      </c>
      <c r="E42" s="32">
        <f t="shared" si="0"/>
        <v>4333935193.3499994</v>
      </c>
      <c r="F42">
        <v>4835</v>
      </c>
      <c r="G42" s="37">
        <f t="shared" si="1"/>
        <v>2.0157171742438456E-2</v>
      </c>
      <c r="H42">
        <v>0</v>
      </c>
      <c r="I42" s="3">
        <f t="shared" si="2"/>
        <v>0</v>
      </c>
      <c r="J42" s="11">
        <f>+'Seat capacity elasticities'!K72</f>
        <v>0</v>
      </c>
      <c r="K42" s="11">
        <f>+'Seat capacity elasticities'!L72</f>
        <v>0</v>
      </c>
      <c r="L42" s="11">
        <f>+'Seat capacity elasticities'!M72</f>
        <v>0</v>
      </c>
      <c r="M42" s="11">
        <f>+'Seat capacity elasticities'!N72</f>
        <v>0</v>
      </c>
      <c r="N42" s="32">
        <f t="shared" si="12"/>
        <v>0</v>
      </c>
      <c r="O42" s="33">
        <f t="shared" si="13"/>
        <v>0</v>
      </c>
      <c r="P42" s="40">
        <f t="shared" si="14"/>
        <v>0</v>
      </c>
      <c r="Q42" s="33">
        <f t="shared" si="15"/>
        <v>0</v>
      </c>
      <c r="R42" s="40">
        <f t="shared" si="16"/>
        <v>0</v>
      </c>
      <c r="S42" s="41">
        <f t="shared" si="17"/>
        <v>0</v>
      </c>
      <c r="T42" s="40">
        <f t="shared" si="18"/>
        <v>0</v>
      </c>
      <c r="U42" s="41">
        <f t="shared" si="19"/>
        <v>0</v>
      </c>
      <c r="V42" s="53"/>
      <c r="W42" s="53"/>
      <c r="X42" t="s">
        <v>342</v>
      </c>
      <c r="Y42">
        <v>239865</v>
      </c>
      <c r="Z42">
        <v>130123</v>
      </c>
      <c r="AA42" s="51">
        <v>33306.449999999997</v>
      </c>
      <c r="AB42" s="32">
        <f t="shared" si="3"/>
        <v>4333935193.3499994</v>
      </c>
      <c r="AC42">
        <v>4835</v>
      </c>
      <c r="AD42" s="37">
        <f t="shared" si="4"/>
        <v>2.0157171742438456E-2</v>
      </c>
      <c r="AE42">
        <v>1.7976599999999999E-2</v>
      </c>
      <c r="AF42" s="3">
        <f t="shared" si="5"/>
        <v>1.7976599999999999E-4</v>
      </c>
      <c r="AG42" s="11">
        <f>+'Seat capacity elasticities'!R72</f>
        <v>4.1268745691561692E-2</v>
      </c>
      <c r="AH42" s="11">
        <f>+'Seat capacity elasticities'!S72</f>
        <v>7.8215688447262802E-2</v>
      </c>
      <c r="AI42" s="11">
        <f>+'Seat capacity elasticities'!T72</f>
        <v>0.11322832752919453</v>
      </c>
      <c r="AJ42" s="11">
        <f>+'Seat capacity elasticities'!U72</f>
        <v>9.2623841582284899E-2</v>
      </c>
      <c r="AK42" s="32">
        <f t="shared" si="20"/>
        <v>1788560.6933807037</v>
      </c>
      <c r="AL42" s="33">
        <f t="shared" si="21"/>
        <v>4.126874569156169E-4</v>
      </c>
      <c r="AM42" s="40">
        <f t="shared" si="22"/>
        <v>3389817.2483369121</v>
      </c>
      <c r="AN42" s="33">
        <f t="shared" si="23"/>
        <v>7.8215688447262795E-4</v>
      </c>
      <c r="AO42" s="40">
        <f t="shared" si="24"/>
        <v>5474589.6360365562</v>
      </c>
      <c r="AP42" s="41">
        <f t="shared" si="25"/>
        <v>1.1322832752919455E-3</v>
      </c>
      <c r="AQ42" s="40">
        <f t="shared" si="26"/>
        <v>4478362.7405034751</v>
      </c>
      <c r="AR42" s="41">
        <f t="shared" si="27"/>
        <v>9.2623841582284904E-4</v>
      </c>
      <c r="AV42" t="s">
        <v>342</v>
      </c>
      <c r="AW42">
        <v>239865</v>
      </c>
      <c r="AX42">
        <v>130123</v>
      </c>
      <c r="AY42" s="51">
        <v>33306.449999999997</v>
      </c>
      <c r="AZ42" s="32">
        <f t="shared" si="6"/>
        <v>4333935193.3499994</v>
      </c>
      <c r="BA42">
        <v>4835</v>
      </c>
      <c r="BB42" s="37">
        <f t="shared" si="7"/>
        <v>2.0157171742438456E-2</v>
      </c>
      <c r="BC42">
        <v>0</v>
      </c>
      <c r="BD42" s="3">
        <f t="shared" si="8"/>
        <v>0</v>
      </c>
      <c r="BE42" s="11">
        <f>+'Seat capacity elasticities'!Y72</f>
        <v>0</v>
      </c>
      <c r="BF42" s="11">
        <f>+'Seat capacity elasticities'!Z72</f>
        <v>0</v>
      </c>
      <c r="BG42" s="11">
        <f>+'Seat capacity elasticities'!AA72</f>
        <v>0</v>
      </c>
      <c r="BH42" s="11">
        <f>+'Seat capacity elasticities'!AB72</f>
        <v>0</v>
      </c>
      <c r="BI42" s="32">
        <f t="shared" si="28"/>
        <v>0</v>
      </c>
      <c r="BJ42" s="33">
        <f t="shared" si="29"/>
        <v>0</v>
      </c>
      <c r="BK42" s="40">
        <f t="shared" si="30"/>
        <v>0</v>
      </c>
      <c r="BL42" s="33">
        <f t="shared" si="31"/>
        <v>0</v>
      </c>
      <c r="BM42" s="40">
        <f t="shared" si="32"/>
        <v>0</v>
      </c>
      <c r="BN42" s="41">
        <f t="shared" si="33"/>
        <v>0</v>
      </c>
      <c r="BO42" s="40">
        <f t="shared" si="34"/>
        <v>0</v>
      </c>
      <c r="BP42" s="41">
        <f t="shared" si="35"/>
        <v>0</v>
      </c>
      <c r="BQ42" s="53"/>
      <c r="BR42" s="53"/>
      <c r="BS42" t="s">
        <v>342</v>
      </c>
      <c r="BT42">
        <v>239865</v>
      </c>
      <c r="BU42">
        <v>130123</v>
      </c>
      <c r="BV42" s="51">
        <v>33306.449999999997</v>
      </c>
      <c r="BW42" s="32">
        <f t="shared" si="9"/>
        <v>4333935193.3499994</v>
      </c>
      <c r="BX42">
        <v>4835</v>
      </c>
      <c r="BY42" s="37">
        <f t="shared" si="10"/>
        <v>2.0157171742438456E-2</v>
      </c>
      <c r="BZ42">
        <v>1.7976599999999999E-2</v>
      </c>
      <c r="CA42" s="3">
        <f t="shared" si="11"/>
        <v>1.7976599999999999E-4</v>
      </c>
      <c r="CB42" s="11">
        <f>+'Seat capacity elasticities'!AF72</f>
        <v>0.15910607787505102</v>
      </c>
      <c r="CC42" s="11">
        <f>+'Seat capacity elasticities'!AG72</f>
        <v>0.12713896221221935</v>
      </c>
      <c r="CD42" s="11">
        <f>+'Seat capacity elasticities'!AH72</f>
        <v>0.43653653135393056</v>
      </c>
      <c r="CE42" s="11">
        <f>+'Seat capacity elasticities'!AI72</f>
        <v>0.15055929735657556</v>
      </c>
      <c r="CF42" s="32">
        <f t="shared" si="36"/>
        <v>6895554.3037856929</v>
      </c>
      <c r="CG42" s="33">
        <f t="shared" si="37"/>
        <v>1.5910607787505101E-3</v>
      </c>
      <c r="CH42" s="40">
        <f t="shared" si="38"/>
        <v>5510120.2277753307</v>
      </c>
      <c r="CI42" s="33">
        <f t="shared" si="39"/>
        <v>1.2713896221221933E-3</v>
      </c>
      <c r="CJ42" s="40">
        <f t="shared" si="40"/>
        <v>21106541.290962547</v>
      </c>
      <c r="CK42" s="41">
        <f t="shared" si="41"/>
        <v>4.3653653135393069E-3</v>
      </c>
      <c r="CL42" s="40">
        <f t="shared" si="42"/>
        <v>7279542.0271904292</v>
      </c>
      <c r="CM42" s="41">
        <f t="shared" si="43"/>
        <v>1.5055929735657558E-3</v>
      </c>
      <c r="CO42" s="70">
        <f t="shared" si="44"/>
        <v>0</v>
      </c>
      <c r="CP42" s="70">
        <f t="shared" si="45"/>
        <v>0</v>
      </c>
      <c r="CQ42" s="70">
        <f t="shared" si="46"/>
        <v>0</v>
      </c>
      <c r="CR42" s="70">
        <f t="shared" si="47"/>
        <v>0</v>
      </c>
      <c r="CS42" s="70">
        <f t="shared" si="48"/>
        <v>0</v>
      </c>
      <c r="CT42" s="70">
        <f t="shared" si="49"/>
        <v>0</v>
      </c>
      <c r="CU42" s="69">
        <f t="shared" si="50"/>
        <v>0</v>
      </c>
      <c r="CV42" s="69">
        <f t="shared" si="51"/>
        <v>0</v>
      </c>
      <c r="CW42" s="70">
        <f t="shared" si="52"/>
        <v>0</v>
      </c>
      <c r="CX42" s="69">
        <f t="shared" si="53"/>
        <v>0</v>
      </c>
      <c r="CY42" s="69">
        <f t="shared" si="54"/>
        <v>0</v>
      </c>
      <c r="CZ42" s="70">
        <f t="shared" si="55"/>
        <v>0</v>
      </c>
      <c r="DB42" s="70">
        <f t="shared" si="56"/>
        <v>13.745154149387147</v>
      </c>
      <c r="DC42" s="70">
        <f t="shared" si="57"/>
        <v>52.992586274414919</v>
      </c>
      <c r="DD42" s="70">
        <f t="shared" si="58"/>
        <v>66.737740423802066</v>
      </c>
      <c r="DE42" s="70">
        <f t="shared" si="59"/>
        <v>26.050869164843355</v>
      </c>
      <c r="DF42" s="70">
        <f t="shared" si="60"/>
        <v>42.345474879731718</v>
      </c>
      <c r="DG42" s="70">
        <f t="shared" si="61"/>
        <v>68.396344044575073</v>
      </c>
      <c r="DH42" s="69">
        <f t="shared" si="62"/>
        <v>42.072420986578514</v>
      </c>
      <c r="DI42" s="69">
        <f t="shared" si="63"/>
        <v>162.20453948158701</v>
      </c>
      <c r="DJ42" s="70">
        <f t="shared" si="64"/>
        <v>204.27696046816553</v>
      </c>
      <c r="DK42" s="69">
        <f t="shared" si="65"/>
        <v>34.416380966496895</v>
      </c>
      <c r="DL42" s="69">
        <f t="shared" si="66"/>
        <v>55.943545931083889</v>
      </c>
      <c r="DM42" s="70">
        <f t="shared" si="67"/>
        <v>90.359926897580777</v>
      </c>
    </row>
    <row r="43" spans="1:117">
      <c r="A43" t="s">
        <v>343</v>
      </c>
      <c r="B43">
        <v>389164</v>
      </c>
      <c r="C43">
        <v>170980</v>
      </c>
      <c r="D43" s="51">
        <v>23255.38</v>
      </c>
      <c r="E43" s="32">
        <f t="shared" si="0"/>
        <v>3976204872.4000001</v>
      </c>
      <c r="F43">
        <v>5774</v>
      </c>
      <c r="G43" s="37">
        <f t="shared" si="1"/>
        <v>1.4836932501464678E-2</v>
      </c>
      <c r="H43">
        <v>0</v>
      </c>
      <c r="I43" s="3">
        <f t="shared" si="2"/>
        <v>0</v>
      </c>
      <c r="J43" s="11">
        <f>+'Seat capacity elasticities'!K73</f>
        <v>0</v>
      </c>
      <c r="K43" s="11">
        <f>+'Seat capacity elasticities'!L73</f>
        <v>0</v>
      </c>
      <c r="L43" s="11">
        <f>+'Seat capacity elasticities'!M73</f>
        <v>0</v>
      </c>
      <c r="M43" s="11">
        <f>+'Seat capacity elasticities'!N73</f>
        <v>0</v>
      </c>
      <c r="N43" s="32">
        <f t="shared" si="12"/>
        <v>0</v>
      </c>
      <c r="O43" s="33">
        <f t="shared" si="13"/>
        <v>0</v>
      </c>
      <c r="P43" s="40">
        <f t="shared" si="14"/>
        <v>0</v>
      </c>
      <c r="Q43" s="33">
        <f t="shared" si="15"/>
        <v>0</v>
      </c>
      <c r="R43" s="40">
        <f t="shared" si="16"/>
        <v>0</v>
      </c>
      <c r="S43" s="41">
        <f t="shared" si="17"/>
        <v>0</v>
      </c>
      <c r="T43" s="40">
        <f t="shared" si="18"/>
        <v>0</v>
      </c>
      <c r="U43" s="41">
        <f t="shared" si="19"/>
        <v>0</v>
      </c>
      <c r="V43" s="53"/>
      <c r="W43" s="53"/>
      <c r="X43" t="s">
        <v>343</v>
      </c>
      <c r="Y43">
        <v>389164</v>
      </c>
      <c r="Z43">
        <v>170980</v>
      </c>
      <c r="AA43" s="51">
        <v>23255.38</v>
      </c>
      <c r="AB43" s="32">
        <f t="shared" si="3"/>
        <v>3976204872.4000001</v>
      </c>
      <c r="AC43">
        <v>5774</v>
      </c>
      <c r="AD43" s="37">
        <f t="shared" si="4"/>
        <v>1.4836932501464678E-2</v>
      </c>
      <c r="AE43">
        <v>2.2054000000000002E-3</v>
      </c>
      <c r="AF43" s="3">
        <f t="shared" si="5"/>
        <v>2.2054000000000003E-5</v>
      </c>
      <c r="AG43" s="11">
        <f>+'Seat capacity elasticities'!R73</f>
        <v>6.4495735582990451E-3</v>
      </c>
      <c r="AH43" s="11">
        <f>+'Seat capacity elasticities'!S73</f>
        <v>1.2223725911707801E-2</v>
      </c>
      <c r="AI43" s="11">
        <f>+'Seat capacity elasticities'!T73</f>
        <v>1.7695580881975717E-2</v>
      </c>
      <c r="AJ43" s="11">
        <f>+'Seat capacity elasticities'!U73</f>
        <v>1.4475464895443447E-2</v>
      </c>
      <c r="AK43" s="32">
        <f t="shared" si="20"/>
        <v>256448.25807410869</v>
      </c>
      <c r="AL43" s="33">
        <f t="shared" si="21"/>
        <v>6.4495735582990445E-5</v>
      </c>
      <c r="AM43" s="40">
        <f t="shared" si="22"/>
        <v>486040.38529014686</v>
      </c>
      <c r="AN43" s="33">
        <f t="shared" si="23"/>
        <v>1.22237259117078E-4</v>
      </c>
      <c r="AO43" s="40">
        <f t="shared" si="24"/>
        <v>1021742.840125278</v>
      </c>
      <c r="AP43" s="41">
        <f t="shared" si="25"/>
        <v>1.7695580881975717E-4</v>
      </c>
      <c r="AQ43" s="40">
        <f t="shared" si="26"/>
        <v>835813.34306290455</v>
      </c>
      <c r="AR43" s="41">
        <f t="shared" si="27"/>
        <v>1.4475464895443446E-4</v>
      </c>
      <c r="AV43" t="s">
        <v>343</v>
      </c>
      <c r="AW43">
        <v>389164</v>
      </c>
      <c r="AX43">
        <v>170980</v>
      </c>
      <c r="AY43" s="51">
        <v>23255.38</v>
      </c>
      <c r="AZ43" s="32">
        <f t="shared" si="6"/>
        <v>3976204872.4000001</v>
      </c>
      <c r="BA43">
        <v>5774</v>
      </c>
      <c r="BB43" s="37">
        <f t="shared" si="7"/>
        <v>1.4836932501464678E-2</v>
      </c>
      <c r="BC43">
        <v>0</v>
      </c>
      <c r="BD43" s="3">
        <f t="shared" si="8"/>
        <v>0</v>
      </c>
      <c r="BE43" s="11">
        <f>+'Seat capacity elasticities'!Y73</f>
        <v>0</v>
      </c>
      <c r="BF43" s="11">
        <f>+'Seat capacity elasticities'!Z73</f>
        <v>0</v>
      </c>
      <c r="BG43" s="11">
        <f>+'Seat capacity elasticities'!AA73</f>
        <v>0</v>
      </c>
      <c r="BH43" s="11">
        <f>+'Seat capacity elasticities'!AB73</f>
        <v>0</v>
      </c>
      <c r="BI43" s="32">
        <f t="shared" si="28"/>
        <v>0</v>
      </c>
      <c r="BJ43" s="33">
        <f t="shared" si="29"/>
        <v>0</v>
      </c>
      <c r="BK43" s="40">
        <f t="shared" si="30"/>
        <v>0</v>
      </c>
      <c r="BL43" s="33">
        <f t="shared" si="31"/>
        <v>0</v>
      </c>
      <c r="BM43" s="40">
        <f t="shared" si="32"/>
        <v>0</v>
      </c>
      <c r="BN43" s="41">
        <f t="shared" si="33"/>
        <v>0</v>
      </c>
      <c r="BO43" s="40">
        <f t="shared" si="34"/>
        <v>0</v>
      </c>
      <c r="BP43" s="41">
        <f t="shared" si="35"/>
        <v>0</v>
      </c>
      <c r="BQ43" s="53"/>
      <c r="BR43" s="53"/>
      <c r="BS43" t="s">
        <v>343</v>
      </c>
      <c r="BT43">
        <v>389164</v>
      </c>
      <c r="BU43">
        <v>170980</v>
      </c>
      <c r="BV43" s="51">
        <v>23255.38</v>
      </c>
      <c r="BW43" s="32">
        <f t="shared" si="9"/>
        <v>3976204872.4000001</v>
      </c>
      <c r="BX43">
        <v>5774</v>
      </c>
      <c r="BY43" s="37">
        <f t="shared" si="10"/>
        <v>1.4836932501464678E-2</v>
      </c>
      <c r="BZ43">
        <v>2.2054000000000002E-3</v>
      </c>
      <c r="CA43" s="3">
        <f t="shared" si="11"/>
        <v>2.2054000000000003E-5</v>
      </c>
      <c r="CB43" s="11">
        <f>+'Seat capacity elasticities'!AF73</f>
        <v>1.203097457637687E-2</v>
      </c>
      <c r="CC43" s="11">
        <f>+'Seat capacity elasticities'!AG73</f>
        <v>9.6137472714485413E-3</v>
      </c>
      <c r="CD43" s="11">
        <f>+'Seat capacity elasticities'!AH73</f>
        <v>3.3009172122911268E-2</v>
      </c>
      <c r="CE43" s="11">
        <f>+'Seat capacity elasticities'!AI73</f>
        <v>1.1384700716189062E-2</v>
      </c>
      <c r="CF43" s="32">
        <f t="shared" si="36"/>
        <v>478376.19730310235</v>
      </c>
      <c r="CG43" s="33">
        <f t="shared" si="37"/>
        <v>1.2030974576376869E-4</v>
      </c>
      <c r="CH43" s="40">
        <f t="shared" si="38"/>
        <v>382262.28742755897</v>
      </c>
      <c r="CI43" s="33">
        <f t="shared" si="39"/>
        <v>9.6137472714485412E-5</v>
      </c>
      <c r="CJ43" s="40">
        <f t="shared" si="40"/>
        <v>1905949.5983768967</v>
      </c>
      <c r="CK43" s="41">
        <f t="shared" si="41"/>
        <v>3.300917212291127E-4</v>
      </c>
      <c r="CL43" s="40">
        <f t="shared" si="42"/>
        <v>657352.61935275642</v>
      </c>
      <c r="CM43" s="41">
        <f t="shared" si="43"/>
        <v>1.1384700716189061E-4</v>
      </c>
      <c r="CO43" s="70">
        <f t="shared" si="44"/>
        <v>0</v>
      </c>
      <c r="CP43" s="70">
        <f t="shared" si="45"/>
        <v>0</v>
      </c>
      <c r="CQ43" s="70">
        <f t="shared" si="46"/>
        <v>0</v>
      </c>
      <c r="CR43" s="70">
        <f t="shared" si="47"/>
        <v>0</v>
      </c>
      <c r="CS43" s="70">
        <f t="shared" si="48"/>
        <v>0</v>
      </c>
      <c r="CT43" s="70">
        <f t="shared" si="49"/>
        <v>0</v>
      </c>
      <c r="CU43" s="69">
        <f t="shared" si="50"/>
        <v>0</v>
      </c>
      <c r="CV43" s="69">
        <f t="shared" si="51"/>
        <v>0</v>
      </c>
      <c r="CW43" s="70">
        <f t="shared" si="52"/>
        <v>0</v>
      </c>
      <c r="CX43" s="69">
        <f t="shared" si="53"/>
        <v>0</v>
      </c>
      <c r="CY43" s="69">
        <f t="shared" si="54"/>
        <v>0</v>
      </c>
      <c r="CZ43" s="70">
        <f t="shared" si="55"/>
        <v>0</v>
      </c>
      <c r="DB43" s="70">
        <f t="shared" si="56"/>
        <v>1.4998728393619645</v>
      </c>
      <c r="DC43" s="70">
        <f t="shared" si="57"/>
        <v>2.7978488554398311</v>
      </c>
      <c r="DD43" s="70">
        <f t="shared" si="58"/>
        <v>4.2977216948017958</v>
      </c>
      <c r="DE43" s="70">
        <f t="shared" si="59"/>
        <v>2.8426739109261132</v>
      </c>
      <c r="DF43" s="70">
        <f t="shared" si="60"/>
        <v>2.2357134602149897</v>
      </c>
      <c r="DG43" s="70">
        <f t="shared" si="61"/>
        <v>5.0783873711411029</v>
      </c>
      <c r="DH43" s="69">
        <f t="shared" si="62"/>
        <v>5.9758032525750266</v>
      </c>
      <c r="DI43" s="69">
        <f t="shared" si="63"/>
        <v>11.147207851075546</v>
      </c>
      <c r="DJ43" s="70">
        <f t="shared" si="64"/>
        <v>17.123011103650573</v>
      </c>
      <c r="DK43" s="69">
        <f t="shared" si="65"/>
        <v>4.8883690669253976</v>
      </c>
      <c r="DL43" s="69">
        <f t="shared" si="66"/>
        <v>3.8446170274462301</v>
      </c>
      <c r="DM43" s="70">
        <f t="shared" si="67"/>
        <v>8.7329860943716273</v>
      </c>
    </row>
    <row r="44" spans="1:117">
      <c r="A44" t="s">
        <v>284</v>
      </c>
      <c r="B44">
        <v>1124055</v>
      </c>
      <c r="C44">
        <v>658725</v>
      </c>
      <c r="D44" s="51">
        <v>35849.879999999997</v>
      </c>
      <c r="E44" s="32">
        <f t="shared" si="0"/>
        <v>23615212203</v>
      </c>
      <c r="F44">
        <v>37554</v>
      </c>
      <c r="G44" s="37">
        <f t="shared" si="1"/>
        <v>3.340939722700402E-2</v>
      </c>
      <c r="H44">
        <v>1.2229999999999999E-3</v>
      </c>
      <c r="I44" s="3">
        <f t="shared" si="2"/>
        <v>1.223E-5</v>
      </c>
      <c r="J44" s="11">
        <f>+'Seat capacity elasticities'!K74</f>
        <v>2.1305198415038987E-3</v>
      </c>
      <c r="K44" s="11">
        <f>+'Seat capacity elasticities'!L74</f>
        <v>1.0571369325618894E-2</v>
      </c>
      <c r="L44" s="11">
        <f>+'Seat capacity elasticities'!M74</f>
        <v>5.8454696012381338E-3</v>
      </c>
      <c r="M44" s="11">
        <f>+'Seat capacity elasticities'!N74</f>
        <v>1.2518726832969743E-2</v>
      </c>
      <c r="N44" s="32">
        <f t="shared" si="12"/>
        <v>503126.78159816493</v>
      </c>
      <c r="O44" s="33">
        <f t="shared" si="13"/>
        <v>2.1305198415038987E-5</v>
      </c>
      <c r="P44" s="40">
        <f t="shared" si="14"/>
        <v>2496451.299007752</v>
      </c>
      <c r="Q44" s="33">
        <f t="shared" si="15"/>
        <v>1.0571369325618894E-4</v>
      </c>
      <c r="R44" s="40">
        <f t="shared" si="16"/>
        <v>2195207.654048969</v>
      </c>
      <c r="S44" s="41">
        <f t="shared" si="17"/>
        <v>5.8454696012381349E-5</v>
      </c>
      <c r="T44" s="40">
        <f t="shared" si="18"/>
        <v>4701282.6748534571</v>
      </c>
      <c r="U44" s="41">
        <f t="shared" si="19"/>
        <v>1.2518726832969743E-4</v>
      </c>
      <c r="V44" s="53"/>
      <c r="W44" s="53"/>
      <c r="X44" t="s">
        <v>284</v>
      </c>
      <c r="Y44">
        <v>1124055</v>
      </c>
      <c r="Z44">
        <v>658725</v>
      </c>
      <c r="AA44" s="51">
        <v>35849.879999999997</v>
      </c>
      <c r="AB44" s="32">
        <f t="shared" si="3"/>
        <v>23615212203</v>
      </c>
      <c r="AC44">
        <v>37554</v>
      </c>
      <c r="AD44" s="37">
        <f t="shared" si="4"/>
        <v>3.340939722700402E-2</v>
      </c>
      <c r="AE44">
        <v>1.3433799999999999E-2</v>
      </c>
      <c r="AF44" s="3">
        <f t="shared" si="5"/>
        <v>1.3433799999999999E-4</v>
      </c>
      <c r="AG44" s="11">
        <f>+'Seat capacity elasticities'!R74</f>
        <v>2.1513862536378082E-2</v>
      </c>
      <c r="AH44" s="11">
        <f>+'Seat capacity elasticities'!S74</f>
        <v>4.0774720463255004E-2</v>
      </c>
      <c r="AI44" s="11">
        <f>+'Seat capacity elasticities'!T74</f>
        <v>5.9027204070929033E-2</v>
      </c>
      <c r="AJ44" s="11">
        <f>+'Seat capacity elasticities'!U74</f>
        <v>4.8285853180170403E-2</v>
      </c>
      <c r="AK44" s="32">
        <f t="shared" si="20"/>
        <v>5080544.2910274025</v>
      </c>
      <c r="AL44" s="33">
        <f t="shared" si="21"/>
        <v>2.1513862536378083E-4</v>
      </c>
      <c r="AM44" s="40">
        <f t="shared" si="22"/>
        <v>9629036.762577733</v>
      </c>
      <c r="AN44" s="33">
        <f t="shared" si="23"/>
        <v>4.0774720463255002E-4</v>
      </c>
      <c r="AO44" s="40">
        <f t="shared" si="24"/>
        <v>22167076.216796692</v>
      </c>
      <c r="AP44" s="41">
        <f t="shared" si="25"/>
        <v>5.9027204070929041E-4</v>
      </c>
      <c r="AQ44" s="40">
        <f t="shared" si="26"/>
        <v>18133269.303281195</v>
      </c>
      <c r="AR44" s="41">
        <f t="shared" si="27"/>
        <v>4.8285853180170409E-4</v>
      </c>
      <c r="AV44" t="s">
        <v>284</v>
      </c>
      <c r="AW44">
        <v>1124055</v>
      </c>
      <c r="AX44">
        <v>658725</v>
      </c>
      <c r="AY44" s="51">
        <v>35849.879999999997</v>
      </c>
      <c r="AZ44" s="32">
        <f t="shared" si="6"/>
        <v>23615212203</v>
      </c>
      <c r="BA44">
        <v>37554</v>
      </c>
      <c r="BB44" s="37">
        <f t="shared" si="7"/>
        <v>3.340939722700402E-2</v>
      </c>
      <c r="BC44">
        <v>1.2229999999999999E-3</v>
      </c>
      <c r="BD44" s="3">
        <f t="shared" si="8"/>
        <v>1.223E-5</v>
      </c>
      <c r="BE44" s="11">
        <f>+'Seat capacity elasticities'!Y74</f>
        <v>2.2006431810695969E-2</v>
      </c>
      <c r="BF44" s="11">
        <f>+'Seat capacity elasticities'!Z74</f>
        <v>6.0030088039442715E-2</v>
      </c>
      <c r="BG44" s="11">
        <f>+'Seat capacity elasticities'!AA74</f>
        <v>6.0378657675555725E-2</v>
      </c>
      <c r="BH44" s="11">
        <f>+'Seat capacity elasticities'!AB74</f>
        <v>7.1088262151971643E-2</v>
      </c>
      <c r="BI44" s="32">
        <f t="shared" si="28"/>
        <v>5196865.570404348</v>
      </c>
      <c r="BJ44" s="33">
        <f t="shared" si="29"/>
        <v>2.2006431810695968E-4</v>
      </c>
      <c r="BK44" s="40">
        <f t="shared" si="30"/>
        <v>14176232.67616212</v>
      </c>
      <c r="BL44" s="33">
        <f t="shared" si="31"/>
        <v>6.0030088039442718E-4</v>
      </c>
      <c r="BM44" s="40">
        <f t="shared" si="32"/>
        <v>22674601.103478204</v>
      </c>
      <c r="BN44" s="41">
        <f t="shared" si="33"/>
        <v>6.0378657675555741E-4</v>
      </c>
      <c r="BO44" s="40">
        <f t="shared" si="34"/>
        <v>26696485.968551431</v>
      </c>
      <c r="BP44" s="41">
        <f t="shared" si="35"/>
        <v>7.1088262151971636E-4</v>
      </c>
      <c r="BQ44" s="53"/>
      <c r="BR44" s="53"/>
      <c r="BS44" t="s">
        <v>284</v>
      </c>
      <c r="BT44">
        <v>1124055</v>
      </c>
      <c r="BU44">
        <v>658725</v>
      </c>
      <c r="BV44" s="51">
        <v>35849.879999999997</v>
      </c>
      <c r="BW44" s="32">
        <f t="shared" si="9"/>
        <v>23615212203</v>
      </c>
      <c r="BX44">
        <v>37554</v>
      </c>
      <c r="BY44" s="37">
        <f t="shared" si="10"/>
        <v>3.340939722700402E-2</v>
      </c>
      <c r="BZ44">
        <v>1.3433799999999999E-2</v>
      </c>
      <c r="CA44" s="3">
        <f t="shared" si="11"/>
        <v>1.3433799999999999E-4</v>
      </c>
      <c r="CB44" s="11">
        <f>+'Seat capacity elasticities'!AF74</f>
        <v>2.5372158394244598E-2</v>
      </c>
      <c r="CC44" s="11">
        <f>+'Seat capacity elasticities'!AG74</f>
        <v>2.0274460475743626E-2</v>
      </c>
      <c r="CD44" s="11">
        <f>+'Seat capacity elasticities'!AH74</f>
        <v>6.9613142164714426E-2</v>
      </c>
      <c r="CE44" s="11">
        <f>+'Seat capacity elasticities'!AI74</f>
        <v>2.400922951074903E-2</v>
      </c>
      <c r="CF44" s="32">
        <f t="shared" si="36"/>
        <v>5991689.0452821394</v>
      </c>
      <c r="CG44" s="33">
        <f t="shared" si="37"/>
        <v>2.5372158394244598E-4</v>
      </c>
      <c r="CH44" s="40">
        <f t="shared" si="38"/>
        <v>4787856.8643602207</v>
      </c>
      <c r="CI44" s="33">
        <f t="shared" si="39"/>
        <v>2.0274460475743628E-4</v>
      </c>
      <c r="CJ44" s="40">
        <f t="shared" si="40"/>
        <v>26142519.408536859</v>
      </c>
      <c r="CK44" s="41">
        <f t="shared" si="41"/>
        <v>6.9613142164714429E-4</v>
      </c>
      <c r="CL44" s="40">
        <f t="shared" si="42"/>
        <v>9016426.0504666939</v>
      </c>
      <c r="CM44" s="41">
        <f t="shared" si="43"/>
        <v>2.4009229510749038E-4</v>
      </c>
      <c r="CO44" s="70">
        <f t="shared" si="44"/>
        <v>0.76378880655533787</v>
      </c>
      <c r="CP44" s="70">
        <f t="shared" si="45"/>
        <v>7.8892793964163319</v>
      </c>
      <c r="CQ44" s="70">
        <f t="shared" si="46"/>
        <v>8.653068202971669</v>
      </c>
      <c r="CR44" s="70">
        <f t="shared" si="47"/>
        <v>3.789823217591183</v>
      </c>
      <c r="CS44" s="70">
        <f t="shared" si="48"/>
        <v>21.520714526034567</v>
      </c>
      <c r="CT44" s="70">
        <f t="shared" si="49"/>
        <v>25.310537743625751</v>
      </c>
      <c r="CU44" s="69">
        <f t="shared" si="50"/>
        <v>3.332510006526197</v>
      </c>
      <c r="CV44" s="69">
        <f t="shared" si="51"/>
        <v>34.421953172383326</v>
      </c>
      <c r="CW44" s="70">
        <f t="shared" si="52"/>
        <v>37.754463178909525</v>
      </c>
      <c r="CX44" s="69">
        <f t="shared" si="53"/>
        <v>7.1369428439082423</v>
      </c>
      <c r="CY44" s="69">
        <f t="shared" si="54"/>
        <v>40.527512950854195</v>
      </c>
      <c r="CZ44" s="70">
        <f t="shared" si="55"/>
        <v>47.664455794762439</v>
      </c>
      <c r="DB44" s="70">
        <f t="shared" si="56"/>
        <v>7.7126939026564996</v>
      </c>
      <c r="DC44" s="70">
        <f t="shared" si="57"/>
        <v>9.0958883377466151</v>
      </c>
      <c r="DD44" s="70">
        <f t="shared" si="58"/>
        <v>16.808582240403116</v>
      </c>
      <c r="DE44" s="70">
        <f t="shared" si="59"/>
        <v>14.617688356412362</v>
      </c>
      <c r="DF44" s="70">
        <f t="shared" si="60"/>
        <v>7.2683697512015195</v>
      </c>
      <c r="DG44" s="70">
        <f t="shared" si="61"/>
        <v>21.886058107613881</v>
      </c>
      <c r="DH44" s="69">
        <f t="shared" si="62"/>
        <v>33.651487672088798</v>
      </c>
      <c r="DI44" s="69">
        <f t="shared" si="63"/>
        <v>39.6865450810837</v>
      </c>
      <c r="DJ44" s="70">
        <f t="shared" si="64"/>
        <v>73.338032753172499</v>
      </c>
      <c r="DK44" s="69">
        <f t="shared" si="65"/>
        <v>27.527829220511133</v>
      </c>
      <c r="DL44" s="69">
        <f t="shared" si="66"/>
        <v>13.687693727225616</v>
      </c>
      <c r="DM44" s="70">
        <f t="shared" si="67"/>
        <v>41.215522947736751</v>
      </c>
    </row>
    <row r="45" spans="1:117">
      <c r="A45" t="s">
        <v>971</v>
      </c>
      <c r="B45">
        <v>207028</v>
      </c>
      <c r="C45">
        <v>153534</v>
      </c>
      <c r="D45" s="51">
        <v>41717.440000000002</v>
      </c>
      <c r="E45" s="32">
        <f t="shared" si="0"/>
        <v>6405045432.96</v>
      </c>
      <c r="F45">
        <v>8806</v>
      </c>
      <c r="G45" s="37">
        <f t="shared" si="1"/>
        <v>4.253530923353363E-2</v>
      </c>
      <c r="H45">
        <v>0</v>
      </c>
      <c r="I45" s="3">
        <f t="shared" si="2"/>
        <v>0</v>
      </c>
      <c r="J45" s="11">
        <f>+'Seat capacity elasticities'!K75</f>
        <v>0</v>
      </c>
      <c r="K45" s="11">
        <f>+'Seat capacity elasticities'!L75</f>
        <v>0</v>
      </c>
      <c r="L45" s="11">
        <f>+'Seat capacity elasticities'!M75</f>
        <v>0</v>
      </c>
      <c r="M45" s="11">
        <f>+'Seat capacity elasticities'!N75</f>
        <v>0</v>
      </c>
      <c r="N45" s="32">
        <f t="shared" si="12"/>
        <v>0</v>
      </c>
      <c r="O45" s="33">
        <f t="shared" si="13"/>
        <v>0</v>
      </c>
      <c r="P45" s="40">
        <f t="shared" si="14"/>
        <v>0</v>
      </c>
      <c r="Q45" s="33">
        <f t="shared" si="15"/>
        <v>0</v>
      </c>
      <c r="R45" s="40">
        <f t="shared" si="16"/>
        <v>0</v>
      </c>
      <c r="S45" s="41">
        <f t="shared" si="17"/>
        <v>0</v>
      </c>
      <c r="T45" s="40">
        <f t="shared" si="18"/>
        <v>0</v>
      </c>
      <c r="U45" s="41">
        <f t="shared" si="19"/>
        <v>0</v>
      </c>
      <c r="V45" s="53"/>
      <c r="W45" s="53"/>
      <c r="X45" t="s">
        <v>971</v>
      </c>
      <c r="Y45">
        <v>207028</v>
      </c>
      <c r="Z45">
        <v>153534</v>
      </c>
      <c r="AA45" s="51">
        <v>41717.440000000002</v>
      </c>
      <c r="AB45" s="32">
        <f t="shared" si="3"/>
        <v>6405045432.96</v>
      </c>
      <c r="AC45">
        <v>8806</v>
      </c>
      <c r="AD45" s="37">
        <f t="shared" si="4"/>
        <v>4.253530923353363E-2</v>
      </c>
      <c r="AE45">
        <v>9.0805E-3</v>
      </c>
      <c r="AF45" s="3">
        <f t="shared" si="5"/>
        <v>9.0804999999999995E-5</v>
      </c>
      <c r="AG45" s="11">
        <f>+'Seat capacity elasticities'!R75</f>
        <v>1.4093160510977837E-2</v>
      </c>
      <c r="AH45" s="11">
        <f>+'Seat capacity elasticities'!S75</f>
        <v>2.6710437482215518E-2</v>
      </c>
      <c r="AI45" s="11">
        <f>+'Seat capacity elasticities'!T75</f>
        <v>3.8667155192574569E-2</v>
      </c>
      <c r="AJ45" s="11">
        <f>+'Seat capacity elasticities'!U75</f>
        <v>3.1630781228939427E-2</v>
      </c>
      <c r="AK45" s="32">
        <f t="shared" si="20"/>
        <v>902673.3336681081</v>
      </c>
      <c r="AL45" s="33">
        <f t="shared" si="21"/>
        <v>1.4093160510977835E-4</v>
      </c>
      <c r="AM45" s="40">
        <f t="shared" si="22"/>
        <v>1710815.6560782809</v>
      </c>
      <c r="AN45" s="33">
        <f t="shared" si="23"/>
        <v>2.6710437482215513E-4</v>
      </c>
      <c r="AO45" s="40">
        <f t="shared" si="24"/>
        <v>3405029.6862581167</v>
      </c>
      <c r="AP45" s="41">
        <f t="shared" si="25"/>
        <v>3.8667155192574566E-4</v>
      </c>
      <c r="AQ45" s="40">
        <f t="shared" si="26"/>
        <v>2785406.5950204064</v>
      </c>
      <c r="AR45" s="41">
        <f t="shared" si="27"/>
        <v>3.1630781228939432E-4</v>
      </c>
      <c r="AV45" t="s">
        <v>971</v>
      </c>
      <c r="AW45">
        <v>207028</v>
      </c>
      <c r="AX45">
        <v>153534</v>
      </c>
      <c r="AY45" s="51">
        <v>41717.440000000002</v>
      </c>
      <c r="AZ45" s="32">
        <f t="shared" si="6"/>
        <v>6405045432.96</v>
      </c>
      <c r="BA45">
        <v>8806</v>
      </c>
      <c r="BB45" s="37">
        <f t="shared" si="7"/>
        <v>4.253530923353363E-2</v>
      </c>
      <c r="BC45">
        <v>0</v>
      </c>
      <c r="BD45" s="3">
        <f t="shared" si="8"/>
        <v>0</v>
      </c>
      <c r="BE45" s="11">
        <f>+'Seat capacity elasticities'!Y75</f>
        <v>0</v>
      </c>
      <c r="BF45" s="11">
        <f>+'Seat capacity elasticities'!Z75</f>
        <v>0</v>
      </c>
      <c r="BG45" s="11">
        <f>+'Seat capacity elasticities'!AA75</f>
        <v>0</v>
      </c>
      <c r="BH45" s="11">
        <f>+'Seat capacity elasticities'!AB75</f>
        <v>0</v>
      </c>
      <c r="BI45" s="32">
        <f t="shared" si="28"/>
        <v>0</v>
      </c>
      <c r="BJ45" s="33">
        <f t="shared" si="29"/>
        <v>0</v>
      </c>
      <c r="BK45" s="40">
        <f t="shared" si="30"/>
        <v>0</v>
      </c>
      <c r="BL45" s="33">
        <f t="shared" si="31"/>
        <v>0</v>
      </c>
      <c r="BM45" s="40">
        <f t="shared" si="32"/>
        <v>0</v>
      </c>
      <c r="BN45" s="41">
        <f t="shared" si="33"/>
        <v>0</v>
      </c>
      <c r="BO45" s="40">
        <f t="shared" si="34"/>
        <v>0</v>
      </c>
      <c r="BP45" s="41">
        <f t="shared" si="35"/>
        <v>0</v>
      </c>
      <c r="BQ45" s="53"/>
      <c r="BR45" s="53"/>
      <c r="BS45" t="s">
        <v>971</v>
      </c>
      <c r="BT45">
        <v>207028</v>
      </c>
      <c r="BU45">
        <v>153534</v>
      </c>
      <c r="BV45" s="51">
        <v>41717.440000000002</v>
      </c>
      <c r="BW45" s="32">
        <f t="shared" si="9"/>
        <v>6405045432.96</v>
      </c>
      <c r="BX45">
        <v>8806</v>
      </c>
      <c r="BY45" s="37">
        <f t="shared" si="10"/>
        <v>4.253530923353363E-2</v>
      </c>
      <c r="BZ45">
        <v>9.0805E-3</v>
      </c>
      <c r="CA45" s="3">
        <f t="shared" si="11"/>
        <v>9.0804999999999995E-5</v>
      </c>
      <c r="CB45" s="11">
        <f>+'Seat capacity elasticities'!AF75</f>
        <v>9.3116527853533138E-2</v>
      </c>
      <c r="CC45" s="11">
        <f>+'Seat capacity elasticities'!AG75</f>
        <v>7.4407834535401007E-2</v>
      </c>
      <c r="CD45" s="11">
        <f>+'Seat capacity elasticities'!AH75</f>
        <v>0.25548217028406206</v>
      </c>
      <c r="CE45" s="11">
        <f>+'Seat capacity elasticities'!AI75</f>
        <v>8.8114540897185414E-2</v>
      </c>
      <c r="CF45" s="32">
        <f t="shared" si="36"/>
        <v>5964155.9146136502</v>
      </c>
      <c r="CG45" s="33">
        <f t="shared" si="37"/>
        <v>9.3116527853533127E-4</v>
      </c>
      <c r="CH45" s="40">
        <f t="shared" si="38"/>
        <v>4765855.6076741358</v>
      </c>
      <c r="CI45" s="33">
        <f t="shared" si="39"/>
        <v>7.4407834535401005E-4</v>
      </c>
      <c r="CJ45" s="40">
        <f t="shared" si="40"/>
        <v>22497759.915214509</v>
      </c>
      <c r="CK45" s="41">
        <f t="shared" si="41"/>
        <v>2.5548217028406213E-3</v>
      </c>
      <c r="CL45" s="40">
        <f t="shared" si="42"/>
        <v>7759366.4714061478</v>
      </c>
      <c r="CM45" s="41">
        <f t="shared" si="43"/>
        <v>8.8114540897185417E-4</v>
      </c>
      <c r="CO45" s="70">
        <f t="shared" si="44"/>
        <v>0</v>
      </c>
      <c r="CP45" s="70">
        <f t="shared" si="45"/>
        <v>0</v>
      </c>
      <c r="CQ45" s="70">
        <f t="shared" si="46"/>
        <v>0</v>
      </c>
      <c r="CR45" s="70">
        <f t="shared" si="47"/>
        <v>0</v>
      </c>
      <c r="CS45" s="70">
        <f t="shared" si="48"/>
        <v>0</v>
      </c>
      <c r="CT45" s="70">
        <f t="shared" si="49"/>
        <v>0</v>
      </c>
      <c r="CU45" s="69">
        <f t="shared" si="50"/>
        <v>0</v>
      </c>
      <c r="CV45" s="69">
        <f t="shared" si="51"/>
        <v>0</v>
      </c>
      <c r="CW45" s="70">
        <f t="shared" si="52"/>
        <v>0</v>
      </c>
      <c r="CX45" s="69">
        <f t="shared" si="53"/>
        <v>0</v>
      </c>
      <c r="CY45" s="69">
        <f t="shared" si="54"/>
        <v>0</v>
      </c>
      <c r="CZ45" s="70">
        <f t="shared" si="55"/>
        <v>0</v>
      </c>
      <c r="DB45" s="70">
        <f t="shared" si="56"/>
        <v>5.8793057802708724</v>
      </c>
      <c r="DC45" s="70">
        <f t="shared" si="57"/>
        <v>38.845831637380975</v>
      </c>
      <c r="DD45" s="70">
        <f t="shared" si="58"/>
        <v>44.725137417651851</v>
      </c>
      <c r="DE45" s="70">
        <f t="shared" si="59"/>
        <v>11.142910730380768</v>
      </c>
      <c r="DF45" s="70">
        <f t="shared" si="60"/>
        <v>31.041043727605192</v>
      </c>
      <c r="DG45" s="70">
        <f t="shared" si="61"/>
        <v>42.183954457985962</v>
      </c>
      <c r="DH45" s="69">
        <f t="shared" si="62"/>
        <v>22.177691496724613</v>
      </c>
      <c r="DI45" s="69">
        <f t="shared" si="63"/>
        <v>146.5327544075873</v>
      </c>
      <c r="DJ45" s="70">
        <f t="shared" si="64"/>
        <v>168.71044590431191</v>
      </c>
      <c r="DK45" s="69">
        <f t="shared" si="65"/>
        <v>18.141952890046547</v>
      </c>
      <c r="DL45" s="69">
        <f t="shared" si="66"/>
        <v>50.538424527506272</v>
      </c>
      <c r="DM45" s="70">
        <f t="shared" si="67"/>
        <v>68.680377417552819</v>
      </c>
    </row>
    <row r="46" spans="1:117">
      <c r="A46" t="s">
        <v>345</v>
      </c>
      <c r="B46">
        <v>408782</v>
      </c>
      <c r="C46">
        <v>224848</v>
      </c>
      <c r="D46" s="51">
        <v>32435.34</v>
      </c>
      <c r="E46" s="32">
        <f t="shared" si="0"/>
        <v>7293021328.3199997</v>
      </c>
      <c r="F46">
        <v>11867</v>
      </c>
      <c r="G46" s="37">
        <f t="shared" si="1"/>
        <v>2.9030143205914155E-2</v>
      </c>
      <c r="H46">
        <v>0</v>
      </c>
      <c r="I46" s="3">
        <f t="shared" si="2"/>
        <v>0</v>
      </c>
      <c r="J46" s="11">
        <f>+'Seat capacity elasticities'!K76</f>
        <v>0</v>
      </c>
      <c r="K46" s="11">
        <f>+'Seat capacity elasticities'!L76</f>
        <v>0</v>
      </c>
      <c r="L46" s="11">
        <f>+'Seat capacity elasticities'!M76</f>
        <v>0</v>
      </c>
      <c r="M46" s="11">
        <f>+'Seat capacity elasticities'!N76</f>
        <v>0</v>
      </c>
      <c r="N46" s="32">
        <f t="shared" si="12"/>
        <v>0</v>
      </c>
      <c r="O46" s="33">
        <f t="shared" si="13"/>
        <v>0</v>
      </c>
      <c r="P46" s="40">
        <f t="shared" si="14"/>
        <v>0</v>
      </c>
      <c r="Q46" s="33">
        <f t="shared" si="15"/>
        <v>0</v>
      </c>
      <c r="R46" s="40">
        <f t="shared" si="16"/>
        <v>0</v>
      </c>
      <c r="S46" s="41">
        <f t="shared" si="17"/>
        <v>0</v>
      </c>
      <c r="T46" s="40">
        <f t="shared" si="18"/>
        <v>0</v>
      </c>
      <c r="U46" s="41">
        <f t="shared" si="19"/>
        <v>0</v>
      </c>
      <c r="V46" s="53"/>
      <c r="W46" s="53"/>
      <c r="X46" t="s">
        <v>345</v>
      </c>
      <c r="Y46">
        <v>408782</v>
      </c>
      <c r="Z46">
        <v>224848</v>
      </c>
      <c r="AA46" s="51">
        <v>32435.34</v>
      </c>
      <c r="AB46" s="32">
        <f t="shared" si="3"/>
        <v>7293021328.3199997</v>
      </c>
      <c r="AC46">
        <v>11867</v>
      </c>
      <c r="AD46" s="37">
        <f t="shared" si="4"/>
        <v>2.9030143205914155E-2</v>
      </c>
      <c r="AE46">
        <v>4.5203999999999999E-3</v>
      </c>
      <c r="AF46" s="3">
        <f t="shared" si="5"/>
        <v>4.5204000000000003E-5</v>
      </c>
      <c r="AG46" s="11">
        <f>+'Seat capacity elasticities'!R76</f>
        <v>1.2373997854808937E-2</v>
      </c>
      <c r="AH46" s="11">
        <f>+'Seat capacity elasticities'!S76</f>
        <v>2.3452148710609601E-2</v>
      </c>
      <c r="AI46" s="11">
        <f>+'Seat capacity elasticities'!T76</f>
        <v>3.3950319024024518E-2</v>
      </c>
      <c r="AJ46" s="11">
        <f>+'Seat capacity elasticities'!U76</f>
        <v>2.777228136782716E-2</v>
      </c>
      <c r="AK46" s="32">
        <f t="shared" si="20"/>
        <v>902438.30271707498</v>
      </c>
      <c r="AL46" s="33">
        <f t="shared" si="21"/>
        <v>1.2373997854808936E-4</v>
      </c>
      <c r="AM46" s="40">
        <f t="shared" si="22"/>
        <v>1710370.207414082</v>
      </c>
      <c r="AN46" s="33">
        <f t="shared" si="23"/>
        <v>2.34521487106096E-4</v>
      </c>
      <c r="AO46" s="40">
        <f t="shared" si="24"/>
        <v>4028884.3585809893</v>
      </c>
      <c r="AP46" s="41">
        <f t="shared" si="25"/>
        <v>3.3950319024024517E-4</v>
      </c>
      <c r="AQ46" s="40">
        <f t="shared" si="26"/>
        <v>3295736.6299200491</v>
      </c>
      <c r="AR46" s="41">
        <f t="shared" si="27"/>
        <v>2.7772281367827162E-4</v>
      </c>
      <c r="AV46" t="s">
        <v>345</v>
      </c>
      <c r="AW46">
        <v>408782</v>
      </c>
      <c r="AX46">
        <v>224848</v>
      </c>
      <c r="AY46" s="51">
        <v>32435.34</v>
      </c>
      <c r="AZ46" s="32">
        <f t="shared" si="6"/>
        <v>7293021328.3199997</v>
      </c>
      <c r="BA46">
        <v>11867</v>
      </c>
      <c r="BB46" s="37">
        <f t="shared" si="7"/>
        <v>2.9030143205914155E-2</v>
      </c>
      <c r="BC46">
        <v>0</v>
      </c>
      <c r="BD46" s="3">
        <f t="shared" si="8"/>
        <v>0</v>
      </c>
      <c r="BE46" s="11">
        <f>+'Seat capacity elasticities'!Y76</f>
        <v>0</v>
      </c>
      <c r="BF46" s="11">
        <f>+'Seat capacity elasticities'!Z76</f>
        <v>0</v>
      </c>
      <c r="BG46" s="11">
        <f>+'Seat capacity elasticities'!AA76</f>
        <v>0</v>
      </c>
      <c r="BH46" s="11">
        <f>+'Seat capacity elasticities'!AB76</f>
        <v>0</v>
      </c>
      <c r="BI46" s="32">
        <f t="shared" si="28"/>
        <v>0</v>
      </c>
      <c r="BJ46" s="33">
        <f t="shared" si="29"/>
        <v>0</v>
      </c>
      <c r="BK46" s="40">
        <f t="shared" si="30"/>
        <v>0</v>
      </c>
      <c r="BL46" s="33">
        <f t="shared" si="31"/>
        <v>0</v>
      </c>
      <c r="BM46" s="40">
        <f t="shared" si="32"/>
        <v>0</v>
      </c>
      <c r="BN46" s="41">
        <f t="shared" si="33"/>
        <v>0</v>
      </c>
      <c r="BO46" s="40">
        <f t="shared" si="34"/>
        <v>0</v>
      </c>
      <c r="BP46" s="41">
        <f t="shared" si="35"/>
        <v>0</v>
      </c>
      <c r="BQ46" s="53"/>
      <c r="BR46" s="53"/>
      <c r="BS46" t="s">
        <v>345</v>
      </c>
      <c r="BT46">
        <v>408782</v>
      </c>
      <c r="BU46">
        <v>224848</v>
      </c>
      <c r="BV46" s="51">
        <v>32435.34</v>
      </c>
      <c r="BW46" s="32">
        <f t="shared" si="9"/>
        <v>7293021328.3199997</v>
      </c>
      <c r="BX46">
        <v>11867</v>
      </c>
      <c r="BY46" s="37">
        <f t="shared" si="10"/>
        <v>2.9030143205914155E-2</v>
      </c>
      <c r="BZ46">
        <v>4.5203999999999999E-3</v>
      </c>
      <c r="CA46" s="3">
        <f t="shared" si="11"/>
        <v>4.5204000000000003E-5</v>
      </c>
      <c r="CB46" s="11">
        <f>+'Seat capacity elasticities'!AF76</f>
        <v>2.3476383726159487E-2</v>
      </c>
      <c r="CC46" s="11">
        <f>+'Seat capacity elasticities'!AG76</f>
        <v>1.8759579164434836E-2</v>
      </c>
      <c r="CD46" s="11">
        <f>+'Seat capacity elasticities'!AH76</f>
        <v>6.4411738743253469E-2</v>
      </c>
      <c r="CE46" s="11">
        <f>+'Seat capacity elasticities'!AI76</f>
        <v>2.2215291115778097E-2</v>
      </c>
      <c r="CF46" s="32">
        <f t="shared" si="36"/>
        <v>1712137.6722670568</v>
      </c>
      <c r="CG46" s="33">
        <f t="shared" si="37"/>
        <v>2.3476383726159485E-4</v>
      </c>
      <c r="CH46" s="40">
        <f t="shared" si="38"/>
        <v>1368140.1095653074</v>
      </c>
      <c r="CI46" s="33">
        <f t="shared" si="39"/>
        <v>1.8759579164434836E-4</v>
      </c>
      <c r="CJ46" s="40">
        <f t="shared" si="40"/>
        <v>7643741.0366618894</v>
      </c>
      <c r="CK46" s="41">
        <f t="shared" si="41"/>
        <v>6.4411738743253466E-4</v>
      </c>
      <c r="CL46" s="40">
        <f t="shared" si="42"/>
        <v>2636288.5967093869</v>
      </c>
      <c r="CM46" s="41">
        <f t="shared" si="43"/>
        <v>2.2215291115778099E-4</v>
      </c>
      <c r="CO46" s="70">
        <f t="shared" si="44"/>
        <v>0</v>
      </c>
      <c r="CP46" s="70">
        <f t="shared" si="45"/>
        <v>0</v>
      </c>
      <c r="CQ46" s="70">
        <f t="shared" si="46"/>
        <v>0</v>
      </c>
      <c r="CR46" s="70">
        <f t="shared" si="47"/>
        <v>0</v>
      </c>
      <c r="CS46" s="70">
        <f t="shared" si="48"/>
        <v>0</v>
      </c>
      <c r="CT46" s="70">
        <f t="shared" si="49"/>
        <v>0</v>
      </c>
      <c r="CU46" s="69">
        <f t="shared" si="50"/>
        <v>0</v>
      </c>
      <c r="CV46" s="69">
        <f t="shared" si="51"/>
        <v>0</v>
      </c>
      <c r="CW46" s="70">
        <f t="shared" si="52"/>
        <v>0</v>
      </c>
      <c r="CX46" s="69">
        <f t="shared" si="53"/>
        <v>0</v>
      </c>
      <c r="CY46" s="69">
        <f t="shared" si="54"/>
        <v>0</v>
      </c>
      <c r="CZ46" s="70">
        <f t="shared" si="55"/>
        <v>0</v>
      </c>
      <c r="DB46" s="70">
        <f t="shared" si="56"/>
        <v>4.0135482757999847</v>
      </c>
      <c r="DC46" s="70">
        <f t="shared" si="57"/>
        <v>7.614644881284498</v>
      </c>
      <c r="DD46" s="70">
        <f t="shared" si="58"/>
        <v>11.628193157084482</v>
      </c>
      <c r="DE46" s="70">
        <f t="shared" si="59"/>
        <v>7.6067841715918396</v>
      </c>
      <c r="DF46" s="70">
        <f t="shared" si="60"/>
        <v>6.0847332845535975</v>
      </c>
      <c r="DG46" s="70">
        <f t="shared" si="61"/>
        <v>13.691517456145437</v>
      </c>
      <c r="DH46" s="69">
        <f t="shared" si="62"/>
        <v>17.918257483193042</v>
      </c>
      <c r="DI46" s="69">
        <f t="shared" si="63"/>
        <v>33.995147996254758</v>
      </c>
      <c r="DJ46" s="70">
        <f t="shared" si="64"/>
        <v>51.913405479447803</v>
      </c>
      <c r="DK46" s="69">
        <f t="shared" si="65"/>
        <v>14.657620392087317</v>
      </c>
      <c r="DL46" s="69">
        <f t="shared" si="66"/>
        <v>11.72475893363244</v>
      </c>
      <c r="DM46" s="70">
        <f t="shared" si="67"/>
        <v>26.382379325719757</v>
      </c>
    </row>
    <row r="47" spans="1:117">
      <c r="A47" t="s">
        <v>346</v>
      </c>
      <c r="B47">
        <v>588709</v>
      </c>
      <c r="C47">
        <v>299691</v>
      </c>
      <c r="D47" s="51">
        <v>32942.61</v>
      </c>
      <c r="E47" s="32">
        <f t="shared" si="0"/>
        <v>9872603733.5100002</v>
      </c>
      <c r="F47">
        <v>18361</v>
      </c>
      <c r="G47" s="37">
        <f t="shared" si="1"/>
        <v>3.1188583833438931E-2</v>
      </c>
      <c r="H47">
        <v>0</v>
      </c>
      <c r="I47" s="3">
        <f t="shared" si="2"/>
        <v>0</v>
      </c>
      <c r="J47" s="11">
        <f>+'Seat capacity elasticities'!K77</f>
        <v>0</v>
      </c>
      <c r="K47" s="11">
        <f>+'Seat capacity elasticities'!L77</f>
        <v>0</v>
      </c>
      <c r="L47" s="11">
        <f>+'Seat capacity elasticities'!M77</f>
        <v>0</v>
      </c>
      <c r="M47" s="11">
        <f>+'Seat capacity elasticities'!N77</f>
        <v>0</v>
      </c>
      <c r="N47" s="32">
        <f t="shared" si="12"/>
        <v>0</v>
      </c>
      <c r="O47" s="33">
        <f t="shared" si="13"/>
        <v>0</v>
      </c>
      <c r="P47" s="40">
        <f t="shared" si="14"/>
        <v>0</v>
      </c>
      <c r="Q47" s="33">
        <f t="shared" si="15"/>
        <v>0</v>
      </c>
      <c r="R47" s="40">
        <f t="shared" si="16"/>
        <v>0</v>
      </c>
      <c r="S47" s="41">
        <f t="shared" si="17"/>
        <v>0</v>
      </c>
      <c r="T47" s="40">
        <f t="shared" si="18"/>
        <v>0</v>
      </c>
      <c r="U47" s="41">
        <f t="shared" si="19"/>
        <v>0</v>
      </c>
      <c r="V47" s="53"/>
      <c r="W47" s="53"/>
      <c r="X47" t="s">
        <v>346</v>
      </c>
      <c r="Y47">
        <v>588709</v>
      </c>
      <c r="Z47">
        <v>299691</v>
      </c>
      <c r="AA47" s="51">
        <v>32942.61</v>
      </c>
      <c r="AB47" s="32">
        <f t="shared" si="3"/>
        <v>9872603733.5100002</v>
      </c>
      <c r="AC47">
        <v>18361</v>
      </c>
      <c r="AD47" s="37">
        <f t="shared" si="4"/>
        <v>3.1188583833438931E-2</v>
      </c>
      <c r="AE47">
        <v>2.9935000000000001E-3</v>
      </c>
      <c r="AF47" s="3">
        <f t="shared" si="5"/>
        <v>2.9935000000000001E-5</v>
      </c>
      <c r="AG47" s="11">
        <f>+'Seat capacity elasticities'!R77</f>
        <v>1.0603400374846432E-2</v>
      </c>
      <c r="AH47" s="11">
        <f>+'Seat capacity elasticities'!S77</f>
        <v>2.009637672051074E-2</v>
      </c>
      <c r="AI47" s="11">
        <f>+'Seat capacity elasticities'!T77</f>
        <v>2.9092362039289849E-2</v>
      </c>
      <c r="AJ47" s="11">
        <f>+'Seat capacity elasticities'!U77</f>
        <v>2.3798340853236403E-2</v>
      </c>
      <c r="AK47" s="32">
        <f t="shared" si="20"/>
        <v>1046831.7012861023</v>
      </c>
      <c r="AL47" s="33">
        <f t="shared" si="21"/>
        <v>1.0603400374846433E-4</v>
      </c>
      <c r="AM47" s="40">
        <f t="shared" si="22"/>
        <v>1984035.638409378</v>
      </c>
      <c r="AN47" s="33">
        <f t="shared" si="23"/>
        <v>2.0096376720510741E-4</v>
      </c>
      <c r="AO47" s="40">
        <f t="shared" si="24"/>
        <v>5341648.5940340096</v>
      </c>
      <c r="AP47" s="41">
        <f t="shared" si="25"/>
        <v>2.9092362039289852E-4</v>
      </c>
      <c r="AQ47" s="40">
        <f t="shared" si="26"/>
        <v>4369613.3640627358</v>
      </c>
      <c r="AR47" s="41">
        <f t="shared" si="27"/>
        <v>2.3798340853236401E-4</v>
      </c>
      <c r="AV47" t="s">
        <v>346</v>
      </c>
      <c r="AW47">
        <v>588709</v>
      </c>
      <c r="AX47">
        <v>299691</v>
      </c>
      <c r="AY47" s="51">
        <v>32942.61</v>
      </c>
      <c r="AZ47" s="32">
        <f t="shared" si="6"/>
        <v>9872603733.5100002</v>
      </c>
      <c r="BA47">
        <v>18361</v>
      </c>
      <c r="BB47" s="37">
        <f t="shared" si="7"/>
        <v>3.1188583833438931E-2</v>
      </c>
      <c r="BC47">
        <v>0</v>
      </c>
      <c r="BD47" s="3">
        <f t="shared" si="8"/>
        <v>0</v>
      </c>
      <c r="BE47" s="11">
        <f>+'Seat capacity elasticities'!Y77</f>
        <v>0</v>
      </c>
      <c r="BF47" s="11">
        <f>+'Seat capacity elasticities'!Z77</f>
        <v>0</v>
      </c>
      <c r="BG47" s="11">
        <f>+'Seat capacity elasticities'!AA77</f>
        <v>0</v>
      </c>
      <c r="BH47" s="11">
        <f>+'Seat capacity elasticities'!AB77</f>
        <v>0</v>
      </c>
      <c r="BI47" s="32">
        <f t="shared" si="28"/>
        <v>0</v>
      </c>
      <c r="BJ47" s="33">
        <f t="shared" si="29"/>
        <v>0</v>
      </c>
      <c r="BK47" s="40">
        <f t="shared" si="30"/>
        <v>0</v>
      </c>
      <c r="BL47" s="33">
        <f t="shared" si="31"/>
        <v>0</v>
      </c>
      <c r="BM47" s="40">
        <f t="shared" si="32"/>
        <v>0</v>
      </c>
      <c r="BN47" s="41">
        <f t="shared" si="33"/>
        <v>0</v>
      </c>
      <c r="BO47" s="40">
        <f t="shared" si="34"/>
        <v>0</v>
      </c>
      <c r="BP47" s="41">
        <f t="shared" si="35"/>
        <v>0</v>
      </c>
      <c r="BQ47" s="53"/>
      <c r="BR47" s="53"/>
      <c r="BS47" t="s">
        <v>346</v>
      </c>
      <c r="BT47">
        <v>588709</v>
      </c>
      <c r="BU47">
        <v>299691</v>
      </c>
      <c r="BV47" s="51">
        <v>32942.61</v>
      </c>
      <c r="BW47" s="32">
        <f t="shared" si="9"/>
        <v>9872603733.5100002</v>
      </c>
      <c r="BX47">
        <v>18361</v>
      </c>
      <c r="BY47" s="37">
        <f t="shared" si="10"/>
        <v>3.1188583833438931E-2</v>
      </c>
      <c r="BZ47">
        <v>2.9935000000000001E-3</v>
      </c>
      <c r="CA47" s="3">
        <f t="shared" si="11"/>
        <v>2.9935000000000001E-5</v>
      </c>
      <c r="CB47" s="11">
        <f>+'Seat capacity elasticities'!AF77</f>
        <v>1.0795050657925085E-2</v>
      </c>
      <c r="CC47" s="11">
        <f>+'Seat capacity elasticities'!AG77</f>
        <v>8.6261414774786872E-3</v>
      </c>
      <c r="CD47" s="11">
        <f>+'Seat capacity elasticities'!AH77</f>
        <v>2.9618189530769189E-2</v>
      </c>
      <c r="CE47" s="11">
        <f>+'Seat capacity elasticities'!AI77</f>
        <v>1.0215167539119498E-2</v>
      </c>
      <c r="CF47" s="32">
        <f t="shared" si="36"/>
        <v>1065752.5742886078</v>
      </c>
      <c r="CG47" s="33">
        <f t="shared" si="37"/>
        <v>1.0795050657925085E-4</v>
      </c>
      <c r="CH47" s="40">
        <f t="shared" si="38"/>
        <v>851624.7655634156</v>
      </c>
      <c r="CI47" s="33">
        <f t="shared" si="39"/>
        <v>8.626141477478687E-5</v>
      </c>
      <c r="CJ47" s="40">
        <f t="shared" si="40"/>
        <v>5438195.779744531</v>
      </c>
      <c r="CK47" s="41">
        <f t="shared" si="41"/>
        <v>2.9618189530769188E-4</v>
      </c>
      <c r="CL47" s="40">
        <f t="shared" si="42"/>
        <v>1875606.9118577309</v>
      </c>
      <c r="CM47" s="41">
        <f t="shared" si="43"/>
        <v>1.0215167539119498E-4</v>
      </c>
      <c r="CO47" s="70">
        <f t="shared" si="44"/>
        <v>0</v>
      </c>
      <c r="CP47" s="70">
        <f t="shared" si="45"/>
        <v>0</v>
      </c>
      <c r="CQ47" s="70">
        <f t="shared" si="46"/>
        <v>0</v>
      </c>
      <c r="CR47" s="70">
        <f t="shared" si="47"/>
        <v>0</v>
      </c>
      <c r="CS47" s="70">
        <f t="shared" si="48"/>
        <v>0</v>
      </c>
      <c r="CT47" s="70">
        <f t="shared" si="49"/>
        <v>0</v>
      </c>
      <c r="CU47" s="69">
        <f t="shared" si="50"/>
        <v>0</v>
      </c>
      <c r="CV47" s="69">
        <f t="shared" si="51"/>
        <v>0</v>
      </c>
      <c r="CW47" s="70">
        <f t="shared" si="52"/>
        <v>0</v>
      </c>
      <c r="CX47" s="69">
        <f t="shared" si="53"/>
        <v>0</v>
      </c>
      <c r="CY47" s="69">
        <f t="shared" si="54"/>
        <v>0</v>
      </c>
      <c r="CZ47" s="70">
        <f t="shared" si="55"/>
        <v>0</v>
      </c>
      <c r="DB47" s="70">
        <f t="shared" si="56"/>
        <v>3.4930368322241985</v>
      </c>
      <c r="DC47" s="70">
        <f t="shared" si="57"/>
        <v>3.5561714375426949</v>
      </c>
      <c r="DD47" s="70">
        <f t="shared" si="58"/>
        <v>7.0492082697668934</v>
      </c>
      <c r="DE47" s="70">
        <f t="shared" si="59"/>
        <v>6.6202710071686441</v>
      </c>
      <c r="DF47" s="70">
        <f t="shared" si="60"/>
        <v>2.8416761449740418</v>
      </c>
      <c r="DG47" s="70">
        <f t="shared" si="61"/>
        <v>9.4619471521426863</v>
      </c>
      <c r="DH47" s="69">
        <f t="shared" si="62"/>
        <v>17.823853882946132</v>
      </c>
      <c r="DI47" s="69">
        <f t="shared" si="63"/>
        <v>18.146009655760537</v>
      </c>
      <c r="DJ47" s="70">
        <f t="shared" si="64"/>
        <v>35.969863538706669</v>
      </c>
      <c r="DK47" s="69">
        <f t="shared" si="65"/>
        <v>14.58039568776752</v>
      </c>
      <c r="DL47" s="69">
        <f t="shared" si="66"/>
        <v>6.2584692628665222</v>
      </c>
      <c r="DM47" s="70">
        <f t="shared" si="67"/>
        <v>20.838864950634044</v>
      </c>
    </row>
    <row r="48" spans="1:117">
      <c r="A48" t="s">
        <v>972</v>
      </c>
      <c r="B48">
        <v>55274</v>
      </c>
      <c r="C48">
        <v>42179</v>
      </c>
      <c r="D48" s="51">
        <v>37841.300000000003</v>
      </c>
      <c r="E48" s="32">
        <f t="shared" si="0"/>
        <v>1596108192.7</v>
      </c>
      <c r="F48">
        <v>2217</v>
      </c>
      <c r="G48" s="37">
        <f t="shared" si="1"/>
        <v>4.0109273799616457E-2</v>
      </c>
      <c r="H48">
        <v>0</v>
      </c>
      <c r="I48" s="3">
        <f t="shared" si="2"/>
        <v>0</v>
      </c>
      <c r="J48" s="11">
        <f>+'Seat capacity elasticities'!K78</f>
        <v>0</v>
      </c>
      <c r="K48" s="11">
        <f>+'Seat capacity elasticities'!L78</f>
        <v>0</v>
      </c>
      <c r="L48" s="11">
        <f>+'Seat capacity elasticities'!M78</f>
        <v>0</v>
      </c>
      <c r="M48" s="11">
        <f>+'Seat capacity elasticities'!N78</f>
        <v>0</v>
      </c>
      <c r="N48" s="32">
        <f t="shared" si="12"/>
        <v>0</v>
      </c>
      <c r="O48" s="33">
        <f t="shared" si="13"/>
        <v>0</v>
      </c>
      <c r="P48" s="40">
        <f t="shared" si="14"/>
        <v>0</v>
      </c>
      <c r="Q48" s="33">
        <f t="shared" si="15"/>
        <v>0</v>
      </c>
      <c r="R48" s="40">
        <f t="shared" si="16"/>
        <v>0</v>
      </c>
      <c r="S48" s="41">
        <f t="shared" si="17"/>
        <v>0</v>
      </c>
      <c r="T48" s="40">
        <f t="shared" si="18"/>
        <v>0</v>
      </c>
      <c r="U48" s="41">
        <f t="shared" si="19"/>
        <v>0</v>
      </c>
      <c r="V48" s="53"/>
      <c r="W48" s="53"/>
      <c r="X48" t="s">
        <v>972</v>
      </c>
      <c r="Y48">
        <v>55274</v>
      </c>
      <c r="Z48">
        <v>42179</v>
      </c>
      <c r="AA48" s="51">
        <v>37841.300000000003</v>
      </c>
      <c r="AB48" s="32">
        <f t="shared" si="3"/>
        <v>1596108192.7</v>
      </c>
      <c r="AC48">
        <v>2217</v>
      </c>
      <c r="AD48" s="37">
        <f t="shared" si="4"/>
        <v>4.0109273799616457E-2</v>
      </c>
      <c r="AE48">
        <v>2.9813999999999999E-3</v>
      </c>
      <c r="AF48" s="3">
        <f t="shared" si="5"/>
        <v>2.9813999999999999E-5</v>
      </c>
      <c r="AG48" s="11">
        <f>+'Seat capacity elasticities'!R78</f>
        <v>8.9153254444591309E-3</v>
      </c>
      <c r="AH48" s="11">
        <f>+'Seat capacity elasticities'!S78</f>
        <v>1.6897007788447334E-2</v>
      </c>
      <c r="AI48" s="11">
        <f>+'Seat capacity elasticities'!T78</f>
        <v>2.4460820714039492E-2</v>
      </c>
      <c r="AJ48" s="11">
        <f>+'Seat capacity elasticities'!U78</f>
        <v>2.0009614486319209E-2</v>
      </c>
      <c r="AK48" s="32">
        <f t="shared" si="20"/>
        <v>142298.23982487989</v>
      </c>
      <c r="AL48" s="33">
        <f t="shared" si="21"/>
        <v>8.9153254444591311E-5</v>
      </c>
      <c r="AM48" s="40">
        <f t="shared" si="22"/>
        <v>269694.52563256503</v>
      </c>
      <c r="AN48" s="33">
        <f t="shared" si="23"/>
        <v>1.6897007788447337E-4</v>
      </c>
      <c r="AO48" s="40">
        <f t="shared" si="24"/>
        <v>542296.39523025556</v>
      </c>
      <c r="AP48" s="41">
        <f t="shared" si="25"/>
        <v>2.4460820714039495E-4</v>
      </c>
      <c r="AQ48" s="40">
        <f t="shared" si="26"/>
        <v>443613.15316169686</v>
      </c>
      <c r="AR48" s="41">
        <f t="shared" si="27"/>
        <v>2.0009614486319208E-4</v>
      </c>
      <c r="AV48" t="s">
        <v>972</v>
      </c>
      <c r="AW48">
        <v>55274</v>
      </c>
      <c r="AX48">
        <v>42179</v>
      </c>
      <c r="AY48" s="51">
        <v>37841.300000000003</v>
      </c>
      <c r="AZ48" s="32">
        <f t="shared" si="6"/>
        <v>1596108192.7</v>
      </c>
      <c r="BA48">
        <v>2217</v>
      </c>
      <c r="BB48" s="37">
        <f t="shared" si="7"/>
        <v>4.0109273799616457E-2</v>
      </c>
      <c r="BC48">
        <v>0</v>
      </c>
      <c r="BD48" s="3">
        <f t="shared" si="8"/>
        <v>0</v>
      </c>
      <c r="BE48" s="11">
        <f>+'Seat capacity elasticities'!Y78</f>
        <v>0</v>
      </c>
      <c r="BF48" s="11">
        <f>+'Seat capacity elasticities'!Z78</f>
        <v>0</v>
      </c>
      <c r="BG48" s="11">
        <f>+'Seat capacity elasticities'!AA78</f>
        <v>0</v>
      </c>
      <c r="BH48" s="11">
        <f>+'Seat capacity elasticities'!AB78</f>
        <v>0</v>
      </c>
      <c r="BI48" s="32">
        <f t="shared" si="28"/>
        <v>0</v>
      </c>
      <c r="BJ48" s="33">
        <f t="shared" si="29"/>
        <v>0</v>
      </c>
      <c r="BK48" s="40">
        <f t="shared" si="30"/>
        <v>0</v>
      </c>
      <c r="BL48" s="33">
        <f t="shared" si="31"/>
        <v>0</v>
      </c>
      <c r="BM48" s="40">
        <f t="shared" si="32"/>
        <v>0</v>
      </c>
      <c r="BN48" s="41">
        <f t="shared" si="33"/>
        <v>0</v>
      </c>
      <c r="BO48" s="40">
        <f t="shared" si="34"/>
        <v>0</v>
      </c>
      <c r="BP48" s="41">
        <f t="shared" si="35"/>
        <v>0</v>
      </c>
      <c r="BQ48" s="53"/>
      <c r="BR48" s="53"/>
      <c r="BS48" t="s">
        <v>972</v>
      </c>
      <c r="BT48">
        <v>55274</v>
      </c>
      <c r="BU48">
        <v>42179</v>
      </c>
      <c r="BV48" s="51">
        <v>37841.300000000003</v>
      </c>
      <c r="BW48" s="32">
        <f t="shared" si="9"/>
        <v>1596108192.7</v>
      </c>
      <c r="BX48">
        <v>2217</v>
      </c>
      <c r="BY48" s="37">
        <f t="shared" si="10"/>
        <v>4.0109273799616457E-2</v>
      </c>
      <c r="BZ48">
        <v>2.9813999999999999E-3</v>
      </c>
      <c r="CA48" s="3">
        <f t="shared" si="11"/>
        <v>2.9813999999999999E-5</v>
      </c>
      <c r="CB48" s="11">
        <f>+'Seat capacity elasticities'!AF78</f>
        <v>0.11451053674902208</v>
      </c>
      <c r="CC48" s="11">
        <f>+'Seat capacity elasticities'!AG78</f>
        <v>9.1503423370590156E-2</v>
      </c>
      <c r="CD48" s="11">
        <f>+'Seat capacity elasticities'!AH78</f>
        <v>0.31418053404063817</v>
      </c>
      <c r="CE48" s="11">
        <f>+'Seat capacity elasticities'!AI78</f>
        <v>0.10835931714938309</v>
      </c>
      <c r="CF48" s="32">
        <f t="shared" si="36"/>
        <v>1827712.0585558857</v>
      </c>
      <c r="CG48" s="33">
        <f t="shared" si="37"/>
        <v>1.1451053674902208E-3</v>
      </c>
      <c r="CH48" s="40">
        <f t="shared" si="38"/>
        <v>1460493.637018956</v>
      </c>
      <c r="CI48" s="33">
        <f t="shared" si="39"/>
        <v>9.1503423370590154E-4</v>
      </c>
      <c r="CJ48" s="40">
        <f t="shared" si="40"/>
        <v>6965382.4396809479</v>
      </c>
      <c r="CK48" s="41">
        <f t="shared" si="41"/>
        <v>3.1418053404063816E-3</v>
      </c>
      <c r="CL48" s="40">
        <f t="shared" si="42"/>
        <v>2402326.0612018229</v>
      </c>
      <c r="CM48" s="41">
        <f t="shared" si="43"/>
        <v>1.0835931714938307E-3</v>
      </c>
      <c r="CO48" s="70">
        <f t="shared" si="44"/>
        <v>0</v>
      </c>
      <c r="CP48" s="70">
        <f t="shared" si="45"/>
        <v>0</v>
      </c>
      <c r="CQ48" s="70">
        <f t="shared" si="46"/>
        <v>0</v>
      </c>
      <c r="CR48" s="70">
        <f t="shared" si="47"/>
        <v>0</v>
      </c>
      <c r="CS48" s="70">
        <f t="shared" si="48"/>
        <v>0</v>
      </c>
      <c r="CT48" s="70">
        <f t="shared" si="49"/>
        <v>0</v>
      </c>
      <c r="CU48" s="69">
        <f t="shared" si="50"/>
        <v>0</v>
      </c>
      <c r="CV48" s="69">
        <f t="shared" si="51"/>
        <v>0</v>
      </c>
      <c r="CW48" s="70">
        <f t="shared" si="52"/>
        <v>0</v>
      </c>
      <c r="CX48" s="69">
        <f t="shared" si="53"/>
        <v>0</v>
      </c>
      <c r="CY48" s="69">
        <f t="shared" si="54"/>
        <v>0</v>
      </c>
      <c r="CZ48" s="70">
        <f t="shared" si="55"/>
        <v>0</v>
      </c>
      <c r="DB48" s="70">
        <f t="shared" si="56"/>
        <v>3.3736750474141135</v>
      </c>
      <c r="DC48" s="70">
        <f t="shared" si="57"/>
        <v>43.332275742807695</v>
      </c>
      <c r="DD48" s="70">
        <f t="shared" si="58"/>
        <v>46.705950790221806</v>
      </c>
      <c r="DE48" s="70">
        <f t="shared" si="59"/>
        <v>6.3940474082497216</v>
      </c>
      <c r="DF48" s="70">
        <f t="shared" si="60"/>
        <v>34.626084947935134</v>
      </c>
      <c r="DG48" s="70">
        <f t="shared" si="61"/>
        <v>41.020132356184853</v>
      </c>
      <c r="DH48" s="69">
        <f t="shared" si="62"/>
        <v>12.857023524271689</v>
      </c>
      <c r="DI48" s="69">
        <f t="shared" si="63"/>
        <v>165.13863390978798</v>
      </c>
      <c r="DJ48" s="70">
        <f t="shared" si="64"/>
        <v>177.99565743405967</v>
      </c>
      <c r="DK48" s="69">
        <f t="shared" si="65"/>
        <v>10.517393801695082</v>
      </c>
      <c r="DL48" s="69">
        <f t="shared" si="66"/>
        <v>56.95550063305965</v>
      </c>
      <c r="DM48" s="70">
        <f t="shared" si="67"/>
        <v>67.472894434754735</v>
      </c>
    </row>
    <row r="49" spans="1:117">
      <c r="A49" t="s">
        <v>347</v>
      </c>
      <c r="B49">
        <v>73057</v>
      </c>
      <c r="C49">
        <v>55922</v>
      </c>
      <c r="D49" s="51">
        <v>39936.980000000003</v>
      </c>
      <c r="E49" s="32">
        <f t="shared" si="0"/>
        <v>2233355795.5599999</v>
      </c>
      <c r="F49">
        <v>6060</v>
      </c>
      <c r="G49" s="37">
        <f t="shared" si="1"/>
        <v>8.2948930287309902E-2</v>
      </c>
      <c r="H49">
        <v>0</v>
      </c>
      <c r="I49" s="3">
        <f t="shared" si="2"/>
        <v>0</v>
      </c>
      <c r="J49" s="11">
        <f>+'Seat capacity elasticities'!K79</f>
        <v>0</v>
      </c>
      <c r="K49" s="11">
        <f>+'Seat capacity elasticities'!L79</f>
        <v>0</v>
      </c>
      <c r="L49" s="11">
        <f>+'Seat capacity elasticities'!M79</f>
        <v>0</v>
      </c>
      <c r="M49" s="11">
        <f>+'Seat capacity elasticities'!N79</f>
        <v>0</v>
      </c>
      <c r="N49" s="32">
        <f t="shared" si="12"/>
        <v>0</v>
      </c>
      <c r="O49" s="33">
        <f t="shared" si="13"/>
        <v>0</v>
      </c>
      <c r="P49" s="40">
        <f t="shared" si="14"/>
        <v>0</v>
      </c>
      <c r="Q49" s="33">
        <f t="shared" si="15"/>
        <v>0</v>
      </c>
      <c r="R49" s="40">
        <f t="shared" si="16"/>
        <v>0</v>
      </c>
      <c r="S49" s="41">
        <f t="shared" si="17"/>
        <v>0</v>
      </c>
      <c r="T49" s="40">
        <f t="shared" si="18"/>
        <v>0</v>
      </c>
      <c r="U49" s="41">
        <f t="shared" si="19"/>
        <v>0</v>
      </c>
      <c r="V49" s="53"/>
      <c r="W49" s="53"/>
      <c r="X49" t="s">
        <v>347</v>
      </c>
      <c r="Y49">
        <v>73057</v>
      </c>
      <c r="Z49">
        <v>55922</v>
      </c>
      <c r="AA49" s="51">
        <v>39936.980000000003</v>
      </c>
      <c r="AB49" s="32">
        <f t="shared" si="3"/>
        <v>2233355795.5599999</v>
      </c>
      <c r="AC49">
        <v>6060</v>
      </c>
      <c r="AD49" s="37">
        <f t="shared" si="4"/>
        <v>8.2948930287309902E-2</v>
      </c>
      <c r="AE49">
        <v>2.3254E-3</v>
      </c>
      <c r="AF49" s="3">
        <f t="shared" si="5"/>
        <v>2.3254000000000001E-5</v>
      </c>
      <c r="AG49" s="11">
        <f>+'Seat capacity elasticities'!R79</f>
        <v>7.6748280886399529E-3</v>
      </c>
      <c r="AH49" s="11">
        <f>+'Seat capacity elasticities'!S79</f>
        <v>1.4545922164775344E-2</v>
      </c>
      <c r="AI49" s="11">
        <f>+'Seat capacity elasticities'!T79</f>
        <v>2.1057290062694457E-2</v>
      </c>
      <c r="AJ49" s="11">
        <f>+'Seat capacity elasticities'!U79</f>
        <v>1.722543414249712E-2</v>
      </c>
      <c r="AK49" s="32">
        <f t="shared" si="20"/>
        <v>171406.21791690716</v>
      </c>
      <c r="AL49" s="33">
        <f t="shared" si="21"/>
        <v>7.6748280886399525E-5</v>
      </c>
      <c r="AM49" s="40">
        <f t="shared" si="22"/>
        <v>324862.19568465679</v>
      </c>
      <c r="AN49" s="33">
        <f t="shared" si="23"/>
        <v>1.4545922164775345E-4</v>
      </c>
      <c r="AO49" s="40">
        <f t="shared" si="24"/>
        <v>1276071.7777992839</v>
      </c>
      <c r="AP49" s="41">
        <f t="shared" si="25"/>
        <v>2.1057290062694451E-4</v>
      </c>
      <c r="AQ49" s="40">
        <f t="shared" si="26"/>
        <v>1043861.3090353253</v>
      </c>
      <c r="AR49" s="41">
        <f t="shared" si="27"/>
        <v>1.7225434142497116E-4</v>
      </c>
      <c r="AV49" t="s">
        <v>347</v>
      </c>
      <c r="AW49">
        <v>73057</v>
      </c>
      <c r="AX49">
        <v>55922</v>
      </c>
      <c r="AY49" s="51">
        <v>39936.980000000003</v>
      </c>
      <c r="AZ49" s="32">
        <f t="shared" si="6"/>
        <v>2233355795.5599999</v>
      </c>
      <c r="BA49">
        <v>6060</v>
      </c>
      <c r="BB49" s="37">
        <f t="shared" si="7"/>
        <v>8.2948930287309902E-2</v>
      </c>
      <c r="BC49">
        <v>0</v>
      </c>
      <c r="BD49" s="3">
        <f t="shared" si="8"/>
        <v>0</v>
      </c>
      <c r="BE49" s="11">
        <f>+'Seat capacity elasticities'!Y79</f>
        <v>0</v>
      </c>
      <c r="BF49" s="11">
        <f>+'Seat capacity elasticities'!Z79</f>
        <v>0</v>
      </c>
      <c r="BG49" s="11">
        <f>+'Seat capacity elasticities'!AA79</f>
        <v>0</v>
      </c>
      <c r="BH49" s="11">
        <f>+'Seat capacity elasticities'!AB79</f>
        <v>0</v>
      </c>
      <c r="BI49" s="32">
        <f t="shared" si="28"/>
        <v>0</v>
      </c>
      <c r="BJ49" s="33">
        <f t="shared" si="29"/>
        <v>0</v>
      </c>
      <c r="BK49" s="40">
        <f t="shared" si="30"/>
        <v>0</v>
      </c>
      <c r="BL49" s="33">
        <f t="shared" si="31"/>
        <v>0</v>
      </c>
      <c r="BM49" s="40">
        <f t="shared" si="32"/>
        <v>0</v>
      </c>
      <c r="BN49" s="41">
        <f t="shared" si="33"/>
        <v>0</v>
      </c>
      <c r="BO49" s="40">
        <f t="shared" si="34"/>
        <v>0</v>
      </c>
      <c r="BP49" s="41">
        <f t="shared" si="35"/>
        <v>0</v>
      </c>
      <c r="BQ49" s="53"/>
      <c r="BR49" s="53"/>
      <c r="BS49" t="s">
        <v>347</v>
      </c>
      <c r="BT49">
        <v>73057</v>
      </c>
      <c r="BU49">
        <v>55922</v>
      </c>
      <c r="BV49" s="51">
        <v>39936.980000000003</v>
      </c>
      <c r="BW49" s="32">
        <f t="shared" si="9"/>
        <v>2233355795.5599999</v>
      </c>
      <c r="BX49">
        <v>6060</v>
      </c>
      <c r="BY49" s="37">
        <f t="shared" si="10"/>
        <v>8.2948930287309902E-2</v>
      </c>
      <c r="BZ49">
        <v>2.3254E-3</v>
      </c>
      <c r="CA49" s="3">
        <f t="shared" si="11"/>
        <v>2.3254000000000001E-5</v>
      </c>
      <c r="CB49" s="11">
        <f>+'Seat capacity elasticities'!AF79</f>
        <v>6.757435843518797E-2</v>
      </c>
      <c r="CC49" s="11">
        <f>+'Seat capacity elasticities'!AG79</f>
        <v>5.3997521140287719E-2</v>
      </c>
      <c r="CD49" s="11">
        <f>+'Seat capacity elasticities'!AH79</f>
        <v>0.18540257187993811</v>
      </c>
      <c r="CE49" s="11">
        <f>+'Seat capacity elasticities'!AI79</f>
        <v>6.3944432929288086E-2</v>
      </c>
      <c r="CF49" s="32">
        <f t="shared" si="36"/>
        <v>1509175.8504247584</v>
      </c>
      <c r="CG49" s="33">
        <f t="shared" si="37"/>
        <v>6.7574358435187973E-4</v>
      </c>
      <c r="CH49" s="40">
        <f t="shared" si="38"/>
        <v>1205956.7678453519</v>
      </c>
      <c r="CI49" s="33">
        <f t="shared" si="39"/>
        <v>5.3997521140287724E-4</v>
      </c>
      <c r="CJ49" s="40">
        <f t="shared" si="40"/>
        <v>11235395.855924249</v>
      </c>
      <c r="CK49" s="41">
        <f t="shared" si="41"/>
        <v>1.8540257187993809E-3</v>
      </c>
      <c r="CL49" s="40">
        <f t="shared" si="42"/>
        <v>3875032.6355148577</v>
      </c>
      <c r="CM49" s="41">
        <f t="shared" si="43"/>
        <v>6.3944432929288091E-4</v>
      </c>
      <c r="CO49" s="70">
        <f t="shared" si="44"/>
        <v>0</v>
      </c>
      <c r="CP49" s="70">
        <f t="shared" si="45"/>
        <v>0</v>
      </c>
      <c r="CQ49" s="70">
        <f t="shared" si="46"/>
        <v>0</v>
      </c>
      <c r="CR49" s="70">
        <f t="shared" si="47"/>
        <v>0</v>
      </c>
      <c r="CS49" s="70">
        <f t="shared" si="48"/>
        <v>0</v>
      </c>
      <c r="CT49" s="70">
        <f t="shared" si="49"/>
        <v>0</v>
      </c>
      <c r="CU49" s="69">
        <f t="shared" si="50"/>
        <v>0</v>
      </c>
      <c r="CV49" s="69">
        <f t="shared" si="51"/>
        <v>0</v>
      </c>
      <c r="CW49" s="70">
        <f t="shared" si="52"/>
        <v>0</v>
      </c>
      <c r="CX49" s="69">
        <f t="shared" si="53"/>
        <v>0</v>
      </c>
      <c r="CY49" s="69">
        <f t="shared" si="54"/>
        <v>0</v>
      </c>
      <c r="CZ49" s="70">
        <f t="shared" si="55"/>
        <v>0</v>
      </c>
      <c r="DB49" s="70">
        <f t="shared" si="56"/>
        <v>3.0650945587945202</v>
      </c>
      <c r="DC49" s="70">
        <f t="shared" si="57"/>
        <v>26.987158013389337</v>
      </c>
      <c r="DD49" s="70">
        <f t="shared" si="58"/>
        <v>30.052252572183857</v>
      </c>
      <c r="DE49" s="70">
        <f t="shared" si="59"/>
        <v>5.8092020257618966</v>
      </c>
      <c r="DF49" s="70">
        <f t="shared" si="60"/>
        <v>21.564979218292478</v>
      </c>
      <c r="DG49" s="70">
        <f t="shared" si="61"/>
        <v>27.374181244054377</v>
      </c>
      <c r="DH49" s="69">
        <f t="shared" si="62"/>
        <v>22.818779331913806</v>
      </c>
      <c r="DI49" s="69">
        <f t="shared" si="63"/>
        <v>200.91191044533903</v>
      </c>
      <c r="DJ49" s="70">
        <f t="shared" si="64"/>
        <v>223.73068977725285</v>
      </c>
      <c r="DK49" s="69">
        <f t="shared" si="65"/>
        <v>18.666380119368501</v>
      </c>
      <c r="DL49" s="69">
        <f t="shared" si="66"/>
        <v>69.29352733297911</v>
      </c>
      <c r="DM49" s="70">
        <f t="shared" si="67"/>
        <v>87.959907452347608</v>
      </c>
    </row>
    <row r="50" spans="1:117">
      <c r="A50" t="s">
        <v>348</v>
      </c>
      <c r="B50">
        <v>254911</v>
      </c>
      <c r="C50">
        <v>176099</v>
      </c>
      <c r="D50" s="51">
        <v>39152</v>
      </c>
      <c r="E50" s="32">
        <f t="shared" si="0"/>
        <v>6894628048</v>
      </c>
      <c r="F50">
        <v>11478</v>
      </c>
      <c r="G50" s="37">
        <f t="shared" si="1"/>
        <v>4.5027480179356719E-2</v>
      </c>
      <c r="H50">
        <v>0</v>
      </c>
      <c r="I50" s="3">
        <f t="shared" si="2"/>
        <v>0</v>
      </c>
      <c r="J50" s="11">
        <f>+'Seat capacity elasticities'!K80</f>
        <v>0</v>
      </c>
      <c r="K50" s="11">
        <f>+'Seat capacity elasticities'!L80</f>
        <v>0</v>
      </c>
      <c r="L50" s="11">
        <f>+'Seat capacity elasticities'!M80</f>
        <v>0</v>
      </c>
      <c r="M50" s="11">
        <f>+'Seat capacity elasticities'!N80</f>
        <v>0</v>
      </c>
      <c r="N50" s="32">
        <f t="shared" si="12"/>
        <v>0</v>
      </c>
      <c r="O50" s="33">
        <f t="shared" si="13"/>
        <v>0</v>
      </c>
      <c r="P50" s="40">
        <f t="shared" si="14"/>
        <v>0</v>
      </c>
      <c r="Q50" s="33">
        <f t="shared" si="15"/>
        <v>0</v>
      </c>
      <c r="R50" s="40">
        <f t="shared" si="16"/>
        <v>0</v>
      </c>
      <c r="S50" s="41">
        <f t="shared" si="17"/>
        <v>0</v>
      </c>
      <c r="T50" s="40">
        <f t="shared" si="18"/>
        <v>0</v>
      </c>
      <c r="U50" s="41">
        <f t="shared" si="19"/>
        <v>0</v>
      </c>
      <c r="V50" s="53"/>
      <c r="W50" s="53"/>
      <c r="X50" t="s">
        <v>348</v>
      </c>
      <c r="Y50">
        <v>254911</v>
      </c>
      <c r="Z50">
        <v>176099</v>
      </c>
      <c r="AA50" s="51">
        <v>39152</v>
      </c>
      <c r="AB50" s="32">
        <f t="shared" si="3"/>
        <v>6894628048</v>
      </c>
      <c r="AC50">
        <v>11478</v>
      </c>
      <c r="AD50" s="37">
        <f t="shared" si="4"/>
        <v>4.5027480179356719E-2</v>
      </c>
      <c r="AE50">
        <v>6.5256000000000003E-3</v>
      </c>
      <c r="AF50" s="3">
        <f t="shared" si="5"/>
        <v>6.5256E-5</v>
      </c>
      <c r="AG50" s="11">
        <f>+'Seat capacity elasticities'!R80</f>
        <v>1.3871088292831575E-2</v>
      </c>
      <c r="AH50" s="11">
        <f>+'Seat capacity elasticities'!S80</f>
        <v>2.6289549201356715E-2</v>
      </c>
      <c r="AI50" s="11">
        <f>+'Seat capacity elasticities'!T80</f>
        <v>3.805785957599999E-2</v>
      </c>
      <c r="AJ50" s="11">
        <f>+'Seat capacity elasticities'!U80</f>
        <v>3.113236089634348E-2</v>
      </c>
      <c r="AK50" s="32">
        <f t="shared" si="20"/>
        <v>956359.94400041027</v>
      </c>
      <c r="AL50" s="33">
        <f t="shared" si="21"/>
        <v>1.3871088292831578E-4</v>
      </c>
      <c r="AM50" s="40">
        <f t="shared" si="22"/>
        <v>1812566.6329295002</v>
      </c>
      <c r="AN50" s="33">
        <f t="shared" si="23"/>
        <v>2.6289549201356717E-4</v>
      </c>
      <c r="AO50" s="40">
        <f t="shared" si="24"/>
        <v>4368281.1221332783</v>
      </c>
      <c r="AP50" s="41">
        <f t="shared" si="25"/>
        <v>3.8057859575999989E-4</v>
      </c>
      <c r="AQ50" s="40">
        <f t="shared" si="26"/>
        <v>3573372.383682305</v>
      </c>
      <c r="AR50" s="41">
        <f t="shared" si="27"/>
        <v>3.1132360896343481E-4</v>
      </c>
      <c r="AV50" t="s">
        <v>348</v>
      </c>
      <c r="AW50">
        <v>254911</v>
      </c>
      <c r="AX50">
        <v>176099</v>
      </c>
      <c r="AY50" s="51">
        <v>39152</v>
      </c>
      <c r="AZ50" s="32">
        <f t="shared" si="6"/>
        <v>6894628048</v>
      </c>
      <c r="BA50">
        <v>11478</v>
      </c>
      <c r="BB50" s="37">
        <f t="shared" si="7"/>
        <v>4.5027480179356719E-2</v>
      </c>
      <c r="BC50">
        <v>0</v>
      </c>
      <c r="BD50" s="3">
        <f t="shared" si="8"/>
        <v>0</v>
      </c>
      <c r="BE50" s="11">
        <f>+'Seat capacity elasticities'!Y80</f>
        <v>0</v>
      </c>
      <c r="BF50" s="11">
        <f>+'Seat capacity elasticities'!Z80</f>
        <v>0</v>
      </c>
      <c r="BG50" s="11">
        <f>+'Seat capacity elasticities'!AA80</f>
        <v>0</v>
      </c>
      <c r="BH50" s="11">
        <f>+'Seat capacity elasticities'!AB80</f>
        <v>0</v>
      </c>
      <c r="BI50" s="32">
        <f t="shared" si="28"/>
        <v>0</v>
      </c>
      <c r="BJ50" s="33">
        <f t="shared" si="29"/>
        <v>0</v>
      </c>
      <c r="BK50" s="40">
        <f t="shared" si="30"/>
        <v>0</v>
      </c>
      <c r="BL50" s="33">
        <f t="shared" si="31"/>
        <v>0</v>
      </c>
      <c r="BM50" s="40">
        <f t="shared" si="32"/>
        <v>0</v>
      </c>
      <c r="BN50" s="41">
        <f t="shared" si="33"/>
        <v>0</v>
      </c>
      <c r="BO50" s="40">
        <f t="shared" si="34"/>
        <v>0</v>
      </c>
      <c r="BP50" s="41">
        <f t="shared" si="35"/>
        <v>0</v>
      </c>
      <c r="BQ50" s="53"/>
      <c r="BR50" s="53"/>
      <c r="BS50" t="s">
        <v>348</v>
      </c>
      <c r="BT50">
        <v>254911</v>
      </c>
      <c r="BU50">
        <v>176099</v>
      </c>
      <c r="BV50" s="51">
        <v>39152</v>
      </c>
      <c r="BW50" s="32">
        <f t="shared" si="9"/>
        <v>6894628048</v>
      </c>
      <c r="BX50">
        <v>11478</v>
      </c>
      <c r="BY50" s="37">
        <f t="shared" si="10"/>
        <v>4.5027480179356719E-2</v>
      </c>
      <c r="BZ50">
        <v>6.5256000000000003E-3</v>
      </c>
      <c r="CA50" s="3">
        <f t="shared" si="11"/>
        <v>6.5256E-5</v>
      </c>
      <c r="CB50" s="11">
        <f>+'Seat capacity elasticities'!AF80</f>
        <v>5.4347299629807229E-2</v>
      </c>
      <c r="CC50" s="11">
        <f>+'Seat capacity elasticities'!AG80</f>
        <v>4.3428003293478908E-2</v>
      </c>
      <c r="CD50" s="11">
        <f>+'Seat capacity elasticities'!AH80</f>
        <v>0.14911172461607761</v>
      </c>
      <c r="CE50" s="11">
        <f>+'Seat capacity elasticities'!AI80</f>
        <v>5.1427898637014496E-2</v>
      </c>
      <c r="CF50" s="32">
        <f t="shared" si="36"/>
        <v>3747044.1636072895</v>
      </c>
      <c r="CG50" s="33">
        <f t="shared" si="37"/>
        <v>5.4347299629807228E-4</v>
      </c>
      <c r="CH50" s="40">
        <f t="shared" si="38"/>
        <v>2994199.2957585608</v>
      </c>
      <c r="CI50" s="33">
        <f t="shared" si="39"/>
        <v>4.3428003293478911E-4</v>
      </c>
      <c r="CJ50" s="40">
        <f t="shared" si="40"/>
        <v>17115043.751433391</v>
      </c>
      <c r="CK50" s="41">
        <f t="shared" si="41"/>
        <v>1.4911172461607764E-3</v>
      </c>
      <c r="CL50" s="40">
        <f t="shared" si="42"/>
        <v>5902894.2055565249</v>
      </c>
      <c r="CM50" s="41">
        <f t="shared" si="43"/>
        <v>5.1427898637014502E-4</v>
      </c>
      <c r="CO50" s="70">
        <f t="shared" si="44"/>
        <v>0</v>
      </c>
      <c r="CP50" s="70">
        <f t="shared" si="45"/>
        <v>0</v>
      </c>
      <c r="CQ50" s="70">
        <f t="shared" si="46"/>
        <v>0</v>
      </c>
      <c r="CR50" s="70">
        <f t="shared" si="47"/>
        <v>0</v>
      </c>
      <c r="CS50" s="70">
        <f t="shared" si="48"/>
        <v>0</v>
      </c>
      <c r="CT50" s="70">
        <f t="shared" si="49"/>
        <v>0</v>
      </c>
      <c r="CU50" s="69">
        <f t="shared" si="50"/>
        <v>0</v>
      </c>
      <c r="CV50" s="69">
        <f t="shared" si="51"/>
        <v>0</v>
      </c>
      <c r="CW50" s="70">
        <f t="shared" si="52"/>
        <v>0</v>
      </c>
      <c r="CX50" s="69">
        <f t="shared" si="53"/>
        <v>0</v>
      </c>
      <c r="CY50" s="69">
        <f t="shared" si="54"/>
        <v>0</v>
      </c>
      <c r="CZ50" s="70">
        <f t="shared" si="55"/>
        <v>0</v>
      </c>
      <c r="DB50" s="70">
        <f t="shared" si="56"/>
        <v>5.4308084884094185</v>
      </c>
      <c r="DC50" s="70">
        <f t="shared" si="57"/>
        <v>21.278054751062129</v>
      </c>
      <c r="DD50" s="70">
        <f t="shared" si="58"/>
        <v>26.708863239471548</v>
      </c>
      <c r="DE50" s="70">
        <f t="shared" si="59"/>
        <v>10.292884303315182</v>
      </c>
      <c r="DF50" s="70">
        <f t="shared" si="60"/>
        <v>17.002931849462865</v>
      </c>
      <c r="DG50" s="70">
        <f t="shared" si="61"/>
        <v>27.295816152778045</v>
      </c>
      <c r="DH50" s="69">
        <f t="shared" si="62"/>
        <v>24.805825826002863</v>
      </c>
      <c r="DI50" s="69">
        <f t="shared" si="63"/>
        <v>97.189897452191047</v>
      </c>
      <c r="DJ50" s="70">
        <f t="shared" si="64"/>
        <v>121.99572327819391</v>
      </c>
      <c r="DK50" s="69">
        <f t="shared" si="65"/>
        <v>20.291838021126214</v>
      </c>
      <c r="DL50" s="69">
        <f t="shared" si="66"/>
        <v>33.520316444480237</v>
      </c>
      <c r="DM50" s="70">
        <f t="shared" si="67"/>
        <v>53.812154465606454</v>
      </c>
    </row>
    <row r="51" spans="1:117">
      <c r="A51" t="s">
        <v>349</v>
      </c>
      <c r="B51">
        <v>223998</v>
      </c>
      <c r="C51">
        <v>143142</v>
      </c>
      <c r="D51" s="51">
        <v>32163.49</v>
      </c>
      <c r="E51" s="32">
        <f t="shared" si="0"/>
        <v>4603946285.5799999</v>
      </c>
      <c r="F51">
        <v>6095</v>
      </c>
      <c r="G51" s="37">
        <f t="shared" si="1"/>
        <v>2.7210064375574782E-2</v>
      </c>
      <c r="H51">
        <v>0</v>
      </c>
      <c r="I51" s="3">
        <f t="shared" si="2"/>
        <v>0</v>
      </c>
      <c r="J51" s="11">
        <f>+'Seat capacity elasticities'!K81</f>
        <v>0</v>
      </c>
      <c r="K51" s="11">
        <f>+'Seat capacity elasticities'!L81</f>
        <v>0</v>
      </c>
      <c r="L51" s="11">
        <f>+'Seat capacity elasticities'!M81</f>
        <v>0</v>
      </c>
      <c r="M51" s="11">
        <f>+'Seat capacity elasticities'!N81</f>
        <v>0</v>
      </c>
      <c r="N51" s="32">
        <f t="shared" si="12"/>
        <v>0</v>
      </c>
      <c r="O51" s="33">
        <f t="shared" si="13"/>
        <v>0</v>
      </c>
      <c r="P51" s="40">
        <f t="shared" si="14"/>
        <v>0</v>
      </c>
      <c r="Q51" s="33">
        <f t="shared" si="15"/>
        <v>0</v>
      </c>
      <c r="R51" s="40">
        <f t="shared" si="16"/>
        <v>0</v>
      </c>
      <c r="S51" s="41">
        <f t="shared" si="17"/>
        <v>0</v>
      </c>
      <c r="T51" s="40">
        <f t="shared" si="18"/>
        <v>0</v>
      </c>
      <c r="U51" s="41">
        <f t="shared" si="19"/>
        <v>0</v>
      </c>
      <c r="V51" s="53"/>
      <c r="W51" s="53"/>
      <c r="X51" t="s">
        <v>349</v>
      </c>
      <c r="Y51">
        <v>223998</v>
      </c>
      <c r="Z51">
        <v>143142</v>
      </c>
      <c r="AA51" s="51">
        <v>32163.49</v>
      </c>
      <c r="AB51" s="32">
        <f t="shared" si="3"/>
        <v>4603946285.5799999</v>
      </c>
      <c r="AC51">
        <v>6095</v>
      </c>
      <c r="AD51" s="37">
        <f t="shared" si="4"/>
        <v>2.7210064375574782E-2</v>
      </c>
      <c r="AE51">
        <v>1.57593E-2</v>
      </c>
      <c r="AF51" s="3">
        <f t="shared" si="5"/>
        <v>1.5759300000000001E-4</v>
      </c>
      <c r="AG51" s="11">
        <f>+'Seat capacity elasticities'!R81</f>
        <v>2.7030453975065406E-2</v>
      </c>
      <c r="AH51" s="11">
        <f>+'Seat capacity elasticities'!S81</f>
        <v>5.1230187185797811E-2</v>
      </c>
      <c r="AI51" s="11">
        <f>+'Seat capacity elasticities'!T81</f>
        <v>7.4162978415341918E-2</v>
      </c>
      <c r="AJ51" s="11">
        <f>+'Seat capacity elasticities'!U81</f>
        <v>6.066732693055004E-2</v>
      </c>
      <c r="AK51" s="32">
        <f t="shared" si="20"/>
        <v>1244467.5817604354</v>
      </c>
      <c r="AL51" s="33">
        <f t="shared" si="21"/>
        <v>2.7030453975065408E-4</v>
      </c>
      <c r="AM51" s="40">
        <f t="shared" si="22"/>
        <v>2358610.3000362194</v>
      </c>
      <c r="AN51" s="33">
        <f t="shared" si="23"/>
        <v>5.1230187185797812E-4</v>
      </c>
      <c r="AO51" s="40">
        <f t="shared" si="24"/>
        <v>4520233.5344150905</v>
      </c>
      <c r="AP51" s="41">
        <f t="shared" si="25"/>
        <v>7.4162978415341922E-4</v>
      </c>
      <c r="AQ51" s="40">
        <f t="shared" si="26"/>
        <v>3697673.5764170252</v>
      </c>
      <c r="AR51" s="41">
        <f t="shared" si="27"/>
        <v>6.0667326930550038E-4</v>
      </c>
      <c r="AV51" t="s">
        <v>349</v>
      </c>
      <c r="AW51">
        <v>223998</v>
      </c>
      <c r="AX51">
        <v>143142</v>
      </c>
      <c r="AY51" s="51">
        <v>32163.49</v>
      </c>
      <c r="AZ51" s="32">
        <f t="shared" si="6"/>
        <v>4603946285.5799999</v>
      </c>
      <c r="BA51">
        <v>6095</v>
      </c>
      <c r="BB51" s="37">
        <f t="shared" si="7"/>
        <v>2.7210064375574782E-2</v>
      </c>
      <c r="BC51">
        <v>0</v>
      </c>
      <c r="BD51" s="3">
        <f t="shared" si="8"/>
        <v>0</v>
      </c>
      <c r="BE51" s="11">
        <f>+'Seat capacity elasticities'!Y81</f>
        <v>0</v>
      </c>
      <c r="BF51" s="11">
        <f>+'Seat capacity elasticities'!Z81</f>
        <v>0</v>
      </c>
      <c r="BG51" s="11">
        <f>+'Seat capacity elasticities'!AA81</f>
        <v>0</v>
      </c>
      <c r="BH51" s="11">
        <f>+'Seat capacity elasticities'!AB81</f>
        <v>0</v>
      </c>
      <c r="BI51" s="32">
        <f t="shared" si="28"/>
        <v>0</v>
      </c>
      <c r="BJ51" s="33">
        <f t="shared" si="29"/>
        <v>0</v>
      </c>
      <c r="BK51" s="40">
        <f t="shared" si="30"/>
        <v>0</v>
      </c>
      <c r="BL51" s="33">
        <f t="shared" si="31"/>
        <v>0</v>
      </c>
      <c r="BM51" s="40">
        <f t="shared" si="32"/>
        <v>0</v>
      </c>
      <c r="BN51" s="41">
        <f t="shared" si="33"/>
        <v>0</v>
      </c>
      <c r="BO51" s="40">
        <f t="shared" si="34"/>
        <v>0</v>
      </c>
      <c r="BP51" s="41">
        <f t="shared" si="35"/>
        <v>0</v>
      </c>
      <c r="BQ51" s="53"/>
      <c r="BR51" s="53"/>
      <c r="BS51" t="s">
        <v>349</v>
      </c>
      <c r="BT51">
        <v>223998</v>
      </c>
      <c r="BU51">
        <v>143142</v>
      </c>
      <c r="BV51" s="51">
        <v>32163.49</v>
      </c>
      <c r="BW51" s="32">
        <f t="shared" si="9"/>
        <v>4603946285.5799999</v>
      </c>
      <c r="BX51">
        <v>6095</v>
      </c>
      <c r="BY51" s="37">
        <f t="shared" si="10"/>
        <v>2.7210064375574782E-2</v>
      </c>
      <c r="BZ51">
        <v>1.57593E-2</v>
      </c>
      <c r="CA51" s="3">
        <f t="shared" si="11"/>
        <v>1.5759300000000001E-4</v>
      </c>
      <c r="CB51" s="11">
        <f>+'Seat capacity elasticities'!AF81</f>
        <v>0.14936157334501768</v>
      </c>
      <c r="CC51" s="11">
        <f>+'Seat capacity elasticities'!AG81</f>
        <v>0.11935229428748027</v>
      </c>
      <c r="CD51" s="11">
        <f>+'Seat capacity elasticities'!AH81</f>
        <v>0.40980070665059004</v>
      </c>
      <c r="CE51" s="11">
        <f>+'Seat capacity elasticities'!AI81</f>
        <v>0.14133824323517399</v>
      </c>
      <c r="CF51" s="32">
        <f t="shared" si="36"/>
        <v>6876526.6081017889</v>
      </c>
      <c r="CG51" s="33">
        <f t="shared" si="37"/>
        <v>1.4936157334501769E-3</v>
      </c>
      <c r="CH51" s="40">
        <f t="shared" si="38"/>
        <v>5494915.519602959</v>
      </c>
      <c r="CI51" s="33">
        <f t="shared" si="39"/>
        <v>1.1935229428748028E-3</v>
      </c>
      <c r="CJ51" s="40">
        <f t="shared" si="40"/>
        <v>24977353.070353463</v>
      </c>
      <c r="CK51" s="41">
        <f t="shared" si="41"/>
        <v>4.0980070665059005E-3</v>
      </c>
      <c r="CL51" s="40">
        <f t="shared" si="42"/>
        <v>8614565.925183855</v>
      </c>
      <c r="CM51" s="41">
        <f t="shared" si="43"/>
        <v>1.4133824323517398E-3</v>
      </c>
      <c r="CO51" s="70">
        <f t="shared" si="44"/>
        <v>0</v>
      </c>
      <c r="CP51" s="70">
        <f t="shared" si="45"/>
        <v>0</v>
      </c>
      <c r="CQ51" s="70">
        <f t="shared" si="46"/>
        <v>0</v>
      </c>
      <c r="CR51" s="70">
        <f t="shared" si="47"/>
        <v>0</v>
      </c>
      <c r="CS51" s="70">
        <f t="shared" si="48"/>
        <v>0</v>
      </c>
      <c r="CT51" s="70">
        <f t="shared" si="49"/>
        <v>0</v>
      </c>
      <c r="CU51" s="69">
        <f t="shared" si="50"/>
        <v>0</v>
      </c>
      <c r="CV51" s="69">
        <f t="shared" si="51"/>
        <v>0</v>
      </c>
      <c r="CW51" s="70">
        <f t="shared" si="52"/>
        <v>0</v>
      </c>
      <c r="CX51" s="69">
        <f t="shared" si="53"/>
        <v>0</v>
      </c>
      <c r="CY51" s="69">
        <f t="shared" si="54"/>
        <v>0</v>
      </c>
      <c r="CZ51" s="70">
        <f t="shared" si="55"/>
        <v>0</v>
      </c>
      <c r="DB51" s="70">
        <f t="shared" si="56"/>
        <v>8.6939373612247657</v>
      </c>
      <c r="DC51" s="70">
        <f t="shared" si="57"/>
        <v>48.039894706667425</v>
      </c>
      <c r="DD51" s="70">
        <f t="shared" si="58"/>
        <v>56.733832067892195</v>
      </c>
      <c r="DE51" s="70">
        <f t="shared" si="59"/>
        <v>16.477416132485359</v>
      </c>
      <c r="DF51" s="70">
        <f t="shared" si="60"/>
        <v>38.387863237924293</v>
      </c>
      <c r="DG51" s="70">
        <f t="shared" si="61"/>
        <v>54.865279370409652</v>
      </c>
      <c r="DH51" s="69">
        <f t="shared" si="62"/>
        <v>31.57866687914861</v>
      </c>
      <c r="DI51" s="69">
        <f t="shared" si="63"/>
        <v>174.49353139088083</v>
      </c>
      <c r="DJ51" s="70">
        <f t="shared" si="64"/>
        <v>206.07219827002945</v>
      </c>
      <c r="DK51" s="69">
        <f t="shared" si="65"/>
        <v>25.83220561691904</v>
      </c>
      <c r="DL51" s="69">
        <f t="shared" si="66"/>
        <v>60.181958650737414</v>
      </c>
      <c r="DM51" s="70">
        <f t="shared" si="67"/>
        <v>86.014164267656454</v>
      </c>
    </row>
    <row r="52" spans="1:117">
      <c r="A52" t="s">
        <v>350</v>
      </c>
      <c r="B52">
        <v>303331</v>
      </c>
      <c r="C52">
        <v>182844</v>
      </c>
      <c r="D52" s="51">
        <v>38115.96</v>
      </c>
      <c r="E52" s="32">
        <f t="shared" si="0"/>
        <v>6969274590.2399998</v>
      </c>
      <c r="F52">
        <v>12561</v>
      </c>
      <c r="G52" s="37">
        <f t="shared" si="1"/>
        <v>4.1410208649956648E-2</v>
      </c>
      <c r="H52">
        <v>0</v>
      </c>
      <c r="I52" s="3">
        <f t="shared" si="2"/>
        <v>0</v>
      </c>
      <c r="J52" s="11">
        <f>+'Seat capacity elasticities'!K82</f>
        <v>0</v>
      </c>
      <c r="K52" s="11">
        <f>+'Seat capacity elasticities'!L82</f>
        <v>0</v>
      </c>
      <c r="L52" s="11">
        <f>+'Seat capacity elasticities'!M82</f>
        <v>0</v>
      </c>
      <c r="M52" s="11">
        <f>+'Seat capacity elasticities'!N82</f>
        <v>0</v>
      </c>
      <c r="N52" s="32">
        <f t="shared" si="12"/>
        <v>0</v>
      </c>
      <c r="O52" s="33">
        <f t="shared" si="13"/>
        <v>0</v>
      </c>
      <c r="P52" s="40">
        <f t="shared" si="14"/>
        <v>0</v>
      </c>
      <c r="Q52" s="33">
        <f t="shared" si="15"/>
        <v>0</v>
      </c>
      <c r="R52" s="40">
        <f t="shared" si="16"/>
        <v>0</v>
      </c>
      <c r="S52" s="41">
        <f t="shared" si="17"/>
        <v>0</v>
      </c>
      <c r="T52" s="40">
        <f t="shared" si="18"/>
        <v>0</v>
      </c>
      <c r="U52" s="41">
        <f t="shared" si="19"/>
        <v>0</v>
      </c>
      <c r="V52" s="53"/>
      <c r="W52" s="53"/>
      <c r="X52" t="s">
        <v>350</v>
      </c>
      <c r="Y52">
        <v>303331</v>
      </c>
      <c r="Z52">
        <v>182844</v>
      </c>
      <c r="AA52" s="51">
        <v>38115.96</v>
      </c>
      <c r="AB52" s="32">
        <f t="shared" si="3"/>
        <v>6969274590.2399998</v>
      </c>
      <c r="AC52">
        <v>12561</v>
      </c>
      <c r="AD52" s="37">
        <f t="shared" si="4"/>
        <v>4.1410208649956648E-2</v>
      </c>
      <c r="AE52">
        <v>5.2538000000000003E-3</v>
      </c>
      <c r="AF52" s="3">
        <f t="shared" si="5"/>
        <v>5.2538000000000004E-5</v>
      </c>
      <c r="AG52" s="11">
        <f>+'Seat capacity elasticities'!R82</f>
        <v>8.3829737301180547E-3</v>
      </c>
      <c r="AH52" s="11">
        <f>+'Seat capacity elasticities'!S82</f>
        <v>1.5888054035782598E-2</v>
      </c>
      <c r="AI52" s="11">
        <f>+'Seat capacity elasticities'!T82</f>
        <v>2.3000216732453869E-2</v>
      </c>
      <c r="AJ52" s="11">
        <f>+'Seat capacity elasticities'!U82</f>
        <v>1.8814800831847812E-2</v>
      </c>
      <c r="AK52" s="32">
        <f t="shared" si="20"/>
        <v>584232.45807961188</v>
      </c>
      <c r="AL52" s="33">
        <f t="shared" si="21"/>
        <v>8.3829737301180544E-5</v>
      </c>
      <c r="AM52" s="40">
        <f t="shared" si="22"/>
        <v>1107282.1127993974</v>
      </c>
      <c r="AN52" s="33">
        <f t="shared" si="23"/>
        <v>1.5888054035782597E-4</v>
      </c>
      <c r="AO52" s="40">
        <f t="shared" si="24"/>
        <v>2889057.2237635306</v>
      </c>
      <c r="AP52" s="41">
        <f t="shared" si="25"/>
        <v>2.300021673245387E-4</v>
      </c>
      <c r="AQ52" s="40">
        <f t="shared" si="26"/>
        <v>2363327.1324884039</v>
      </c>
      <c r="AR52" s="41">
        <f t="shared" si="27"/>
        <v>1.8814800831847814E-4</v>
      </c>
      <c r="AV52" t="s">
        <v>350</v>
      </c>
      <c r="AW52">
        <v>303331</v>
      </c>
      <c r="AX52">
        <v>182844</v>
      </c>
      <c r="AY52" s="51">
        <v>38115.96</v>
      </c>
      <c r="AZ52" s="32">
        <f t="shared" si="6"/>
        <v>6969274590.2399998</v>
      </c>
      <c r="BA52">
        <v>12561</v>
      </c>
      <c r="BB52" s="37">
        <f t="shared" si="7"/>
        <v>4.1410208649956648E-2</v>
      </c>
      <c r="BC52">
        <v>0</v>
      </c>
      <c r="BD52" s="3">
        <f t="shared" si="8"/>
        <v>0</v>
      </c>
      <c r="BE52" s="11">
        <f>+'Seat capacity elasticities'!Y82</f>
        <v>0</v>
      </c>
      <c r="BF52" s="11">
        <f>+'Seat capacity elasticities'!Z82</f>
        <v>0</v>
      </c>
      <c r="BG52" s="11">
        <f>+'Seat capacity elasticities'!AA82</f>
        <v>0</v>
      </c>
      <c r="BH52" s="11">
        <f>+'Seat capacity elasticities'!AB82</f>
        <v>0</v>
      </c>
      <c r="BI52" s="32">
        <f t="shared" si="28"/>
        <v>0</v>
      </c>
      <c r="BJ52" s="33">
        <f t="shared" si="29"/>
        <v>0</v>
      </c>
      <c r="BK52" s="40">
        <f t="shared" si="30"/>
        <v>0</v>
      </c>
      <c r="BL52" s="33">
        <f t="shared" si="31"/>
        <v>0</v>
      </c>
      <c r="BM52" s="40">
        <f t="shared" si="32"/>
        <v>0</v>
      </c>
      <c r="BN52" s="41">
        <f t="shared" si="33"/>
        <v>0</v>
      </c>
      <c r="BO52" s="40">
        <f t="shared" si="34"/>
        <v>0</v>
      </c>
      <c r="BP52" s="41">
        <f t="shared" si="35"/>
        <v>0</v>
      </c>
      <c r="BQ52" s="53"/>
      <c r="BR52" s="53"/>
      <c r="BS52" t="s">
        <v>350</v>
      </c>
      <c r="BT52">
        <v>303331</v>
      </c>
      <c r="BU52">
        <v>182844</v>
      </c>
      <c r="BV52" s="51">
        <v>38115.96</v>
      </c>
      <c r="BW52" s="32">
        <f t="shared" si="9"/>
        <v>6969274590.2399998</v>
      </c>
      <c r="BX52">
        <v>12561</v>
      </c>
      <c r="BY52" s="37">
        <f t="shared" si="10"/>
        <v>4.1410208649956648E-2</v>
      </c>
      <c r="BZ52">
        <v>5.2538000000000003E-3</v>
      </c>
      <c r="CA52" s="3">
        <f t="shared" si="11"/>
        <v>5.2538000000000004E-5</v>
      </c>
      <c r="CB52" s="11">
        <f>+'Seat capacity elasticities'!AF82</f>
        <v>3.6770779518232606E-2</v>
      </c>
      <c r="CC52" s="11">
        <f>+'Seat capacity elasticities'!AG82</f>
        <v>2.9382904852659309E-2</v>
      </c>
      <c r="CD52" s="11">
        <f>+'Seat capacity elasticities'!AH82</f>
        <v>0.10088733730634218</v>
      </c>
      <c r="CE52" s="11">
        <f>+'Seat capacity elasticities'!AI82</f>
        <v>3.4795545220254451E-2</v>
      </c>
      <c r="CF52" s="32">
        <f t="shared" si="36"/>
        <v>2562656.5935973595</v>
      </c>
      <c r="CG52" s="33">
        <f t="shared" si="37"/>
        <v>3.6770779518232612E-4</v>
      </c>
      <c r="CH52" s="40">
        <f t="shared" si="38"/>
        <v>2047775.3217707812</v>
      </c>
      <c r="CI52" s="33">
        <f t="shared" si="39"/>
        <v>2.9382904852659313E-4</v>
      </c>
      <c r="CJ52" s="40">
        <f t="shared" si="40"/>
        <v>12672458.439049644</v>
      </c>
      <c r="CK52" s="41">
        <f t="shared" si="41"/>
        <v>1.0088733730634221E-3</v>
      </c>
      <c r="CL52" s="40">
        <f t="shared" si="42"/>
        <v>4370668.4351161616</v>
      </c>
      <c r="CM52" s="41">
        <f t="shared" si="43"/>
        <v>3.4795545220254451E-4</v>
      </c>
      <c r="CO52" s="70">
        <f t="shared" si="44"/>
        <v>0</v>
      </c>
      <c r="CP52" s="70">
        <f t="shared" si="45"/>
        <v>0</v>
      </c>
      <c r="CQ52" s="70">
        <f t="shared" si="46"/>
        <v>0</v>
      </c>
      <c r="CR52" s="70">
        <f t="shared" si="47"/>
        <v>0</v>
      </c>
      <c r="CS52" s="70">
        <f t="shared" si="48"/>
        <v>0</v>
      </c>
      <c r="CT52" s="70">
        <f t="shared" si="49"/>
        <v>0</v>
      </c>
      <c r="CU52" s="69">
        <f t="shared" si="50"/>
        <v>0</v>
      </c>
      <c r="CV52" s="69">
        <f t="shared" si="51"/>
        <v>0</v>
      </c>
      <c r="CW52" s="70">
        <f t="shared" si="52"/>
        <v>0</v>
      </c>
      <c r="CX52" s="69">
        <f t="shared" si="53"/>
        <v>0</v>
      </c>
      <c r="CY52" s="69">
        <f t="shared" si="54"/>
        <v>0</v>
      </c>
      <c r="CZ52" s="70">
        <f t="shared" si="55"/>
        <v>0</v>
      </c>
      <c r="DB52" s="70">
        <f t="shared" si="56"/>
        <v>3.1952509137823055</v>
      </c>
      <c r="DC52" s="70">
        <f t="shared" si="57"/>
        <v>14.015535612857734</v>
      </c>
      <c r="DD52" s="70">
        <f t="shared" si="58"/>
        <v>17.210786526640039</v>
      </c>
      <c r="DE52" s="70">
        <f t="shared" si="59"/>
        <v>6.055884321057281</v>
      </c>
      <c r="DF52" s="70">
        <f t="shared" si="60"/>
        <v>11.199576260477681</v>
      </c>
      <c r="DG52" s="70">
        <f t="shared" si="61"/>
        <v>17.255460581534962</v>
      </c>
      <c r="DH52" s="69">
        <f t="shared" si="62"/>
        <v>15.800667365423697</v>
      </c>
      <c r="DI52" s="69">
        <f t="shared" si="63"/>
        <v>69.307488564293308</v>
      </c>
      <c r="DJ52" s="70">
        <f t="shared" si="64"/>
        <v>85.108155929717</v>
      </c>
      <c r="DK52" s="69">
        <f t="shared" si="65"/>
        <v>12.925374267071405</v>
      </c>
      <c r="DL52" s="69">
        <f t="shared" si="66"/>
        <v>23.903811090963671</v>
      </c>
      <c r="DM52" s="70">
        <f t="shared" si="67"/>
        <v>36.829185358035076</v>
      </c>
    </row>
    <row r="53" spans="1:117">
      <c r="A53" t="s">
        <v>351</v>
      </c>
      <c r="B53">
        <v>647194</v>
      </c>
      <c r="C53">
        <v>407920</v>
      </c>
      <c r="D53" s="51">
        <v>34801.839999999997</v>
      </c>
      <c r="E53" s="32">
        <f t="shared" si="0"/>
        <v>14196366572.799999</v>
      </c>
      <c r="F53">
        <v>21036</v>
      </c>
      <c r="G53" s="37">
        <f t="shared" si="1"/>
        <v>3.250339156419868E-2</v>
      </c>
      <c r="H53">
        <v>0</v>
      </c>
      <c r="I53" s="3">
        <f t="shared" si="2"/>
        <v>0</v>
      </c>
      <c r="J53" s="11">
        <f>+'Seat capacity elasticities'!K83</f>
        <v>0</v>
      </c>
      <c r="K53" s="11">
        <f>+'Seat capacity elasticities'!L83</f>
        <v>0</v>
      </c>
      <c r="L53" s="11">
        <f>+'Seat capacity elasticities'!M83</f>
        <v>0</v>
      </c>
      <c r="M53" s="11">
        <f>+'Seat capacity elasticities'!N83</f>
        <v>0</v>
      </c>
      <c r="N53" s="32">
        <f t="shared" si="12"/>
        <v>0</v>
      </c>
      <c r="O53" s="33">
        <f t="shared" si="13"/>
        <v>0</v>
      </c>
      <c r="P53" s="40">
        <f t="shared" si="14"/>
        <v>0</v>
      </c>
      <c r="Q53" s="33">
        <f t="shared" si="15"/>
        <v>0</v>
      </c>
      <c r="R53" s="40">
        <f t="shared" si="16"/>
        <v>0</v>
      </c>
      <c r="S53" s="41">
        <f t="shared" si="17"/>
        <v>0</v>
      </c>
      <c r="T53" s="40">
        <f t="shared" si="18"/>
        <v>0</v>
      </c>
      <c r="U53" s="41">
        <f t="shared" si="19"/>
        <v>0</v>
      </c>
      <c r="V53" s="53"/>
      <c r="W53" s="53"/>
      <c r="X53" t="s">
        <v>351</v>
      </c>
      <c r="Y53">
        <v>647194</v>
      </c>
      <c r="Z53">
        <v>407920</v>
      </c>
      <c r="AA53" s="51">
        <v>34801.839999999997</v>
      </c>
      <c r="AB53" s="32">
        <f t="shared" si="3"/>
        <v>14196366572.799999</v>
      </c>
      <c r="AC53">
        <v>21036</v>
      </c>
      <c r="AD53" s="37">
        <f t="shared" si="4"/>
        <v>3.250339156419868E-2</v>
      </c>
      <c r="AE53">
        <v>4.0365000000000002E-3</v>
      </c>
      <c r="AF53" s="3">
        <f t="shared" si="5"/>
        <v>4.0365000000000004E-5</v>
      </c>
      <c r="AG53" s="11">
        <f>+'Seat capacity elasticities'!R83</f>
        <v>1.0747138254140901E-2</v>
      </c>
      <c r="AH53" s="11">
        <f>+'Seat capacity elasticities'!S83</f>
        <v>2.0368799761157338E-2</v>
      </c>
      <c r="AI53" s="11">
        <f>+'Seat capacity elasticities'!T83</f>
        <v>2.9486733116054455E-2</v>
      </c>
      <c r="AJ53" s="11">
        <f>+'Seat capacity elasticities'!U83</f>
        <v>2.4120947085581056E-2</v>
      </c>
      <c r="AK53" s="32">
        <f t="shared" si="20"/>
        <v>1525703.1426434603</v>
      </c>
      <c r="AL53" s="33">
        <f t="shared" si="21"/>
        <v>1.0747138254140901E-4</v>
      </c>
      <c r="AM53" s="40">
        <f t="shared" si="22"/>
        <v>2891629.4805735066</v>
      </c>
      <c r="AN53" s="33">
        <f t="shared" si="23"/>
        <v>2.0368799761157338E-4</v>
      </c>
      <c r="AO53" s="40">
        <f t="shared" si="24"/>
        <v>6202829.1782932151</v>
      </c>
      <c r="AP53" s="41">
        <f t="shared" si="25"/>
        <v>2.9486733116054455E-4</v>
      </c>
      <c r="AQ53" s="40">
        <f t="shared" si="26"/>
        <v>5074082.4289228311</v>
      </c>
      <c r="AR53" s="41">
        <f t="shared" si="27"/>
        <v>2.4120947085581057E-4</v>
      </c>
      <c r="AV53" t="s">
        <v>351</v>
      </c>
      <c r="AW53">
        <v>647194</v>
      </c>
      <c r="AX53">
        <v>407920</v>
      </c>
      <c r="AY53" s="51">
        <v>34801.839999999997</v>
      </c>
      <c r="AZ53" s="32">
        <f t="shared" si="6"/>
        <v>14196366572.799999</v>
      </c>
      <c r="BA53">
        <v>21036</v>
      </c>
      <c r="BB53" s="37">
        <f t="shared" si="7"/>
        <v>3.250339156419868E-2</v>
      </c>
      <c r="BC53">
        <v>0</v>
      </c>
      <c r="BD53" s="3">
        <f t="shared" si="8"/>
        <v>0</v>
      </c>
      <c r="BE53" s="11">
        <f>+'Seat capacity elasticities'!Y83</f>
        <v>0</v>
      </c>
      <c r="BF53" s="11">
        <f>+'Seat capacity elasticities'!Z83</f>
        <v>0</v>
      </c>
      <c r="BG53" s="11">
        <f>+'Seat capacity elasticities'!AA83</f>
        <v>0</v>
      </c>
      <c r="BH53" s="11">
        <f>+'Seat capacity elasticities'!AB83</f>
        <v>0</v>
      </c>
      <c r="BI53" s="32">
        <f t="shared" si="28"/>
        <v>0</v>
      </c>
      <c r="BJ53" s="33">
        <f t="shared" si="29"/>
        <v>0</v>
      </c>
      <c r="BK53" s="40">
        <f t="shared" si="30"/>
        <v>0</v>
      </c>
      <c r="BL53" s="33">
        <f t="shared" si="31"/>
        <v>0</v>
      </c>
      <c r="BM53" s="40">
        <f t="shared" si="32"/>
        <v>0</v>
      </c>
      <c r="BN53" s="41">
        <f t="shared" si="33"/>
        <v>0</v>
      </c>
      <c r="BO53" s="40">
        <f t="shared" si="34"/>
        <v>0</v>
      </c>
      <c r="BP53" s="41">
        <f t="shared" si="35"/>
        <v>0</v>
      </c>
      <c r="BQ53" s="53"/>
      <c r="BR53" s="53"/>
      <c r="BS53" t="s">
        <v>351</v>
      </c>
      <c r="BT53">
        <v>647194</v>
      </c>
      <c r="BU53">
        <v>407920</v>
      </c>
      <c r="BV53" s="51">
        <v>34801.839999999997</v>
      </c>
      <c r="BW53" s="32">
        <f t="shared" si="9"/>
        <v>14196366572.799999</v>
      </c>
      <c r="BX53">
        <v>21036</v>
      </c>
      <c r="BY53" s="37">
        <f t="shared" si="10"/>
        <v>3.250339156419868E-2</v>
      </c>
      <c r="BZ53">
        <v>4.0365000000000002E-3</v>
      </c>
      <c r="CA53" s="3">
        <f t="shared" si="11"/>
        <v>4.0365000000000004E-5</v>
      </c>
      <c r="CB53" s="11">
        <f>+'Seat capacity elasticities'!AF83</f>
        <v>1.3240871531570409E-2</v>
      </c>
      <c r="CC53" s="11">
        <f>+'Seat capacity elasticities'!AG83</f>
        <v>1.0580555361506752E-2</v>
      </c>
      <c r="CD53" s="11">
        <f>+'Seat capacity elasticities'!AH83</f>
        <v>3.6328744996366465E-2</v>
      </c>
      <c r="CE53" s="11">
        <f>+'Seat capacity elasticities'!AI83</f>
        <v>1.2529605033363259E-2</v>
      </c>
      <c r="CF53" s="32">
        <f t="shared" si="36"/>
        <v>1879722.6600552527</v>
      </c>
      <c r="CG53" s="33">
        <f t="shared" si="37"/>
        <v>1.3240871531570409E-4</v>
      </c>
      <c r="CH53" s="40">
        <f t="shared" si="38"/>
        <v>1502054.4245575427</v>
      </c>
      <c r="CI53" s="33">
        <f t="shared" si="39"/>
        <v>1.0580555361506752E-4</v>
      </c>
      <c r="CJ53" s="40">
        <f t="shared" si="40"/>
        <v>7642114.7974356506</v>
      </c>
      <c r="CK53" s="41">
        <f t="shared" si="41"/>
        <v>3.632874499636647E-4</v>
      </c>
      <c r="CL53" s="40">
        <f t="shared" si="42"/>
        <v>2635727.7148182956</v>
      </c>
      <c r="CM53" s="41">
        <f t="shared" si="43"/>
        <v>1.2529605033363261E-4</v>
      </c>
      <c r="CO53" s="70">
        <f t="shared" si="44"/>
        <v>0</v>
      </c>
      <c r="CP53" s="70">
        <f t="shared" si="45"/>
        <v>0</v>
      </c>
      <c r="CQ53" s="70">
        <f t="shared" si="46"/>
        <v>0</v>
      </c>
      <c r="CR53" s="70">
        <f t="shared" si="47"/>
        <v>0</v>
      </c>
      <c r="CS53" s="70">
        <f t="shared" si="48"/>
        <v>0</v>
      </c>
      <c r="CT53" s="70">
        <f t="shared" si="49"/>
        <v>0</v>
      </c>
      <c r="CU53" s="69">
        <f t="shared" si="50"/>
        <v>0</v>
      </c>
      <c r="CV53" s="69">
        <f t="shared" si="51"/>
        <v>0</v>
      </c>
      <c r="CW53" s="70">
        <f t="shared" si="52"/>
        <v>0</v>
      </c>
      <c r="CX53" s="69">
        <f t="shared" si="53"/>
        <v>0</v>
      </c>
      <c r="CY53" s="69">
        <f t="shared" si="54"/>
        <v>0</v>
      </c>
      <c r="CZ53" s="70">
        <f t="shared" si="55"/>
        <v>0</v>
      </c>
      <c r="DB53" s="70">
        <f t="shared" si="56"/>
        <v>3.7402018597849094</v>
      </c>
      <c r="DC53" s="70">
        <f t="shared" si="57"/>
        <v>4.6080669250226824</v>
      </c>
      <c r="DD53" s="70">
        <f t="shared" si="58"/>
        <v>8.3482687848075923</v>
      </c>
      <c r="DE53" s="70">
        <f t="shared" si="59"/>
        <v>7.0887171027983591</v>
      </c>
      <c r="DF53" s="70">
        <f t="shared" si="60"/>
        <v>3.6822279480230011</v>
      </c>
      <c r="DG53" s="70">
        <f t="shared" si="61"/>
        <v>10.770945050821361</v>
      </c>
      <c r="DH53" s="69">
        <f t="shared" si="62"/>
        <v>15.205994259396977</v>
      </c>
      <c r="DI53" s="69">
        <f t="shared" si="63"/>
        <v>18.734346924484338</v>
      </c>
      <c r="DJ53" s="70">
        <f t="shared" si="64"/>
        <v>33.940341183881316</v>
      </c>
      <c r="DK53" s="69">
        <f t="shared" si="65"/>
        <v>12.438915544525473</v>
      </c>
      <c r="DL53" s="69">
        <f t="shared" si="66"/>
        <v>6.4613838861009398</v>
      </c>
      <c r="DM53" s="70">
        <f t="shared" si="67"/>
        <v>18.900299430626411</v>
      </c>
    </row>
    <row r="54" spans="1:117">
      <c r="A54" t="s">
        <v>285</v>
      </c>
      <c r="B54">
        <v>1706469</v>
      </c>
      <c r="C54">
        <v>1111511</v>
      </c>
      <c r="D54" s="51">
        <v>44341.88</v>
      </c>
      <c r="E54" s="32">
        <f t="shared" si="0"/>
        <v>49286487380.68</v>
      </c>
      <c r="F54">
        <v>110738</v>
      </c>
      <c r="G54" s="37">
        <f t="shared" si="1"/>
        <v>6.4893062809813717E-2</v>
      </c>
      <c r="H54">
        <v>0</v>
      </c>
      <c r="I54" s="3">
        <f t="shared" si="2"/>
        <v>0</v>
      </c>
      <c r="J54" s="11">
        <f>+'Seat capacity elasticities'!K84</f>
        <v>0</v>
      </c>
      <c r="K54" s="11">
        <f>+'Seat capacity elasticities'!L84</f>
        <v>0</v>
      </c>
      <c r="L54" s="11">
        <f>+'Seat capacity elasticities'!M84</f>
        <v>0</v>
      </c>
      <c r="M54" s="11">
        <f>+'Seat capacity elasticities'!N84</f>
        <v>0</v>
      </c>
      <c r="N54" s="32">
        <f t="shared" si="12"/>
        <v>0</v>
      </c>
      <c r="O54" s="33">
        <f t="shared" si="13"/>
        <v>0</v>
      </c>
      <c r="P54" s="40">
        <f t="shared" si="14"/>
        <v>0</v>
      </c>
      <c r="Q54" s="33">
        <f t="shared" si="15"/>
        <v>0</v>
      </c>
      <c r="R54" s="40">
        <f t="shared" si="16"/>
        <v>0</v>
      </c>
      <c r="S54" s="41">
        <f t="shared" si="17"/>
        <v>0</v>
      </c>
      <c r="T54" s="40">
        <f t="shared" si="18"/>
        <v>0</v>
      </c>
      <c r="U54" s="41">
        <f t="shared" si="19"/>
        <v>0</v>
      </c>
      <c r="V54" s="53"/>
      <c r="W54" s="53"/>
      <c r="X54" t="s">
        <v>285</v>
      </c>
      <c r="Y54">
        <v>1706469</v>
      </c>
      <c r="Z54">
        <v>1111511</v>
      </c>
      <c r="AA54" s="51">
        <v>44341.88</v>
      </c>
      <c r="AB54" s="32">
        <f t="shared" si="3"/>
        <v>49286487380.68</v>
      </c>
      <c r="AC54">
        <v>110738</v>
      </c>
      <c r="AD54" s="37">
        <f t="shared" si="4"/>
        <v>6.4893062809813717E-2</v>
      </c>
      <c r="AE54">
        <v>7.4053000000000001E-3</v>
      </c>
      <c r="AF54" s="3">
        <f t="shared" si="5"/>
        <v>7.4053000000000004E-5</v>
      </c>
      <c r="AG54" s="11">
        <f>+'Seat capacity elasticities'!R84</f>
        <v>3.6938699045056457E-2</v>
      </c>
      <c r="AH54" s="11">
        <f>+'Seat capacity elasticities'!S84</f>
        <v>7.0009052316462775E-2</v>
      </c>
      <c r="AI54" s="11">
        <f>+'Seat capacity elasticities'!T84</f>
        <v>0.10134805514167114</v>
      </c>
      <c r="AJ54" s="11">
        <f>+'Seat capacity elasticities'!U84</f>
        <v>8.2905456690548024E-2</v>
      </c>
      <c r="AK54" s="32">
        <f t="shared" si="20"/>
        <v>18205787.243429113</v>
      </c>
      <c r="AL54" s="33">
        <f t="shared" si="21"/>
        <v>3.6938699045056453E-4</v>
      </c>
      <c r="AM54" s="40">
        <f t="shared" si="22"/>
        <v>34505002.735287085</v>
      </c>
      <c r="AN54" s="33">
        <f t="shared" si="23"/>
        <v>7.0009052316462772E-4</v>
      </c>
      <c r="AO54" s="40">
        <f t="shared" si="24"/>
        <v>112230809.3027838</v>
      </c>
      <c r="AP54" s="41">
        <f t="shared" si="25"/>
        <v>1.0134805514167115E-3</v>
      </c>
      <c r="AQ54" s="40">
        <f t="shared" si="26"/>
        <v>91807844.629979059</v>
      </c>
      <c r="AR54" s="41">
        <f t="shared" si="27"/>
        <v>8.290545669054801E-4</v>
      </c>
      <c r="AV54" t="s">
        <v>285</v>
      </c>
      <c r="AW54">
        <v>1706469</v>
      </c>
      <c r="AX54">
        <v>1111511</v>
      </c>
      <c r="AY54" s="51">
        <v>44341.88</v>
      </c>
      <c r="AZ54" s="32">
        <f t="shared" si="6"/>
        <v>49286487380.68</v>
      </c>
      <c r="BA54">
        <v>110738</v>
      </c>
      <c r="BB54" s="37">
        <f t="shared" si="7"/>
        <v>6.4893062809813717E-2</v>
      </c>
      <c r="BC54">
        <v>0</v>
      </c>
      <c r="BD54" s="3">
        <f t="shared" si="8"/>
        <v>0</v>
      </c>
      <c r="BE54" s="11">
        <f>+'Seat capacity elasticities'!Y84</f>
        <v>0</v>
      </c>
      <c r="BF54" s="11">
        <f>+'Seat capacity elasticities'!Z84</f>
        <v>0</v>
      </c>
      <c r="BG54" s="11">
        <f>+'Seat capacity elasticities'!AA84</f>
        <v>0</v>
      </c>
      <c r="BH54" s="11">
        <f>+'Seat capacity elasticities'!AB84</f>
        <v>0</v>
      </c>
      <c r="BI54" s="32">
        <f t="shared" si="28"/>
        <v>0</v>
      </c>
      <c r="BJ54" s="33">
        <f t="shared" si="29"/>
        <v>0</v>
      </c>
      <c r="BK54" s="40">
        <f t="shared" si="30"/>
        <v>0</v>
      </c>
      <c r="BL54" s="33">
        <f t="shared" si="31"/>
        <v>0</v>
      </c>
      <c r="BM54" s="40">
        <f t="shared" si="32"/>
        <v>0</v>
      </c>
      <c r="BN54" s="41">
        <f t="shared" si="33"/>
        <v>0</v>
      </c>
      <c r="BO54" s="40">
        <f t="shared" si="34"/>
        <v>0</v>
      </c>
      <c r="BP54" s="41">
        <f t="shared" si="35"/>
        <v>0</v>
      </c>
      <c r="BQ54" s="53"/>
      <c r="BR54" s="53"/>
      <c r="BS54" t="s">
        <v>285</v>
      </c>
      <c r="BT54">
        <v>1706469</v>
      </c>
      <c r="BU54">
        <v>1111511</v>
      </c>
      <c r="BV54" s="51">
        <v>44341.88</v>
      </c>
      <c r="BW54" s="32">
        <f t="shared" si="9"/>
        <v>49286487380.68</v>
      </c>
      <c r="BX54">
        <v>110738</v>
      </c>
      <c r="BY54" s="37">
        <f t="shared" si="10"/>
        <v>6.4893062809813717E-2</v>
      </c>
      <c r="BZ54">
        <v>7.4053000000000001E-3</v>
      </c>
      <c r="CA54" s="3">
        <f t="shared" si="11"/>
        <v>7.4053000000000004E-5</v>
      </c>
      <c r="CB54" s="11">
        <f>+'Seat capacity elasticities'!AF84</f>
        <v>9.2127725958162706E-3</v>
      </c>
      <c r="CC54" s="11">
        <f>+'Seat capacity elasticities'!AG84</f>
        <v>7.3617699749289325E-3</v>
      </c>
      <c r="CD54" s="11">
        <f>+'Seat capacity elasticities'!AH84</f>
        <v>2.5276921201517564E-2</v>
      </c>
      <c r="CE54" s="11">
        <f>+'Seat capacity elasticities'!AI84</f>
        <v>8.7178854966263684E-3</v>
      </c>
      <c r="CF54" s="32">
        <f t="shared" si="36"/>
        <v>4540652.0028477311</v>
      </c>
      <c r="CG54" s="33">
        <f t="shared" si="37"/>
        <v>9.2127725958162705E-5</v>
      </c>
      <c r="CH54" s="40">
        <f t="shared" si="38"/>
        <v>3628357.8296880377</v>
      </c>
      <c r="CI54" s="33">
        <f t="shared" si="39"/>
        <v>7.3617699749289325E-5</v>
      </c>
      <c r="CJ54" s="40">
        <f t="shared" si="40"/>
        <v>27991157.000136517</v>
      </c>
      <c r="CK54" s="41">
        <f t="shared" si="41"/>
        <v>2.5276921201517562E-4</v>
      </c>
      <c r="CL54" s="40">
        <f t="shared" si="42"/>
        <v>9654012.0412541069</v>
      </c>
      <c r="CM54" s="41">
        <f t="shared" si="43"/>
        <v>8.7178854966263677E-5</v>
      </c>
      <c r="CO54" s="70">
        <f t="shared" si="44"/>
        <v>0</v>
      </c>
      <c r="CP54" s="70">
        <f t="shared" si="45"/>
        <v>0</v>
      </c>
      <c r="CQ54" s="70">
        <f t="shared" si="46"/>
        <v>0</v>
      </c>
      <c r="CR54" s="70">
        <f t="shared" si="47"/>
        <v>0</v>
      </c>
      <c r="CS54" s="70">
        <f t="shared" si="48"/>
        <v>0</v>
      </c>
      <c r="CT54" s="70">
        <f t="shared" si="49"/>
        <v>0</v>
      </c>
      <c r="CU54" s="69">
        <f t="shared" si="50"/>
        <v>0</v>
      </c>
      <c r="CV54" s="69">
        <f t="shared" si="51"/>
        <v>0</v>
      </c>
      <c r="CW54" s="70">
        <f t="shared" si="52"/>
        <v>0</v>
      </c>
      <c r="CX54" s="69">
        <f t="shared" si="53"/>
        <v>0</v>
      </c>
      <c r="CY54" s="69">
        <f t="shared" si="54"/>
        <v>0</v>
      </c>
      <c r="CZ54" s="70">
        <f t="shared" si="55"/>
        <v>0</v>
      </c>
      <c r="DB54" s="70">
        <f t="shared" si="56"/>
        <v>16.379313604120078</v>
      </c>
      <c r="DC54" s="70">
        <f t="shared" si="57"/>
        <v>4.0851165691097355</v>
      </c>
      <c r="DD54" s="70">
        <f t="shared" si="58"/>
        <v>20.464430173229815</v>
      </c>
      <c r="DE54" s="70">
        <f t="shared" si="59"/>
        <v>31.043329967303144</v>
      </c>
      <c r="DF54" s="70">
        <f t="shared" si="60"/>
        <v>3.2643472081590175</v>
      </c>
      <c r="DG54" s="70">
        <f t="shared" si="61"/>
        <v>34.30767717546216</v>
      </c>
      <c r="DH54" s="69">
        <f t="shared" si="62"/>
        <v>100.97138876968721</v>
      </c>
      <c r="DI54" s="69">
        <f t="shared" si="63"/>
        <v>25.182977946359969</v>
      </c>
      <c r="DJ54" s="70">
        <f t="shared" si="64"/>
        <v>126.15436671604718</v>
      </c>
      <c r="DK54" s="69">
        <f t="shared" si="65"/>
        <v>82.597333386695283</v>
      </c>
      <c r="DL54" s="69">
        <f t="shared" si="66"/>
        <v>8.6854849311019926</v>
      </c>
      <c r="DM54" s="70">
        <f t="shared" si="67"/>
        <v>91.282818317797279</v>
      </c>
    </row>
    <row r="55" spans="1:117">
      <c r="A55" t="s">
        <v>973</v>
      </c>
      <c r="B55">
        <v>195012</v>
      </c>
      <c r="C55">
        <v>136767</v>
      </c>
      <c r="D55" s="51">
        <v>38672.86</v>
      </c>
      <c r="E55" s="32">
        <f t="shared" si="0"/>
        <v>5289171043.6199999</v>
      </c>
      <c r="F55">
        <v>6488</v>
      </c>
      <c r="G55" s="37">
        <f t="shared" si="1"/>
        <v>3.3269747502717779E-2</v>
      </c>
      <c r="H55">
        <v>0</v>
      </c>
      <c r="I55" s="3">
        <f t="shared" si="2"/>
        <v>0</v>
      </c>
      <c r="J55" s="11">
        <f>+'Seat capacity elasticities'!K85</f>
        <v>0</v>
      </c>
      <c r="K55" s="11">
        <f>+'Seat capacity elasticities'!L85</f>
        <v>0</v>
      </c>
      <c r="L55" s="11">
        <f>+'Seat capacity elasticities'!M85</f>
        <v>0</v>
      </c>
      <c r="M55" s="11">
        <f>+'Seat capacity elasticities'!N85</f>
        <v>0</v>
      </c>
      <c r="N55" s="32">
        <f t="shared" si="12"/>
        <v>0</v>
      </c>
      <c r="O55" s="33">
        <f t="shared" si="13"/>
        <v>0</v>
      </c>
      <c r="P55" s="40">
        <f t="shared" si="14"/>
        <v>0</v>
      </c>
      <c r="Q55" s="33">
        <f t="shared" si="15"/>
        <v>0</v>
      </c>
      <c r="R55" s="40">
        <f t="shared" si="16"/>
        <v>0</v>
      </c>
      <c r="S55" s="41">
        <f t="shared" si="17"/>
        <v>0</v>
      </c>
      <c r="T55" s="40">
        <f t="shared" si="18"/>
        <v>0</v>
      </c>
      <c r="U55" s="41">
        <f t="shared" si="19"/>
        <v>0</v>
      </c>
      <c r="V55" s="53"/>
      <c r="W55" s="53"/>
      <c r="X55" t="s">
        <v>973</v>
      </c>
      <c r="Y55">
        <v>195012</v>
      </c>
      <c r="Z55">
        <v>136767</v>
      </c>
      <c r="AA55" s="51">
        <v>38672.86</v>
      </c>
      <c r="AB55" s="32">
        <f t="shared" si="3"/>
        <v>5289171043.6199999</v>
      </c>
      <c r="AC55">
        <v>6488</v>
      </c>
      <c r="AD55" s="37">
        <f t="shared" si="4"/>
        <v>3.3269747502717779E-2</v>
      </c>
      <c r="AE55">
        <v>1.39326E-2</v>
      </c>
      <c r="AF55" s="3">
        <f t="shared" si="5"/>
        <v>1.39326E-4</v>
      </c>
      <c r="AG55" s="11">
        <f>+'Seat capacity elasticities'!R85</f>
        <v>1.9443994778506127E-2</v>
      </c>
      <c r="AH55" s="11">
        <f>+'Seat capacity elasticities'!S85</f>
        <v>3.6851748515264585E-2</v>
      </c>
      <c r="AI55" s="11">
        <f>+'Seat capacity elasticities'!T85</f>
        <v>5.3348144518644967E-2</v>
      </c>
      <c r="AJ55" s="11">
        <f>+'Seat capacity elasticities'!U85</f>
        <v>4.3640228504918582E-2</v>
      </c>
      <c r="AK55" s="32">
        <f t="shared" si="20"/>
        <v>1028426.1415477308</v>
      </c>
      <c r="AL55" s="33">
        <f t="shared" si="21"/>
        <v>1.9443994778506126E-4</v>
      </c>
      <c r="AM55" s="40">
        <f t="shared" si="22"/>
        <v>1949152.0115370378</v>
      </c>
      <c r="AN55" s="33">
        <f t="shared" si="23"/>
        <v>3.6851748515264588E-4</v>
      </c>
      <c r="AO55" s="40">
        <f t="shared" si="24"/>
        <v>3461227.6163696856</v>
      </c>
      <c r="AP55" s="41">
        <f t="shared" si="25"/>
        <v>5.334814451864497E-4</v>
      </c>
      <c r="AQ55" s="40">
        <f t="shared" si="26"/>
        <v>2831378.0253991173</v>
      </c>
      <c r="AR55" s="41">
        <f t="shared" si="27"/>
        <v>4.3640228504918577E-4</v>
      </c>
      <c r="AV55" t="s">
        <v>973</v>
      </c>
      <c r="AW55">
        <v>195012</v>
      </c>
      <c r="AX55">
        <v>136767</v>
      </c>
      <c r="AY55" s="51">
        <v>38672.86</v>
      </c>
      <c r="AZ55" s="32">
        <f t="shared" si="6"/>
        <v>5289171043.6199999</v>
      </c>
      <c r="BA55">
        <v>6488</v>
      </c>
      <c r="BB55" s="37">
        <f t="shared" si="7"/>
        <v>3.3269747502717779E-2</v>
      </c>
      <c r="BC55">
        <v>0</v>
      </c>
      <c r="BD55" s="3">
        <f t="shared" si="8"/>
        <v>0</v>
      </c>
      <c r="BE55" s="11">
        <f>+'Seat capacity elasticities'!Y85</f>
        <v>0</v>
      </c>
      <c r="BF55" s="11">
        <f>+'Seat capacity elasticities'!Z85</f>
        <v>0</v>
      </c>
      <c r="BG55" s="11">
        <f>+'Seat capacity elasticities'!AA85</f>
        <v>0</v>
      </c>
      <c r="BH55" s="11">
        <f>+'Seat capacity elasticities'!AB85</f>
        <v>0</v>
      </c>
      <c r="BI55" s="32">
        <f t="shared" si="28"/>
        <v>0</v>
      </c>
      <c r="BJ55" s="33">
        <f t="shared" si="29"/>
        <v>0</v>
      </c>
      <c r="BK55" s="40">
        <f t="shared" si="30"/>
        <v>0</v>
      </c>
      <c r="BL55" s="33">
        <f t="shared" si="31"/>
        <v>0</v>
      </c>
      <c r="BM55" s="40">
        <f t="shared" si="32"/>
        <v>0</v>
      </c>
      <c r="BN55" s="41">
        <f t="shared" si="33"/>
        <v>0</v>
      </c>
      <c r="BO55" s="40">
        <f t="shared" si="34"/>
        <v>0</v>
      </c>
      <c r="BP55" s="41">
        <f t="shared" si="35"/>
        <v>0</v>
      </c>
      <c r="BQ55" s="53"/>
      <c r="BR55" s="53"/>
      <c r="BS55" t="s">
        <v>973</v>
      </c>
      <c r="BT55">
        <v>195012</v>
      </c>
      <c r="BU55">
        <v>136767</v>
      </c>
      <c r="BV55" s="51">
        <v>38672.86</v>
      </c>
      <c r="BW55" s="32">
        <f t="shared" si="9"/>
        <v>5289171043.6199999</v>
      </c>
      <c r="BX55">
        <v>6488</v>
      </c>
      <c r="BY55" s="37">
        <f t="shared" si="10"/>
        <v>3.3269747502717779E-2</v>
      </c>
      <c r="BZ55">
        <v>1.39326E-2</v>
      </c>
      <c r="CA55" s="3">
        <f t="shared" si="11"/>
        <v>1.39326E-4</v>
      </c>
      <c r="CB55" s="11">
        <f>+'Seat capacity elasticities'!AF85</f>
        <v>0.15167602200049754</v>
      </c>
      <c r="CC55" s="11">
        <f>+'Seat capacity elasticities'!AG85</f>
        <v>0.12120173086514677</v>
      </c>
      <c r="CD55" s="11">
        <f>+'Seat capacity elasticities'!AH85</f>
        <v>0.41615081848511964</v>
      </c>
      <c r="CE55" s="11">
        <f>+'Seat capacity elasticities'!AI85</f>
        <v>0.14352836549820011</v>
      </c>
      <c r="CF55" s="32">
        <f t="shared" si="36"/>
        <v>8022404.2357650166</v>
      </c>
      <c r="CG55" s="33">
        <f t="shared" si="37"/>
        <v>1.5167602200049754E-3</v>
      </c>
      <c r="CH55" s="40">
        <f t="shared" si="38"/>
        <v>6410566.8532855874</v>
      </c>
      <c r="CI55" s="33">
        <f t="shared" si="39"/>
        <v>1.2120173086514678E-3</v>
      </c>
      <c r="CJ55" s="40">
        <f t="shared" si="40"/>
        <v>26999865.10331456</v>
      </c>
      <c r="CK55" s="41">
        <f t="shared" si="41"/>
        <v>4.1615081848511964E-3</v>
      </c>
      <c r="CL55" s="40">
        <f t="shared" si="42"/>
        <v>9312120.3535232227</v>
      </c>
      <c r="CM55" s="41">
        <f t="shared" si="43"/>
        <v>1.435283654982001E-3</v>
      </c>
      <c r="CO55" s="70">
        <f t="shared" si="44"/>
        <v>0</v>
      </c>
      <c r="CP55" s="70">
        <f t="shared" si="45"/>
        <v>0</v>
      </c>
      <c r="CQ55" s="70">
        <f t="shared" si="46"/>
        <v>0</v>
      </c>
      <c r="CR55" s="70">
        <f t="shared" si="47"/>
        <v>0</v>
      </c>
      <c r="CS55" s="70">
        <f t="shared" si="48"/>
        <v>0</v>
      </c>
      <c r="CT55" s="70">
        <f t="shared" si="49"/>
        <v>0</v>
      </c>
      <c r="CU55" s="69">
        <f t="shared" si="50"/>
        <v>0</v>
      </c>
      <c r="CV55" s="69">
        <f t="shared" si="51"/>
        <v>0</v>
      </c>
      <c r="CW55" s="70">
        <f t="shared" si="52"/>
        <v>0</v>
      </c>
      <c r="CX55" s="69">
        <f t="shared" si="53"/>
        <v>0</v>
      </c>
      <c r="CY55" s="69">
        <f t="shared" si="54"/>
        <v>0</v>
      </c>
      <c r="CZ55" s="70">
        <f t="shared" si="55"/>
        <v>0</v>
      </c>
      <c r="DB55" s="70">
        <f t="shared" si="56"/>
        <v>7.5195488790989842</v>
      </c>
      <c r="DC55" s="70">
        <f t="shared" si="57"/>
        <v>58.657455641821613</v>
      </c>
      <c r="DD55" s="70">
        <f t="shared" si="58"/>
        <v>66.177004520920605</v>
      </c>
      <c r="DE55" s="70">
        <f t="shared" si="59"/>
        <v>14.251625110860353</v>
      </c>
      <c r="DF55" s="70">
        <f t="shared" si="60"/>
        <v>46.872175695054999</v>
      </c>
      <c r="DG55" s="70">
        <f t="shared" si="61"/>
        <v>61.123800805915351</v>
      </c>
      <c r="DH55" s="69">
        <f t="shared" si="62"/>
        <v>25.307476338368801</v>
      </c>
      <c r="DI55" s="69">
        <f t="shared" si="63"/>
        <v>197.41505701897796</v>
      </c>
      <c r="DJ55" s="70">
        <f t="shared" si="64"/>
        <v>222.72253335734678</v>
      </c>
      <c r="DK55" s="69">
        <f t="shared" si="65"/>
        <v>20.702201740179408</v>
      </c>
      <c r="DL55" s="69">
        <f t="shared" si="66"/>
        <v>68.087479827174846</v>
      </c>
      <c r="DM55" s="70">
        <f t="shared" si="67"/>
        <v>88.789681567354251</v>
      </c>
    </row>
    <row r="56" spans="1:117">
      <c r="A56" t="s">
        <v>352</v>
      </c>
      <c r="B56">
        <v>520089</v>
      </c>
      <c r="C56">
        <v>321197</v>
      </c>
      <c r="D56" s="51">
        <v>33600.61</v>
      </c>
      <c r="E56" s="32">
        <f t="shared" si="0"/>
        <v>10792415130.17</v>
      </c>
      <c r="F56">
        <v>18171</v>
      </c>
      <c r="G56" s="37">
        <f t="shared" si="1"/>
        <v>3.4938250953202243E-2</v>
      </c>
      <c r="H56">
        <v>0</v>
      </c>
      <c r="I56" s="3">
        <f t="shared" si="2"/>
        <v>0</v>
      </c>
      <c r="J56" s="11">
        <f>+'Seat capacity elasticities'!K86</f>
        <v>0</v>
      </c>
      <c r="K56" s="11">
        <f>+'Seat capacity elasticities'!L86</f>
        <v>0</v>
      </c>
      <c r="L56" s="11">
        <f>+'Seat capacity elasticities'!M86</f>
        <v>0</v>
      </c>
      <c r="M56" s="11">
        <f>+'Seat capacity elasticities'!N86</f>
        <v>0</v>
      </c>
      <c r="N56" s="32">
        <f t="shared" si="12"/>
        <v>0</v>
      </c>
      <c r="O56" s="33">
        <f t="shared" si="13"/>
        <v>0</v>
      </c>
      <c r="P56" s="40">
        <f t="shared" si="14"/>
        <v>0</v>
      </c>
      <c r="Q56" s="33">
        <f t="shared" si="15"/>
        <v>0</v>
      </c>
      <c r="R56" s="40">
        <f t="shared" si="16"/>
        <v>0</v>
      </c>
      <c r="S56" s="41">
        <f t="shared" si="17"/>
        <v>0</v>
      </c>
      <c r="T56" s="40">
        <f t="shared" si="18"/>
        <v>0</v>
      </c>
      <c r="U56" s="41">
        <f t="shared" si="19"/>
        <v>0</v>
      </c>
      <c r="V56" s="53"/>
      <c r="W56" s="53"/>
      <c r="X56" t="s">
        <v>352</v>
      </c>
      <c r="Y56">
        <v>520089</v>
      </c>
      <c r="Z56">
        <v>321197</v>
      </c>
      <c r="AA56" s="51">
        <v>33600.61</v>
      </c>
      <c r="AB56" s="32">
        <f t="shared" si="3"/>
        <v>10792415130.17</v>
      </c>
      <c r="AC56">
        <v>18171</v>
      </c>
      <c r="AD56" s="37">
        <f t="shared" si="4"/>
        <v>3.4938250953202243E-2</v>
      </c>
      <c r="AE56">
        <v>4.6122000000000003E-3</v>
      </c>
      <c r="AF56" s="3">
        <f t="shared" si="5"/>
        <v>4.6122000000000003E-5</v>
      </c>
      <c r="AG56" s="11">
        <f>+'Seat capacity elasticities'!R86</f>
        <v>1.2917084072119455E-2</v>
      </c>
      <c r="AH56" s="11">
        <f>+'Seat capacity elasticities'!S86</f>
        <v>2.4481447315675944E-2</v>
      </c>
      <c r="AI56" s="11">
        <f>+'Seat capacity elasticities'!T86</f>
        <v>3.5440375071519085E-2</v>
      </c>
      <c r="AJ56" s="11">
        <f>+'Seat capacity elasticities'!U86</f>
        <v>2.8991187610668882E-2</v>
      </c>
      <c r="AK56" s="32">
        <f t="shared" si="20"/>
        <v>1394065.3357761991</v>
      </c>
      <c r="AL56" s="33">
        <f t="shared" si="21"/>
        <v>1.2917084072119455E-4</v>
      </c>
      <c r="AM56" s="40">
        <f t="shared" si="22"/>
        <v>2642139.4241816076</v>
      </c>
      <c r="AN56" s="33">
        <f t="shared" si="23"/>
        <v>2.4481447315675942E-4</v>
      </c>
      <c r="AO56" s="40">
        <f t="shared" si="24"/>
        <v>6439870.5542457337</v>
      </c>
      <c r="AP56" s="41">
        <f t="shared" si="25"/>
        <v>3.544037507151909E-4</v>
      </c>
      <c r="AQ56" s="40">
        <f t="shared" si="26"/>
        <v>5267988.7007346423</v>
      </c>
      <c r="AR56" s="41">
        <f t="shared" si="27"/>
        <v>2.8991187610668878E-4</v>
      </c>
      <c r="AV56" t="s">
        <v>352</v>
      </c>
      <c r="AW56">
        <v>520089</v>
      </c>
      <c r="AX56">
        <v>321197</v>
      </c>
      <c r="AY56" s="51">
        <v>33600.61</v>
      </c>
      <c r="AZ56" s="32">
        <f t="shared" si="6"/>
        <v>10792415130.17</v>
      </c>
      <c r="BA56">
        <v>18171</v>
      </c>
      <c r="BB56" s="37">
        <f t="shared" si="7"/>
        <v>3.4938250953202243E-2</v>
      </c>
      <c r="BC56">
        <v>0</v>
      </c>
      <c r="BD56" s="3">
        <f t="shared" si="8"/>
        <v>0</v>
      </c>
      <c r="BE56" s="11">
        <f>+'Seat capacity elasticities'!Y86</f>
        <v>0</v>
      </c>
      <c r="BF56" s="11">
        <f>+'Seat capacity elasticities'!Z86</f>
        <v>0</v>
      </c>
      <c r="BG56" s="11">
        <f>+'Seat capacity elasticities'!AA86</f>
        <v>0</v>
      </c>
      <c r="BH56" s="11">
        <f>+'Seat capacity elasticities'!AB86</f>
        <v>0</v>
      </c>
      <c r="BI56" s="32">
        <f t="shared" si="28"/>
        <v>0</v>
      </c>
      <c r="BJ56" s="33">
        <f t="shared" si="29"/>
        <v>0</v>
      </c>
      <c r="BK56" s="40">
        <f t="shared" si="30"/>
        <v>0</v>
      </c>
      <c r="BL56" s="33">
        <f t="shared" si="31"/>
        <v>0</v>
      </c>
      <c r="BM56" s="40">
        <f t="shared" si="32"/>
        <v>0</v>
      </c>
      <c r="BN56" s="41">
        <f t="shared" si="33"/>
        <v>0</v>
      </c>
      <c r="BO56" s="40">
        <f t="shared" si="34"/>
        <v>0</v>
      </c>
      <c r="BP56" s="41">
        <f t="shared" si="35"/>
        <v>0</v>
      </c>
      <c r="BQ56" s="53"/>
      <c r="BR56" s="53"/>
      <c r="BS56" t="s">
        <v>352</v>
      </c>
      <c r="BT56">
        <v>520089</v>
      </c>
      <c r="BU56">
        <v>321197</v>
      </c>
      <c r="BV56" s="51">
        <v>33600.61</v>
      </c>
      <c r="BW56" s="32">
        <f t="shared" si="9"/>
        <v>10792415130.17</v>
      </c>
      <c r="BX56">
        <v>18171</v>
      </c>
      <c r="BY56" s="37">
        <f t="shared" si="10"/>
        <v>3.4938250953202243E-2</v>
      </c>
      <c r="BZ56">
        <v>4.6122000000000003E-3</v>
      </c>
      <c r="CA56" s="3">
        <f t="shared" si="11"/>
        <v>4.6122000000000003E-5</v>
      </c>
      <c r="CB56" s="11">
        <f>+'Seat capacity elasticities'!AF86</f>
        <v>1.8826802227461269E-2</v>
      </c>
      <c r="CC56" s="11">
        <f>+'Seat capacity elasticities'!AG86</f>
        <v>1.5044177626287044E-2</v>
      </c>
      <c r="CD56" s="11">
        <f>+'Seat capacity elasticities'!AH86</f>
        <v>5.1654764234189757E-2</v>
      </c>
      <c r="CE56" s="11">
        <f>+'Seat capacity elasticities'!AI86</f>
        <v>1.7815473504813602E-2</v>
      </c>
      <c r="CF56" s="32">
        <f t="shared" si="36"/>
        <v>2031866.6521237125</v>
      </c>
      <c r="CG56" s="33">
        <f t="shared" si="37"/>
        <v>1.8826802227461269E-4</v>
      </c>
      <c r="CH56" s="40">
        <f t="shared" si="38"/>
        <v>1623630.1023490529</v>
      </c>
      <c r="CI56" s="33">
        <f t="shared" si="39"/>
        <v>1.5044177626287044E-4</v>
      </c>
      <c r="CJ56" s="40">
        <f t="shared" si="40"/>
        <v>9386187.2089946214</v>
      </c>
      <c r="CK56" s="41">
        <f t="shared" si="41"/>
        <v>5.1654764234189757E-4</v>
      </c>
      <c r="CL56" s="40">
        <f t="shared" si="42"/>
        <v>3237249.6905596796</v>
      </c>
      <c r="CM56" s="41">
        <f t="shared" si="43"/>
        <v>1.7815473504813602E-4</v>
      </c>
      <c r="CO56" s="70">
        <f t="shared" si="44"/>
        <v>0</v>
      </c>
      <c r="CP56" s="70">
        <f t="shared" si="45"/>
        <v>0</v>
      </c>
      <c r="CQ56" s="70">
        <f t="shared" si="46"/>
        <v>0</v>
      </c>
      <c r="CR56" s="70">
        <f t="shared" si="47"/>
        <v>0</v>
      </c>
      <c r="CS56" s="70">
        <f t="shared" si="48"/>
        <v>0</v>
      </c>
      <c r="CT56" s="70">
        <f t="shared" si="49"/>
        <v>0</v>
      </c>
      <c r="CU56" s="69">
        <f t="shared" si="50"/>
        <v>0</v>
      </c>
      <c r="CV56" s="69">
        <f t="shared" si="51"/>
        <v>0</v>
      </c>
      <c r="CW56" s="70">
        <f t="shared" si="52"/>
        <v>0</v>
      </c>
      <c r="CX56" s="69">
        <f t="shared" si="53"/>
        <v>0</v>
      </c>
      <c r="CY56" s="69">
        <f t="shared" si="54"/>
        <v>0</v>
      </c>
      <c r="CZ56" s="70">
        <f t="shared" si="55"/>
        <v>0</v>
      </c>
      <c r="DB56" s="70">
        <f t="shared" si="56"/>
        <v>4.3402190424449767</v>
      </c>
      <c r="DC56" s="70">
        <f t="shared" si="57"/>
        <v>6.3259203919205733</v>
      </c>
      <c r="DD56" s="70">
        <f t="shared" si="58"/>
        <v>10.666139434365551</v>
      </c>
      <c r="DE56" s="70">
        <f t="shared" si="59"/>
        <v>8.2259156348957418</v>
      </c>
      <c r="DF56" s="70">
        <f t="shared" si="60"/>
        <v>5.0549354519159673</v>
      </c>
      <c r="DG56" s="70">
        <f t="shared" si="61"/>
        <v>13.280851086811708</v>
      </c>
      <c r="DH56" s="69">
        <f t="shared" si="62"/>
        <v>20.049597456532076</v>
      </c>
      <c r="DI56" s="69">
        <f t="shared" si="63"/>
        <v>29.222524522316899</v>
      </c>
      <c r="DJ56" s="70">
        <f t="shared" si="64"/>
        <v>49.272121978848972</v>
      </c>
      <c r="DK56" s="69">
        <f t="shared" si="65"/>
        <v>16.401114271723092</v>
      </c>
      <c r="DL56" s="69">
        <f t="shared" si="66"/>
        <v>10.078704628498024</v>
      </c>
      <c r="DM56" s="70">
        <f t="shared" si="67"/>
        <v>26.479818900221115</v>
      </c>
    </row>
    <row r="57" spans="1:117">
      <c r="A57" t="s">
        <v>353</v>
      </c>
      <c r="B57">
        <v>87759</v>
      </c>
      <c r="C57">
        <v>63480</v>
      </c>
      <c r="D57" s="51">
        <v>33411.25</v>
      </c>
      <c r="E57" s="32">
        <f t="shared" si="0"/>
        <v>2120946150</v>
      </c>
      <c r="F57">
        <v>3016</v>
      </c>
      <c r="G57" s="37">
        <f t="shared" si="1"/>
        <v>3.4366845565696968E-2</v>
      </c>
      <c r="H57">
        <v>0</v>
      </c>
      <c r="I57" s="3">
        <f t="shared" si="2"/>
        <v>0</v>
      </c>
      <c r="J57" s="11">
        <f>+'Seat capacity elasticities'!K87</f>
        <v>0</v>
      </c>
      <c r="K57" s="11">
        <f>+'Seat capacity elasticities'!L87</f>
        <v>0</v>
      </c>
      <c r="L57" s="11">
        <f>+'Seat capacity elasticities'!M87</f>
        <v>0</v>
      </c>
      <c r="M57" s="11">
        <f>+'Seat capacity elasticities'!N87</f>
        <v>0</v>
      </c>
      <c r="N57" s="32">
        <f t="shared" si="12"/>
        <v>0</v>
      </c>
      <c r="O57" s="33">
        <f t="shared" si="13"/>
        <v>0</v>
      </c>
      <c r="P57" s="40">
        <f t="shared" si="14"/>
        <v>0</v>
      </c>
      <c r="Q57" s="33">
        <f t="shared" si="15"/>
        <v>0</v>
      </c>
      <c r="R57" s="40">
        <f t="shared" si="16"/>
        <v>0</v>
      </c>
      <c r="S57" s="41">
        <f t="shared" si="17"/>
        <v>0</v>
      </c>
      <c r="T57" s="40">
        <f t="shared" si="18"/>
        <v>0</v>
      </c>
      <c r="U57" s="41">
        <f t="shared" si="19"/>
        <v>0</v>
      </c>
      <c r="V57" s="53"/>
      <c r="W57" s="53"/>
      <c r="X57" t="s">
        <v>353</v>
      </c>
      <c r="Y57">
        <v>87759</v>
      </c>
      <c r="Z57">
        <v>63480</v>
      </c>
      <c r="AA57" s="51">
        <v>33411.25</v>
      </c>
      <c r="AB57" s="32">
        <f t="shared" si="3"/>
        <v>2120946150</v>
      </c>
      <c r="AC57">
        <v>3016</v>
      </c>
      <c r="AD57" s="37">
        <f t="shared" si="4"/>
        <v>3.4366845565696968E-2</v>
      </c>
      <c r="AE57">
        <v>5.7159000000000003E-3</v>
      </c>
      <c r="AF57" s="3">
        <f t="shared" si="5"/>
        <v>5.7159000000000006E-5</v>
      </c>
      <c r="AG57" s="11">
        <f>+'Seat capacity elasticities'!R87</f>
        <v>1.2955541708985089E-2</v>
      </c>
      <c r="AH57" s="11">
        <f>+'Seat capacity elasticities'!S87</f>
        <v>2.4554335175316303E-2</v>
      </c>
      <c r="AI57" s="11">
        <f>+'Seat capacity elasticities'!T87</f>
        <v>3.5545890609489775E-2</v>
      </c>
      <c r="AJ57" s="11">
        <f>+'Seat capacity elasticities'!U87</f>
        <v>2.9077502181295626E-2</v>
      </c>
      <c r="AK57" s="32">
        <f t="shared" si="20"/>
        <v>274780.06308836344</v>
      </c>
      <c r="AL57" s="33">
        <f t="shared" si="21"/>
        <v>1.2955541708985089E-4</v>
      </c>
      <c r="AM57" s="40">
        <f t="shared" si="22"/>
        <v>520784.22655896691</v>
      </c>
      <c r="AN57" s="33">
        <f t="shared" si="23"/>
        <v>2.4554335175316303E-4</v>
      </c>
      <c r="AO57" s="40">
        <f t="shared" si="24"/>
        <v>1072064.0607822116</v>
      </c>
      <c r="AP57" s="41">
        <f t="shared" si="25"/>
        <v>3.5545890609489775E-4</v>
      </c>
      <c r="AQ57" s="40">
        <f t="shared" si="26"/>
        <v>876977.46578787616</v>
      </c>
      <c r="AR57" s="41">
        <f t="shared" si="27"/>
        <v>2.9077502181295629E-4</v>
      </c>
      <c r="AV57" t="s">
        <v>353</v>
      </c>
      <c r="AW57">
        <v>87759</v>
      </c>
      <c r="AX57">
        <v>63480</v>
      </c>
      <c r="AY57" s="51">
        <v>33411.25</v>
      </c>
      <c r="AZ57" s="32">
        <f t="shared" si="6"/>
        <v>2120946150</v>
      </c>
      <c r="BA57">
        <v>3016</v>
      </c>
      <c r="BB57" s="37">
        <f t="shared" si="7"/>
        <v>3.4366845565696968E-2</v>
      </c>
      <c r="BC57">
        <v>0</v>
      </c>
      <c r="BD57" s="3">
        <f t="shared" si="8"/>
        <v>0</v>
      </c>
      <c r="BE57" s="11">
        <f>+'Seat capacity elasticities'!Y87</f>
        <v>0</v>
      </c>
      <c r="BF57" s="11">
        <f>+'Seat capacity elasticities'!Z87</f>
        <v>0</v>
      </c>
      <c r="BG57" s="11">
        <f>+'Seat capacity elasticities'!AA87</f>
        <v>0</v>
      </c>
      <c r="BH57" s="11">
        <f>+'Seat capacity elasticities'!AB87</f>
        <v>0</v>
      </c>
      <c r="BI57" s="32">
        <f t="shared" si="28"/>
        <v>0</v>
      </c>
      <c r="BJ57" s="33">
        <f t="shared" si="29"/>
        <v>0</v>
      </c>
      <c r="BK57" s="40">
        <f t="shared" si="30"/>
        <v>0</v>
      </c>
      <c r="BL57" s="33">
        <f t="shared" si="31"/>
        <v>0</v>
      </c>
      <c r="BM57" s="40">
        <f t="shared" si="32"/>
        <v>0</v>
      </c>
      <c r="BN57" s="41">
        <f t="shared" si="33"/>
        <v>0</v>
      </c>
      <c r="BO57" s="40">
        <f t="shared" si="34"/>
        <v>0</v>
      </c>
      <c r="BP57" s="41">
        <f t="shared" si="35"/>
        <v>0</v>
      </c>
      <c r="BQ57" s="53"/>
      <c r="BR57" s="53"/>
      <c r="BS57" t="s">
        <v>353</v>
      </c>
      <c r="BT57">
        <v>87759</v>
      </c>
      <c r="BU57">
        <v>63480</v>
      </c>
      <c r="BV57" s="51">
        <v>33411.25</v>
      </c>
      <c r="BW57" s="32">
        <f t="shared" si="9"/>
        <v>2120946150</v>
      </c>
      <c r="BX57">
        <v>3016</v>
      </c>
      <c r="BY57" s="37">
        <f t="shared" si="10"/>
        <v>3.4366845565696968E-2</v>
      </c>
      <c r="BZ57">
        <v>5.7159000000000003E-3</v>
      </c>
      <c r="CA57" s="3">
        <f t="shared" si="11"/>
        <v>5.7159000000000006E-5</v>
      </c>
      <c r="CB57" s="11">
        <f>+'Seat capacity elasticities'!AF87</f>
        <v>0.13827353114381416</v>
      </c>
      <c r="CC57" s="11">
        <f>+'Seat capacity elasticities'!AG87</f>
        <v>0.11049202824828223</v>
      </c>
      <c r="CD57" s="11">
        <f>+'Seat capacity elasticities'!AH87</f>
        <v>0.37937864140541067</v>
      </c>
      <c r="CE57" s="11">
        <f>+'Seat capacity elasticities'!AI87</f>
        <v>0.13084582292559738</v>
      </c>
      <c r="CF57" s="32">
        <f t="shared" si="36"/>
        <v>2932707.1352637773</v>
      </c>
      <c r="CG57" s="33">
        <f t="shared" si="37"/>
        <v>1.3827353114381415E-3</v>
      </c>
      <c r="CH57" s="40">
        <f t="shared" si="38"/>
        <v>2343476.4191888543</v>
      </c>
      <c r="CI57" s="33">
        <f t="shared" si="39"/>
        <v>1.1049202824828222E-3</v>
      </c>
      <c r="CJ57" s="40">
        <f t="shared" si="40"/>
        <v>11442059.824787186</v>
      </c>
      <c r="CK57" s="41">
        <f t="shared" si="41"/>
        <v>3.7937864140541069E-3</v>
      </c>
      <c r="CL57" s="40">
        <f t="shared" si="42"/>
        <v>3946310.0194360176</v>
      </c>
      <c r="CM57" s="41">
        <f t="shared" si="43"/>
        <v>1.308458229255974E-3</v>
      </c>
      <c r="CO57" s="70">
        <f t="shared" si="44"/>
        <v>0</v>
      </c>
      <c r="CP57" s="70">
        <f t="shared" si="45"/>
        <v>0</v>
      </c>
      <c r="CQ57" s="70">
        <f t="shared" si="46"/>
        <v>0</v>
      </c>
      <c r="CR57" s="70">
        <f t="shared" si="47"/>
        <v>0</v>
      </c>
      <c r="CS57" s="70">
        <f t="shared" si="48"/>
        <v>0</v>
      </c>
      <c r="CT57" s="70">
        <f t="shared" si="49"/>
        <v>0</v>
      </c>
      <c r="CU57" s="69">
        <f t="shared" si="50"/>
        <v>0</v>
      </c>
      <c r="CV57" s="69">
        <f t="shared" si="51"/>
        <v>0</v>
      </c>
      <c r="CW57" s="70">
        <f t="shared" si="52"/>
        <v>0</v>
      </c>
      <c r="CX57" s="69">
        <f t="shared" si="53"/>
        <v>0</v>
      </c>
      <c r="CY57" s="69">
        <f t="shared" si="54"/>
        <v>0</v>
      </c>
      <c r="CZ57" s="70">
        <f t="shared" si="55"/>
        <v>0</v>
      </c>
      <c r="DB57" s="70">
        <f t="shared" si="56"/>
        <v>4.32860842924328</v>
      </c>
      <c r="DC57" s="70">
        <f t="shared" si="57"/>
        <v>46.198915174287606</v>
      </c>
      <c r="DD57" s="70">
        <f t="shared" si="58"/>
        <v>50.527523603530888</v>
      </c>
      <c r="DE57" s="70">
        <f t="shared" si="59"/>
        <v>8.2039103112628684</v>
      </c>
      <c r="DF57" s="70">
        <f t="shared" si="60"/>
        <v>36.916767788104195</v>
      </c>
      <c r="DG57" s="70">
        <f t="shared" si="61"/>
        <v>45.120678099367062</v>
      </c>
      <c r="DH57" s="69">
        <f t="shared" si="62"/>
        <v>16.888217718686384</v>
      </c>
      <c r="DI57" s="69">
        <f t="shared" si="63"/>
        <v>180.24668911132935</v>
      </c>
      <c r="DJ57" s="70">
        <f t="shared" si="64"/>
        <v>197.13490683001572</v>
      </c>
      <c r="DK57" s="69">
        <f t="shared" si="65"/>
        <v>13.815019939947639</v>
      </c>
      <c r="DL57" s="69">
        <f t="shared" si="66"/>
        <v>62.166194383050055</v>
      </c>
      <c r="DM57" s="70">
        <f t="shared" si="67"/>
        <v>75.981214322997687</v>
      </c>
    </row>
    <row r="58" spans="1:117">
      <c r="A58" t="s">
        <v>287</v>
      </c>
      <c r="B58">
        <v>9515636</v>
      </c>
      <c r="C58">
        <v>5777274</v>
      </c>
      <c r="D58" s="51">
        <v>49692.34</v>
      </c>
      <c r="E58" s="32">
        <f t="shared" si="0"/>
        <v>287086263881.15997</v>
      </c>
      <c r="F58">
        <v>476895</v>
      </c>
      <c r="G58" s="37">
        <f t="shared" si="1"/>
        <v>5.0116986400068265E-2</v>
      </c>
      <c r="H58">
        <v>2.68428E-2</v>
      </c>
      <c r="I58" s="3">
        <f t="shared" si="2"/>
        <v>2.6842800000000003E-4</v>
      </c>
      <c r="J58" s="11">
        <f>+'Seat capacity elasticities'!K88</f>
        <v>2.9799788918078721E-2</v>
      </c>
      <c r="K58" s="11">
        <f>+'Seat capacity elasticities'!L88</f>
        <v>0.14786277430588235</v>
      </c>
      <c r="L58" s="11">
        <f>+'Seat capacity elasticities'!M88</f>
        <v>8.1761153710252082E-2</v>
      </c>
      <c r="M58" s="11">
        <f>+'Seat capacity elasticities'!N88</f>
        <v>0.17510065378328174</v>
      </c>
      <c r="N58" s="32">
        <f t="shared" si="12"/>
        <v>85551100.649384141</v>
      </c>
      <c r="O58" s="33">
        <f t="shared" si="13"/>
        <v>2.979978891807872E-4</v>
      </c>
      <c r="P58" s="40">
        <f t="shared" si="14"/>
        <v>424493714.42578942</v>
      </c>
      <c r="Q58" s="33">
        <f t="shared" si="15"/>
        <v>1.4786277430588236E-3</v>
      </c>
      <c r="R58" s="40">
        <f t="shared" si="16"/>
        <v>389914853.9865067</v>
      </c>
      <c r="S58" s="41">
        <f t="shared" si="17"/>
        <v>8.1761153710252087E-4</v>
      </c>
      <c r="T58" s="40">
        <f t="shared" si="18"/>
        <v>835046262.8597815</v>
      </c>
      <c r="U58" s="41">
        <f t="shared" si="19"/>
        <v>1.7510065378328174E-3</v>
      </c>
      <c r="V58" s="53"/>
      <c r="W58" s="53"/>
      <c r="X58" t="s">
        <v>287</v>
      </c>
      <c r="Y58">
        <v>9515636</v>
      </c>
      <c r="Z58">
        <v>5777274</v>
      </c>
      <c r="AA58" s="51">
        <v>49692.34</v>
      </c>
      <c r="AB58" s="32">
        <f t="shared" si="3"/>
        <v>287086263881.15997</v>
      </c>
      <c r="AC58">
        <v>476895</v>
      </c>
      <c r="AD58" s="37">
        <f t="shared" si="4"/>
        <v>5.0116986400068265E-2</v>
      </c>
      <c r="AE58">
        <v>1.24796E-2</v>
      </c>
      <c r="AF58" s="3">
        <f t="shared" si="5"/>
        <v>1.2479600000000002E-4</v>
      </c>
      <c r="AG58" s="11">
        <f>+'Seat capacity elasticities'!R88</f>
        <v>1.2736392157011351E-2</v>
      </c>
      <c r="AH58" s="11">
        <f>+'Seat capacity elasticities'!S88</f>
        <v>2.4138986155294116E-2</v>
      </c>
      <c r="AI58" s="11">
        <f>+'Seat capacity elasticities'!T88</f>
        <v>3.4944613860392153E-2</v>
      </c>
      <c r="AJ58" s="11">
        <f>+'Seat capacity elasticities'!U88</f>
        <v>2.8585641499690402E-2</v>
      </c>
      <c r="AK58" s="32">
        <f t="shared" si="20"/>
        <v>36564432.396816969</v>
      </c>
      <c r="AL58" s="33">
        <f t="shared" si="21"/>
        <v>1.2736392157011351E-4</v>
      </c>
      <c r="AM58" s="40">
        <f t="shared" si="22"/>
        <v>69299713.492024332</v>
      </c>
      <c r="AN58" s="33">
        <f t="shared" si="23"/>
        <v>2.4138986155294113E-4</v>
      </c>
      <c r="AO58" s="40">
        <f t="shared" si="24"/>
        <v>166649116.26951715</v>
      </c>
      <c r="AP58" s="41">
        <f t="shared" si="25"/>
        <v>3.4944613860392147E-4</v>
      </c>
      <c r="AQ58" s="40">
        <f t="shared" si="26"/>
        <v>136323495.02994853</v>
      </c>
      <c r="AR58" s="41">
        <f t="shared" si="27"/>
        <v>2.85856414996904E-4</v>
      </c>
      <c r="AV58" t="s">
        <v>287</v>
      </c>
      <c r="AW58">
        <v>9515636</v>
      </c>
      <c r="AX58">
        <v>5777274</v>
      </c>
      <c r="AY58" s="51">
        <v>49692.34</v>
      </c>
      <c r="AZ58" s="32">
        <f t="shared" si="6"/>
        <v>287086263881.15997</v>
      </c>
      <c r="BA58">
        <v>476895</v>
      </c>
      <c r="BB58" s="37">
        <f t="shared" si="7"/>
        <v>5.0116986400068265E-2</v>
      </c>
      <c r="BC58">
        <v>2.68428E-2</v>
      </c>
      <c r="BD58" s="3">
        <f t="shared" si="8"/>
        <v>2.6842800000000003E-4</v>
      </c>
      <c r="BE58" s="11">
        <f>+'Seat capacity elasticities'!Y88</f>
        <v>5.7055922299047532E-2</v>
      </c>
      <c r="BF58" s="11">
        <f>+'Seat capacity elasticities'!Z88</f>
        <v>0.15563959065452448</v>
      </c>
      <c r="BG58" s="11">
        <f>+'Seat capacity elasticities'!AA88</f>
        <v>0.15654332471940838</v>
      </c>
      <c r="BH58" s="11">
        <f>+'Seat capacity elasticities'!AB88</f>
        <v>0.18431004156456848</v>
      </c>
      <c r="BI58" s="32">
        <f t="shared" si="28"/>
        <v>163799715.65127319</v>
      </c>
      <c r="BJ58" s="33">
        <f t="shared" si="29"/>
        <v>5.7055922299047526E-4</v>
      </c>
      <c r="BK58" s="40">
        <f t="shared" si="30"/>
        <v>446819885.93000537</v>
      </c>
      <c r="BL58" s="33">
        <f t="shared" si="31"/>
        <v>1.5563959065452448E-3</v>
      </c>
      <c r="BM58" s="40">
        <f t="shared" si="32"/>
        <v>746547288.42062259</v>
      </c>
      <c r="BN58" s="41">
        <f t="shared" si="33"/>
        <v>1.5654332471940838E-3</v>
      </c>
      <c r="BO58" s="40">
        <f t="shared" si="34"/>
        <v>878965372.71934879</v>
      </c>
      <c r="BP58" s="41">
        <f t="shared" si="35"/>
        <v>1.8431004156456848E-3</v>
      </c>
      <c r="BQ58" s="53"/>
      <c r="BR58" s="53"/>
      <c r="BS58" t="s">
        <v>287</v>
      </c>
      <c r="BT58">
        <v>9515636</v>
      </c>
      <c r="BU58">
        <v>5777274</v>
      </c>
      <c r="BV58" s="51">
        <v>49692.34</v>
      </c>
      <c r="BW58" s="32">
        <f t="shared" si="9"/>
        <v>287086263881.15997</v>
      </c>
      <c r="BX58">
        <v>476895</v>
      </c>
      <c r="BY58" s="37">
        <f t="shared" si="10"/>
        <v>5.0116986400068265E-2</v>
      </c>
      <c r="BZ58">
        <v>1.24796E-2</v>
      </c>
      <c r="CA58" s="3">
        <f t="shared" si="11"/>
        <v>1.2479600000000002E-4</v>
      </c>
      <c r="CB58" s="11">
        <f>+'Seat capacity elasticities'!AF88</f>
        <v>2.7842545763723065E-3</v>
      </c>
      <c r="CC58" s="11">
        <f>+'Seat capacity elasticities'!AG88</f>
        <v>2.224850502899018E-3</v>
      </c>
      <c r="CD58" s="11">
        <f>+'Seat capacity elasticities'!AH88</f>
        <v>7.6391100290359318E-3</v>
      </c>
      <c r="CE58" s="11">
        <f>+'Seat capacity elasticities'!AI88</f>
        <v>2.6346913850119951E-3</v>
      </c>
      <c r="CF58" s="32">
        <f t="shared" si="36"/>
        <v>7993212.4402474724</v>
      </c>
      <c r="CG58" s="33">
        <f t="shared" si="37"/>
        <v>2.7842545763723065E-5</v>
      </c>
      <c r="CH58" s="40">
        <f t="shared" si="38"/>
        <v>6387240.1857139897</v>
      </c>
      <c r="CI58" s="33">
        <f t="shared" si="39"/>
        <v>2.224850502899018E-5</v>
      </c>
      <c r="CJ58" s="40">
        <f t="shared" si="40"/>
        <v>36430533.772970907</v>
      </c>
      <c r="CK58" s="41">
        <f t="shared" si="41"/>
        <v>7.6391100290359318E-5</v>
      </c>
      <c r="CL58" s="40">
        <f t="shared" si="42"/>
        <v>12564711.480552953</v>
      </c>
      <c r="CM58" s="41">
        <f t="shared" si="43"/>
        <v>2.6346913850119948E-5</v>
      </c>
      <c r="CO58" s="70">
        <f t="shared" si="44"/>
        <v>14.808212428453997</v>
      </c>
      <c r="CP58" s="70">
        <f t="shared" si="45"/>
        <v>28.352422898978514</v>
      </c>
      <c r="CQ58" s="70">
        <f t="shared" si="46"/>
        <v>43.160635327432509</v>
      </c>
      <c r="CR58" s="70">
        <f t="shared" si="47"/>
        <v>73.476472541511697</v>
      </c>
      <c r="CS58" s="70">
        <f t="shared" si="48"/>
        <v>77.340954562654531</v>
      </c>
      <c r="CT58" s="70">
        <f t="shared" si="49"/>
        <v>150.81742710416623</v>
      </c>
      <c r="CU58" s="69">
        <f t="shared" si="50"/>
        <v>67.491147898906419</v>
      </c>
      <c r="CV58" s="69">
        <f t="shared" si="51"/>
        <v>129.22137472112672</v>
      </c>
      <c r="CW58" s="70">
        <f t="shared" si="52"/>
        <v>196.71252262003316</v>
      </c>
      <c r="CX58" s="69">
        <f t="shared" si="53"/>
        <v>144.53984056490683</v>
      </c>
      <c r="CY58" s="69">
        <f t="shared" si="54"/>
        <v>152.14188780372001</v>
      </c>
      <c r="CZ58" s="70">
        <f t="shared" si="55"/>
        <v>296.68172836862686</v>
      </c>
      <c r="DB58" s="70">
        <f t="shared" si="56"/>
        <v>6.3290112943954133</v>
      </c>
      <c r="DC58" s="70">
        <f t="shared" si="57"/>
        <v>1.383561250556486</v>
      </c>
      <c r="DD58" s="70">
        <f t="shared" si="58"/>
        <v>7.7125725449518994</v>
      </c>
      <c r="DE58" s="70">
        <f t="shared" si="59"/>
        <v>11.995227072841677</v>
      </c>
      <c r="DF58" s="70">
        <f t="shared" si="60"/>
        <v>1.1055802763922897</v>
      </c>
      <c r="DG58" s="70">
        <f t="shared" si="61"/>
        <v>13.100807349233968</v>
      </c>
      <c r="DH58" s="69">
        <f t="shared" si="62"/>
        <v>28.845631394584565</v>
      </c>
      <c r="DI58" s="69">
        <f t="shared" si="63"/>
        <v>6.3058345117387384</v>
      </c>
      <c r="DJ58" s="70">
        <f t="shared" si="64"/>
        <v>35.151465906323303</v>
      </c>
      <c r="DK58" s="69">
        <f t="shared" si="65"/>
        <v>23.596508496905034</v>
      </c>
      <c r="DL58" s="69">
        <f t="shared" si="66"/>
        <v>2.1748512327012621</v>
      </c>
      <c r="DM58" s="70">
        <f t="shared" si="67"/>
        <v>25.771359729606296</v>
      </c>
    </row>
    <row r="59" spans="1:117">
      <c r="A59" t="s">
        <v>354</v>
      </c>
      <c r="B59">
        <v>219503</v>
      </c>
      <c r="C59">
        <v>108520</v>
      </c>
      <c r="D59" s="51">
        <v>30257.82</v>
      </c>
      <c r="E59" s="32">
        <f t="shared" si="0"/>
        <v>3283578626.4000001</v>
      </c>
      <c r="F59">
        <v>5093</v>
      </c>
      <c r="G59" s="37">
        <f t="shared" si="1"/>
        <v>2.3202416367885632E-2</v>
      </c>
      <c r="H59">
        <v>0</v>
      </c>
      <c r="I59" s="3">
        <f t="shared" si="2"/>
        <v>0</v>
      </c>
      <c r="J59" s="11">
        <f>+'Seat capacity elasticities'!K89</f>
        <v>0</v>
      </c>
      <c r="K59" s="11">
        <f>+'Seat capacity elasticities'!L89</f>
        <v>0</v>
      </c>
      <c r="L59" s="11">
        <f>+'Seat capacity elasticities'!M89</f>
        <v>0</v>
      </c>
      <c r="M59" s="11">
        <f>+'Seat capacity elasticities'!N89</f>
        <v>0</v>
      </c>
      <c r="N59" s="32">
        <f t="shared" si="12"/>
        <v>0</v>
      </c>
      <c r="O59" s="33">
        <f t="shared" si="13"/>
        <v>0</v>
      </c>
      <c r="P59" s="40">
        <f t="shared" si="14"/>
        <v>0</v>
      </c>
      <c r="Q59" s="33">
        <f t="shared" si="15"/>
        <v>0</v>
      </c>
      <c r="R59" s="40">
        <f t="shared" si="16"/>
        <v>0</v>
      </c>
      <c r="S59" s="41">
        <f t="shared" si="17"/>
        <v>0</v>
      </c>
      <c r="T59" s="40">
        <f t="shared" si="18"/>
        <v>0</v>
      </c>
      <c r="U59" s="41">
        <f t="shared" si="19"/>
        <v>0</v>
      </c>
      <c r="V59" s="53"/>
      <c r="W59" s="53"/>
      <c r="X59" t="s">
        <v>354</v>
      </c>
      <c r="Y59">
        <v>219503</v>
      </c>
      <c r="Z59">
        <v>108520</v>
      </c>
      <c r="AA59" s="51">
        <v>30257.82</v>
      </c>
      <c r="AB59" s="32">
        <f t="shared" si="3"/>
        <v>3283578626.4000001</v>
      </c>
      <c r="AC59">
        <v>5093</v>
      </c>
      <c r="AD59" s="37">
        <f t="shared" si="4"/>
        <v>2.3202416367885632E-2</v>
      </c>
      <c r="AE59">
        <v>4.9645999999999996E-3</v>
      </c>
      <c r="AF59" s="3">
        <f t="shared" si="5"/>
        <v>4.9645999999999999E-5</v>
      </c>
      <c r="AG59" s="11">
        <f>+'Seat capacity elasticities'!R89</f>
        <v>1.2414052685900462E-2</v>
      </c>
      <c r="AH59" s="11">
        <f>+'Seat capacity elasticities'!S89</f>
        <v>2.3528063695108466E-2</v>
      </c>
      <c r="AI59" s="11">
        <f>+'Seat capacity elasticities'!T89</f>
        <v>3.406021675553917E-2</v>
      </c>
      <c r="AJ59" s="11">
        <f>+'Seat capacity elasticities'!U89</f>
        <v>2.7862180691575818E-2</v>
      </c>
      <c r="AK59" s="32">
        <f t="shared" si="20"/>
        <v>407625.18066426273</v>
      </c>
      <c r="AL59" s="33">
        <f t="shared" si="21"/>
        <v>1.2414052685900463E-4</v>
      </c>
      <c r="AM59" s="40">
        <f t="shared" si="22"/>
        <v>772562.47069835966</v>
      </c>
      <c r="AN59" s="33">
        <f t="shared" si="23"/>
        <v>2.3528063695108466E-4</v>
      </c>
      <c r="AO59" s="40">
        <f t="shared" si="24"/>
        <v>1734686.8393596101</v>
      </c>
      <c r="AP59" s="41">
        <f t="shared" si="25"/>
        <v>3.4060216755539178E-4</v>
      </c>
      <c r="AQ59" s="40">
        <f t="shared" si="26"/>
        <v>1419020.8626219565</v>
      </c>
      <c r="AR59" s="41">
        <f t="shared" si="27"/>
        <v>2.7862180691575822E-4</v>
      </c>
      <c r="AV59" t="s">
        <v>354</v>
      </c>
      <c r="AW59">
        <v>219503</v>
      </c>
      <c r="AX59">
        <v>108520</v>
      </c>
      <c r="AY59" s="51">
        <v>30257.82</v>
      </c>
      <c r="AZ59" s="32">
        <f t="shared" si="6"/>
        <v>3283578626.4000001</v>
      </c>
      <c r="BA59">
        <v>5093</v>
      </c>
      <c r="BB59" s="37">
        <f t="shared" si="7"/>
        <v>2.3202416367885632E-2</v>
      </c>
      <c r="BC59">
        <v>0</v>
      </c>
      <c r="BD59" s="3">
        <f t="shared" si="8"/>
        <v>0</v>
      </c>
      <c r="BE59" s="11">
        <f>+'Seat capacity elasticities'!Y89</f>
        <v>0</v>
      </c>
      <c r="BF59" s="11">
        <f>+'Seat capacity elasticities'!Z89</f>
        <v>0</v>
      </c>
      <c r="BG59" s="11">
        <f>+'Seat capacity elasticities'!AA89</f>
        <v>0</v>
      </c>
      <c r="BH59" s="11">
        <f>+'Seat capacity elasticities'!AB89</f>
        <v>0</v>
      </c>
      <c r="BI59" s="32">
        <f t="shared" si="28"/>
        <v>0</v>
      </c>
      <c r="BJ59" s="33">
        <f t="shared" si="29"/>
        <v>0</v>
      </c>
      <c r="BK59" s="40">
        <f t="shared" si="30"/>
        <v>0</v>
      </c>
      <c r="BL59" s="33">
        <f t="shared" si="31"/>
        <v>0</v>
      </c>
      <c r="BM59" s="40">
        <f t="shared" si="32"/>
        <v>0</v>
      </c>
      <c r="BN59" s="41">
        <f t="shared" si="33"/>
        <v>0</v>
      </c>
      <c r="BO59" s="40">
        <f t="shared" si="34"/>
        <v>0</v>
      </c>
      <c r="BP59" s="41">
        <f t="shared" si="35"/>
        <v>0</v>
      </c>
      <c r="BQ59" s="53"/>
      <c r="BR59" s="53"/>
      <c r="BS59" t="s">
        <v>354</v>
      </c>
      <c r="BT59">
        <v>219503</v>
      </c>
      <c r="BU59">
        <v>108520</v>
      </c>
      <c r="BV59" s="51">
        <v>30257.82</v>
      </c>
      <c r="BW59" s="32">
        <f t="shared" si="9"/>
        <v>3283578626.4000001</v>
      </c>
      <c r="BX59">
        <v>5093</v>
      </c>
      <c r="BY59" s="37">
        <f t="shared" si="10"/>
        <v>2.3202416367885632E-2</v>
      </c>
      <c r="BZ59">
        <v>4.9645999999999996E-3</v>
      </c>
      <c r="CA59" s="3">
        <f t="shared" si="11"/>
        <v>4.9645999999999999E-5</v>
      </c>
      <c r="CB59" s="11">
        <f>+'Seat capacity elasticities'!AF89</f>
        <v>4.8016433629259142E-2</v>
      </c>
      <c r="CC59" s="11">
        <f>+'Seat capacity elasticities'!AG89</f>
        <v>3.8369115889778267E-2</v>
      </c>
      <c r="CD59" s="11">
        <f>+'Seat capacity elasticities'!AH89</f>
        <v>0.13174183956042218</v>
      </c>
      <c r="CE59" s="11">
        <f>+'Seat capacity elasticities'!AI89</f>
        <v>4.5437110922105846E-2</v>
      </c>
      <c r="CF59" s="32">
        <f t="shared" si="36"/>
        <v>1576657.3518098951</v>
      </c>
      <c r="CG59" s="33">
        <f t="shared" si="37"/>
        <v>4.8016433629259142E-4</v>
      </c>
      <c r="CH59" s="40">
        <f t="shared" si="38"/>
        <v>1259880.0884954054</v>
      </c>
      <c r="CI59" s="33">
        <f t="shared" si="39"/>
        <v>3.8369115889778265E-4</v>
      </c>
      <c r="CJ59" s="40">
        <f t="shared" si="40"/>
        <v>6709611.8888123017</v>
      </c>
      <c r="CK59" s="41">
        <f t="shared" si="41"/>
        <v>1.3174183956042218E-3</v>
      </c>
      <c r="CL59" s="40">
        <f t="shared" si="42"/>
        <v>2314112.0592628508</v>
      </c>
      <c r="CM59" s="41">
        <f t="shared" si="43"/>
        <v>4.5437110922105848E-4</v>
      </c>
      <c r="CO59" s="70">
        <f t="shared" si="44"/>
        <v>0</v>
      </c>
      <c r="CP59" s="70">
        <f t="shared" si="45"/>
        <v>0</v>
      </c>
      <c r="CQ59" s="70">
        <f t="shared" si="46"/>
        <v>0</v>
      </c>
      <c r="CR59" s="70">
        <f t="shared" si="47"/>
        <v>0</v>
      </c>
      <c r="CS59" s="70">
        <f t="shared" si="48"/>
        <v>0</v>
      </c>
      <c r="CT59" s="70">
        <f t="shared" si="49"/>
        <v>0</v>
      </c>
      <c r="CU59" s="69">
        <f t="shared" si="50"/>
        <v>0</v>
      </c>
      <c r="CV59" s="69">
        <f t="shared" si="51"/>
        <v>0</v>
      </c>
      <c r="CW59" s="70">
        <f t="shared" si="52"/>
        <v>0</v>
      </c>
      <c r="CX59" s="69">
        <f t="shared" si="53"/>
        <v>0</v>
      </c>
      <c r="CY59" s="69">
        <f t="shared" si="54"/>
        <v>0</v>
      </c>
      <c r="CZ59" s="70">
        <f t="shared" si="55"/>
        <v>0</v>
      </c>
      <c r="DB59" s="70">
        <f t="shared" si="56"/>
        <v>3.7562217164049274</v>
      </c>
      <c r="DC59" s="70">
        <f t="shared" si="57"/>
        <v>14.5287260579607</v>
      </c>
      <c r="DD59" s="70">
        <f t="shared" si="58"/>
        <v>18.284947774365627</v>
      </c>
      <c r="DE59" s="70">
        <f t="shared" si="59"/>
        <v>7.1190791623512686</v>
      </c>
      <c r="DF59" s="70">
        <f t="shared" si="60"/>
        <v>11.609658021520506</v>
      </c>
      <c r="DG59" s="70">
        <f t="shared" si="61"/>
        <v>18.728737183871775</v>
      </c>
      <c r="DH59" s="69">
        <f t="shared" si="62"/>
        <v>15.9849506022817</v>
      </c>
      <c r="DI59" s="69">
        <f t="shared" si="63"/>
        <v>61.828343980946386</v>
      </c>
      <c r="DJ59" s="70">
        <f t="shared" si="64"/>
        <v>77.813294583228085</v>
      </c>
      <c r="DK59" s="69">
        <f t="shared" si="65"/>
        <v>13.076122950810509</v>
      </c>
      <c r="DL59" s="69">
        <f t="shared" si="66"/>
        <v>21.324290999473376</v>
      </c>
      <c r="DM59" s="70">
        <f t="shared" si="67"/>
        <v>34.400413950283884</v>
      </c>
    </row>
    <row r="60" spans="1:117">
      <c r="A60" t="s">
        <v>355</v>
      </c>
      <c r="B60">
        <v>2158643</v>
      </c>
      <c r="C60">
        <v>1309385</v>
      </c>
      <c r="D60" s="51">
        <v>42040.34</v>
      </c>
      <c r="E60" s="32">
        <f t="shared" si="0"/>
        <v>55046990590.899994</v>
      </c>
      <c r="F60">
        <v>89678</v>
      </c>
      <c r="G60" s="37">
        <f t="shared" si="1"/>
        <v>4.1543692032448162E-2</v>
      </c>
      <c r="H60">
        <v>0</v>
      </c>
      <c r="I60" s="3">
        <f t="shared" si="2"/>
        <v>0</v>
      </c>
      <c r="J60" s="11">
        <f>+'Seat capacity elasticities'!K90</f>
        <v>0</v>
      </c>
      <c r="K60" s="11">
        <f>+'Seat capacity elasticities'!L90</f>
        <v>0</v>
      </c>
      <c r="L60" s="11">
        <f>+'Seat capacity elasticities'!M90</f>
        <v>0</v>
      </c>
      <c r="M60" s="11">
        <f>+'Seat capacity elasticities'!N90</f>
        <v>0</v>
      </c>
      <c r="N60" s="32">
        <f t="shared" si="12"/>
        <v>0</v>
      </c>
      <c r="O60" s="33">
        <f t="shared" si="13"/>
        <v>0</v>
      </c>
      <c r="P60" s="40">
        <f t="shared" si="14"/>
        <v>0</v>
      </c>
      <c r="Q60" s="33">
        <f t="shared" si="15"/>
        <v>0</v>
      </c>
      <c r="R60" s="40">
        <f t="shared" si="16"/>
        <v>0</v>
      </c>
      <c r="S60" s="41">
        <f t="shared" si="17"/>
        <v>0</v>
      </c>
      <c r="T60" s="40">
        <f t="shared" si="18"/>
        <v>0</v>
      </c>
      <c r="U60" s="41">
        <f t="shared" si="19"/>
        <v>0</v>
      </c>
      <c r="V60" s="53"/>
      <c r="W60" s="53"/>
      <c r="X60" t="s">
        <v>355</v>
      </c>
      <c r="Y60">
        <v>2158643</v>
      </c>
      <c r="Z60">
        <v>1309385</v>
      </c>
      <c r="AA60" s="51">
        <v>42040.34</v>
      </c>
      <c r="AB60" s="32">
        <f t="shared" si="3"/>
        <v>55046990590.899994</v>
      </c>
      <c r="AC60">
        <v>89678</v>
      </c>
      <c r="AD60" s="37">
        <f t="shared" si="4"/>
        <v>4.1543692032448162E-2</v>
      </c>
      <c r="AE60">
        <v>9.5703000000000003E-3</v>
      </c>
      <c r="AF60" s="3">
        <f t="shared" si="5"/>
        <v>9.5703000000000002E-5</v>
      </c>
      <c r="AG60" s="11">
        <f>+'Seat capacity elasticities'!R90</f>
        <v>1.4209638752104386E-2</v>
      </c>
      <c r="AH60" s="11">
        <f>+'Seat capacity elasticities'!S90</f>
        <v>2.6931195968236142E-2</v>
      </c>
      <c r="AI60" s="11">
        <f>+'Seat capacity elasticities'!T90</f>
        <v>3.8986734482308064E-2</v>
      </c>
      <c r="AJ60" s="11">
        <f>+'Seat capacity elasticities'!U90</f>
        <v>3.1892205751858589E-2</v>
      </c>
      <c r="AK60" s="32">
        <f t="shared" si="20"/>
        <v>7821978.5068717804</v>
      </c>
      <c r="AL60" s="33">
        <f t="shared" si="21"/>
        <v>1.4209638752104385E-4</v>
      </c>
      <c r="AM60" s="40">
        <f t="shared" si="22"/>
        <v>14824812.910651786</v>
      </c>
      <c r="AN60" s="33">
        <f t="shared" si="23"/>
        <v>2.6931195968236141E-4</v>
      </c>
      <c r="AO60" s="40">
        <f t="shared" si="24"/>
        <v>34962523.749044225</v>
      </c>
      <c r="AP60" s="41">
        <f t="shared" si="25"/>
        <v>3.8986734482308064E-4</v>
      </c>
      <c r="AQ60" s="40">
        <f t="shared" si="26"/>
        <v>28600292.274151746</v>
      </c>
      <c r="AR60" s="41">
        <f t="shared" si="27"/>
        <v>3.1892205751858589E-4</v>
      </c>
      <c r="AV60" t="s">
        <v>355</v>
      </c>
      <c r="AW60">
        <v>2158643</v>
      </c>
      <c r="AX60">
        <v>1309385</v>
      </c>
      <c r="AY60" s="51">
        <v>42040.34</v>
      </c>
      <c r="AZ60" s="32">
        <f t="shared" si="6"/>
        <v>55046990590.899994</v>
      </c>
      <c r="BA60">
        <v>89678</v>
      </c>
      <c r="BB60" s="37">
        <f t="shared" si="7"/>
        <v>4.1543692032448162E-2</v>
      </c>
      <c r="BC60">
        <v>0</v>
      </c>
      <c r="BD60" s="3">
        <f t="shared" si="8"/>
        <v>0</v>
      </c>
      <c r="BE60" s="11">
        <f>+'Seat capacity elasticities'!Y90</f>
        <v>0</v>
      </c>
      <c r="BF60" s="11">
        <f>+'Seat capacity elasticities'!Z90</f>
        <v>0</v>
      </c>
      <c r="BG60" s="11">
        <f>+'Seat capacity elasticities'!AA90</f>
        <v>0</v>
      </c>
      <c r="BH60" s="11">
        <f>+'Seat capacity elasticities'!AB90</f>
        <v>0</v>
      </c>
      <c r="BI60" s="32">
        <f t="shared" si="28"/>
        <v>0</v>
      </c>
      <c r="BJ60" s="33">
        <f t="shared" si="29"/>
        <v>0</v>
      </c>
      <c r="BK60" s="40">
        <f t="shared" si="30"/>
        <v>0</v>
      </c>
      <c r="BL60" s="33">
        <f t="shared" si="31"/>
        <v>0</v>
      </c>
      <c r="BM60" s="40">
        <f t="shared" si="32"/>
        <v>0</v>
      </c>
      <c r="BN60" s="41">
        <f t="shared" si="33"/>
        <v>0</v>
      </c>
      <c r="BO60" s="40">
        <f t="shared" si="34"/>
        <v>0</v>
      </c>
      <c r="BP60" s="41">
        <f t="shared" si="35"/>
        <v>0</v>
      </c>
      <c r="BQ60" s="53"/>
      <c r="BR60" s="53"/>
      <c r="BS60" t="s">
        <v>355</v>
      </c>
      <c r="BT60">
        <v>2158643</v>
      </c>
      <c r="BU60">
        <v>1309385</v>
      </c>
      <c r="BV60" s="51">
        <v>42040.34</v>
      </c>
      <c r="BW60" s="32">
        <f t="shared" si="9"/>
        <v>55046990590.899994</v>
      </c>
      <c r="BX60">
        <v>89678</v>
      </c>
      <c r="BY60" s="37">
        <f t="shared" si="10"/>
        <v>4.1543692032448162E-2</v>
      </c>
      <c r="BZ60">
        <v>9.5703000000000003E-3</v>
      </c>
      <c r="CA60" s="3">
        <f t="shared" si="11"/>
        <v>9.5703000000000002E-5</v>
      </c>
      <c r="CB60" s="11">
        <f>+'Seat capacity elasticities'!AF90</f>
        <v>9.4121930297959393E-3</v>
      </c>
      <c r="CC60" s="11">
        <f>+'Seat capacity elasticities'!AG90</f>
        <v>7.5211234538073227E-3</v>
      </c>
      <c r="CD60" s="11">
        <f>+'Seat capacity elasticities'!AH90</f>
        <v>2.5824067518573694E-2</v>
      </c>
      <c r="CE60" s="11">
        <f>+'Seat capacity elasticities'!AI90</f>
        <v>8.9065935637191989E-3</v>
      </c>
      <c r="CF60" s="32">
        <f t="shared" si="36"/>
        <v>5181129.0115091158</v>
      </c>
      <c r="CG60" s="33">
        <f t="shared" si="37"/>
        <v>9.4121930297959397E-5</v>
      </c>
      <c r="CH60" s="40">
        <f t="shared" si="38"/>
        <v>4140152.1199472896</v>
      </c>
      <c r="CI60" s="33">
        <f t="shared" si="39"/>
        <v>7.521123453807323E-5</v>
      </c>
      <c r="CJ60" s="40">
        <f t="shared" si="40"/>
        <v>23158507.269306514</v>
      </c>
      <c r="CK60" s="41">
        <f t="shared" si="41"/>
        <v>2.5824067518573693E-4</v>
      </c>
      <c r="CL60" s="40">
        <f t="shared" si="42"/>
        <v>7987254.9760721028</v>
      </c>
      <c r="CM60" s="41">
        <f t="shared" si="43"/>
        <v>8.9065935637191979E-5</v>
      </c>
      <c r="CO60" s="70">
        <f t="shared" si="44"/>
        <v>0</v>
      </c>
      <c r="CP60" s="70">
        <f t="shared" si="45"/>
        <v>0</v>
      </c>
      <c r="CQ60" s="70">
        <f t="shared" si="46"/>
        <v>0</v>
      </c>
      <c r="CR60" s="70">
        <f t="shared" si="47"/>
        <v>0</v>
      </c>
      <c r="CS60" s="70">
        <f t="shared" si="48"/>
        <v>0</v>
      </c>
      <c r="CT60" s="70">
        <f t="shared" si="49"/>
        <v>0</v>
      </c>
      <c r="CU60" s="69">
        <f t="shared" si="50"/>
        <v>0</v>
      </c>
      <c r="CV60" s="69">
        <f t="shared" si="51"/>
        <v>0</v>
      </c>
      <c r="CW60" s="70">
        <f t="shared" si="52"/>
        <v>0</v>
      </c>
      <c r="CX60" s="69">
        <f t="shared" si="53"/>
        <v>0</v>
      </c>
      <c r="CY60" s="69">
        <f t="shared" si="54"/>
        <v>0</v>
      </c>
      <c r="CZ60" s="70">
        <f t="shared" si="55"/>
        <v>0</v>
      </c>
      <c r="DB60" s="70">
        <f t="shared" si="56"/>
        <v>5.9737804441564402</v>
      </c>
      <c r="DC60" s="70">
        <f t="shared" si="57"/>
        <v>3.9569179511825139</v>
      </c>
      <c r="DD60" s="70">
        <f t="shared" si="58"/>
        <v>9.930698395338954</v>
      </c>
      <c r="DE60" s="70">
        <f t="shared" si="59"/>
        <v>11.321966351112764</v>
      </c>
      <c r="DF60" s="70">
        <f t="shared" si="60"/>
        <v>3.1619058718003412</v>
      </c>
      <c r="DG60" s="70">
        <f t="shared" si="61"/>
        <v>14.483872222913105</v>
      </c>
      <c r="DH60" s="69">
        <f t="shared" si="62"/>
        <v>26.701484856664941</v>
      </c>
      <c r="DI60" s="69">
        <f t="shared" si="63"/>
        <v>17.686553053003138</v>
      </c>
      <c r="DJ60" s="70">
        <f t="shared" si="64"/>
        <v>44.388037909668078</v>
      </c>
      <c r="DK60" s="69">
        <f t="shared" si="65"/>
        <v>21.84253850025145</v>
      </c>
      <c r="DL60" s="69">
        <f t="shared" si="66"/>
        <v>6.1000049458884158</v>
      </c>
      <c r="DM60" s="70">
        <f t="shared" si="67"/>
        <v>27.942543446139865</v>
      </c>
    </row>
    <row r="61" spans="1:117">
      <c r="A61" t="s">
        <v>356</v>
      </c>
      <c r="B61">
        <v>261757</v>
      </c>
      <c r="C61">
        <v>147168</v>
      </c>
      <c r="D61" s="51">
        <v>28013.72</v>
      </c>
      <c r="E61" s="32">
        <f t="shared" si="0"/>
        <v>4122723144.96</v>
      </c>
      <c r="F61">
        <v>4969</v>
      </c>
      <c r="G61" s="37">
        <f t="shared" si="1"/>
        <v>1.8983255462127088E-2</v>
      </c>
      <c r="H61">
        <v>0</v>
      </c>
      <c r="I61" s="3">
        <f t="shared" si="2"/>
        <v>0</v>
      </c>
      <c r="J61" s="11">
        <f>+'Seat capacity elasticities'!K91</f>
        <v>0</v>
      </c>
      <c r="K61" s="11">
        <f>+'Seat capacity elasticities'!L91</f>
        <v>0</v>
      </c>
      <c r="L61" s="11">
        <f>+'Seat capacity elasticities'!M91</f>
        <v>0</v>
      </c>
      <c r="M61" s="11">
        <f>+'Seat capacity elasticities'!N91</f>
        <v>0</v>
      </c>
      <c r="N61" s="32">
        <f t="shared" si="12"/>
        <v>0</v>
      </c>
      <c r="O61" s="33">
        <f t="shared" si="13"/>
        <v>0</v>
      </c>
      <c r="P61" s="40">
        <f t="shared" si="14"/>
        <v>0</v>
      </c>
      <c r="Q61" s="33">
        <f t="shared" si="15"/>
        <v>0</v>
      </c>
      <c r="R61" s="40">
        <f t="shared" si="16"/>
        <v>0</v>
      </c>
      <c r="S61" s="41">
        <f t="shared" si="17"/>
        <v>0</v>
      </c>
      <c r="T61" s="40">
        <f t="shared" si="18"/>
        <v>0</v>
      </c>
      <c r="U61" s="41">
        <f t="shared" si="19"/>
        <v>0</v>
      </c>
      <c r="V61" s="53"/>
      <c r="W61" s="53"/>
      <c r="X61" t="s">
        <v>356</v>
      </c>
      <c r="Y61">
        <v>261757</v>
      </c>
      <c r="Z61">
        <v>147168</v>
      </c>
      <c r="AA61" s="51">
        <v>28013.72</v>
      </c>
      <c r="AB61" s="32">
        <f t="shared" si="3"/>
        <v>4122723144.96</v>
      </c>
      <c r="AC61">
        <v>4969</v>
      </c>
      <c r="AD61" s="37">
        <f t="shared" si="4"/>
        <v>1.8983255462127088E-2</v>
      </c>
      <c r="AE61">
        <v>1.8766E-3</v>
      </c>
      <c r="AF61" s="3">
        <f t="shared" si="5"/>
        <v>1.8766E-5</v>
      </c>
      <c r="AG61" s="11">
        <f>+'Seat capacity elasticities'!R91</f>
        <v>1.3739666502064402E-2</v>
      </c>
      <c r="AH61" s="11">
        <f>+'Seat capacity elasticities'!S91</f>
        <v>2.6040468555226768E-2</v>
      </c>
      <c r="AI61" s="11">
        <f>+'Seat capacity elasticities'!T91</f>
        <v>3.7697279933461898E-2</v>
      </c>
      <c r="AJ61" s="11">
        <f>+'Seat capacity elasticities'!U91</f>
        <v>3.0837396973294857E-2</v>
      </c>
      <c r="AK61" s="32">
        <f t="shared" si="20"/>
        <v>566448.41092092521</v>
      </c>
      <c r="AL61" s="33">
        <f t="shared" si="21"/>
        <v>1.3739666502064405E-4</v>
      </c>
      <c r="AM61" s="40">
        <f t="shared" si="22"/>
        <v>1073576.4241823649</v>
      </c>
      <c r="AN61" s="33">
        <f t="shared" si="23"/>
        <v>2.6040468555226767E-4</v>
      </c>
      <c r="AO61" s="40">
        <f t="shared" si="24"/>
        <v>1873177.8398937217</v>
      </c>
      <c r="AP61" s="41">
        <f t="shared" si="25"/>
        <v>3.7697279933461894E-4</v>
      </c>
      <c r="AQ61" s="40">
        <f t="shared" si="26"/>
        <v>1532310.2556030212</v>
      </c>
      <c r="AR61" s="41">
        <f t="shared" si="27"/>
        <v>3.0837396973294853E-4</v>
      </c>
      <c r="AV61" t="s">
        <v>356</v>
      </c>
      <c r="AW61">
        <v>261757</v>
      </c>
      <c r="AX61">
        <v>147168</v>
      </c>
      <c r="AY61" s="51">
        <v>28013.72</v>
      </c>
      <c r="AZ61" s="32">
        <f t="shared" si="6"/>
        <v>4122723144.96</v>
      </c>
      <c r="BA61">
        <v>4969</v>
      </c>
      <c r="BB61" s="37">
        <f t="shared" si="7"/>
        <v>1.8983255462127088E-2</v>
      </c>
      <c r="BC61">
        <v>0</v>
      </c>
      <c r="BD61" s="3">
        <f t="shared" si="8"/>
        <v>0</v>
      </c>
      <c r="BE61" s="11">
        <f>+'Seat capacity elasticities'!Y91</f>
        <v>0</v>
      </c>
      <c r="BF61" s="11">
        <f>+'Seat capacity elasticities'!Z91</f>
        <v>0</v>
      </c>
      <c r="BG61" s="11">
        <f>+'Seat capacity elasticities'!AA91</f>
        <v>0</v>
      </c>
      <c r="BH61" s="11">
        <f>+'Seat capacity elasticities'!AB91</f>
        <v>0</v>
      </c>
      <c r="BI61" s="32">
        <f t="shared" si="28"/>
        <v>0</v>
      </c>
      <c r="BJ61" s="33">
        <f t="shared" si="29"/>
        <v>0</v>
      </c>
      <c r="BK61" s="40">
        <f t="shared" si="30"/>
        <v>0</v>
      </c>
      <c r="BL61" s="33">
        <f t="shared" si="31"/>
        <v>0</v>
      </c>
      <c r="BM61" s="40">
        <f t="shared" si="32"/>
        <v>0</v>
      </c>
      <c r="BN61" s="41">
        <f t="shared" si="33"/>
        <v>0</v>
      </c>
      <c r="BO61" s="40">
        <f t="shared" si="34"/>
        <v>0</v>
      </c>
      <c r="BP61" s="41">
        <f t="shared" si="35"/>
        <v>0</v>
      </c>
      <c r="BQ61" s="53"/>
      <c r="BR61" s="53"/>
      <c r="BS61" t="s">
        <v>356</v>
      </c>
      <c r="BT61">
        <v>261757</v>
      </c>
      <c r="BU61">
        <v>147168</v>
      </c>
      <c r="BV61" s="51">
        <v>28013.72</v>
      </c>
      <c r="BW61" s="32">
        <f t="shared" si="9"/>
        <v>4122723144.96</v>
      </c>
      <c r="BX61">
        <v>4969</v>
      </c>
      <c r="BY61" s="37">
        <f t="shared" si="10"/>
        <v>1.8983255462127088E-2</v>
      </c>
      <c r="BZ61">
        <v>1.8766E-3</v>
      </c>
      <c r="CA61" s="3">
        <f t="shared" si="11"/>
        <v>1.8766E-5</v>
      </c>
      <c r="CB61" s="11">
        <f>+'Seat capacity elasticities'!AF91</f>
        <v>1.5220170055613073E-2</v>
      </c>
      <c r="CC61" s="11">
        <f>+'Seat capacity elasticities'!AG91</f>
        <v>1.2162179166303098E-2</v>
      </c>
      <c r="CD61" s="11">
        <f>+'Seat capacity elasticities'!AH91</f>
        <v>4.1759311343920344E-2</v>
      </c>
      <c r="CE61" s="11">
        <f>+'Seat capacity elasticities'!AI91</f>
        <v>1.4402580591674723E-2</v>
      </c>
      <c r="CF61" s="32">
        <f t="shared" si="36"/>
        <v>627485.47358503158</v>
      </c>
      <c r="CG61" s="33">
        <f t="shared" si="37"/>
        <v>1.5220170055613077E-4</v>
      </c>
      <c r="CH61" s="40">
        <f t="shared" si="38"/>
        <v>501412.97542068106</v>
      </c>
      <c r="CI61" s="33">
        <f t="shared" si="39"/>
        <v>1.2162179166303099E-4</v>
      </c>
      <c r="CJ61" s="40">
        <f t="shared" si="40"/>
        <v>2075020.1806794021</v>
      </c>
      <c r="CK61" s="41">
        <f t="shared" si="41"/>
        <v>4.1759311343920346E-4</v>
      </c>
      <c r="CL61" s="40">
        <f t="shared" si="42"/>
        <v>715664.22960031708</v>
      </c>
      <c r="CM61" s="41">
        <f t="shared" si="43"/>
        <v>1.4402580591674725E-4</v>
      </c>
      <c r="CO61" s="70">
        <f t="shared" si="44"/>
        <v>0</v>
      </c>
      <c r="CP61" s="70">
        <f t="shared" si="45"/>
        <v>0</v>
      </c>
      <c r="CQ61" s="70">
        <f t="shared" si="46"/>
        <v>0</v>
      </c>
      <c r="CR61" s="70">
        <f t="shared" si="47"/>
        <v>0</v>
      </c>
      <c r="CS61" s="70">
        <f t="shared" si="48"/>
        <v>0</v>
      </c>
      <c r="CT61" s="70">
        <f t="shared" si="49"/>
        <v>0</v>
      </c>
      <c r="CU61" s="69">
        <f t="shared" si="50"/>
        <v>0</v>
      </c>
      <c r="CV61" s="69">
        <f t="shared" si="51"/>
        <v>0</v>
      </c>
      <c r="CW61" s="70">
        <f t="shared" si="52"/>
        <v>0</v>
      </c>
      <c r="CX61" s="69">
        <f t="shared" si="53"/>
        <v>0</v>
      </c>
      <c r="CY61" s="69">
        <f t="shared" si="54"/>
        <v>0</v>
      </c>
      <c r="CZ61" s="70">
        <f t="shared" si="55"/>
        <v>0</v>
      </c>
      <c r="DB61" s="70">
        <f t="shared" si="56"/>
        <v>3.8489917028221163</v>
      </c>
      <c r="DC61" s="70">
        <f t="shared" si="57"/>
        <v>4.2637358229032909</v>
      </c>
      <c r="DD61" s="70">
        <f t="shared" si="58"/>
        <v>8.1127275257254077</v>
      </c>
      <c r="DE61" s="70">
        <f t="shared" si="59"/>
        <v>7.2949039477492725</v>
      </c>
      <c r="DF61" s="70">
        <f t="shared" si="60"/>
        <v>3.4070788175464846</v>
      </c>
      <c r="DG61" s="70">
        <f t="shared" si="61"/>
        <v>10.701982765295757</v>
      </c>
      <c r="DH61" s="69">
        <f t="shared" si="62"/>
        <v>12.728159925348729</v>
      </c>
      <c r="DI61" s="69">
        <f t="shared" si="63"/>
        <v>14.099669633883739</v>
      </c>
      <c r="DJ61" s="70">
        <f t="shared" si="64"/>
        <v>26.82782955923247</v>
      </c>
      <c r="DK61" s="69">
        <f t="shared" si="65"/>
        <v>10.411979884234489</v>
      </c>
      <c r="DL61" s="69">
        <f t="shared" si="66"/>
        <v>4.8629065394672555</v>
      </c>
      <c r="DM61" s="70">
        <f t="shared" si="67"/>
        <v>15.274886423701744</v>
      </c>
    </row>
    <row r="62" spans="1:117">
      <c r="A62" t="s">
        <v>289</v>
      </c>
      <c r="B62">
        <v>2094051</v>
      </c>
      <c r="C62">
        <v>1316713</v>
      </c>
      <c r="D62" s="51">
        <v>41348.39</v>
      </c>
      <c r="E62" s="32">
        <f t="shared" si="0"/>
        <v>54443962642.07</v>
      </c>
      <c r="F62">
        <v>93805</v>
      </c>
      <c r="G62" s="37">
        <f t="shared" si="1"/>
        <v>4.4795948140709085E-2</v>
      </c>
      <c r="H62">
        <v>4.1006000000000003E-3</v>
      </c>
      <c r="I62" s="3">
        <f t="shared" si="2"/>
        <v>4.1006E-5</v>
      </c>
      <c r="J62" s="11">
        <f>+'Seat capacity elasticities'!K92</f>
        <v>6.4719013719253191E-3</v>
      </c>
      <c r="K62" s="11">
        <f>+'Seat capacity elasticities'!L92</f>
        <v>3.2112754037206155E-2</v>
      </c>
      <c r="L62" s="11">
        <f>+'Seat capacity elasticities'!M92</f>
        <v>1.7756841309253583E-2</v>
      </c>
      <c r="M62" s="11">
        <f>+'Seat capacity elasticities'!N92</f>
        <v>3.8028261359849401E-2</v>
      </c>
      <c r="N62" s="32">
        <f t="shared" si="12"/>
        <v>3523559.5651626363</v>
      </c>
      <c r="O62" s="33">
        <f t="shared" si="13"/>
        <v>6.4719013719253193E-5</v>
      </c>
      <c r="P62" s="40">
        <f t="shared" si="14"/>
        <v>17483455.811356343</v>
      </c>
      <c r="Q62" s="33">
        <f t="shared" si="15"/>
        <v>3.2112754037206154E-4</v>
      </c>
      <c r="R62" s="40">
        <f t="shared" si="16"/>
        <v>16656804.990145326</v>
      </c>
      <c r="S62" s="41">
        <f t="shared" si="17"/>
        <v>1.7756841309253584E-4</v>
      </c>
      <c r="T62" s="40">
        <f t="shared" si="18"/>
        <v>35672410.568606734</v>
      </c>
      <c r="U62" s="41">
        <f t="shared" si="19"/>
        <v>3.8028261359849402E-4</v>
      </c>
      <c r="V62" s="53"/>
      <c r="W62" s="53"/>
      <c r="X62" t="s">
        <v>289</v>
      </c>
      <c r="Y62">
        <v>2094051</v>
      </c>
      <c r="Z62">
        <v>1316713</v>
      </c>
      <c r="AA62" s="51">
        <v>41348.39</v>
      </c>
      <c r="AB62" s="32">
        <f t="shared" si="3"/>
        <v>54443962642.07</v>
      </c>
      <c r="AC62">
        <v>93805</v>
      </c>
      <c r="AD62" s="37">
        <f t="shared" si="4"/>
        <v>4.4795948140709085E-2</v>
      </c>
      <c r="AE62">
        <v>1.2255200000000001E-2</v>
      </c>
      <c r="AF62" s="3">
        <f t="shared" si="5"/>
        <v>1.22552E-4</v>
      </c>
      <c r="AG62" s="11">
        <f>+'Seat capacity elasticities'!R92</f>
        <v>1.7781372129902547E-2</v>
      </c>
      <c r="AH62" s="11">
        <f>+'Seat capacity elasticities'!S92</f>
        <v>3.3700618697545627E-2</v>
      </c>
      <c r="AI62" s="11">
        <f>+'Seat capacity elasticities'!T92</f>
        <v>4.8786436168685686E-2</v>
      </c>
      <c r="AJ62" s="11">
        <f>+'Seat capacity elasticities'!U92</f>
        <v>3.9908627404988239E-2</v>
      </c>
      <c r="AK62" s="32">
        <f t="shared" si="20"/>
        <v>9680883.5996515881</v>
      </c>
      <c r="AL62" s="33">
        <f t="shared" si="21"/>
        <v>1.7781372129902544E-4</v>
      </c>
      <c r="AM62" s="40">
        <f t="shared" si="22"/>
        <v>18347952.253838196</v>
      </c>
      <c r="AN62" s="33">
        <f t="shared" si="23"/>
        <v>3.3700618697545621E-4</v>
      </c>
      <c r="AO62" s="40">
        <f t="shared" si="24"/>
        <v>45764116.448035605</v>
      </c>
      <c r="AP62" s="41">
        <f t="shared" si="25"/>
        <v>4.8786436168685686E-4</v>
      </c>
      <c r="AQ62" s="40">
        <f t="shared" si="26"/>
        <v>37436287.937249221</v>
      </c>
      <c r="AR62" s="41">
        <f t="shared" si="27"/>
        <v>3.9908627404988244E-4</v>
      </c>
      <c r="AV62" t="s">
        <v>289</v>
      </c>
      <c r="AW62">
        <v>2094051</v>
      </c>
      <c r="AX62">
        <v>1316713</v>
      </c>
      <c r="AY62" s="51">
        <v>41348.39</v>
      </c>
      <c r="AZ62" s="32">
        <f t="shared" si="6"/>
        <v>54443962642.07</v>
      </c>
      <c r="BA62">
        <v>93805</v>
      </c>
      <c r="BB62" s="37">
        <f t="shared" si="7"/>
        <v>4.4795948140709085E-2</v>
      </c>
      <c r="BC62">
        <v>4.1006000000000003E-3</v>
      </c>
      <c r="BD62" s="3">
        <f t="shared" si="8"/>
        <v>4.1006E-5</v>
      </c>
      <c r="BE62" s="11">
        <f>+'Seat capacity elasticities'!Y92</f>
        <v>3.9606903292290538E-2</v>
      </c>
      <c r="BF62" s="11">
        <f>+'Seat capacity elasticities'!Z92</f>
        <v>0.1080414086235592</v>
      </c>
      <c r="BG62" s="11">
        <f>+'Seat capacity elasticities'!AA92</f>
        <v>0.10866875993552638</v>
      </c>
      <c r="BH62" s="11">
        <f>+'Seat capacity elasticities'!AB92</f>
        <v>0.12794377337000432</v>
      </c>
      <c r="BI62" s="32">
        <f t="shared" si="28"/>
        <v>21563567.632135451</v>
      </c>
      <c r="BJ62" s="33">
        <f t="shared" si="29"/>
        <v>3.9606903292290532E-4</v>
      </c>
      <c r="BK62" s="40">
        <f t="shared" si="30"/>
        <v>58822024.148976758</v>
      </c>
      <c r="BL62" s="33">
        <f t="shared" si="31"/>
        <v>1.0804140862355918E-3</v>
      </c>
      <c r="BM62" s="40">
        <f t="shared" si="32"/>
        <v>101936730.25752053</v>
      </c>
      <c r="BN62" s="41">
        <f t="shared" si="33"/>
        <v>1.086687599355264E-3</v>
      </c>
      <c r="BO62" s="40">
        <f t="shared" si="34"/>
        <v>120017656.60973255</v>
      </c>
      <c r="BP62" s="41">
        <f t="shared" si="35"/>
        <v>1.2794377337000432E-3</v>
      </c>
      <c r="BQ62" s="53"/>
      <c r="BR62" s="53"/>
      <c r="BS62" t="s">
        <v>289</v>
      </c>
      <c r="BT62">
        <v>2094051</v>
      </c>
      <c r="BU62">
        <v>1316713</v>
      </c>
      <c r="BV62" s="51">
        <v>41348.39</v>
      </c>
      <c r="BW62" s="32">
        <f t="shared" si="9"/>
        <v>54443962642.07</v>
      </c>
      <c r="BX62">
        <v>93805</v>
      </c>
      <c r="BY62" s="37">
        <f t="shared" si="10"/>
        <v>4.4795948140709085E-2</v>
      </c>
      <c r="BZ62">
        <v>1.2255200000000001E-2</v>
      </c>
      <c r="CA62" s="3">
        <f t="shared" si="11"/>
        <v>1.22552E-4</v>
      </c>
      <c r="CB62" s="11">
        <f>+'Seat capacity elasticities'!AF92</f>
        <v>1.2424509314537641E-2</v>
      </c>
      <c r="CC62" s="11">
        <f>+'Seat capacity elasticities'!AG92</f>
        <v>9.9282141910813082E-3</v>
      </c>
      <c r="CD62" s="11">
        <f>+'Seat capacity elasticities'!AH92</f>
        <v>3.408890642255815E-2</v>
      </c>
      <c r="CE62" s="11">
        <f>+'Seat capacity elasticities'!AI92</f>
        <v>1.1757095752596286E-2</v>
      </c>
      <c r="CF62" s="32">
        <f t="shared" si="36"/>
        <v>6764395.20966738</v>
      </c>
      <c r="CG62" s="33">
        <f t="shared" si="37"/>
        <v>1.2424509314537641E-4</v>
      </c>
      <c r="CH62" s="40">
        <f t="shared" si="38"/>
        <v>5405313.2252169997</v>
      </c>
      <c r="CI62" s="33">
        <f t="shared" si="39"/>
        <v>9.9282141910813086E-5</v>
      </c>
      <c r="CJ62" s="40">
        <f t="shared" si="40"/>
        <v>31977098.66968067</v>
      </c>
      <c r="CK62" s="41">
        <f t="shared" si="41"/>
        <v>3.4088906422558149E-4</v>
      </c>
      <c r="CL62" s="40">
        <f t="shared" si="42"/>
        <v>11028743.670722948</v>
      </c>
      <c r="CM62" s="41">
        <f t="shared" si="43"/>
        <v>1.1757095752596288E-4</v>
      </c>
      <c r="CO62" s="70">
        <f t="shared" si="44"/>
        <v>2.6760270196790312</v>
      </c>
      <c r="CP62" s="70">
        <f t="shared" si="45"/>
        <v>16.376816840219128</v>
      </c>
      <c r="CQ62" s="70">
        <f t="shared" si="46"/>
        <v>19.052843859898161</v>
      </c>
      <c r="CR62" s="70">
        <f t="shared" si="47"/>
        <v>13.278106779044744</v>
      </c>
      <c r="CS62" s="70">
        <f t="shared" si="48"/>
        <v>44.673382999162882</v>
      </c>
      <c r="CT62" s="70">
        <f t="shared" si="49"/>
        <v>57.95148977820763</v>
      </c>
      <c r="CU62" s="69">
        <f t="shared" si="50"/>
        <v>12.650292804996477</v>
      </c>
      <c r="CV62" s="69">
        <f t="shared" si="51"/>
        <v>77.417577146667895</v>
      </c>
      <c r="CW62" s="70">
        <f t="shared" si="52"/>
        <v>90.067869951664377</v>
      </c>
      <c r="CX62" s="69">
        <f t="shared" si="53"/>
        <v>27.092016687468519</v>
      </c>
      <c r="CY62" s="69">
        <f t="shared" si="54"/>
        <v>91.149443052307191</v>
      </c>
      <c r="CZ62" s="70">
        <f t="shared" si="55"/>
        <v>118.24145973977571</v>
      </c>
      <c r="DB62" s="70">
        <f t="shared" si="56"/>
        <v>7.3523110956234108</v>
      </c>
      <c r="DC62" s="70">
        <f t="shared" si="57"/>
        <v>5.1373345669613499</v>
      </c>
      <c r="DD62" s="70">
        <f t="shared" si="58"/>
        <v>12.48964566258476</v>
      </c>
      <c r="DE62" s="70">
        <f t="shared" si="59"/>
        <v>13.934663251474085</v>
      </c>
      <c r="DF62" s="70">
        <f t="shared" si="60"/>
        <v>4.1051567237636446</v>
      </c>
      <c r="DG62" s="70">
        <f t="shared" si="61"/>
        <v>18.03981997523773</v>
      </c>
      <c r="DH62" s="69">
        <f t="shared" si="62"/>
        <v>34.75633372499216</v>
      </c>
      <c r="DI62" s="69">
        <f t="shared" si="63"/>
        <v>24.285549447511091</v>
      </c>
      <c r="DJ62" s="70">
        <f t="shared" si="64"/>
        <v>59.041883172503248</v>
      </c>
      <c r="DK62" s="69">
        <f t="shared" si="65"/>
        <v>28.431623244586497</v>
      </c>
      <c r="DL62" s="69">
        <f t="shared" si="66"/>
        <v>8.3759662665462766</v>
      </c>
      <c r="DM62" s="70">
        <f t="shared" si="67"/>
        <v>36.807589511132775</v>
      </c>
    </row>
    <row r="63" spans="1:117">
      <c r="A63" t="s">
        <v>357</v>
      </c>
      <c r="B63">
        <v>207140</v>
      </c>
      <c r="C63">
        <v>121819</v>
      </c>
      <c r="D63" s="51">
        <v>29503.57</v>
      </c>
      <c r="E63" s="32">
        <f t="shared" si="0"/>
        <v>3594095393.8299999</v>
      </c>
      <c r="F63">
        <v>4551</v>
      </c>
      <c r="G63" s="37">
        <f t="shared" si="1"/>
        <v>2.1970647871005118E-2</v>
      </c>
      <c r="H63">
        <v>0</v>
      </c>
      <c r="I63" s="3">
        <f t="shared" si="2"/>
        <v>0</v>
      </c>
      <c r="J63" s="11">
        <f>+'Seat capacity elasticities'!K93</f>
        <v>0</v>
      </c>
      <c r="K63" s="11">
        <f>+'Seat capacity elasticities'!L93</f>
        <v>0</v>
      </c>
      <c r="L63" s="11">
        <f>+'Seat capacity elasticities'!M93</f>
        <v>0</v>
      </c>
      <c r="M63" s="11">
        <f>+'Seat capacity elasticities'!N93</f>
        <v>0</v>
      </c>
      <c r="N63" s="32">
        <f t="shared" si="12"/>
        <v>0</v>
      </c>
      <c r="O63" s="33">
        <f t="shared" si="13"/>
        <v>0</v>
      </c>
      <c r="P63" s="40">
        <f t="shared" si="14"/>
        <v>0</v>
      </c>
      <c r="Q63" s="33">
        <f t="shared" si="15"/>
        <v>0</v>
      </c>
      <c r="R63" s="40">
        <f t="shared" si="16"/>
        <v>0</v>
      </c>
      <c r="S63" s="41">
        <f t="shared" si="17"/>
        <v>0</v>
      </c>
      <c r="T63" s="40">
        <f t="shared" si="18"/>
        <v>0</v>
      </c>
      <c r="U63" s="41">
        <f t="shared" si="19"/>
        <v>0</v>
      </c>
      <c r="V63" s="53"/>
      <c r="W63" s="53"/>
      <c r="X63" t="s">
        <v>357</v>
      </c>
      <c r="Y63">
        <v>207140</v>
      </c>
      <c r="Z63">
        <v>121819</v>
      </c>
      <c r="AA63" s="51">
        <v>29503.57</v>
      </c>
      <c r="AB63" s="32">
        <f t="shared" si="3"/>
        <v>3594095393.8299999</v>
      </c>
      <c r="AC63">
        <v>4551</v>
      </c>
      <c r="AD63" s="37">
        <f t="shared" si="4"/>
        <v>2.1970647871005118E-2</v>
      </c>
      <c r="AE63">
        <v>4.5678000000000003E-3</v>
      </c>
      <c r="AF63" s="3">
        <f t="shared" si="5"/>
        <v>4.5678000000000005E-5</v>
      </c>
      <c r="AG63" s="11">
        <f>+'Seat capacity elasticities'!R93</f>
        <v>1.7105097364704665E-2</v>
      </c>
      <c r="AH63" s="11">
        <f>+'Seat capacity elasticities'!S93</f>
        <v>3.2418890952903297E-2</v>
      </c>
      <c r="AI63" s="11">
        <f>+'Seat capacity elasticities'!T93</f>
        <v>4.6930953058395473E-2</v>
      </c>
      <c r="AJ63" s="11">
        <f>+'Seat capacity elasticities'!U93</f>
        <v>3.8390791917911803E-2</v>
      </c>
      <c r="AK63" s="32">
        <f t="shared" si="20"/>
        <v>614773.51649498707</v>
      </c>
      <c r="AL63" s="33">
        <f t="shared" si="21"/>
        <v>1.7105097364704665E-4</v>
      </c>
      <c r="AM63" s="40">
        <f t="shared" si="22"/>
        <v>1165165.866469068</v>
      </c>
      <c r="AN63" s="33">
        <f t="shared" si="23"/>
        <v>3.2418890952903297E-4</v>
      </c>
      <c r="AO63" s="40">
        <f t="shared" si="24"/>
        <v>2135827.6736875786</v>
      </c>
      <c r="AP63" s="41">
        <f t="shared" si="25"/>
        <v>4.6930953058395487E-4</v>
      </c>
      <c r="AQ63" s="40">
        <f t="shared" si="26"/>
        <v>1747164.9401841662</v>
      </c>
      <c r="AR63" s="41">
        <f t="shared" si="27"/>
        <v>3.8390791917911803E-4</v>
      </c>
      <c r="AV63" t="s">
        <v>357</v>
      </c>
      <c r="AW63">
        <v>207140</v>
      </c>
      <c r="AX63">
        <v>121819</v>
      </c>
      <c r="AY63" s="51">
        <v>29503.57</v>
      </c>
      <c r="AZ63" s="32">
        <f t="shared" si="6"/>
        <v>3594095393.8299999</v>
      </c>
      <c r="BA63">
        <v>4551</v>
      </c>
      <c r="BB63" s="37">
        <f t="shared" si="7"/>
        <v>2.1970647871005118E-2</v>
      </c>
      <c r="BC63">
        <v>0</v>
      </c>
      <c r="BD63" s="3">
        <f t="shared" si="8"/>
        <v>0</v>
      </c>
      <c r="BE63" s="11">
        <f>+'Seat capacity elasticities'!Y93</f>
        <v>0</v>
      </c>
      <c r="BF63" s="11">
        <f>+'Seat capacity elasticities'!Z93</f>
        <v>0</v>
      </c>
      <c r="BG63" s="11">
        <f>+'Seat capacity elasticities'!AA93</f>
        <v>0</v>
      </c>
      <c r="BH63" s="11">
        <f>+'Seat capacity elasticities'!AB93</f>
        <v>0</v>
      </c>
      <c r="BI63" s="32">
        <f t="shared" si="28"/>
        <v>0</v>
      </c>
      <c r="BJ63" s="33">
        <f t="shared" si="29"/>
        <v>0</v>
      </c>
      <c r="BK63" s="40">
        <f t="shared" si="30"/>
        <v>0</v>
      </c>
      <c r="BL63" s="33">
        <f t="shared" si="31"/>
        <v>0</v>
      </c>
      <c r="BM63" s="40">
        <f t="shared" si="32"/>
        <v>0</v>
      </c>
      <c r="BN63" s="41">
        <f t="shared" si="33"/>
        <v>0</v>
      </c>
      <c r="BO63" s="40">
        <f t="shared" si="34"/>
        <v>0</v>
      </c>
      <c r="BP63" s="41">
        <f t="shared" si="35"/>
        <v>0</v>
      </c>
      <c r="BQ63" s="53"/>
      <c r="BR63" s="53"/>
      <c r="BS63" t="s">
        <v>357</v>
      </c>
      <c r="BT63">
        <v>207140</v>
      </c>
      <c r="BU63">
        <v>121819</v>
      </c>
      <c r="BV63" s="51">
        <v>29503.57</v>
      </c>
      <c r="BW63" s="32">
        <f t="shared" si="9"/>
        <v>3594095393.8299999</v>
      </c>
      <c r="BX63">
        <v>4551</v>
      </c>
      <c r="BY63" s="37">
        <f t="shared" si="10"/>
        <v>2.1970647871005118E-2</v>
      </c>
      <c r="BZ63">
        <v>4.5678000000000003E-3</v>
      </c>
      <c r="CA63" s="3">
        <f t="shared" si="11"/>
        <v>4.5678000000000005E-5</v>
      </c>
      <c r="CB63" s="11">
        <f>+'Seat capacity elasticities'!AF93</f>
        <v>4.6815450369023348E-2</v>
      </c>
      <c r="CC63" s="11">
        <f>+'Seat capacity elasticities'!AG93</f>
        <v>3.740943058183837E-2</v>
      </c>
      <c r="CD63" s="11">
        <f>+'Seat capacity elasticities'!AH93</f>
        <v>0.12844672303414348</v>
      </c>
      <c r="CE63" s="11">
        <f>+'Seat capacity elasticities'!AI93</f>
        <v>4.430064147849281E-2</v>
      </c>
      <c r="CF63" s="32">
        <f t="shared" si="36"/>
        <v>1682591.9453138378</v>
      </c>
      <c r="CG63" s="33">
        <f t="shared" si="37"/>
        <v>4.6815450369023349E-4</v>
      </c>
      <c r="CH63" s="40">
        <f t="shared" si="38"/>
        <v>1344530.6213998841</v>
      </c>
      <c r="CI63" s="33">
        <f t="shared" si="39"/>
        <v>3.7409430581838369E-4</v>
      </c>
      <c r="CJ63" s="40">
        <f t="shared" si="40"/>
        <v>5845610.3652838701</v>
      </c>
      <c r="CK63" s="41">
        <f t="shared" si="41"/>
        <v>1.284467230341435E-3</v>
      </c>
      <c r="CL63" s="40">
        <f t="shared" si="42"/>
        <v>2016122.1936862082</v>
      </c>
      <c r="CM63" s="41">
        <f t="shared" si="43"/>
        <v>4.4300641478492821E-4</v>
      </c>
      <c r="CO63" s="70">
        <f t="shared" si="44"/>
        <v>0</v>
      </c>
      <c r="CP63" s="70">
        <f t="shared" si="45"/>
        <v>0</v>
      </c>
      <c r="CQ63" s="70">
        <f t="shared" si="46"/>
        <v>0</v>
      </c>
      <c r="CR63" s="70">
        <f t="shared" si="47"/>
        <v>0</v>
      </c>
      <c r="CS63" s="70">
        <f t="shared" si="48"/>
        <v>0</v>
      </c>
      <c r="CT63" s="70">
        <f t="shared" si="49"/>
        <v>0</v>
      </c>
      <c r="CU63" s="69">
        <f t="shared" si="50"/>
        <v>0</v>
      </c>
      <c r="CV63" s="69">
        <f t="shared" si="51"/>
        <v>0</v>
      </c>
      <c r="CW63" s="70">
        <f t="shared" si="52"/>
        <v>0</v>
      </c>
      <c r="CX63" s="69">
        <f t="shared" si="53"/>
        <v>0</v>
      </c>
      <c r="CY63" s="69">
        <f t="shared" si="54"/>
        <v>0</v>
      </c>
      <c r="CZ63" s="70">
        <f t="shared" si="55"/>
        <v>0</v>
      </c>
      <c r="DB63" s="70">
        <f t="shared" si="56"/>
        <v>5.0466143745637959</v>
      </c>
      <c r="DC63" s="70">
        <f t="shared" si="57"/>
        <v>13.812229170440061</v>
      </c>
      <c r="DD63" s="70">
        <f t="shared" si="58"/>
        <v>18.858843545003857</v>
      </c>
      <c r="DE63" s="70">
        <f t="shared" si="59"/>
        <v>9.5647301855134916</v>
      </c>
      <c r="DF63" s="70">
        <f t="shared" si="60"/>
        <v>11.03711753831409</v>
      </c>
      <c r="DG63" s="70">
        <f t="shared" si="61"/>
        <v>20.601847723827582</v>
      </c>
      <c r="DH63" s="69">
        <f t="shared" si="62"/>
        <v>17.532795981641442</v>
      </c>
      <c r="DI63" s="69">
        <f t="shared" si="63"/>
        <v>47.986031450626506</v>
      </c>
      <c r="DJ63" s="70">
        <f t="shared" si="64"/>
        <v>65.518827432267955</v>
      </c>
      <c r="DK63" s="69">
        <f t="shared" si="65"/>
        <v>14.342302433808898</v>
      </c>
      <c r="DL63" s="69">
        <f t="shared" si="66"/>
        <v>16.550145656147301</v>
      </c>
      <c r="DM63" s="70">
        <f t="shared" si="67"/>
        <v>30.892448089956197</v>
      </c>
    </row>
    <row r="64" spans="1:117">
      <c r="A64" t="s">
        <v>974</v>
      </c>
      <c r="B64">
        <v>616975</v>
      </c>
      <c r="C64">
        <v>382201</v>
      </c>
      <c r="D64" s="51">
        <v>37982.879999999997</v>
      </c>
      <c r="E64" s="32">
        <f t="shared" si="0"/>
        <v>14517094718.879999</v>
      </c>
      <c r="F64">
        <v>17616</v>
      </c>
      <c r="G64" s="37">
        <f t="shared" si="1"/>
        <v>2.855221038129584E-2</v>
      </c>
      <c r="H64">
        <v>0</v>
      </c>
      <c r="I64" s="3">
        <f t="shared" si="2"/>
        <v>0</v>
      </c>
      <c r="J64" s="11">
        <f>+'Seat capacity elasticities'!K94</f>
        <v>0</v>
      </c>
      <c r="K64" s="11">
        <f>+'Seat capacity elasticities'!L94</f>
        <v>0</v>
      </c>
      <c r="L64" s="11">
        <f>+'Seat capacity elasticities'!M94</f>
        <v>0</v>
      </c>
      <c r="M64" s="11">
        <f>+'Seat capacity elasticities'!N94</f>
        <v>0</v>
      </c>
      <c r="N64" s="32">
        <f t="shared" si="12"/>
        <v>0</v>
      </c>
      <c r="O64" s="33">
        <f t="shared" si="13"/>
        <v>0</v>
      </c>
      <c r="P64" s="40">
        <f t="shared" si="14"/>
        <v>0</v>
      </c>
      <c r="Q64" s="33">
        <f t="shared" si="15"/>
        <v>0</v>
      </c>
      <c r="R64" s="40">
        <f t="shared" si="16"/>
        <v>0</v>
      </c>
      <c r="S64" s="41">
        <f t="shared" si="17"/>
        <v>0</v>
      </c>
      <c r="T64" s="40">
        <f t="shared" si="18"/>
        <v>0</v>
      </c>
      <c r="U64" s="41">
        <f t="shared" si="19"/>
        <v>0</v>
      </c>
      <c r="V64" s="53"/>
      <c r="W64" s="53"/>
      <c r="X64" t="s">
        <v>974</v>
      </c>
      <c r="Y64">
        <v>616975</v>
      </c>
      <c r="Z64">
        <v>382201</v>
      </c>
      <c r="AA64" s="51">
        <v>37982.879999999997</v>
      </c>
      <c r="AB64" s="32">
        <f t="shared" si="3"/>
        <v>14517094718.879999</v>
      </c>
      <c r="AC64">
        <v>17616</v>
      </c>
      <c r="AD64" s="37">
        <f t="shared" si="4"/>
        <v>2.855221038129584E-2</v>
      </c>
      <c r="AE64">
        <v>6.0648999999999998E-3</v>
      </c>
      <c r="AF64" s="3">
        <f t="shared" si="5"/>
        <v>6.0649000000000002E-5</v>
      </c>
      <c r="AG64" s="11">
        <f>+'Seat capacity elasticities'!R94</f>
        <v>1.3965512550868605E-2</v>
      </c>
      <c r="AH64" s="11">
        <f>+'Seat capacity elasticities'!S94</f>
        <v>2.6468509289062948E-2</v>
      </c>
      <c r="AI64" s="11">
        <f>+'Seat capacity elasticities'!T94</f>
        <v>3.8316929742455375E-2</v>
      </c>
      <c r="AJ64" s="11">
        <f>+'Seat capacity elasticities'!U94</f>
        <v>3.1344287315995596E-2</v>
      </c>
      <c r="AK64" s="32">
        <f t="shared" si="20"/>
        <v>2027386.68498667</v>
      </c>
      <c r="AL64" s="33">
        <f t="shared" si="21"/>
        <v>1.3965512550868608E-4</v>
      </c>
      <c r="AM64" s="40">
        <f t="shared" si="22"/>
        <v>3842458.5641688197</v>
      </c>
      <c r="AN64" s="33">
        <f t="shared" si="23"/>
        <v>2.6468509289062951E-4</v>
      </c>
      <c r="AO64" s="40">
        <f t="shared" si="24"/>
        <v>6749910.3434309401</v>
      </c>
      <c r="AP64" s="41">
        <f t="shared" si="25"/>
        <v>3.8316929742455378E-4</v>
      </c>
      <c r="AQ64" s="40">
        <f t="shared" si="26"/>
        <v>5521609.6535857841</v>
      </c>
      <c r="AR64" s="41">
        <f t="shared" si="27"/>
        <v>3.13442873159956E-4</v>
      </c>
      <c r="AV64" t="s">
        <v>974</v>
      </c>
      <c r="AW64">
        <v>616975</v>
      </c>
      <c r="AX64">
        <v>382201</v>
      </c>
      <c r="AY64" s="51">
        <v>37982.879999999997</v>
      </c>
      <c r="AZ64" s="32">
        <f t="shared" si="6"/>
        <v>14517094718.879999</v>
      </c>
      <c r="BA64">
        <v>17616</v>
      </c>
      <c r="BB64" s="37">
        <f t="shared" si="7"/>
        <v>2.855221038129584E-2</v>
      </c>
      <c r="BC64">
        <v>0</v>
      </c>
      <c r="BD64" s="3">
        <f t="shared" si="8"/>
        <v>0</v>
      </c>
      <c r="BE64" s="11">
        <f>+'Seat capacity elasticities'!Y94</f>
        <v>0</v>
      </c>
      <c r="BF64" s="11">
        <f>+'Seat capacity elasticities'!Z94</f>
        <v>0</v>
      </c>
      <c r="BG64" s="11">
        <f>+'Seat capacity elasticities'!AA94</f>
        <v>0</v>
      </c>
      <c r="BH64" s="11">
        <f>+'Seat capacity elasticities'!AB94</f>
        <v>0</v>
      </c>
      <c r="BI64" s="32">
        <f t="shared" si="28"/>
        <v>0</v>
      </c>
      <c r="BJ64" s="33">
        <f t="shared" si="29"/>
        <v>0</v>
      </c>
      <c r="BK64" s="40">
        <f t="shared" si="30"/>
        <v>0</v>
      </c>
      <c r="BL64" s="33">
        <f t="shared" si="31"/>
        <v>0</v>
      </c>
      <c r="BM64" s="40">
        <f t="shared" si="32"/>
        <v>0</v>
      </c>
      <c r="BN64" s="41">
        <f t="shared" si="33"/>
        <v>0</v>
      </c>
      <c r="BO64" s="40">
        <f t="shared" si="34"/>
        <v>0</v>
      </c>
      <c r="BP64" s="41">
        <f t="shared" si="35"/>
        <v>0</v>
      </c>
      <c r="BQ64" s="53"/>
      <c r="BR64" s="53"/>
      <c r="BS64" t="s">
        <v>974</v>
      </c>
      <c r="BT64">
        <v>616975</v>
      </c>
      <c r="BU64">
        <v>382201</v>
      </c>
      <c r="BV64" s="51">
        <v>37982.879999999997</v>
      </c>
      <c r="BW64" s="32">
        <f t="shared" si="9"/>
        <v>14517094718.879999</v>
      </c>
      <c r="BX64">
        <v>17616</v>
      </c>
      <c r="BY64" s="37">
        <f t="shared" si="10"/>
        <v>2.855221038129584E-2</v>
      </c>
      <c r="BZ64">
        <v>6.0648999999999998E-3</v>
      </c>
      <c r="CA64" s="3">
        <f t="shared" si="11"/>
        <v>6.0649000000000002E-5</v>
      </c>
      <c r="CB64" s="11">
        <f>+'Seat capacity elasticities'!AF94</f>
        <v>2.0869025765485903E-2</v>
      </c>
      <c r="CC64" s="11">
        <f>+'Seat capacity elasticities'!AG94</f>
        <v>1.6676083740104541E-2</v>
      </c>
      <c r="CD64" s="11">
        <f>+'Seat capacity elasticities'!AH94</f>
        <v>5.7257976829492012E-2</v>
      </c>
      <c r="CE64" s="11">
        <f>+'Seat capacity elasticities'!AI94</f>
        <v>1.9747993902755379E-2</v>
      </c>
      <c r="CF64" s="32">
        <f t="shared" si="36"/>
        <v>3029576.2372830608</v>
      </c>
      <c r="CG64" s="33">
        <f t="shared" si="37"/>
        <v>2.0869025765485907E-4</v>
      </c>
      <c r="CH64" s="40">
        <f t="shared" si="38"/>
        <v>2420882.8719507228</v>
      </c>
      <c r="CI64" s="33">
        <f t="shared" si="39"/>
        <v>1.6676083740104543E-4</v>
      </c>
      <c r="CJ64" s="40">
        <f t="shared" si="40"/>
        <v>10086565.198283313</v>
      </c>
      <c r="CK64" s="41">
        <f t="shared" si="41"/>
        <v>5.7257976829492012E-4</v>
      </c>
      <c r="CL64" s="40">
        <f t="shared" si="42"/>
        <v>3478806.6059093876</v>
      </c>
      <c r="CM64" s="41">
        <f t="shared" si="43"/>
        <v>1.9747993902755379E-4</v>
      </c>
      <c r="CO64" s="70">
        <f t="shared" si="44"/>
        <v>0</v>
      </c>
      <c r="CP64" s="70">
        <f t="shared" si="45"/>
        <v>0</v>
      </c>
      <c r="CQ64" s="70">
        <f t="shared" si="46"/>
        <v>0</v>
      </c>
      <c r="CR64" s="70">
        <f t="shared" si="47"/>
        <v>0</v>
      </c>
      <c r="CS64" s="70">
        <f t="shared" si="48"/>
        <v>0</v>
      </c>
      <c r="CT64" s="70">
        <f t="shared" si="49"/>
        <v>0</v>
      </c>
      <c r="CU64" s="69">
        <f t="shared" si="50"/>
        <v>0</v>
      </c>
      <c r="CV64" s="69">
        <f t="shared" si="51"/>
        <v>0</v>
      </c>
      <c r="CW64" s="70">
        <f t="shared" si="52"/>
        <v>0</v>
      </c>
      <c r="CX64" s="69">
        <f t="shared" si="53"/>
        <v>0</v>
      </c>
      <c r="CY64" s="69">
        <f t="shared" si="54"/>
        <v>0</v>
      </c>
      <c r="CZ64" s="70">
        <f t="shared" si="55"/>
        <v>0</v>
      </c>
      <c r="DB64" s="70">
        <f t="shared" si="56"/>
        <v>5.3045038735813614</v>
      </c>
      <c r="DC64" s="70">
        <f t="shared" si="57"/>
        <v>7.9266570136735925</v>
      </c>
      <c r="DD64" s="70">
        <f t="shared" si="58"/>
        <v>13.231160887254955</v>
      </c>
      <c r="DE64" s="70">
        <f t="shared" si="59"/>
        <v>10.053502121053633</v>
      </c>
      <c r="DF64" s="70">
        <f t="shared" si="60"/>
        <v>6.3340568757034195</v>
      </c>
      <c r="DG64" s="70">
        <f t="shared" si="61"/>
        <v>16.387558996757051</v>
      </c>
      <c r="DH64" s="69">
        <f t="shared" si="62"/>
        <v>17.660629729987466</v>
      </c>
      <c r="DI64" s="69">
        <f t="shared" si="63"/>
        <v>26.390734713627943</v>
      </c>
      <c r="DJ64" s="70">
        <f t="shared" si="64"/>
        <v>44.051364443615412</v>
      </c>
      <c r="DK64" s="69">
        <f t="shared" si="65"/>
        <v>14.446873905577913</v>
      </c>
      <c r="DL64" s="69">
        <f t="shared" si="66"/>
        <v>9.1020342853875</v>
      </c>
      <c r="DM64" s="70">
        <f t="shared" si="67"/>
        <v>23.548908190965413</v>
      </c>
    </row>
    <row r="65" spans="1:117">
      <c r="A65" t="s">
        <v>358</v>
      </c>
      <c r="B65">
        <v>164182</v>
      </c>
      <c r="C65">
        <v>117487</v>
      </c>
      <c r="D65" s="51">
        <v>30922.92</v>
      </c>
      <c r="E65" s="32">
        <f t="shared" si="0"/>
        <v>3633041102.04</v>
      </c>
      <c r="F65">
        <v>4204</v>
      </c>
      <c r="G65" s="37">
        <f t="shared" si="1"/>
        <v>2.5605730226212375E-2</v>
      </c>
      <c r="H65">
        <v>0</v>
      </c>
      <c r="I65" s="3">
        <f t="shared" si="2"/>
        <v>0</v>
      </c>
      <c r="J65" s="11">
        <f>+'Seat capacity elasticities'!K95</f>
        <v>0</v>
      </c>
      <c r="K65" s="11">
        <f>+'Seat capacity elasticities'!L95</f>
        <v>0</v>
      </c>
      <c r="L65" s="11">
        <f>+'Seat capacity elasticities'!M95</f>
        <v>0</v>
      </c>
      <c r="M65" s="11">
        <f>+'Seat capacity elasticities'!N95</f>
        <v>0</v>
      </c>
      <c r="N65" s="32">
        <f t="shared" si="12"/>
        <v>0</v>
      </c>
      <c r="O65" s="33">
        <f t="shared" si="13"/>
        <v>0</v>
      </c>
      <c r="P65" s="40">
        <f t="shared" si="14"/>
        <v>0</v>
      </c>
      <c r="Q65" s="33">
        <f t="shared" si="15"/>
        <v>0</v>
      </c>
      <c r="R65" s="40">
        <f t="shared" si="16"/>
        <v>0</v>
      </c>
      <c r="S65" s="41">
        <f t="shared" si="17"/>
        <v>0</v>
      </c>
      <c r="T65" s="40">
        <f t="shared" si="18"/>
        <v>0</v>
      </c>
      <c r="U65" s="41">
        <f t="shared" si="19"/>
        <v>0</v>
      </c>
      <c r="V65" s="53"/>
      <c r="W65" s="53"/>
      <c r="X65" t="s">
        <v>358</v>
      </c>
      <c r="Y65">
        <v>164182</v>
      </c>
      <c r="Z65">
        <v>117487</v>
      </c>
      <c r="AA65" s="51">
        <v>30922.92</v>
      </c>
      <c r="AB65" s="32">
        <f t="shared" si="3"/>
        <v>3633041102.04</v>
      </c>
      <c r="AC65">
        <v>4204</v>
      </c>
      <c r="AD65" s="37">
        <f t="shared" si="4"/>
        <v>2.5605730226212375E-2</v>
      </c>
      <c r="AE65">
        <v>5.5263999999999999E-3</v>
      </c>
      <c r="AF65" s="3">
        <f t="shared" si="5"/>
        <v>5.5263999999999998E-5</v>
      </c>
      <c r="AG65" s="11">
        <f>+'Seat capacity elasticities'!R95</f>
        <v>1.465573109115176E-2</v>
      </c>
      <c r="AH65" s="11">
        <f>+'Seat capacity elasticities'!S95</f>
        <v>2.7776664344484236E-2</v>
      </c>
      <c r="AI65" s="11">
        <f>+'Seat capacity elasticities'!T95</f>
        <v>4.0210670141788224E-2</v>
      </c>
      <c r="AJ65" s="11">
        <f>+'Seat capacity elasticities'!U95</f>
        <v>3.2893418302678702E-2</v>
      </c>
      <c r="AK65" s="32">
        <f t="shared" si="20"/>
        <v>532448.73434599885</v>
      </c>
      <c r="AL65" s="33">
        <f t="shared" si="21"/>
        <v>1.465573109115176E-4</v>
      </c>
      <c r="AM65" s="40">
        <f t="shared" si="22"/>
        <v>1009137.6324108019</v>
      </c>
      <c r="AN65" s="33">
        <f t="shared" si="23"/>
        <v>2.7776664344484242E-4</v>
      </c>
      <c r="AO65" s="40">
        <f t="shared" si="24"/>
        <v>1690456.5727607773</v>
      </c>
      <c r="AP65" s="41">
        <f t="shared" si="25"/>
        <v>4.0210670141788233E-4</v>
      </c>
      <c r="AQ65" s="40">
        <f t="shared" si="26"/>
        <v>1382839.3054446126</v>
      </c>
      <c r="AR65" s="41">
        <f t="shared" si="27"/>
        <v>3.2893418302678705E-4</v>
      </c>
      <c r="AV65" t="s">
        <v>358</v>
      </c>
      <c r="AW65">
        <v>164182</v>
      </c>
      <c r="AX65">
        <v>117487</v>
      </c>
      <c r="AY65" s="51">
        <v>30922.92</v>
      </c>
      <c r="AZ65" s="32">
        <f t="shared" si="6"/>
        <v>3633041102.04</v>
      </c>
      <c r="BA65">
        <v>4204</v>
      </c>
      <c r="BB65" s="37">
        <f t="shared" si="7"/>
        <v>2.5605730226212375E-2</v>
      </c>
      <c r="BC65">
        <v>0</v>
      </c>
      <c r="BD65" s="3">
        <f t="shared" si="8"/>
        <v>0</v>
      </c>
      <c r="BE65" s="11">
        <f>+'Seat capacity elasticities'!Y95</f>
        <v>0</v>
      </c>
      <c r="BF65" s="11">
        <f>+'Seat capacity elasticities'!Z95</f>
        <v>0</v>
      </c>
      <c r="BG65" s="11">
        <f>+'Seat capacity elasticities'!AA95</f>
        <v>0</v>
      </c>
      <c r="BH65" s="11">
        <f>+'Seat capacity elasticities'!AB95</f>
        <v>0</v>
      </c>
      <c r="BI65" s="32">
        <f t="shared" si="28"/>
        <v>0</v>
      </c>
      <c r="BJ65" s="33">
        <f t="shared" si="29"/>
        <v>0</v>
      </c>
      <c r="BK65" s="40">
        <f t="shared" si="30"/>
        <v>0</v>
      </c>
      <c r="BL65" s="33">
        <f t="shared" si="31"/>
        <v>0</v>
      </c>
      <c r="BM65" s="40">
        <f t="shared" si="32"/>
        <v>0</v>
      </c>
      <c r="BN65" s="41">
        <f t="shared" si="33"/>
        <v>0</v>
      </c>
      <c r="BO65" s="40">
        <f t="shared" si="34"/>
        <v>0</v>
      </c>
      <c r="BP65" s="41">
        <f t="shared" si="35"/>
        <v>0</v>
      </c>
      <c r="BQ65" s="53"/>
      <c r="BR65" s="53"/>
      <c r="BS65" t="s">
        <v>358</v>
      </c>
      <c r="BT65">
        <v>164182</v>
      </c>
      <c r="BU65">
        <v>117487</v>
      </c>
      <c r="BV65" s="51">
        <v>30922.92</v>
      </c>
      <c r="BW65" s="32">
        <f t="shared" si="9"/>
        <v>3633041102.04</v>
      </c>
      <c r="BX65">
        <v>4204</v>
      </c>
      <c r="BY65" s="37">
        <f t="shared" si="10"/>
        <v>2.5605730226212375E-2</v>
      </c>
      <c r="BZ65">
        <v>5.5263999999999999E-3</v>
      </c>
      <c r="CA65" s="3">
        <f t="shared" si="11"/>
        <v>5.5263999999999998E-5</v>
      </c>
      <c r="CB65" s="11">
        <f>+'Seat capacity elasticities'!AF95</f>
        <v>7.1459976912053982E-2</v>
      </c>
      <c r="CC65" s="11">
        <f>+'Seat capacity elasticities'!AG95</f>
        <v>5.7102452814169639E-2</v>
      </c>
      <c r="CD65" s="11">
        <f>+'Seat capacity elasticities'!AH95</f>
        <v>0.19606347456014811</v>
      </c>
      <c r="CE65" s="11">
        <f>+'Seat capacity elasticities'!AI95</f>
        <v>6.7621325700990359E-2</v>
      </c>
      <c r="CF65" s="32">
        <f t="shared" si="36"/>
        <v>2596170.3327232157</v>
      </c>
      <c r="CG65" s="33">
        <f t="shared" si="37"/>
        <v>7.1459976912053983E-4</v>
      </c>
      <c r="CH65" s="40">
        <f t="shared" si="38"/>
        <v>2074555.5810117798</v>
      </c>
      <c r="CI65" s="33">
        <f t="shared" si="39"/>
        <v>5.7102452814169645E-4</v>
      </c>
      <c r="CJ65" s="40">
        <f t="shared" si="40"/>
        <v>8242508.4705086285</v>
      </c>
      <c r="CK65" s="41">
        <f t="shared" si="41"/>
        <v>1.9606347456014818E-3</v>
      </c>
      <c r="CL65" s="40">
        <f t="shared" si="42"/>
        <v>2842800.5324696349</v>
      </c>
      <c r="CM65" s="41">
        <f t="shared" si="43"/>
        <v>6.7621325700990365E-4</v>
      </c>
      <c r="CO65" s="70">
        <f t="shared" si="44"/>
        <v>0</v>
      </c>
      <c r="CP65" s="70">
        <f t="shared" si="45"/>
        <v>0</v>
      </c>
      <c r="CQ65" s="70">
        <f t="shared" si="46"/>
        <v>0</v>
      </c>
      <c r="CR65" s="70">
        <f t="shared" si="47"/>
        <v>0</v>
      </c>
      <c r="CS65" s="70">
        <f t="shared" si="48"/>
        <v>0</v>
      </c>
      <c r="CT65" s="70">
        <f t="shared" si="49"/>
        <v>0</v>
      </c>
      <c r="CU65" s="69">
        <f t="shared" si="50"/>
        <v>0</v>
      </c>
      <c r="CV65" s="69">
        <f t="shared" si="51"/>
        <v>0</v>
      </c>
      <c r="CW65" s="70">
        <f t="shared" si="52"/>
        <v>0</v>
      </c>
      <c r="CX65" s="69">
        <f t="shared" si="53"/>
        <v>0</v>
      </c>
      <c r="CY65" s="69">
        <f t="shared" si="54"/>
        <v>0</v>
      </c>
      <c r="CZ65" s="70">
        <f t="shared" si="55"/>
        <v>0</v>
      </c>
      <c r="DB65" s="70">
        <f t="shared" si="56"/>
        <v>4.5319800007319859</v>
      </c>
      <c r="DC65" s="70">
        <f t="shared" si="57"/>
        <v>22.097511492532924</v>
      </c>
      <c r="DD65" s="70">
        <f t="shared" si="58"/>
        <v>26.629491493264908</v>
      </c>
      <c r="DE65" s="70">
        <f t="shared" si="59"/>
        <v>8.5893556939133848</v>
      </c>
      <c r="DF65" s="70">
        <f t="shared" si="60"/>
        <v>17.657745801763429</v>
      </c>
      <c r="DG65" s="70">
        <f t="shared" si="61"/>
        <v>26.247101495676816</v>
      </c>
      <c r="DH65" s="69">
        <f t="shared" si="62"/>
        <v>14.388456363348944</v>
      </c>
      <c r="DI65" s="69">
        <f t="shared" si="63"/>
        <v>70.156770285296489</v>
      </c>
      <c r="DJ65" s="70">
        <f t="shared" si="64"/>
        <v>84.545226648645439</v>
      </c>
      <c r="DK65" s="69">
        <f t="shared" si="65"/>
        <v>11.770147381792135</v>
      </c>
      <c r="DL65" s="69">
        <f t="shared" si="66"/>
        <v>24.196724169224126</v>
      </c>
      <c r="DM65" s="70">
        <f t="shared" si="67"/>
        <v>35.966871551016261</v>
      </c>
    </row>
    <row r="66" spans="1:117">
      <c r="A66" t="s">
        <v>359</v>
      </c>
      <c r="B66">
        <v>732558</v>
      </c>
      <c r="C66">
        <v>477256</v>
      </c>
      <c r="D66" s="51">
        <v>34438.730000000003</v>
      </c>
      <c r="E66" s="32">
        <f t="shared" si="0"/>
        <v>16436090524.880001</v>
      </c>
      <c r="F66">
        <v>23459</v>
      </c>
      <c r="G66" s="37">
        <f t="shared" si="1"/>
        <v>3.202340292509262E-2</v>
      </c>
      <c r="H66">
        <v>0</v>
      </c>
      <c r="I66" s="3">
        <f t="shared" si="2"/>
        <v>0</v>
      </c>
      <c r="J66" s="11">
        <f>+'Seat capacity elasticities'!K96</f>
        <v>0</v>
      </c>
      <c r="K66" s="11">
        <f>+'Seat capacity elasticities'!L96</f>
        <v>0</v>
      </c>
      <c r="L66" s="11">
        <f>+'Seat capacity elasticities'!M96</f>
        <v>0</v>
      </c>
      <c r="M66" s="11">
        <f>+'Seat capacity elasticities'!N96</f>
        <v>0</v>
      </c>
      <c r="N66" s="32">
        <f t="shared" si="12"/>
        <v>0</v>
      </c>
      <c r="O66" s="33">
        <f t="shared" si="13"/>
        <v>0</v>
      </c>
      <c r="P66" s="40">
        <f t="shared" si="14"/>
        <v>0</v>
      </c>
      <c r="Q66" s="33">
        <f t="shared" si="15"/>
        <v>0</v>
      </c>
      <c r="R66" s="40">
        <f t="shared" si="16"/>
        <v>0</v>
      </c>
      <c r="S66" s="41">
        <f t="shared" si="17"/>
        <v>0</v>
      </c>
      <c r="T66" s="40">
        <f t="shared" si="18"/>
        <v>0</v>
      </c>
      <c r="U66" s="41">
        <f t="shared" si="19"/>
        <v>0</v>
      </c>
      <c r="V66" s="53"/>
      <c r="W66" s="53"/>
      <c r="X66" t="s">
        <v>359</v>
      </c>
      <c r="Y66">
        <v>732558</v>
      </c>
      <c r="Z66">
        <v>477256</v>
      </c>
      <c r="AA66" s="51">
        <v>34438.730000000003</v>
      </c>
      <c r="AB66" s="32">
        <f t="shared" si="3"/>
        <v>16436090524.880001</v>
      </c>
      <c r="AC66">
        <v>23459</v>
      </c>
      <c r="AD66" s="37">
        <f t="shared" si="4"/>
        <v>3.202340292509262E-2</v>
      </c>
      <c r="AE66">
        <v>2.3804E-3</v>
      </c>
      <c r="AF66" s="3">
        <f t="shared" si="5"/>
        <v>2.3804000000000001E-5</v>
      </c>
      <c r="AG66" s="11">
        <f>+'Seat capacity elasticities'!R96</f>
        <v>3.9939227473215488E-3</v>
      </c>
      <c r="AH66" s="11">
        <f>+'Seat capacity elasticities'!S96</f>
        <v>7.5695883665011102E-3</v>
      </c>
      <c r="AI66" s="11">
        <f>+'Seat capacity elasticities'!T96</f>
        <v>1.0958055191207136E-2</v>
      </c>
      <c r="AJ66" s="11">
        <f>+'Seat capacity elasticities'!U96</f>
        <v>8.963986223488157E-3</v>
      </c>
      <c r="AK66" s="32">
        <f t="shared" si="20"/>
        <v>656444.75824354414</v>
      </c>
      <c r="AL66" s="33">
        <f t="shared" si="21"/>
        <v>3.9939227473215487E-5</v>
      </c>
      <c r="AM66" s="40">
        <f t="shared" si="22"/>
        <v>1244144.3962789078</v>
      </c>
      <c r="AN66" s="33">
        <f t="shared" si="23"/>
        <v>7.5695883665011105E-5</v>
      </c>
      <c r="AO66" s="40">
        <f t="shared" si="24"/>
        <v>2570650.1673052823</v>
      </c>
      <c r="AP66" s="41">
        <f t="shared" si="25"/>
        <v>1.0958055191207137E-4</v>
      </c>
      <c r="AQ66" s="40">
        <f t="shared" si="26"/>
        <v>2102861.5281680864</v>
      </c>
      <c r="AR66" s="41">
        <f t="shared" si="27"/>
        <v>8.9639862234881557E-5</v>
      </c>
      <c r="AV66" t="s">
        <v>359</v>
      </c>
      <c r="AW66">
        <v>732558</v>
      </c>
      <c r="AX66">
        <v>477256</v>
      </c>
      <c r="AY66" s="51">
        <v>34438.730000000003</v>
      </c>
      <c r="AZ66" s="32">
        <f t="shared" si="6"/>
        <v>16436090524.880001</v>
      </c>
      <c r="BA66">
        <v>23459</v>
      </c>
      <c r="BB66" s="37">
        <f t="shared" si="7"/>
        <v>3.202340292509262E-2</v>
      </c>
      <c r="BC66">
        <v>0</v>
      </c>
      <c r="BD66" s="3">
        <f t="shared" si="8"/>
        <v>0</v>
      </c>
      <c r="BE66" s="11">
        <f>+'Seat capacity elasticities'!Y96</f>
        <v>0</v>
      </c>
      <c r="BF66" s="11">
        <f>+'Seat capacity elasticities'!Z96</f>
        <v>0</v>
      </c>
      <c r="BG66" s="11">
        <f>+'Seat capacity elasticities'!AA96</f>
        <v>0</v>
      </c>
      <c r="BH66" s="11">
        <f>+'Seat capacity elasticities'!AB96</f>
        <v>0</v>
      </c>
      <c r="BI66" s="32">
        <f t="shared" si="28"/>
        <v>0</v>
      </c>
      <c r="BJ66" s="33">
        <f t="shared" si="29"/>
        <v>0</v>
      </c>
      <c r="BK66" s="40">
        <f t="shared" si="30"/>
        <v>0</v>
      </c>
      <c r="BL66" s="33">
        <f t="shared" si="31"/>
        <v>0</v>
      </c>
      <c r="BM66" s="40">
        <f t="shared" si="32"/>
        <v>0</v>
      </c>
      <c r="BN66" s="41">
        <f t="shared" si="33"/>
        <v>0</v>
      </c>
      <c r="BO66" s="40">
        <f t="shared" si="34"/>
        <v>0</v>
      </c>
      <c r="BP66" s="41">
        <f t="shared" si="35"/>
        <v>0</v>
      </c>
      <c r="BQ66" s="53"/>
      <c r="BR66" s="53"/>
      <c r="BS66" t="s">
        <v>359</v>
      </c>
      <c r="BT66">
        <v>732558</v>
      </c>
      <c r="BU66">
        <v>477256</v>
      </c>
      <c r="BV66" s="51">
        <v>34438.730000000003</v>
      </c>
      <c r="BW66" s="32">
        <f t="shared" si="9"/>
        <v>16436090524.880001</v>
      </c>
      <c r="BX66">
        <v>23459</v>
      </c>
      <c r="BY66" s="37">
        <f t="shared" si="10"/>
        <v>3.202340292509262E-2</v>
      </c>
      <c r="BZ66">
        <v>2.3804E-3</v>
      </c>
      <c r="CA66" s="3">
        <f t="shared" si="11"/>
        <v>2.3804000000000001E-5</v>
      </c>
      <c r="CB66" s="11">
        <f>+'Seat capacity elasticities'!AF96</f>
        <v>6.8984897530599996E-3</v>
      </c>
      <c r="CC66" s="11">
        <f>+'Seat capacity elasticities'!AG96</f>
        <v>5.512465895391218E-3</v>
      </c>
      <c r="CD66" s="11">
        <f>+'Seat capacity elasticities'!AH96</f>
        <v>1.8927264304424547E-2</v>
      </c>
      <c r="CE66" s="11">
        <f>+'Seat capacity elasticities'!AI96</f>
        <v>6.5279201392790739E-3</v>
      </c>
      <c r="CF66" s="32">
        <f t="shared" si="36"/>
        <v>1133842.0206625124</v>
      </c>
      <c r="CG66" s="33">
        <f t="shared" si="37"/>
        <v>6.8984897530600001E-5</v>
      </c>
      <c r="CH66" s="40">
        <f t="shared" si="38"/>
        <v>906033.88471963746</v>
      </c>
      <c r="CI66" s="33">
        <f t="shared" si="39"/>
        <v>5.5124658953912177E-5</v>
      </c>
      <c r="CJ66" s="40">
        <f t="shared" si="40"/>
        <v>4440146.9331749547</v>
      </c>
      <c r="CK66" s="41">
        <f t="shared" si="41"/>
        <v>1.892726430442455E-4</v>
      </c>
      <c r="CL66" s="40">
        <f t="shared" si="42"/>
        <v>1531384.785473478</v>
      </c>
      <c r="CM66" s="41">
        <f t="shared" si="43"/>
        <v>6.5279201392790732E-5</v>
      </c>
      <c r="CO66" s="70">
        <f t="shared" si="44"/>
        <v>0</v>
      </c>
      <c r="CP66" s="70">
        <f t="shared" si="45"/>
        <v>0</v>
      </c>
      <c r="CQ66" s="70">
        <f t="shared" si="46"/>
        <v>0</v>
      </c>
      <c r="CR66" s="70">
        <f t="shared" si="47"/>
        <v>0</v>
      </c>
      <c r="CS66" s="70">
        <f t="shared" si="48"/>
        <v>0</v>
      </c>
      <c r="CT66" s="70">
        <f t="shared" si="49"/>
        <v>0</v>
      </c>
      <c r="CU66" s="69">
        <f t="shared" si="50"/>
        <v>0</v>
      </c>
      <c r="CV66" s="69">
        <f t="shared" si="51"/>
        <v>0</v>
      </c>
      <c r="CW66" s="70">
        <f t="shared" si="52"/>
        <v>0</v>
      </c>
      <c r="CX66" s="69">
        <f t="shared" si="53"/>
        <v>0</v>
      </c>
      <c r="CY66" s="69">
        <f t="shared" si="54"/>
        <v>0</v>
      </c>
      <c r="CZ66" s="70">
        <f t="shared" si="55"/>
        <v>0</v>
      </c>
      <c r="DB66" s="70">
        <f t="shared" si="56"/>
        <v>1.3754562713586507</v>
      </c>
      <c r="DC66" s="70">
        <f t="shared" si="57"/>
        <v>2.375752260134</v>
      </c>
      <c r="DD66" s="70">
        <f t="shared" si="58"/>
        <v>3.7512085314926509</v>
      </c>
      <c r="DE66" s="70">
        <f t="shared" si="59"/>
        <v>2.6068700996507279</v>
      </c>
      <c r="DF66" s="70">
        <f t="shared" si="60"/>
        <v>1.8984232460558641</v>
      </c>
      <c r="DG66" s="70">
        <f t="shared" si="61"/>
        <v>4.5052933457065922</v>
      </c>
      <c r="DH66" s="69">
        <f t="shared" si="62"/>
        <v>5.3863129375121162</v>
      </c>
      <c r="DI66" s="69">
        <f t="shared" si="63"/>
        <v>9.3034910680535283</v>
      </c>
      <c r="DJ66" s="70">
        <f t="shared" si="64"/>
        <v>14.689804005565644</v>
      </c>
      <c r="DK66" s="69">
        <f t="shared" si="65"/>
        <v>4.4061500078953149</v>
      </c>
      <c r="DL66" s="69">
        <f t="shared" si="66"/>
        <v>3.2087281992756047</v>
      </c>
      <c r="DM66" s="70">
        <f t="shared" si="67"/>
        <v>7.6148782071709196</v>
      </c>
    </row>
    <row r="67" spans="1:117">
      <c r="A67" t="s">
        <v>360</v>
      </c>
      <c r="B67">
        <v>287251</v>
      </c>
      <c r="C67">
        <v>174237</v>
      </c>
      <c r="D67" s="51">
        <v>32899.43</v>
      </c>
      <c r="E67" s="32">
        <f t="shared" si="0"/>
        <v>5732297984.9099998</v>
      </c>
      <c r="F67">
        <v>7421</v>
      </c>
      <c r="G67" s="37">
        <f t="shared" si="1"/>
        <v>2.5834548878855078E-2</v>
      </c>
      <c r="H67">
        <v>0</v>
      </c>
      <c r="I67" s="3">
        <f t="shared" si="2"/>
        <v>0</v>
      </c>
      <c r="J67" s="11">
        <f>+'Seat capacity elasticities'!K97</f>
        <v>0</v>
      </c>
      <c r="K67" s="11">
        <f>+'Seat capacity elasticities'!L97</f>
        <v>0</v>
      </c>
      <c r="L67" s="11">
        <f>+'Seat capacity elasticities'!M97</f>
        <v>0</v>
      </c>
      <c r="M67" s="11">
        <f>+'Seat capacity elasticities'!N97</f>
        <v>0</v>
      </c>
      <c r="N67" s="32">
        <f t="shared" si="12"/>
        <v>0</v>
      </c>
      <c r="O67" s="33">
        <f t="shared" si="13"/>
        <v>0</v>
      </c>
      <c r="P67" s="40">
        <f t="shared" si="14"/>
        <v>0</v>
      </c>
      <c r="Q67" s="33">
        <f t="shared" si="15"/>
        <v>0</v>
      </c>
      <c r="R67" s="40">
        <f t="shared" si="16"/>
        <v>0</v>
      </c>
      <c r="S67" s="41">
        <f t="shared" si="17"/>
        <v>0</v>
      </c>
      <c r="T67" s="40">
        <f t="shared" si="18"/>
        <v>0</v>
      </c>
      <c r="U67" s="41">
        <f t="shared" si="19"/>
        <v>0</v>
      </c>
      <c r="V67" s="53"/>
      <c r="W67" s="53"/>
      <c r="X67" t="s">
        <v>360</v>
      </c>
      <c r="Y67">
        <v>287251</v>
      </c>
      <c r="Z67">
        <v>174237</v>
      </c>
      <c r="AA67" s="51">
        <v>32899.43</v>
      </c>
      <c r="AB67" s="32">
        <f t="shared" si="3"/>
        <v>5732297984.9099998</v>
      </c>
      <c r="AC67">
        <v>7421</v>
      </c>
      <c r="AD67" s="37">
        <f t="shared" si="4"/>
        <v>2.5834548878855078E-2</v>
      </c>
      <c r="AE67">
        <v>3.6632000000000001E-3</v>
      </c>
      <c r="AF67" s="3">
        <f t="shared" si="5"/>
        <v>3.6632000000000004E-5</v>
      </c>
      <c r="AG67" s="11">
        <f>+'Seat capacity elasticities'!R97</f>
        <v>1.3015696875976672E-2</v>
      </c>
      <c r="AH67" s="11">
        <f>+'Seat capacity elasticities'!S97</f>
        <v>2.4668345856306517E-2</v>
      </c>
      <c r="AI67" s="11">
        <f>+'Seat capacity elasticities'!T97</f>
        <v>3.5710937277047911E-2</v>
      </c>
      <c r="AJ67" s="11">
        <f>+'Seat capacity elasticities'!U97</f>
        <v>2.9212514829836667E-2</v>
      </c>
      <c r="AK67" s="32">
        <f t="shared" si="20"/>
        <v>746098.52974360459</v>
      </c>
      <c r="AL67" s="33">
        <f t="shared" si="21"/>
        <v>1.3015696875976672E-4</v>
      </c>
      <c r="AM67" s="40">
        <f t="shared" si="22"/>
        <v>1414063.092431688</v>
      </c>
      <c r="AN67" s="33">
        <f t="shared" si="23"/>
        <v>2.4668345856306516E-4</v>
      </c>
      <c r="AO67" s="40">
        <f t="shared" si="24"/>
        <v>2650108.6553297257</v>
      </c>
      <c r="AP67" s="41">
        <f t="shared" si="25"/>
        <v>3.5710937277047913E-4</v>
      </c>
      <c r="AQ67" s="40">
        <f t="shared" si="26"/>
        <v>2167860.7255221792</v>
      </c>
      <c r="AR67" s="41">
        <f t="shared" si="27"/>
        <v>2.9212514829836671E-4</v>
      </c>
      <c r="AV67" t="s">
        <v>360</v>
      </c>
      <c r="AW67">
        <v>287251</v>
      </c>
      <c r="AX67">
        <v>174237</v>
      </c>
      <c r="AY67" s="51">
        <v>32899.43</v>
      </c>
      <c r="AZ67" s="32">
        <f t="shared" si="6"/>
        <v>5732297984.9099998</v>
      </c>
      <c r="BA67">
        <v>7421</v>
      </c>
      <c r="BB67" s="37">
        <f t="shared" si="7"/>
        <v>2.5834548878855078E-2</v>
      </c>
      <c r="BC67">
        <v>0</v>
      </c>
      <c r="BD67" s="3">
        <f t="shared" si="8"/>
        <v>0</v>
      </c>
      <c r="BE67" s="11">
        <f>+'Seat capacity elasticities'!Y97</f>
        <v>0</v>
      </c>
      <c r="BF67" s="11">
        <f>+'Seat capacity elasticities'!Z97</f>
        <v>0</v>
      </c>
      <c r="BG67" s="11">
        <f>+'Seat capacity elasticities'!AA97</f>
        <v>0</v>
      </c>
      <c r="BH67" s="11">
        <f>+'Seat capacity elasticities'!AB97</f>
        <v>0</v>
      </c>
      <c r="BI67" s="32">
        <f t="shared" si="28"/>
        <v>0</v>
      </c>
      <c r="BJ67" s="33">
        <f t="shared" si="29"/>
        <v>0</v>
      </c>
      <c r="BK67" s="40">
        <f t="shared" si="30"/>
        <v>0</v>
      </c>
      <c r="BL67" s="33">
        <f t="shared" si="31"/>
        <v>0</v>
      </c>
      <c r="BM67" s="40">
        <f t="shared" si="32"/>
        <v>0</v>
      </c>
      <c r="BN67" s="41">
        <f t="shared" si="33"/>
        <v>0</v>
      </c>
      <c r="BO67" s="40">
        <f t="shared" si="34"/>
        <v>0</v>
      </c>
      <c r="BP67" s="41">
        <f t="shared" si="35"/>
        <v>0</v>
      </c>
      <c r="BQ67" s="53"/>
      <c r="BR67" s="53"/>
      <c r="BS67" t="s">
        <v>360</v>
      </c>
      <c r="BT67">
        <v>287251</v>
      </c>
      <c r="BU67">
        <v>174237</v>
      </c>
      <c r="BV67" s="51">
        <v>32899.43</v>
      </c>
      <c r="BW67" s="32">
        <f t="shared" si="9"/>
        <v>5732297984.9099998</v>
      </c>
      <c r="BX67">
        <v>7421</v>
      </c>
      <c r="BY67" s="37">
        <f t="shared" si="10"/>
        <v>2.5834548878855078E-2</v>
      </c>
      <c r="BZ67">
        <v>3.6632000000000001E-3</v>
      </c>
      <c r="CA67" s="3">
        <f t="shared" si="11"/>
        <v>3.6632000000000004E-5</v>
      </c>
      <c r="CB67" s="11">
        <f>+'Seat capacity elasticities'!AF97</f>
        <v>2.7073548293567031E-2</v>
      </c>
      <c r="CC67" s="11">
        <f>+'Seat capacity elasticities'!AG97</f>
        <v>2.1634012222648488E-2</v>
      </c>
      <c r="CD67" s="11">
        <f>+'Seat capacity elasticities'!AH97</f>
        <v>7.4281215534696549E-2</v>
      </c>
      <c r="CE67" s="11">
        <f>+'Seat capacity elasticities'!AI97</f>
        <v>2.5619225000504786E-2</v>
      </c>
      <c r="CF67" s="32">
        <f t="shared" si="36"/>
        <v>1551936.4632757786</v>
      </c>
      <c r="CG67" s="33">
        <f t="shared" si="37"/>
        <v>2.7073548293567032E-4</v>
      </c>
      <c r="CH67" s="40">
        <f t="shared" si="38"/>
        <v>1240126.0466940624</v>
      </c>
      <c r="CI67" s="33">
        <f t="shared" si="39"/>
        <v>2.1634012222648488E-4</v>
      </c>
      <c r="CJ67" s="40">
        <f t="shared" si="40"/>
        <v>5512409.0048298305</v>
      </c>
      <c r="CK67" s="41">
        <f t="shared" si="41"/>
        <v>7.4281215534696546E-4</v>
      </c>
      <c r="CL67" s="40">
        <f t="shared" si="42"/>
        <v>1901202.6872874601</v>
      </c>
      <c r="CM67" s="41">
        <f t="shared" si="43"/>
        <v>2.5619225000504789E-4</v>
      </c>
      <c r="CO67" s="70">
        <f t="shared" si="44"/>
        <v>0</v>
      </c>
      <c r="CP67" s="70">
        <f t="shared" si="45"/>
        <v>0</v>
      </c>
      <c r="CQ67" s="70">
        <f t="shared" si="46"/>
        <v>0</v>
      </c>
      <c r="CR67" s="70">
        <f t="shared" si="47"/>
        <v>0</v>
      </c>
      <c r="CS67" s="70">
        <f t="shared" si="48"/>
        <v>0</v>
      </c>
      <c r="CT67" s="70">
        <f t="shared" si="49"/>
        <v>0</v>
      </c>
      <c r="CU67" s="69">
        <f t="shared" si="50"/>
        <v>0</v>
      </c>
      <c r="CV67" s="69">
        <f t="shared" si="51"/>
        <v>0</v>
      </c>
      <c r="CW67" s="70">
        <f t="shared" si="52"/>
        <v>0</v>
      </c>
      <c r="CX67" s="69">
        <f t="shared" si="53"/>
        <v>0</v>
      </c>
      <c r="CY67" s="69">
        <f t="shared" si="54"/>
        <v>0</v>
      </c>
      <c r="CZ67" s="70">
        <f t="shared" si="55"/>
        <v>0</v>
      </c>
      <c r="DB67" s="70">
        <f t="shared" si="56"/>
        <v>4.2820900827241317</v>
      </c>
      <c r="DC67" s="70">
        <f t="shared" si="57"/>
        <v>8.9070430693582789</v>
      </c>
      <c r="DD67" s="70">
        <f t="shared" si="58"/>
        <v>13.189133152082411</v>
      </c>
      <c r="DE67" s="70">
        <f t="shared" si="59"/>
        <v>8.1157451771534639</v>
      </c>
      <c r="DF67" s="70">
        <f t="shared" si="60"/>
        <v>7.1174667073816833</v>
      </c>
      <c r="DG67" s="70">
        <f t="shared" si="61"/>
        <v>15.233211884535148</v>
      </c>
      <c r="DH67" s="69">
        <f t="shared" si="62"/>
        <v>15.20979272674418</v>
      </c>
      <c r="DI67" s="69">
        <f t="shared" si="63"/>
        <v>31.637419175202915</v>
      </c>
      <c r="DJ67" s="70">
        <f t="shared" si="64"/>
        <v>46.847211901947091</v>
      </c>
      <c r="DK67" s="69">
        <f t="shared" si="65"/>
        <v>12.442022793793392</v>
      </c>
      <c r="DL67" s="69">
        <f t="shared" si="66"/>
        <v>10.911589887839323</v>
      </c>
      <c r="DM67" s="70">
        <f t="shared" si="67"/>
        <v>23.353612681632715</v>
      </c>
    </row>
    <row r="68" spans="1:117">
      <c r="A68" t="s">
        <v>975</v>
      </c>
      <c r="B68">
        <v>75494</v>
      </c>
      <c r="C68">
        <v>55765</v>
      </c>
      <c r="D68" s="51">
        <v>41014.050000000003</v>
      </c>
      <c r="E68" s="32">
        <f t="shared" ref="E68:E131" si="68">C68*D68</f>
        <v>2287148498.25</v>
      </c>
      <c r="F68">
        <v>3753</v>
      </c>
      <c r="G68" s="37">
        <f t="shared" ref="G68:G131" si="69">+F68/B68</f>
        <v>4.971255993853816E-2</v>
      </c>
      <c r="H68">
        <v>0</v>
      </c>
      <c r="I68" s="3">
        <f t="shared" ref="I68:I131" si="70">+H68*$C$1</f>
        <v>0</v>
      </c>
      <c r="J68" s="11">
        <f>+'Seat capacity elasticities'!K98</f>
        <v>0</v>
      </c>
      <c r="K68" s="11">
        <f>+'Seat capacity elasticities'!L98</f>
        <v>0</v>
      </c>
      <c r="L68" s="11">
        <f>+'Seat capacity elasticities'!M98</f>
        <v>0</v>
      </c>
      <c r="M68" s="11">
        <f>+'Seat capacity elasticities'!N98</f>
        <v>0</v>
      </c>
      <c r="N68" s="32">
        <f t="shared" si="12"/>
        <v>0</v>
      </c>
      <c r="O68" s="33">
        <f t="shared" si="13"/>
        <v>0</v>
      </c>
      <c r="P68" s="40">
        <f t="shared" si="14"/>
        <v>0</v>
      </c>
      <c r="Q68" s="33">
        <f t="shared" si="15"/>
        <v>0</v>
      </c>
      <c r="R68" s="40">
        <f t="shared" si="16"/>
        <v>0</v>
      </c>
      <c r="S68" s="41">
        <f t="shared" si="17"/>
        <v>0</v>
      </c>
      <c r="T68" s="40">
        <f t="shared" si="18"/>
        <v>0</v>
      </c>
      <c r="U68" s="41">
        <f t="shared" si="19"/>
        <v>0</v>
      </c>
      <c r="V68" s="53"/>
      <c r="W68" s="53"/>
      <c r="X68" t="s">
        <v>975</v>
      </c>
      <c r="Y68">
        <v>75494</v>
      </c>
      <c r="Z68">
        <v>55765</v>
      </c>
      <c r="AA68" s="51">
        <v>41014.050000000003</v>
      </c>
      <c r="AB68" s="32">
        <f t="shared" ref="AB68:AB131" si="71">Z68*AA68</f>
        <v>2287148498.25</v>
      </c>
      <c r="AC68">
        <v>3753</v>
      </c>
      <c r="AD68" s="37">
        <f t="shared" ref="AD68:AD131" si="72">+AC68/Y68</f>
        <v>4.971255993853816E-2</v>
      </c>
      <c r="AE68">
        <v>1.1784E-3</v>
      </c>
      <c r="AF68" s="3">
        <f t="shared" ref="AF68:AF131" si="73">+AE68*$C$1</f>
        <v>1.1784000000000001E-5</v>
      </c>
      <c r="AG68" s="11">
        <f>+'Seat capacity elasticities'!R98</f>
        <v>3.0390827380011604E-3</v>
      </c>
      <c r="AH68" s="11">
        <f>+'Seat capacity elasticities'!S98</f>
        <v>5.7599024302199004E-3</v>
      </c>
      <c r="AI68" s="11">
        <f>+'Seat capacity elasticities'!T98</f>
        <v>8.3382775483064331E-3</v>
      </c>
      <c r="AJ68" s="11">
        <f>+'Seat capacity elasticities'!U98</f>
        <v>6.8209370884183039E-3</v>
      </c>
      <c r="AK68" s="32">
        <f t="shared" si="20"/>
        <v>69508.335202768532</v>
      </c>
      <c r="AL68" s="33">
        <f t="shared" si="21"/>
        <v>3.0390827380011609E-5</v>
      </c>
      <c r="AM68" s="40">
        <f t="shared" si="22"/>
        <v>131737.52193343971</v>
      </c>
      <c r="AN68" s="33">
        <f t="shared" si="23"/>
        <v>5.7599024302199008E-5</v>
      </c>
      <c r="AO68" s="40">
        <f t="shared" si="24"/>
        <v>312935.55638794042</v>
      </c>
      <c r="AP68" s="41">
        <f t="shared" si="25"/>
        <v>8.3382775483064315E-5</v>
      </c>
      <c r="AQ68" s="40">
        <f t="shared" si="26"/>
        <v>255989.76892833898</v>
      </c>
      <c r="AR68" s="41">
        <f t="shared" si="27"/>
        <v>6.8209370884183049E-5</v>
      </c>
      <c r="AV68" t="s">
        <v>975</v>
      </c>
      <c r="AW68">
        <v>75494</v>
      </c>
      <c r="AX68">
        <v>55765</v>
      </c>
      <c r="AY68" s="51">
        <v>41014.050000000003</v>
      </c>
      <c r="AZ68" s="32">
        <f t="shared" ref="AZ68:AZ131" si="74">AX68*AY68</f>
        <v>2287148498.25</v>
      </c>
      <c r="BA68">
        <v>3753</v>
      </c>
      <c r="BB68" s="37">
        <f t="shared" ref="BB68:BB131" si="75">+BA68/AW68</f>
        <v>4.971255993853816E-2</v>
      </c>
      <c r="BC68">
        <v>0</v>
      </c>
      <c r="BD68" s="3">
        <f t="shared" ref="BD68:BD131" si="76">+BC68*$C$1</f>
        <v>0</v>
      </c>
      <c r="BE68" s="11">
        <f>+'Seat capacity elasticities'!Y98</f>
        <v>0</v>
      </c>
      <c r="BF68" s="11">
        <f>+'Seat capacity elasticities'!Z98</f>
        <v>0</v>
      </c>
      <c r="BG68" s="11">
        <f>+'Seat capacity elasticities'!AA98</f>
        <v>0</v>
      </c>
      <c r="BH68" s="11">
        <f>+'Seat capacity elasticities'!AB98</f>
        <v>0</v>
      </c>
      <c r="BI68" s="32">
        <f t="shared" si="28"/>
        <v>0</v>
      </c>
      <c r="BJ68" s="33">
        <f t="shared" si="29"/>
        <v>0</v>
      </c>
      <c r="BK68" s="40">
        <f t="shared" si="30"/>
        <v>0</v>
      </c>
      <c r="BL68" s="33">
        <f t="shared" si="31"/>
        <v>0</v>
      </c>
      <c r="BM68" s="40">
        <f t="shared" si="32"/>
        <v>0</v>
      </c>
      <c r="BN68" s="41">
        <f t="shared" si="33"/>
        <v>0</v>
      </c>
      <c r="BO68" s="40">
        <f t="shared" si="34"/>
        <v>0</v>
      </c>
      <c r="BP68" s="41">
        <f t="shared" si="35"/>
        <v>0</v>
      </c>
      <c r="BQ68" s="53"/>
      <c r="BR68" s="53"/>
      <c r="BS68" t="s">
        <v>975</v>
      </c>
      <c r="BT68">
        <v>75494</v>
      </c>
      <c r="BU68">
        <v>55765</v>
      </c>
      <c r="BV68" s="51">
        <v>41014.050000000003</v>
      </c>
      <c r="BW68" s="32">
        <f t="shared" ref="BW68:BW131" si="77">BU68*BV68</f>
        <v>2287148498.25</v>
      </c>
      <c r="BX68">
        <v>3753</v>
      </c>
      <c r="BY68" s="37">
        <f t="shared" ref="BY68:BY131" si="78">+BX68/BT68</f>
        <v>4.971255993853816E-2</v>
      </c>
      <c r="BZ68">
        <v>1.1784E-3</v>
      </c>
      <c r="CA68" s="3">
        <f t="shared" ref="CA68:CA131" si="79">+BZ68*$C$1</f>
        <v>1.1784000000000001E-5</v>
      </c>
      <c r="CB68" s="11">
        <f>+'Seat capacity elasticities'!AF98</f>
        <v>3.3138007696445912E-2</v>
      </c>
      <c r="CC68" s="11">
        <f>+'Seat capacity elasticities'!AG98</f>
        <v>2.6480018642753064E-2</v>
      </c>
      <c r="CD68" s="11">
        <f>+'Seat capacity elasticities'!AH98</f>
        <v>9.092016552093464E-2</v>
      </c>
      <c r="CE68" s="11">
        <f>+'Seat capacity elasticities'!AI98</f>
        <v>3.1357916813786524E-2</v>
      </c>
      <c r="CF68" s="32">
        <f t="shared" si="36"/>
        <v>757915.44537923217</v>
      </c>
      <c r="CG68" s="33">
        <f t="shared" si="37"/>
        <v>3.3138007696445915E-4</v>
      </c>
      <c r="CH68" s="40">
        <f t="shared" si="38"/>
        <v>605637.34872404672</v>
      </c>
      <c r="CI68" s="33">
        <f t="shared" si="39"/>
        <v>2.6480018642753062E-4</v>
      </c>
      <c r="CJ68" s="40">
        <f t="shared" si="40"/>
        <v>3412233.812000677</v>
      </c>
      <c r="CK68" s="41">
        <f t="shared" si="41"/>
        <v>9.0920165520934641E-4</v>
      </c>
      <c r="CL68" s="40">
        <f t="shared" si="42"/>
        <v>1176862.6180214081</v>
      </c>
      <c r="CM68" s="41">
        <f t="shared" si="43"/>
        <v>3.135791681378652E-4</v>
      </c>
      <c r="CO68" s="70">
        <f t="shared" si="44"/>
        <v>0</v>
      </c>
      <c r="CP68" s="70">
        <f t="shared" si="45"/>
        <v>0</v>
      </c>
      <c r="CQ68" s="70">
        <f t="shared" si="46"/>
        <v>0</v>
      </c>
      <c r="CR68" s="70">
        <f t="shared" si="47"/>
        <v>0</v>
      </c>
      <c r="CS68" s="70">
        <f t="shared" si="48"/>
        <v>0</v>
      </c>
      <c r="CT68" s="70">
        <f t="shared" si="49"/>
        <v>0</v>
      </c>
      <c r="CU68" s="69">
        <f t="shared" si="50"/>
        <v>0</v>
      </c>
      <c r="CV68" s="69">
        <f t="shared" si="51"/>
        <v>0</v>
      </c>
      <c r="CW68" s="70">
        <f t="shared" si="52"/>
        <v>0</v>
      </c>
      <c r="CX68" s="69">
        <f t="shared" si="53"/>
        <v>0</v>
      </c>
      <c r="CY68" s="69">
        <f t="shared" si="54"/>
        <v>0</v>
      </c>
      <c r="CZ68" s="70">
        <f t="shared" si="55"/>
        <v>0</v>
      </c>
      <c r="DB68" s="70">
        <f t="shared" si="56"/>
        <v>1.2464509137051651</v>
      </c>
      <c r="DC68" s="70">
        <f t="shared" si="57"/>
        <v>13.591239045624176</v>
      </c>
      <c r="DD68" s="70">
        <f t="shared" si="58"/>
        <v>14.837689959329342</v>
      </c>
      <c r="DE68" s="70">
        <f t="shared" si="59"/>
        <v>2.3623692626816051</v>
      </c>
      <c r="DF68" s="70">
        <f t="shared" si="60"/>
        <v>10.860528086148063</v>
      </c>
      <c r="DG68" s="70">
        <f t="shared" si="61"/>
        <v>13.222897348829669</v>
      </c>
      <c r="DH68" s="69">
        <f t="shared" si="62"/>
        <v>5.6116839664294886</v>
      </c>
      <c r="DI68" s="69">
        <f t="shared" si="63"/>
        <v>61.189524110117041</v>
      </c>
      <c r="DJ68" s="70">
        <f t="shared" si="64"/>
        <v>66.80120807654653</v>
      </c>
      <c r="DK68" s="69">
        <f t="shared" si="65"/>
        <v>4.590509619444795</v>
      </c>
      <c r="DL68" s="69">
        <f t="shared" si="66"/>
        <v>21.103965175673057</v>
      </c>
      <c r="DM68" s="70">
        <f t="shared" si="67"/>
        <v>25.694474795117852</v>
      </c>
    </row>
    <row r="69" spans="1:117">
      <c r="A69" t="s">
        <v>361</v>
      </c>
      <c r="B69">
        <v>1779822</v>
      </c>
      <c r="C69">
        <v>1197740</v>
      </c>
      <c r="D69" s="51">
        <v>41755.07</v>
      </c>
      <c r="E69" s="32">
        <f t="shared" si="68"/>
        <v>50011717541.800003</v>
      </c>
      <c r="F69">
        <v>78640</v>
      </c>
      <c r="G69" s="37">
        <f t="shared" si="69"/>
        <v>4.4184193700268902E-2</v>
      </c>
      <c r="H69">
        <v>0</v>
      </c>
      <c r="I69" s="3">
        <f t="shared" si="70"/>
        <v>0</v>
      </c>
      <c r="J69" s="11">
        <f>+'Seat capacity elasticities'!K99</f>
        <v>0</v>
      </c>
      <c r="K69" s="11">
        <f>+'Seat capacity elasticities'!L99</f>
        <v>0</v>
      </c>
      <c r="L69" s="11">
        <f>+'Seat capacity elasticities'!M99</f>
        <v>0</v>
      </c>
      <c r="M69" s="11">
        <f>+'Seat capacity elasticities'!N99</f>
        <v>0</v>
      </c>
      <c r="N69" s="32">
        <f t="shared" ref="N69:N132" si="80">E69*$C$1*J69</f>
        <v>0</v>
      </c>
      <c r="O69" s="33">
        <f t="shared" ref="O69:O132" si="81">N69/E69</f>
        <v>0</v>
      </c>
      <c r="P69" s="40">
        <f t="shared" ref="P69:P132" si="82">+E69*$C$1*K69</f>
        <v>0</v>
      </c>
      <c r="Q69" s="33">
        <f t="shared" ref="Q69:Q132" si="83">P69/E69</f>
        <v>0</v>
      </c>
      <c r="R69" s="40">
        <f t="shared" ref="R69:R132" si="84">+L69*$C$1*G69*B69*1000000</f>
        <v>0</v>
      </c>
      <c r="S69" s="41">
        <f t="shared" ref="S69:S132" si="85">+R69/F69/1000000</f>
        <v>0</v>
      </c>
      <c r="T69" s="40">
        <f t="shared" ref="T69:T132" si="86">+M69*G69*B69*$C$1*1000000</f>
        <v>0</v>
      </c>
      <c r="U69" s="41">
        <f t="shared" ref="U69:U132" si="87">+T69/F69/1000000</f>
        <v>0</v>
      </c>
      <c r="V69" s="53"/>
      <c r="W69" s="53"/>
      <c r="X69" t="s">
        <v>361</v>
      </c>
      <c r="Y69">
        <v>1779822</v>
      </c>
      <c r="Z69">
        <v>1197740</v>
      </c>
      <c r="AA69" s="51">
        <v>41755.07</v>
      </c>
      <c r="AB69" s="32">
        <f t="shared" si="71"/>
        <v>50011717541.800003</v>
      </c>
      <c r="AC69">
        <v>78640</v>
      </c>
      <c r="AD69" s="37">
        <f t="shared" si="72"/>
        <v>4.4184193700268902E-2</v>
      </c>
      <c r="AE69">
        <v>5.0428000000000001E-3</v>
      </c>
      <c r="AF69" s="3">
        <f t="shared" si="73"/>
        <v>5.0427999999999999E-5</v>
      </c>
      <c r="AG69" s="11">
        <f>+'Seat capacity elasticities'!R99</f>
        <v>8.8685916571087132E-3</v>
      </c>
      <c r="AH69" s="11">
        <f>+'Seat capacity elasticities'!S99</f>
        <v>1.6808434334369508E-2</v>
      </c>
      <c r="AI69" s="11">
        <f>+'Seat capacity elasticities'!T99</f>
        <v>2.4332598048384915E-2</v>
      </c>
      <c r="AJ69" s="11">
        <f>+'Seat capacity elasticities'!U99</f>
        <v>1.9904724869648102E-2</v>
      </c>
      <c r="AK69" s="32">
        <f t="shared" ref="AK69:AK132" si="88">AB69*$C$1*AG69</f>
        <v>4435335.0094888499</v>
      </c>
      <c r="AL69" s="33">
        <f t="shared" ref="AL69:AL132" si="89">AK69/AB69</f>
        <v>8.8685916571087131E-5</v>
      </c>
      <c r="AM69" s="40">
        <f t="shared" ref="AM69:AM132" si="90">+AB69*$C$1*AH69</f>
        <v>8406186.7025038097</v>
      </c>
      <c r="AN69" s="33">
        <f t="shared" ref="AN69:AN132" si="91">AM69/AB69</f>
        <v>1.6808434334369507E-4</v>
      </c>
      <c r="AO69" s="40">
        <f t="shared" ref="AO69:AO132" si="92">+AI69*$C$1*AD69*Y69*1000000</f>
        <v>19135155.105249897</v>
      </c>
      <c r="AP69" s="41">
        <f t="shared" ref="AP69:AP132" si="93">+AO69/AC69/1000000</f>
        <v>2.4332598048384916E-4</v>
      </c>
      <c r="AQ69" s="40">
        <f t="shared" ref="AQ69:AQ132" si="94">+AJ69*AD69*Y69*$C$1*1000000</f>
        <v>15653075.637491267</v>
      </c>
      <c r="AR69" s="41">
        <f t="shared" ref="AR69:AR132" si="95">+AQ69/AC69/1000000</f>
        <v>1.9904724869648102E-4</v>
      </c>
      <c r="AV69" t="s">
        <v>361</v>
      </c>
      <c r="AW69">
        <v>1779822</v>
      </c>
      <c r="AX69">
        <v>1197740</v>
      </c>
      <c r="AY69" s="51">
        <v>41755.07</v>
      </c>
      <c r="AZ69" s="32">
        <f t="shared" si="74"/>
        <v>50011717541.800003</v>
      </c>
      <c r="BA69">
        <v>78640</v>
      </c>
      <c r="BB69" s="37">
        <f t="shared" si="75"/>
        <v>4.4184193700268902E-2</v>
      </c>
      <c r="BC69">
        <v>0</v>
      </c>
      <c r="BD69" s="3">
        <f t="shared" si="76"/>
        <v>0</v>
      </c>
      <c r="BE69" s="11">
        <f>+'Seat capacity elasticities'!Y99</f>
        <v>0</v>
      </c>
      <c r="BF69" s="11">
        <f>+'Seat capacity elasticities'!Z99</f>
        <v>0</v>
      </c>
      <c r="BG69" s="11">
        <f>+'Seat capacity elasticities'!AA99</f>
        <v>0</v>
      </c>
      <c r="BH69" s="11">
        <f>+'Seat capacity elasticities'!AB99</f>
        <v>0</v>
      </c>
      <c r="BI69" s="32">
        <f t="shared" ref="BI69:BI132" si="96">AZ69*$C$1*BE69</f>
        <v>0</v>
      </c>
      <c r="BJ69" s="33">
        <f t="shared" ref="BJ69:BJ132" si="97">BI69/AZ69</f>
        <v>0</v>
      </c>
      <c r="BK69" s="40">
        <f t="shared" ref="BK69:BK132" si="98">+AZ69*$C$1*BF69</f>
        <v>0</v>
      </c>
      <c r="BL69" s="33">
        <f t="shared" ref="BL69:BL132" si="99">BK69/AZ69</f>
        <v>0</v>
      </c>
      <c r="BM69" s="40">
        <f t="shared" ref="BM69:BM132" si="100">+BG69*$C$1*BB69*AW69*1000000</f>
        <v>0</v>
      </c>
      <c r="BN69" s="41">
        <f t="shared" ref="BN69:BN132" si="101">+BM69/BA69/1000000</f>
        <v>0</v>
      </c>
      <c r="BO69" s="40">
        <f t="shared" ref="BO69:BO132" si="102">+BH69*BB69*AW69*$C$1*1000000</f>
        <v>0</v>
      </c>
      <c r="BP69" s="41">
        <f t="shared" ref="BP69:BP132" si="103">+BO69/BA69/1000000</f>
        <v>0</v>
      </c>
      <c r="BQ69" s="53"/>
      <c r="BR69" s="53"/>
      <c r="BS69" t="s">
        <v>361</v>
      </c>
      <c r="BT69">
        <v>1779822</v>
      </c>
      <c r="BU69">
        <v>1197740</v>
      </c>
      <c r="BV69" s="51">
        <v>41755.07</v>
      </c>
      <c r="BW69" s="32">
        <f t="shared" si="77"/>
        <v>50011717541.800003</v>
      </c>
      <c r="BX69">
        <v>78640</v>
      </c>
      <c r="BY69" s="37">
        <f t="shared" si="78"/>
        <v>4.4184193700268902E-2</v>
      </c>
      <c r="BZ69">
        <v>5.0428000000000001E-3</v>
      </c>
      <c r="CA69" s="3">
        <f t="shared" si="79"/>
        <v>5.0427999999999999E-5</v>
      </c>
      <c r="CB69" s="11">
        <f>+'Seat capacity elasticities'!AF99</f>
        <v>6.0150781040556271E-3</v>
      </c>
      <c r="CC69" s="11">
        <f>+'Seat capacity elasticities'!AG99</f>
        <v>4.806546663639397E-3</v>
      </c>
      <c r="CD69" s="11">
        <f>+'Seat capacity elasticities'!AH99</f>
        <v>1.6503463390188725E-2</v>
      </c>
      <c r="CE69" s="11">
        <f>+'Seat capacity elasticities'!AI99</f>
        <v>5.6919631543098127E-3</v>
      </c>
      <c r="CF69" s="32">
        <f t="shared" ref="CF69:CF132" si="104">BW69*$C$1*CB69</f>
        <v>3008243.8713189592</v>
      </c>
      <c r="CG69" s="33">
        <f t="shared" ref="CG69:CG132" si="105">CF69/BW69</f>
        <v>6.0150781040556271E-5</v>
      </c>
      <c r="CH69" s="40">
        <f t="shared" ref="CH69:CH132" si="106">+BW69*$C$1*CC69</f>
        <v>2403836.5409341473</v>
      </c>
      <c r="CI69" s="33">
        <f t="shared" ref="CI69:CI132" si="107">CH69/BW69</f>
        <v>4.8065466636393976E-5</v>
      </c>
      <c r="CJ69" s="40">
        <f t="shared" ref="CJ69:CJ132" si="108">+CD69*$C$1*BY69*BT69*1000000</f>
        <v>12978323.610044412</v>
      </c>
      <c r="CK69" s="41">
        <f t="shared" ref="CK69:CK132" si="109">+CJ69/BX69/1000000</f>
        <v>1.6503463390188725E-4</v>
      </c>
      <c r="CL69" s="40">
        <f t="shared" ref="CL69:CL132" si="110">+CE69*BY69*BT69*$C$1*1000000</f>
        <v>4476159.8245492363</v>
      </c>
      <c r="CM69" s="41">
        <f t="shared" ref="CM69:CM132" si="111">+CL69/BX69/1000000</f>
        <v>5.691963154309812E-5</v>
      </c>
      <c r="CO69" s="70">
        <f t="shared" ref="CO69:CO132" si="112">+N69/C69</f>
        <v>0</v>
      </c>
      <c r="CP69" s="70">
        <f t="shared" ref="CP69:CP132" si="113">+BI69/C69</f>
        <v>0</v>
      </c>
      <c r="CQ69" s="70">
        <f t="shared" ref="CQ69:CQ132" si="114">+(CO69+CP69)</f>
        <v>0</v>
      </c>
      <c r="CR69" s="70">
        <f t="shared" ref="CR69:CR132" si="115">+P69/C69</f>
        <v>0</v>
      </c>
      <c r="CS69" s="70">
        <f t="shared" ref="CS69:CS132" si="116">+BK69/C69</f>
        <v>0</v>
      </c>
      <c r="CT69" s="70">
        <f t="shared" ref="CT69:CT132" si="117">+(CR69+CS69)</f>
        <v>0</v>
      </c>
      <c r="CU69" s="69">
        <f t="shared" ref="CU69:CU132" si="118">+R69/C69</f>
        <v>0</v>
      </c>
      <c r="CV69" s="69">
        <f t="shared" ref="CV69:CV132" si="119">+BM69/C69</f>
        <v>0</v>
      </c>
      <c r="CW69" s="70">
        <f t="shared" ref="CW69:CW132" si="120">+(CU69+CV69)</f>
        <v>0</v>
      </c>
      <c r="CX69" s="69">
        <f t="shared" ref="CX69:CX132" si="121">+T69/C69</f>
        <v>0</v>
      </c>
      <c r="CY69" s="69">
        <f t="shared" ref="CY69:CY132" si="122">+BO69/C69</f>
        <v>0</v>
      </c>
      <c r="CZ69" s="70">
        <f t="shared" ref="CZ69:CZ132" si="123">+(CX69+CY69)</f>
        <v>0</v>
      </c>
      <c r="DB69" s="70">
        <f t="shared" ref="DB69:DB132" si="124">+AK69/C69</f>
        <v>3.7030866544399035</v>
      </c>
      <c r="DC69" s="70">
        <f t="shared" ref="DC69:DC132" si="125">+CF69/C69</f>
        <v>2.5116000729031001</v>
      </c>
      <c r="DD69" s="70">
        <f t="shared" ref="DD69:DD132" si="126">+(DB69+DC69)</f>
        <v>6.214686727343004</v>
      </c>
      <c r="DE69" s="70">
        <f t="shared" ref="DE69:DE132" si="127">+AM69/C69</f>
        <v>7.0183735222200223</v>
      </c>
      <c r="DF69" s="70">
        <f t="shared" ref="DF69:DF132" si="128">+CH69/C69</f>
        <v>2.0069769239852953</v>
      </c>
      <c r="DG69" s="70">
        <f t="shared" ref="DG69:DG132" si="129">+(DE69+DF69)</f>
        <v>9.0253504462053176</v>
      </c>
      <c r="DH69" s="69">
        <f t="shared" ref="DH69:DH132" si="130">+AO69/C69</f>
        <v>15.976050816746453</v>
      </c>
      <c r="DI69" s="69">
        <f t="shared" ref="DI69:DI132" si="131">+CJ69/C69</f>
        <v>10.835676866468861</v>
      </c>
      <c r="DJ69" s="70">
        <f t="shared" ref="DJ69:DJ132" si="132">+(DH69+DI69)</f>
        <v>26.811727683215313</v>
      </c>
      <c r="DK69" s="69">
        <f t="shared" ref="DK69:DK132" si="133">+AQ69/C69</f>
        <v>13.068842684966075</v>
      </c>
      <c r="DL69" s="69">
        <f t="shared" ref="DL69:DL132" si="134">+CL69/C69</f>
        <v>3.7371715268332331</v>
      </c>
      <c r="DM69" s="70">
        <f t="shared" ref="DM69:DM132" si="135">+(DK69+DL69)</f>
        <v>16.806014211799308</v>
      </c>
    </row>
    <row r="70" spans="1:117">
      <c r="A70" t="s">
        <v>362</v>
      </c>
      <c r="B70">
        <v>413206</v>
      </c>
      <c r="C70">
        <v>247857</v>
      </c>
      <c r="D70" s="51">
        <v>34143.050000000003</v>
      </c>
      <c r="E70" s="32">
        <f t="shared" si="68"/>
        <v>8462593943.8500004</v>
      </c>
      <c r="F70">
        <v>13456</v>
      </c>
      <c r="G70" s="37">
        <f t="shared" si="69"/>
        <v>3.2564870790840403E-2</v>
      </c>
      <c r="H70">
        <v>0</v>
      </c>
      <c r="I70" s="3">
        <f t="shared" si="70"/>
        <v>0</v>
      </c>
      <c r="J70" s="11">
        <f>+'Seat capacity elasticities'!K100</f>
        <v>0</v>
      </c>
      <c r="K70" s="11">
        <f>+'Seat capacity elasticities'!L100</f>
        <v>0</v>
      </c>
      <c r="L70" s="11">
        <f>+'Seat capacity elasticities'!M100</f>
        <v>0</v>
      </c>
      <c r="M70" s="11">
        <f>+'Seat capacity elasticities'!N100</f>
        <v>0</v>
      </c>
      <c r="N70" s="32">
        <f t="shared" si="80"/>
        <v>0</v>
      </c>
      <c r="O70" s="33">
        <f t="shared" si="81"/>
        <v>0</v>
      </c>
      <c r="P70" s="40">
        <f t="shared" si="82"/>
        <v>0</v>
      </c>
      <c r="Q70" s="33">
        <f t="shared" si="83"/>
        <v>0</v>
      </c>
      <c r="R70" s="40">
        <f t="shared" si="84"/>
        <v>0</v>
      </c>
      <c r="S70" s="41">
        <f t="shared" si="85"/>
        <v>0</v>
      </c>
      <c r="T70" s="40">
        <f t="shared" si="86"/>
        <v>0</v>
      </c>
      <c r="U70" s="41">
        <f t="shared" si="87"/>
        <v>0</v>
      </c>
      <c r="V70" s="53"/>
      <c r="W70" s="53"/>
      <c r="X70" t="s">
        <v>362</v>
      </c>
      <c r="Y70">
        <v>413206</v>
      </c>
      <c r="Z70">
        <v>247857</v>
      </c>
      <c r="AA70" s="51">
        <v>34143.050000000003</v>
      </c>
      <c r="AB70" s="32">
        <f t="shared" si="71"/>
        <v>8462593943.8500004</v>
      </c>
      <c r="AC70">
        <v>13456</v>
      </c>
      <c r="AD70" s="37">
        <f t="shared" si="72"/>
        <v>3.2564870790840403E-2</v>
      </c>
      <c r="AE70">
        <v>6.5414999999999996E-3</v>
      </c>
      <c r="AF70" s="3">
        <f t="shared" si="73"/>
        <v>6.5414999999999996E-5</v>
      </c>
      <c r="AG70" s="11">
        <f>+'Seat capacity elasticities'!R100</f>
        <v>1.9082331790512438E-2</v>
      </c>
      <c r="AH70" s="11">
        <f>+'Seat capacity elasticities'!S100</f>
        <v>3.6166297113294672E-2</v>
      </c>
      <c r="AI70" s="11">
        <f>+'Seat capacity elasticities'!T100</f>
        <v>5.235585617613521E-2</v>
      </c>
      <c r="AJ70" s="11">
        <f>+'Seat capacity elasticities'!U100</f>
        <v>4.2828509739427902E-2</v>
      </c>
      <c r="AK70" s="32">
        <f t="shared" si="88"/>
        <v>1614860.2544492688</v>
      </c>
      <c r="AL70" s="33">
        <f t="shared" si="89"/>
        <v>1.9082331790512436E-4</v>
      </c>
      <c r="AM70" s="40">
        <f t="shared" si="90"/>
        <v>3060606.8692244724</v>
      </c>
      <c r="AN70" s="33">
        <f t="shared" si="91"/>
        <v>3.6166297113294674E-4</v>
      </c>
      <c r="AO70" s="40">
        <f t="shared" si="92"/>
        <v>7045004.0070607541</v>
      </c>
      <c r="AP70" s="41">
        <f t="shared" si="93"/>
        <v>5.235585617613522E-4</v>
      </c>
      <c r="AQ70" s="40">
        <f t="shared" si="94"/>
        <v>5763004.2705374183</v>
      </c>
      <c r="AR70" s="41">
        <f t="shared" si="95"/>
        <v>4.2828509739427904E-4</v>
      </c>
      <c r="AV70" t="s">
        <v>362</v>
      </c>
      <c r="AW70">
        <v>413206</v>
      </c>
      <c r="AX70">
        <v>247857</v>
      </c>
      <c r="AY70" s="51">
        <v>34143.050000000003</v>
      </c>
      <c r="AZ70" s="32">
        <f t="shared" si="74"/>
        <v>8462593943.8500004</v>
      </c>
      <c r="BA70">
        <v>13456</v>
      </c>
      <c r="BB70" s="37">
        <f t="shared" si="75"/>
        <v>3.2564870790840403E-2</v>
      </c>
      <c r="BC70">
        <v>0</v>
      </c>
      <c r="BD70" s="3">
        <f t="shared" si="76"/>
        <v>0</v>
      </c>
      <c r="BE70" s="11">
        <f>+'Seat capacity elasticities'!Y100</f>
        <v>0</v>
      </c>
      <c r="BF70" s="11">
        <f>+'Seat capacity elasticities'!Z100</f>
        <v>0</v>
      </c>
      <c r="BG70" s="11">
        <f>+'Seat capacity elasticities'!AA100</f>
        <v>0</v>
      </c>
      <c r="BH70" s="11">
        <f>+'Seat capacity elasticities'!AB100</f>
        <v>0</v>
      </c>
      <c r="BI70" s="32">
        <f t="shared" si="96"/>
        <v>0</v>
      </c>
      <c r="BJ70" s="33">
        <f t="shared" si="97"/>
        <v>0</v>
      </c>
      <c r="BK70" s="40">
        <f t="shared" si="98"/>
        <v>0</v>
      </c>
      <c r="BL70" s="33">
        <f t="shared" si="99"/>
        <v>0</v>
      </c>
      <c r="BM70" s="40">
        <f t="shared" si="100"/>
        <v>0</v>
      </c>
      <c r="BN70" s="41">
        <f t="shared" si="101"/>
        <v>0</v>
      </c>
      <c r="BO70" s="40">
        <f t="shared" si="102"/>
        <v>0</v>
      </c>
      <c r="BP70" s="41">
        <f t="shared" si="103"/>
        <v>0</v>
      </c>
      <c r="BQ70" s="53"/>
      <c r="BR70" s="53"/>
      <c r="BS70" t="s">
        <v>362</v>
      </c>
      <c r="BT70">
        <v>413206</v>
      </c>
      <c r="BU70">
        <v>247857</v>
      </c>
      <c r="BV70" s="51">
        <v>34143.050000000003</v>
      </c>
      <c r="BW70" s="32">
        <f t="shared" si="77"/>
        <v>8462593943.8500004</v>
      </c>
      <c r="BX70">
        <v>13456</v>
      </c>
      <c r="BY70" s="37">
        <f t="shared" si="78"/>
        <v>3.2564870790840403E-2</v>
      </c>
      <c r="BZ70">
        <v>6.5414999999999996E-3</v>
      </c>
      <c r="CA70" s="3">
        <f t="shared" si="79"/>
        <v>6.5414999999999996E-5</v>
      </c>
      <c r="CB70" s="11">
        <f>+'Seat capacity elasticities'!AF100</f>
        <v>3.3609095446483786E-2</v>
      </c>
      <c r="CC70" s="11">
        <f>+'Seat capacity elasticities'!AG100</f>
        <v>2.6856456855866077E-2</v>
      </c>
      <c r="CD70" s="11">
        <f>+'Seat capacity elasticities'!AH100</f>
        <v>9.2212680647392326E-2</v>
      </c>
      <c r="CE70" s="11">
        <f>+'Seat capacity elasticities'!AI100</f>
        <v>3.1803698908262464E-2</v>
      </c>
      <c r="CF70" s="32">
        <f t="shared" si="104"/>
        <v>2844201.2758369031</v>
      </c>
      <c r="CG70" s="33">
        <f t="shared" si="105"/>
        <v>3.3609095446483788E-4</v>
      </c>
      <c r="CH70" s="40">
        <f t="shared" si="106"/>
        <v>2272752.8914172109</v>
      </c>
      <c r="CI70" s="33">
        <f t="shared" si="107"/>
        <v>2.6856456855866076E-4</v>
      </c>
      <c r="CJ70" s="40">
        <f t="shared" si="108"/>
        <v>12408138.307913112</v>
      </c>
      <c r="CK70" s="41">
        <f t="shared" si="109"/>
        <v>9.2212680647392323E-4</v>
      </c>
      <c r="CL70" s="40">
        <f t="shared" si="110"/>
        <v>4279505.7250957973</v>
      </c>
      <c r="CM70" s="41">
        <f t="shared" si="111"/>
        <v>3.1803698908262467E-4</v>
      </c>
      <c r="CO70" s="70">
        <f t="shared" si="112"/>
        <v>0</v>
      </c>
      <c r="CP70" s="70">
        <f t="shared" si="113"/>
        <v>0</v>
      </c>
      <c r="CQ70" s="70">
        <f t="shared" si="114"/>
        <v>0</v>
      </c>
      <c r="CR70" s="70">
        <f t="shared" si="115"/>
        <v>0</v>
      </c>
      <c r="CS70" s="70">
        <f t="shared" si="116"/>
        <v>0</v>
      </c>
      <c r="CT70" s="70">
        <f t="shared" si="117"/>
        <v>0</v>
      </c>
      <c r="CU70" s="69">
        <f t="shared" si="118"/>
        <v>0</v>
      </c>
      <c r="CV70" s="69">
        <f t="shared" si="119"/>
        <v>0</v>
      </c>
      <c r="CW70" s="70">
        <f t="shared" si="120"/>
        <v>0</v>
      </c>
      <c r="CX70" s="69">
        <f t="shared" si="121"/>
        <v>0</v>
      </c>
      <c r="CY70" s="69">
        <f t="shared" si="122"/>
        <v>0</v>
      </c>
      <c r="CZ70" s="70">
        <f t="shared" si="123"/>
        <v>0</v>
      </c>
      <c r="DB70" s="70">
        <f t="shared" si="124"/>
        <v>6.515290084400557</v>
      </c>
      <c r="DC70" s="70">
        <f t="shared" si="125"/>
        <v>11.475170262840683</v>
      </c>
      <c r="DD70" s="70">
        <f t="shared" si="126"/>
        <v>17.990460347241239</v>
      </c>
      <c r="DE70" s="70">
        <f t="shared" si="127"/>
        <v>12.348276906540757</v>
      </c>
      <c r="DF70" s="70">
        <f t="shared" si="128"/>
        <v>9.1696134925267838</v>
      </c>
      <c r="DG70" s="70">
        <f t="shared" si="129"/>
        <v>21.517890399067539</v>
      </c>
      <c r="DH70" s="69">
        <f t="shared" si="130"/>
        <v>28.423663673250118</v>
      </c>
      <c r="DI70" s="69">
        <f t="shared" si="131"/>
        <v>50.061681969494956</v>
      </c>
      <c r="DJ70" s="70">
        <f t="shared" si="132"/>
        <v>78.485345642745074</v>
      </c>
      <c r="DK70" s="69">
        <f t="shared" si="133"/>
        <v>23.251327461146623</v>
      </c>
      <c r="DL70" s="69">
        <f t="shared" si="134"/>
        <v>17.26602728628119</v>
      </c>
      <c r="DM70" s="70">
        <f t="shared" si="135"/>
        <v>40.517354747427817</v>
      </c>
    </row>
    <row r="71" spans="1:117">
      <c r="A71" t="s">
        <v>976</v>
      </c>
      <c r="B71">
        <v>81775</v>
      </c>
      <c r="C71">
        <v>56171</v>
      </c>
      <c r="D71" s="51">
        <v>40541.06</v>
      </c>
      <c r="E71" s="32">
        <f t="shared" si="68"/>
        <v>2277231881.2599998</v>
      </c>
      <c r="F71">
        <v>3099</v>
      </c>
      <c r="G71" s="37">
        <f t="shared" si="69"/>
        <v>3.7896667685723022E-2</v>
      </c>
      <c r="H71">
        <v>0</v>
      </c>
      <c r="I71" s="3">
        <f t="shared" si="70"/>
        <v>0</v>
      </c>
      <c r="J71" s="11">
        <f>+'Seat capacity elasticities'!K101</f>
        <v>0</v>
      </c>
      <c r="K71" s="11">
        <f>+'Seat capacity elasticities'!L101</f>
        <v>0</v>
      </c>
      <c r="L71" s="11">
        <f>+'Seat capacity elasticities'!M101</f>
        <v>0</v>
      </c>
      <c r="M71" s="11">
        <f>+'Seat capacity elasticities'!N101</f>
        <v>0</v>
      </c>
      <c r="N71" s="32">
        <f t="shared" si="80"/>
        <v>0</v>
      </c>
      <c r="O71" s="33">
        <f t="shared" si="81"/>
        <v>0</v>
      </c>
      <c r="P71" s="40">
        <f t="shared" si="82"/>
        <v>0</v>
      </c>
      <c r="Q71" s="33">
        <f t="shared" si="83"/>
        <v>0</v>
      </c>
      <c r="R71" s="40">
        <f t="shared" si="84"/>
        <v>0</v>
      </c>
      <c r="S71" s="41">
        <f t="shared" si="85"/>
        <v>0</v>
      </c>
      <c r="T71" s="40">
        <f t="shared" si="86"/>
        <v>0</v>
      </c>
      <c r="U71" s="41">
        <f t="shared" si="87"/>
        <v>0</v>
      </c>
      <c r="V71" s="53"/>
      <c r="W71" s="53"/>
      <c r="X71" t="s">
        <v>976</v>
      </c>
      <c r="Y71">
        <v>81775</v>
      </c>
      <c r="Z71">
        <v>56171</v>
      </c>
      <c r="AA71" s="51">
        <v>40541.06</v>
      </c>
      <c r="AB71" s="32">
        <f t="shared" si="71"/>
        <v>2277231881.2599998</v>
      </c>
      <c r="AC71">
        <v>3099</v>
      </c>
      <c r="AD71" s="37">
        <f t="shared" si="72"/>
        <v>3.7896667685723022E-2</v>
      </c>
      <c r="AE71">
        <v>4.0327000000000002E-3</v>
      </c>
      <c r="AF71" s="3">
        <f t="shared" si="73"/>
        <v>4.0327000000000002E-5</v>
      </c>
      <c r="AG71" s="11">
        <f>+'Seat capacity elasticities'!R101</f>
        <v>7.997526564530167E-3</v>
      </c>
      <c r="AH71" s="11">
        <f>+'Seat capacity elasticities'!S101</f>
        <v>1.5157525038322246E-2</v>
      </c>
      <c r="AI71" s="11">
        <f>+'Seat capacity elasticities'!T101</f>
        <v>2.1942672162609842E-2</v>
      </c>
      <c r="AJ71" s="11">
        <f>+'Seat capacity elasticities'!U101</f>
        <v>1.7949700703276346E-2</v>
      </c>
      <c r="AK71" s="32">
        <f t="shared" si="88"/>
        <v>182122.22463971857</v>
      </c>
      <c r="AL71" s="33">
        <f t="shared" si="89"/>
        <v>7.9975265645301674E-5</v>
      </c>
      <c r="AM71" s="40">
        <f t="shared" si="90"/>
        <v>345171.99258264119</v>
      </c>
      <c r="AN71" s="33">
        <f t="shared" si="91"/>
        <v>1.5157525038322247E-4</v>
      </c>
      <c r="AO71" s="40">
        <f t="shared" si="92"/>
        <v>680003.41031927906</v>
      </c>
      <c r="AP71" s="41">
        <f t="shared" si="93"/>
        <v>2.1942672162609845E-4</v>
      </c>
      <c r="AQ71" s="40">
        <f t="shared" si="94"/>
        <v>556261.22479453404</v>
      </c>
      <c r="AR71" s="41">
        <f t="shared" si="95"/>
        <v>1.7949700703276348E-4</v>
      </c>
      <c r="AV71" t="s">
        <v>976</v>
      </c>
      <c r="AW71">
        <v>81775</v>
      </c>
      <c r="AX71">
        <v>56171</v>
      </c>
      <c r="AY71" s="51">
        <v>40541.06</v>
      </c>
      <c r="AZ71" s="32">
        <f t="shared" si="74"/>
        <v>2277231881.2599998</v>
      </c>
      <c r="BA71">
        <v>3099</v>
      </c>
      <c r="BB71" s="37">
        <f t="shared" si="75"/>
        <v>3.7896667685723022E-2</v>
      </c>
      <c r="BC71">
        <v>0</v>
      </c>
      <c r="BD71" s="3">
        <f t="shared" si="76"/>
        <v>0</v>
      </c>
      <c r="BE71" s="11">
        <f>+'Seat capacity elasticities'!Y101</f>
        <v>0</v>
      </c>
      <c r="BF71" s="11">
        <f>+'Seat capacity elasticities'!Z101</f>
        <v>0</v>
      </c>
      <c r="BG71" s="11">
        <f>+'Seat capacity elasticities'!AA101</f>
        <v>0</v>
      </c>
      <c r="BH71" s="11">
        <f>+'Seat capacity elasticities'!AB101</f>
        <v>0</v>
      </c>
      <c r="BI71" s="32">
        <f t="shared" si="96"/>
        <v>0</v>
      </c>
      <c r="BJ71" s="33">
        <f t="shared" si="97"/>
        <v>0</v>
      </c>
      <c r="BK71" s="40">
        <f t="shared" si="98"/>
        <v>0</v>
      </c>
      <c r="BL71" s="33">
        <f t="shared" si="99"/>
        <v>0</v>
      </c>
      <c r="BM71" s="40">
        <f t="shared" si="100"/>
        <v>0</v>
      </c>
      <c r="BN71" s="41">
        <f t="shared" si="101"/>
        <v>0</v>
      </c>
      <c r="BO71" s="40">
        <f t="shared" si="102"/>
        <v>0</v>
      </c>
      <c r="BP71" s="41">
        <f t="shared" si="103"/>
        <v>0</v>
      </c>
      <c r="BQ71" s="53"/>
      <c r="BR71" s="53"/>
      <c r="BS71" t="s">
        <v>976</v>
      </c>
      <c r="BT71">
        <v>81775</v>
      </c>
      <c r="BU71">
        <v>56171</v>
      </c>
      <c r="BV71" s="51">
        <v>40541.06</v>
      </c>
      <c r="BW71" s="32">
        <f t="shared" si="77"/>
        <v>2277231881.2599998</v>
      </c>
      <c r="BX71">
        <v>3099</v>
      </c>
      <c r="BY71" s="37">
        <f t="shared" si="78"/>
        <v>3.7896667685723022E-2</v>
      </c>
      <c r="BZ71">
        <v>4.0327000000000002E-3</v>
      </c>
      <c r="CA71" s="3">
        <f t="shared" si="79"/>
        <v>4.0327000000000002E-5</v>
      </c>
      <c r="CB71" s="11">
        <f>+'Seat capacity elasticities'!AF101</f>
        <v>0.10469391968680114</v>
      </c>
      <c r="CC71" s="11">
        <f>+'Seat capacity elasticities'!AG101</f>
        <v>8.3659131547208804E-2</v>
      </c>
      <c r="CD71" s="11">
        <f>+'Seat capacity elasticities'!AH101</f>
        <v>0.28724685545837136</v>
      </c>
      <c r="CE71" s="11">
        <f>+'Seat capacity elasticities'!AI101</f>
        <v>9.907002420064201E-2</v>
      </c>
      <c r="CF71" s="32">
        <f t="shared" si="104"/>
        <v>2384123.3168485747</v>
      </c>
      <c r="CG71" s="33">
        <f t="shared" si="105"/>
        <v>1.0469391968680112E-3</v>
      </c>
      <c r="CH71" s="40">
        <f t="shared" si="106"/>
        <v>1905112.415178281</v>
      </c>
      <c r="CI71" s="33">
        <f t="shared" si="107"/>
        <v>8.3659131547208804E-4</v>
      </c>
      <c r="CJ71" s="40">
        <f t="shared" si="108"/>
        <v>8901780.0506549273</v>
      </c>
      <c r="CK71" s="41">
        <f t="shared" si="109"/>
        <v>2.8724685545837131E-3</v>
      </c>
      <c r="CL71" s="40">
        <f t="shared" si="110"/>
        <v>3070180.0499778963</v>
      </c>
      <c r="CM71" s="41">
        <f t="shared" si="111"/>
        <v>9.9070024200642029E-4</v>
      </c>
      <c r="CO71" s="70">
        <f t="shared" si="112"/>
        <v>0</v>
      </c>
      <c r="CP71" s="70">
        <f t="shared" si="113"/>
        <v>0</v>
      </c>
      <c r="CQ71" s="70">
        <f t="shared" si="114"/>
        <v>0</v>
      </c>
      <c r="CR71" s="70">
        <f t="shared" si="115"/>
        <v>0</v>
      </c>
      <c r="CS71" s="70">
        <f t="shared" si="116"/>
        <v>0</v>
      </c>
      <c r="CT71" s="70">
        <f t="shared" si="117"/>
        <v>0</v>
      </c>
      <c r="CU71" s="69">
        <f t="shared" si="118"/>
        <v>0</v>
      </c>
      <c r="CV71" s="69">
        <f t="shared" si="119"/>
        <v>0</v>
      </c>
      <c r="CW71" s="70">
        <f t="shared" si="120"/>
        <v>0</v>
      </c>
      <c r="CX71" s="69">
        <f t="shared" si="121"/>
        <v>0</v>
      </c>
      <c r="CY71" s="69">
        <f t="shared" si="122"/>
        <v>0</v>
      </c>
      <c r="CZ71" s="70">
        <f t="shared" si="123"/>
        <v>0</v>
      </c>
      <c r="DB71" s="70">
        <f t="shared" si="124"/>
        <v>3.2422820430421138</v>
      </c>
      <c r="DC71" s="70">
        <f t="shared" si="125"/>
        <v>42.444024796577857</v>
      </c>
      <c r="DD71" s="70">
        <f t="shared" si="126"/>
        <v>45.686306839619974</v>
      </c>
      <c r="DE71" s="70">
        <f t="shared" si="127"/>
        <v>6.145021320301244</v>
      </c>
      <c r="DF71" s="70">
        <f t="shared" si="128"/>
        <v>33.916298716032848</v>
      </c>
      <c r="DG71" s="70">
        <f t="shared" si="129"/>
        <v>40.061320036334095</v>
      </c>
      <c r="DH71" s="69">
        <f t="shared" si="130"/>
        <v>12.105951653331418</v>
      </c>
      <c r="DI71" s="69">
        <f t="shared" si="131"/>
        <v>158.47643892141724</v>
      </c>
      <c r="DJ71" s="70">
        <f t="shared" si="132"/>
        <v>170.58239057474867</v>
      </c>
      <c r="DK71" s="69">
        <f t="shared" si="133"/>
        <v>9.9029966494193449</v>
      </c>
      <c r="DL71" s="69">
        <f t="shared" si="134"/>
        <v>54.657742428973961</v>
      </c>
      <c r="DM71" s="70">
        <f t="shared" si="135"/>
        <v>64.560739078393311</v>
      </c>
    </row>
    <row r="72" spans="1:117">
      <c r="A72" t="s">
        <v>363</v>
      </c>
      <c r="B72">
        <v>99772</v>
      </c>
      <c r="C72">
        <v>49565</v>
      </c>
      <c r="D72" s="51">
        <v>28692.43</v>
      </c>
      <c r="E72" s="32">
        <f t="shared" si="68"/>
        <v>1422140292.95</v>
      </c>
      <c r="F72">
        <v>1915</v>
      </c>
      <c r="G72" s="37">
        <f t="shared" si="69"/>
        <v>1.9193761776851222E-2</v>
      </c>
      <c r="H72">
        <v>0</v>
      </c>
      <c r="I72" s="3">
        <f t="shared" si="70"/>
        <v>0</v>
      </c>
      <c r="J72" s="11">
        <f>+'Seat capacity elasticities'!K102</f>
        <v>0</v>
      </c>
      <c r="K72" s="11">
        <f>+'Seat capacity elasticities'!L102</f>
        <v>0</v>
      </c>
      <c r="L72" s="11">
        <f>+'Seat capacity elasticities'!M102</f>
        <v>0</v>
      </c>
      <c r="M72" s="11">
        <f>+'Seat capacity elasticities'!N102</f>
        <v>0</v>
      </c>
      <c r="N72" s="32">
        <f t="shared" si="80"/>
        <v>0</v>
      </c>
      <c r="O72" s="33">
        <f t="shared" si="81"/>
        <v>0</v>
      </c>
      <c r="P72" s="40">
        <f t="shared" si="82"/>
        <v>0</v>
      </c>
      <c r="Q72" s="33">
        <f t="shared" si="83"/>
        <v>0</v>
      </c>
      <c r="R72" s="40">
        <f t="shared" si="84"/>
        <v>0</v>
      </c>
      <c r="S72" s="41">
        <f t="shared" si="85"/>
        <v>0</v>
      </c>
      <c r="T72" s="40">
        <f t="shared" si="86"/>
        <v>0</v>
      </c>
      <c r="U72" s="41">
        <f t="shared" si="87"/>
        <v>0</v>
      </c>
      <c r="V72" s="53"/>
      <c r="W72" s="53"/>
      <c r="X72" t="s">
        <v>363</v>
      </c>
      <c r="Y72">
        <v>99772</v>
      </c>
      <c r="Z72">
        <v>49565</v>
      </c>
      <c r="AA72" s="51">
        <v>28692.43</v>
      </c>
      <c r="AB72" s="32">
        <f t="shared" si="71"/>
        <v>1422140292.95</v>
      </c>
      <c r="AC72">
        <v>1915</v>
      </c>
      <c r="AD72" s="37">
        <f t="shared" si="72"/>
        <v>1.9193761776851222E-2</v>
      </c>
      <c r="AE72">
        <v>1.4563E-3</v>
      </c>
      <c r="AF72" s="3">
        <f t="shared" si="73"/>
        <v>1.4563000000000001E-5</v>
      </c>
      <c r="AG72" s="11">
        <f>+'Seat capacity elasticities'!R102</f>
        <v>3.766825624049171E-3</v>
      </c>
      <c r="AH72" s="11">
        <f>+'Seat capacity elasticities'!S102</f>
        <v>7.1391765004876042E-3</v>
      </c>
      <c r="AI72" s="11">
        <f>+'Seat capacity elasticities'!T102</f>
        <v>1.0334972831326245E-2</v>
      </c>
      <c r="AJ72" s="11">
        <f>+'Seat capacity elasticities'!U102</f>
        <v>8.4542879611037413E-3</v>
      </c>
      <c r="AK72" s="32">
        <f t="shared" si="88"/>
        <v>53569.544964768545</v>
      </c>
      <c r="AL72" s="33">
        <f t="shared" si="89"/>
        <v>3.7668256240491708E-5</v>
      </c>
      <c r="AM72" s="40">
        <f t="shared" si="90"/>
        <v>101529.10559825198</v>
      </c>
      <c r="AN72" s="33">
        <f t="shared" si="91"/>
        <v>7.1391765004876037E-5</v>
      </c>
      <c r="AO72" s="40">
        <f t="shared" si="92"/>
        <v>197914.72971989762</v>
      </c>
      <c r="AP72" s="41">
        <f t="shared" si="93"/>
        <v>1.0334972831326246E-4</v>
      </c>
      <c r="AQ72" s="40">
        <f t="shared" si="94"/>
        <v>161899.61445513667</v>
      </c>
      <c r="AR72" s="41">
        <f t="shared" si="95"/>
        <v>8.4542879611037414E-5</v>
      </c>
      <c r="AV72" t="s">
        <v>363</v>
      </c>
      <c r="AW72">
        <v>99772</v>
      </c>
      <c r="AX72">
        <v>49565</v>
      </c>
      <c r="AY72" s="51">
        <v>28692.43</v>
      </c>
      <c r="AZ72" s="32">
        <f t="shared" si="74"/>
        <v>1422140292.95</v>
      </c>
      <c r="BA72">
        <v>1915</v>
      </c>
      <c r="BB72" s="37">
        <f t="shared" si="75"/>
        <v>1.9193761776851222E-2</v>
      </c>
      <c r="BC72">
        <v>0</v>
      </c>
      <c r="BD72" s="3">
        <f t="shared" si="76"/>
        <v>0</v>
      </c>
      <c r="BE72" s="11">
        <f>+'Seat capacity elasticities'!Y102</f>
        <v>0</v>
      </c>
      <c r="BF72" s="11">
        <f>+'Seat capacity elasticities'!Z102</f>
        <v>0</v>
      </c>
      <c r="BG72" s="11">
        <f>+'Seat capacity elasticities'!AA102</f>
        <v>0</v>
      </c>
      <c r="BH72" s="11">
        <f>+'Seat capacity elasticities'!AB102</f>
        <v>0</v>
      </c>
      <c r="BI72" s="32">
        <f t="shared" si="96"/>
        <v>0</v>
      </c>
      <c r="BJ72" s="33">
        <f t="shared" si="97"/>
        <v>0</v>
      </c>
      <c r="BK72" s="40">
        <f t="shared" si="98"/>
        <v>0</v>
      </c>
      <c r="BL72" s="33">
        <f t="shared" si="99"/>
        <v>0</v>
      </c>
      <c r="BM72" s="40">
        <f t="shared" si="100"/>
        <v>0</v>
      </c>
      <c r="BN72" s="41">
        <f t="shared" si="101"/>
        <v>0</v>
      </c>
      <c r="BO72" s="40">
        <f t="shared" si="102"/>
        <v>0</v>
      </c>
      <c r="BP72" s="41">
        <f t="shared" si="103"/>
        <v>0</v>
      </c>
      <c r="BQ72" s="53"/>
      <c r="BR72" s="53"/>
      <c r="BS72" t="s">
        <v>363</v>
      </c>
      <c r="BT72">
        <v>99772</v>
      </c>
      <c r="BU72">
        <v>49565</v>
      </c>
      <c r="BV72" s="51">
        <v>28692.43</v>
      </c>
      <c r="BW72" s="32">
        <f t="shared" si="77"/>
        <v>1422140292.95</v>
      </c>
      <c r="BX72">
        <v>1915</v>
      </c>
      <c r="BY72" s="37">
        <f t="shared" si="78"/>
        <v>1.9193761776851222E-2</v>
      </c>
      <c r="BZ72">
        <v>1.4563E-3</v>
      </c>
      <c r="CA72" s="3">
        <f t="shared" si="79"/>
        <v>1.4563000000000001E-5</v>
      </c>
      <c r="CB72" s="11">
        <f>+'Seat capacity elasticities'!AF102</f>
        <v>3.0987623375368995E-2</v>
      </c>
      <c r="CC72" s="11">
        <f>+'Seat capacity elasticities'!AG102</f>
        <v>2.4761683085805637E-2</v>
      </c>
      <c r="CD72" s="11">
        <f>+'Seat capacity elasticities'!AH102</f>
        <v>8.5020194098485324E-2</v>
      </c>
      <c r="CE72" s="11">
        <f>+'Seat capacity elasticities'!AI102</f>
        <v>2.9323045759506675E-2</v>
      </c>
      <c r="CF72" s="32">
        <f t="shared" si="104"/>
        <v>440687.47784871532</v>
      </c>
      <c r="CG72" s="33">
        <f t="shared" si="105"/>
        <v>3.0987623375368996E-4</v>
      </c>
      <c r="CH72" s="40">
        <f t="shared" si="106"/>
        <v>352145.87237582688</v>
      </c>
      <c r="CI72" s="33">
        <f t="shared" si="107"/>
        <v>2.4761683085805633E-4</v>
      </c>
      <c r="CJ72" s="40">
        <f t="shared" si="108"/>
        <v>1628136.7169859943</v>
      </c>
      <c r="CK72" s="41">
        <f t="shared" si="109"/>
        <v>8.5020194098485338E-4</v>
      </c>
      <c r="CL72" s="40">
        <f t="shared" si="110"/>
        <v>561536.32629455288</v>
      </c>
      <c r="CM72" s="41">
        <f t="shared" si="111"/>
        <v>2.9323045759506677E-4</v>
      </c>
      <c r="CO72" s="70">
        <f t="shared" si="112"/>
        <v>0</v>
      </c>
      <c r="CP72" s="70">
        <f t="shared" si="113"/>
        <v>0</v>
      </c>
      <c r="CQ72" s="70">
        <f t="shared" si="114"/>
        <v>0</v>
      </c>
      <c r="CR72" s="70">
        <f t="shared" si="115"/>
        <v>0</v>
      </c>
      <c r="CS72" s="70">
        <f t="shared" si="116"/>
        <v>0</v>
      </c>
      <c r="CT72" s="70">
        <f t="shared" si="117"/>
        <v>0</v>
      </c>
      <c r="CU72" s="69">
        <f t="shared" si="118"/>
        <v>0</v>
      </c>
      <c r="CV72" s="69">
        <f t="shared" si="119"/>
        <v>0</v>
      </c>
      <c r="CW72" s="70">
        <f t="shared" si="120"/>
        <v>0</v>
      </c>
      <c r="CX72" s="69">
        <f t="shared" si="121"/>
        <v>0</v>
      </c>
      <c r="CY72" s="69">
        <f t="shared" si="122"/>
        <v>0</v>
      </c>
      <c r="CZ72" s="70">
        <f t="shared" si="123"/>
        <v>0</v>
      </c>
      <c r="DB72" s="70">
        <f t="shared" si="124"/>
        <v>1.0807938054023716</v>
      </c>
      <c r="DC72" s="70">
        <f t="shared" si="125"/>
        <v>8.891102145641387</v>
      </c>
      <c r="DD72" s="70">
        <f t="shared" si="126"/>
        <v>9.9718959510437593</v>
      </c>
      <c r="DE72" s="70">
        <f t="shared" si="127"/>
        <v>2.0484032199788555</v>
      </c>
      <c r="DF72" s="70">
        <f t="shared" si="128"/>
        <v>7.1047285862166225</v>
      </c>
      <c r="DG72" s="70">
        <f t="shared" si="129"/>
        <v>9.1531318061954785</v>
      </c>
      <c r="DH72" s="69">
        <f t="shared" si="130"/>
        <v>3.9930339901119263</v>
      </c>
      <c r="DI72" s="69">
        <f t="shared" si="131"/>
        <v>32.848516432684235</v>
      </c>
      <c r="DJ72" s="70">
        <f t="shared" si="132"/>
        <v>36.841550422796161</v>
      </c>
      <c r="DK72" s="69">
        <f t="shared" si="133"/>
        <v>3.2664100565951109</v>
      </c>
      <c r="DL72" s="69">
        <f t="shared" si="134"/>
        <v>11.329291360729403</v>
      </c>
      <c r="DM72" s="70">
        <f t="shared" si="135"/>
        <v>14.595701417324515</v>
      </c>
    </row>
    <row r="73" spans="1:117">
      <c r="A73" t="s">
        <v>291</v>
      </c>
      <c r="B73">
        <v>6301085</v>
      </c>
      <c r="C73">
        <v>4013361</v>
      </c>
      <c r="D73" s="51">
        <v>47180.46</v>
      </c>
      <c r="E73" s="32">
        <f t="shared" si="68"/>
        <v>189352218126.06</v>
      </c>
      <c r="F73">
        <v>352414</v>
      </c>
      <c r="G73" s="37">
        <f t="shared" si="69"/>
        <v>5.5929097925198595E-2</v>
      </c>
      <c r="H73">
        <v>2.2444000000000001E-3</v>
      </c>
      <c r="I73" s="3">
        <f t="shared" si="70"/>
        <v>2.2444000000000001E-5</v>
      </c>
      <c r="J73" s="11">
        <f>+'Seat capacity elasticities'!K103</f>
        <v>4.5204674512853288E-3</v>
      </c>
      <c r="K73" s="11">
        <f>+'Seat capacity elasticities'!L103</f>
        <v>2.2429986344667845E-2</v>
      </c>
      <c r="L73" s="11">
        <f>+'Seat capacity elasticities'!M103</f>
        <v>1.2402726581143863E-2</v>
      </c>
      <c r="M73" s="11">
        <f>+'Seat capacity elasticities'!N103</f>
        <v>2.6561825934475081E-2</v>
      </c>
      <c r="N73" s="32">
        <f t="shared" si="80"/>
        <v>8559605.3886753414</v>
      </c>
      <c r="O73" s="33">
        <f t="shared" si="81"/>
        <v>4.5204674512853289E-5</v>
      </c>
      <c r="P73" s="40">
        <f t="shared" si="82"/>
        <v>42471676.669000931</v>
      </c>
      <c r="Q73" s="33">
        <f t="shared" si="83"/>
        <v>2.2429986344667846E-4</v>
      </c>
      <c r="R73" s="40">
        <f t="shared" si="84"/>
        <v>43708944.853672333</v>
      </c>
      <c r="S73" s="41">
        <f t="shared" si="85"/>
        <v>1.2402726581143861E-4</v>
      </c>
      <c r="T73" s="40">
        <f t="shared" si="86"/>
        <v>93607593.248721033</v>
      </c>
      <c r="U73" s="41">
        <f t="shared" si="87"/>
        <v>2.6561825934475088E-4</v>
      </c>
      <c r="V73" s="53"/>
      <c r="W73" s="53"/>
      <c r="X73" t="s">
        <v>291</v>
      </c>
      <c r="Y73">
        <v>6301085</v>
      </c>
      <c r="Z73">
        <v>4013361</v>
      </c>
      <c r="AA73" s="51">
        <v>47180.46</v>
      </c>
      <c r="AB73" s="32">
        <f t="shared" si="71"/>
        <v>189352218126.06</v>
      </c>
      <c r="AC73">
        <v>352414</v>
      </c>
      <c r="AD73" s="37">
        <f t="shared" si="72"/>
        <v>5.5929097925198595E-2</v>
      </c>
      <c r="AE73">
        <v>5.9167000000000004E-3</v>
      </c>
      <c r="AF73" s="3">
        <f t="shared" si="73"/>
        <v>5.9167000000000005E-5</v>
      </c>
      <c r="AG73" s="11">
        <f>+'Seat capacity elasticities'!R103</f>
        <v>1.0955268368969142E-2</v>
      </c>
      <c r="AH73" s="11">
        <f>+'Seat capacity elasticities'!S103</f>
        <v>2.0763263899698563E-2</v>
      </c>
      <c r="AI73" s="11">
        <f>+'Seat capacity elasticities'!T103</f>
        <v>3.0057776030384651E-2</v>
      </c>
      <c r="AJ73" s="11">
        <f>+'Seat capacity elasticities'!U103</f>
        <v>2.4588075670695667E-2</v>
      </c>
      <c r="AK73" s="32">
        <f t="shared" si="88"/>
        <v>20744043.658305708</v>
      </c>
      <c r="AL73" s="33">
        <f t="shared" si="89"/>
        <v>1.0955268368969143E-4</v>
      </c>
      <c r="AM73" s="40">
        <f t="shared" si="90"/>
        <v>39315700.749446698</v>
      </c>
      <c r="AN73" s="33">
        <f t="shared" si="91"/>
        <v>2.0763263899698563E-4</v>
      </c>
      <c r="AO73" s="40">
        <f t="shared" si="92"/>
        <v>105927810.81971976</v>
      </c>
      <c r="AP73" s="41">
        <f t="shared" si="93"/>
        <v>3.0057776030384653E-4</v>
      </c>
      <c r="AQ73" s="40">
        <f t="shared" si="94"/>
        <v>86651820.994125426</v>
      </c>
      <c r="AR73" s="41">
        <f t="shared" si="95"/>
        <v>2.4588075670695667E-4</v>
      </c>
      <c r="AV73" t="s">
        <v>291</v>
      </c>
      <c r="AW73">
        <v>6301085</v>
      </c>
      <c r="AX73">
        <v>4013361</v>
      </c>
      <c r="AY73" s="51">
        <v>47180.46</v>
      </c>
      <c r="AZ73" s="32">
        <f t="shared" si="74"/>
        <v>189352218126.06</v>
      </c>
      <c r="BA73">
        <v>352414</v>
      </c>
      <c r="BB73" s="37">
        <f t="shared" si="75"/>
        <v>5.5929097925198595E-2</v>
      </c>
      <c r="BC73">
        <v>2.2444000000000001E-3</v>
      </c>
      <c r="BD73" s="3">
        <f t="shared" si="76"/>
        <v>2.2444000000000001E-5</v>
      </c>
      <c r="BE73" s="11">
        <f>+'Seat capacity elasticities'!Y103</f>
        <v>7.2043641599206509E-3</v>
      </c>
      <c r="BF73" s="11">
        <f>+'Seat capacity elasticities'!Z103</f>
        <v>1.9652373383768709E-2</v>
      </c>
      <c r="BG73" s="11">
        <f>+'Seat capacity elasticities'!AA103</f>
        <v>1.976648650375341E-2</v>
      </c>
      <c r="BH73" s="11">
        <f>+'Seat capacity elasticities'!AB103</f>
        <v>2.3272547428147158E-2</v>
      </c>
      <c r="BI73" s="32">
        <f t="shared" si="96"/>
        <v>13641623.338688642</v>
      </c>
      <c r="BJ73" s="33">
        <f t="shared" si="97"/>
        <v>7.2043641599206517E-5</v>
      </c>
      <c r="BK73" s="40">
        <f t="shared" si="98"/>
        <v>37212204.916581482</v>
      </c>
      <c r="BL73" s="33">
        <f t="shared" si="99"/>
        <v>1.9652373383768708E-4</v>
      </c>
      <c r="BM73" s="40">
        <f t="shared" si="100"/>
        <v>69659865.74733755</v>
      </c>
      <c r="BN73" s="41">
        <f t="shared" si="101"/>
        <v>1.9766486503753413E-4</v>
      </c>
      <c r="BO73" s="40">
        <f t="shared" si="102"/>
        <v>82015715.293430537</v>
      </c>
      <c r="BP73" s="41">
        <f t="shared" si="103"/>
        <v>2.3272547428147161E-4</v>
      </c>
      <c r="BQ73" s="53"/>
      <c r="BR73" s="53"/>
      <c r="BS73" t="s">
        <v>291</v>
      </c>
      <c r="BT73">
        <v>6301085</v>
      </c>
      <c r="BU73">
        <v>4013361</v>
      </c>
      <c r="BV73" s="51">
        <v>47180.46</v>
      </c>
      <c r="BW73" s="32">
        <f t="shared" si="77"/>
        <v>189352218126.06</v>
      </c>
      <c r="BX73">
        <v>352414</v>
      </c>
      <c r="BY73" s="37">
        <f t="shared" si="78"/>
        <v>5.5929097925198595E-2</v>
      </c>
      <c r="BZ73">
        <v>5.9167000000000004E-3</v>
      </c>
      <c r="CA73" s="3">
        <f t="shared" si="79"/>
        <v>5.9167000000000005E-5</v>
      </c>
      <c r="CB73" s="11">
        <f>+'Seat capacity elasticities'!AF103</f>
        <v>1.9934727740817722E-3</v>
      </c>
      <c r="CC73" s="11">
        <f>+'Seat capacity elasticities'!AG103</f>
        <v>1.59295020705688E-3</v>
      </c>
      <c r="CD73" s="11">
        <f>+'Seat capacity elasticities'!AH103</f>
        <v>5.4694559866503498E-3</v>
      </c>
      <c r="CE73" s="11">
        <f>+'Seat capacity elasticities'!AI103</f>
        <v>1.8863884030936738E-3</v>
      </c>
      <c r="CF73" s="32">
        <f t="shared" si="104"/>
        <v>3774684.9154629367</v>
      </c>
      <c r="CG73" s="33">
        <f t="shared" si="105"/>
        <v>1.9934727740817724E-5</v>
      </c>
      <c r="CH73" s="40">
        <f t="shared" si="106"/>
        <v>3016286.5507058678</v>
      </c>
      <c r="CI73" s="33">
        <f t="shared" si="107"/>
        <v>1.5929502070568801E-5</v>
      </c>
      <c r="CJ73" s="40">
        <f t="shared" si="108"/>
        <v>19275128.620793965</v>
      </c>
      <c r="CK73" s="41">
        <f t="shared" si="109"/>
        <v>5.4694559866503501E-5</v>
      </c>
      <c r="CL73" s="40">
        <f t="shared" si="110"/>
        <v>6647896.8268785402</v>
      </c>
      <c r="CM73" s="41">
        <f t="shared" si="111"/>
        <v>1.8863884030936737E-5</v>
      </c>
      <c r="CO73" s="70">
        <f t="shared" si="112"/>
        <v>2.1327773376666941</v>
      </c>
      <c r="CP73" s="70">
        <f t="shared" si="113"/>
        <v>3.3990521507256988</v>
      </c>
      <c r="CQ73" s="70">
        <f t="shared" si="114"/>
        <v>5.5318294883923933</v>
      </c>
      <c r="CR73" s="70">
        <f t="shared" si="115"/>
        <v>10.582570735351474</v>
      </c>
      <c r="CS73" s="70">
        <f t="shared" si="116"/>
        <v>9.2720801633796412</v>
      </c>
      <c r="CT73" s="70">
        <f t="shared" si="117"/>
        <v>19.854650898731116</v>
      </c>
      <c r="CU73" s="69">
        <f t="shared" si="118"/>
        <v>10.89085802490041</v>
      </c>
      <c r="CV73" s="69">
        <f t="shared" si="119"/>
        <v>17.356989751815885</v>
      </c>
      <c r="CW73" s="70">
        <f t="shared" si="120"/>
        <v>28.247847776716295</v>
      </c>
      <c r="CX73" s="69">
        <f t="shared" si="121"/>
        <v>23.323990353402305</v>
      </c>
      <c r="CY73" s="69">
        <f t="shared" si="122"/>
        <v>20.435668581378685</v>
      </c>
      <c r="CZ73" s="70">
        <f t="shared" si="123"/>
        <v>43.759658934780987</v>
      </c>
      <c r="DB73" s="70">
        <f t="shared" si="124"/>
        <v>5.1687460107141394</v>
      </c>
      <c r="DC73" s="70">
        <f t="shared" si="125"/>
        <v>0.9405296247865409</v>
      </c>
      <c r="DD73" s="70">
        <f t="shared" si="126"/>
        <v>6.1092756355006799</v>
      </c>
      <c r="DE73" s="70">
        <f t="shared" si="127"/>
        <v>9.7962034188917215</v>
      </c>
      <c r="DF73" s="70">
        <f t="shared" si="128"/>
        <v>0.75156123526038843</v>
      </c>
      <c r="DG73" s="70">
        <f t="shared" si="129"/>
        <v>10.547764654152109</v>
      </c>
      <c r="DH73" s="69">
        <f t="shared" si="130"/>
        <v>26.39379084505973</v>
      </c>
      <c r="DI73" s="69">
        <f t="shared" si="131"/>
        <v>4.8027398035696178</v>
      </c>
      <c r="DJ73" s="70">
        <f t="shared" si="132"/>
        <v>31.196530648629349</v>
      </c>
      <c r="DK73" s="69">
        <f t="shared" si="133"/>
        <v>21.590836457055676</v>
      </c>
      <c r="DL73" s="69">
        <f t="shared" si="134"/>
        <v>1.6564412787383294</v>
      </c>
      <c r="DM73" s="70">
        <f t="shared" si="135"/>
        <v>23.247277735794007</v>
      </c>
    </row>
    <row r="74" spans="1:117">
      <c r="A74" t="s">
        <v>977</v>
      </c>
      <c r="B74">
        <v>80453</v>
      </c>
      <c r="C74">
        <v>40256</v>
      </c>
      <c r="D74" s="51">
        <v>33842.76</v>
      </c>
      <c r="E74" s="32">
        <f t="shared" si="68"/>
        <v>1362374146.5600002</v>
      </c>
      <c r="F74">
        <v>1896</v>
      </c>
      <c r="G74" s="37">
        <f t="shared" si="69"/>
        <v>2.3566554385790462E-2</v>
      </c>
      <c r="H74">
        <v>0</v>
      </c>
      <c r="I74" s="3">
        <f t="shared" si="70"/>
        <v>0</v>
      </c>
      <c r="J74" s="11">
        <f>+'Seat capacity elasticities'!K104</f>
        <v>0</v>
      </c>
      <c r="K74" s="11">
        <f>+'Seat capacity elasticities'!L104</f>
        <v>0</v>
      </c>
      <c r="L74" s="11">
        <f>+'Seat capacity elasticities'!M104</f>
        <v>0</v>
      </c>
      <c r="M74" s="11">
        <f>+'Seat capacity elasticities'!N104</f>
        <v>0</v>
      </c>
      <c r="N74" s="32">
        <f t="shared" si="80"/>
        <v>0</v>
      </c>
      <c r="O74" s="33">
        <f t="shared" si="81"/>
        <v>0</v>
      </c>
      <c r="P74" s="40">
        <f t="shared" si="82"/>
        <v>0</v>
      </c>
      <c r="Q74" s="33">
        <f t="shared" si="83"/>
        <v>0</v>
      </c>
      <c r="R74" s="40">
        <f t="shared" si="84"/>
        <v>0</v>
      </c>
      <c r="S74" s="41">
        <f t="shared" si="85"/>
        <v>0</v>
      </c>
      <c r="T74" s="40">
        <f t="shared" si="86"/>
        <v>0</v>
      </c>
      <c r="U74" s="41">
        <f t="shared" si="87"/>
        <v>0</v>
      </c>
      <c r="V74" s="53"/>
      <c r="W74" s="53"/>
      <c r="X74" t="s">
        <v>977</v>
      </c>
      <c r="Y74">
        <v>80453</v>
      </c>
      <c r="Z74">
        <v>40256</v>
      </c>
      <c r="AA74" s="51">
        <v>33842.76</v>
      </c>
      <c r="AB74" s="32">
        <f t="shared" si="71"/>
        <v>1362374146.5600002</v>
      </c>
      <c r="AC74">
        <v>1896</v>
      </c>
      <c r="AD74" s="37">
        <f t="shared" si="72"/>
        <v>2.3566554385790462E-2</v>
      </c>
      <c r="AE74">
        <v>4.6471000000000004E-3</v>
      </c>
      <c r="AF74" s="3">
        <f t="shared" si="73"/>
        <v>4.6471000000000003E-5</v>
      </c>
      <c r="AG74" s="11">
        <f>+'Seat capacity elasticities'!R104</f>
        <v>1.6394005399240481E-2</v>
      </c>
      <c r="AH74" s="11">
        <f>+'Seat capacity elasticities'!S104</f>
        <v>3.1071174982958739E-2</v>
      </c>
      <c r="AI74" s="11">
        <f>+'Seat capacity elasticities'!T104</f>
        <v>4.497994261163453E-2</v>
      </c>
      <c r="AJ74" s="11">
        <f>+'Seat capacity elasticities'!U104</f>
        <v>3.6794812479819555E-2</v>
      </c>
      <c r="AK74" s="32">
        <f t="shared" si="88"/>
        <v>223347.69114490287</v>
      </c>
      <c r="AL74" s="33">
        <f t="shared" si="89"/>
        <v>1.6394005399240482E-4</v>
      </c>
      <c r="AM74" s="40">
        <f t="shared" si="90"/>
        <v>423305.6550002484</v>
      </c>
      <c r="AN74" s="33">
        <f t="shared" si="91"/>
        <v>3.1071174982958739E-4</v>
      </c>
      <c r="AO74" s="40">
        <f t="shared" si="92"/>
        <v>852819.71191659069</v>
      </c>
      <c r="AP74" s="41">
        <f t="shared" si="93"/>
        <v>4.4979942611634525E-4</v>
      </c>
      <c r="AQ74" s="40">
        <f t="shared" si="94"/>
        <v>697629.64461737883</v>
      </c>
      <c r="AR74" s="41">
        <f t="shared" si="95"/>
        <v>3.6794812479819559E-4</v>
      </c>
      <c r="AV74" t="s">
        <v>977</v>
      </c>
      <c r="AW74">
        <v>80453</v>
      </c>
      <c r="AX74">
        <v>40256</v>
      </c>
      <c r="AY74" s="51">
        <v>33842.76</v>
      </c>
      <c r="AZ74" s="32">
        <f t="shared" si="74"/>
        <v>1362374146.5600002</v>
      </c>
      <c r="BA74">
        <v>1896</v>
      </c>
      <c r="BB74" s="37">
        <f t="shared" si="75"/>
        <v>2.3566554385790462E-2</v>
      </c>
      <c r="BC74">
        <v>0</v>
      </c>
      <c r="BD74" s="3">
        <f t="shared" si="76"/>
        <v>0</v>
      </c>
      <c r="BE74" s="11">
        <f>+'Seat capacity elasticities'!Y104</f>
        <v>0</v>
      </c>
      <c r="BF74" s="11">
        <f>+'Seat capacity elasticities'!Z104</f>
        <v>0</v>
      </c>
      <c r="BG74" s="11">
        <f>+'Seat capacity elasticities'!AA104</f>
        <v>0</v>
      </c>
      <c r="BH74" s="11">
        <f>+'Seat capacity elasticities'!AB104</f>
        <v>0</v>
      </c>
      <c r="BI74" s="32">
        <f t="shared" si="96"/>
        <v>0</v>
      </c>
      <c r="BJ74" s="33">
        <f t="shared" si="97"/>
        <v>0</v>
      </c>
      <c r="BK74" s="40">
        <f t="shared" si="98"/>
        <v>0</v>
      </c>
      <c r="BL74" s="33">
        <f t="shared" si="99"/>
        <v>0</v>
      </c>
      <c r="BM74" s="40">
        <f t="shared" si="100"/>
        <v>0</v>
      </c>
      <c r="BN74" s="41">
        <f t="shared" si="101"/>
        <v>0</v>
      </c>
      <c r="BO74" s="40">
        <f t="shared" si="102"/>
        <v>0</v>
      </c>
      <c r="BP74" s="41">
        <f t="shared" si="103"/>
        <v>0</v>
      </c>
      <c r="BQ74" s="53"/>
      <c r="BR74" s="53"/>
      <c r="BS74" t="s">
        <v>977</v>
      </c>
      <c r="BT74">
        <v>80453</v>
      </c>
      <c r="BU74">
        <v>40256</v>
      </c>
      <c r="BV74" s="51">
        <v>33842.76</v>
      </c>
      <c r="BW74" s="32">
        <f t="shared" si="77"/>
        <v>1362374146.5600002</v>
      </c>
      <c r="BX74">
        <v>1896</v>
      </c>
      <c r="BY74" s="37">
        <f t="shared" si="78"/>
        <v>2.3566554385790462E-2</v>
      </c>
      <c r="BZ74">
        <v>4.6471000000000004E-3</v>
      </c>
      <c r="CA74" s="3">
        <f t="shared" si="79"/>
        <v>4.6471000000000003E-5</v>
      </c>
      <c r="CB74" s="11">
        <f>+'Seat capacity elasticities'!AF104</f>
        <v>0.12262693471814813</v>
      </c>
      <c r="CC74" s="11">
        <f>+'Seat capacity elasticities'!AG104</f>
        <v>9.7989099018420706E-2</v>
      </c>
      <c r="CD74" s="11">
        <f>+'Seat capacity elasticities'!AH104</f>
        <v>0.33644935157325839</v>
      </c>
      <c r="CE74" s="11">
        <f>+'Seat capacity elasticities'!AI104</f>
        <v>0.11603972252181399</v>
      </c>
      <c r="CF74" s="32">
        <f t="shared" si="104"/>
        <v>1670637.6553190593</v>
      </c>
      <c r="CG74" s="33">
        <f t="shared" si="105"/>
        <v>1.2262693471814814E-3</v>
      </c>
      <c r="CH74" s="40">
        <f t="shared" si="106"/>
        <v>1334978.1514740426</v>
      </c>
      <c r="CI74" s="33">
        <f t="shared" si="107"/>
        <v>9.7989099018420695E-4</v>
      </c>
      <c r="CJ74" s="40">
        <f t="shared" si="108"/>
        <v>6379079.7058289796</v>
      </c>
      <c r="CK74" s="41">
        <f t="shared" si="109"/>
        <v>3.3644935157325839E-3</v>
      </c>
      <c r="CL74" s="40">
        <f t="shared" si="110"/>
        <v>2200113.1390135936</v>
      </c>
      <c r="CM74" s="41">
        <f t="shared" si="111"/>
        <v>1.16039722521814E-3</v>
      </c>
      <c r="CO74" s="70">
        <f t="shared" si="112"/>
        <v>0</v>
      </c>
      <c r="CP74" s="70">
        <f t="shared" si="113"/>
        <v>0</v>
      </c>
      <c r="CQ74" s="70">
        <f t="shared" si="114"/>
        <v>0</v>
      </c>
      <c r="CR74" s="70">
        <f t="shared" si="115"/>
        <v>0</v>
      </c>
      <c r="CS74" s="70">
        <f t="shared" si="116"/>
        <v>0</v>
      </c>
      <c r="CT74" s="70">
        <f t="shared" si="117"/>
        <v>0</v>
      </c>
      <c r="CU74" s="69">
        <f t="shared" si="118"/>
        <v>0</v>
      </c>
      <c r="CV74" s="69">
        <f t="shared" si="119"/>
        <v>0</v>
      </c>
      <c r="CW74" s="70">
        <f t="shared" si="120"/>
        <v>0</v>
      </c>
      <c r="CX74" s="69">
        <f t="shared" si="121"/>
        <v>0</v>
      </c>
      <c r="CY74" s="69">
        <f t="shared" si="122"/>
        <v>0</v>
      </c>
      <c r="CZ74" s="70">
        <f t="shared" si="123"/>
        <v>0</v>
      </c>
      <c r="DB74" s="70">
        <f t="shared" si="124"/>
        <v>5.5481839016519992</v>
      </c>
      <c r="DC74" s="70">
        <f t="shared" si="125"/>
        <v>41.500339212019554</v>
      </c>
      <c r="DD74" s="70">
        <f t="shared" si="126"/>
        <v>47.04852311367155</v>
      </c>
      <c r="DE74" s="70">
        <f t="shared" si="127"/>
        <v>10.515343178662768</v>
      </c>
      <c r="DF74" s="70">
        <f t="shared" si="128"/>
        <v>33.162215606966477</v>
      </c>
      <c r="DG74" s="70">
        <f t="shared" si="129"/>
        <v>43.677558785629245</v>
      </c>
      <c r="DH74" s="69">
        <f t="shared" si="130"/>
        <v>21.184909377896233</v>
      </c>
      <c r="DI74" s="69">
        <f t="shared" si="131"/>
        <v>158.46283053033036</v>
      </c>
      <c r="DJ74" s="70">
        <f t="shared" si="132"/>
        <v>179.64773990822658</v>
      </c>
      <c r="DK74" s="69">
        <f t="shared" si="133"/>
        <v>17.329830202140769</v>
      </c>
      <c r="DL74" s="69">
        <f t="shared" si="134"/>
        <v>54.653048961983146</v>
      </c>
      <c r="DM74" s="70">
        <f t="shared" si="135"/>
        <v>71.982879164123915</v>
      </c>
    </row>
    <row r="75" spans="1:117">
      <c r="A75" t="s">
        <v>364</v>
      </c>
      <c r="B75">
        <v>376980</v>
      </c>
      <c r="C75">
        <v>238059</v>
      </c>
      <c r="D75" s="51">
        <v>37289.910000000003</v>
      </c>
      <c r="E75" s="32">
        <f t="shared" si="68"/>
        <v>8877198684.6900005</v>
      </c>
      <c r="F75">
        <v>14751</v>
      </c>
      <c r="G75" s="37">
        <f t="shared" si="69"/>
        <v>3.9129396784975332E-2</v>
      </c>
      <c r="H75">
        <v>0</v>
      </c>
      <c r="I75" s="3">
        <f t="shared" si="70"/>
        <v>0</v>
      </c>
      <c r="J75" s="11">
        <f>+'Seat capacity elasticities'!K105</f>
        <v>0</v>
      </c>
      <c r="K75" s="11">
        <f>+'Seat capacity elasticities'!L105</f>
        <v>0</v>
      </c>
      <c r="L75" s="11">
        <f>+'Seat capacity elasticities'!M105</f>
        <v>0</v>
      </c>
      <c r="M75" s="11">
        <f>+'Seat capacity elasticities'!N105</f>
        <v>0</v>
      </c>
      <c r="N75" s="32">
        <f t="shared" si="80"/>
        <v>0</v>
      </c>
      <c r="O75" s="33">
        <f t="shared" si="81"/>
        <v>0</v>
      </c>
      <c r="P75" s="40">
        <f t="shared" si="82"/>
        <v>0</v>
      </c>
      <c r="Q75" s="33">
        <f t="shared" si="83"/>
        <v>0</v>
      </c>
      <c r="R75" s="40">
        <f t="shared" si="84"/>
        <v>0</v>
      </c>
      <c r="S75" s="41">
        <f t="shared" si="85"/>
        <v>0</v>
      </c>
      <c r="T75" s="40">
        <f t="shared" si="86"/>
        <v>0</v>
      </c>
      <c r="U75" s="41">
        <f t="shared" si="87"/>
        <v>0</v>
      </c>
      <c r="V75" s="53"/>
      <c r="W75" s="53"/>
      <c r="X75" t="s">
        <v>364</v>
      </c>
      <c r="Y75">
        <v>376980</v>
      </c>
      <c r="Z75">
        <v>238059</v>
      </c>
      <c r="AA75" s="51">
        <v>37289.910000000003</v>
      </c>
      <c r="AB75" s="32">
        <f t="shared" si="71"/>
        <v>8877198684.6900005</v>
      </c>
      <c r="AC75">
        <v>14751</v>
      </c>
      <c r="AD75" s="37">
        <f t="shared" si="72"/>
        <v>3.9129396784975332E-2</v>
      </c>
      <c r="AE75">
        <v>8.5810999999999995E-3</v>
      </c>
      <c r="AF75" s="3">
        <f t="shared" si="73"/>
        <v>8.5810999999999995E-5</v>
      </c>
      <c r="AG75" s="11">
        <f>+'Seat capacity elasticities'!R105</f>
        <v>2.1576843914805979E-2</v>
      </c>
      <c r="AH75" s="11">
        <f>+'Seat capacity elasticities'!S105</f>
        <v>4.0894087596676329E-2</v>
      </c>
      <c r="AI75" s="11">
        <f>+'Seat capacity elasticities'!T105</f>
        <v>5.9200004964810628E-2</v>
      </c>
      <c r="AJ75" s="11">
        <f>+'Seat capacity elasticities'!U105</f>
        <v>4.8427208996064078E-2</v>
      </c>
      <c r="AK75" s="32">
        <f t="shared" si="88"/>
        <v>1915419.3042027708</v>
      </c>
      <c r="AL75" s="33">
        <f t="shared" si="89"/>
        <v>2.1576843914805979E-4</v>
      </c>
      <c r="AM75" s="40">
        <f t="shared" si="90"/>
        <v>3630249.4062481276</v>
      </c>
      <c r="AN75" s="33">
        <f t="shared" si="91"/>
        <v>4.0894087596676326E-4</v>
      </c>
      <c r="AO75" s="40">
        <f t="shared" si="92"/>
        <v>8732592.7323592175</v>
      </c>
      <c r="AP75" s="41">
        <f t="shared" si="93"/>
        <v>5.9200004964810634E-4</v>
      </c>
      <c r="AQ75" s="40">
        <f t="shared" si="94"/>
        <v>7143497.5990094133</v>
      </c>
      <c r="AR75" s="41">
        <f t="shared" si="95"/>
        <v>4.8427208996064088E-4</v>
      </c>
      <c r="AV75" t="s">
        <v>364</v>
      </c>
      <c r="AW75">
        <v>376980</v>
      </c>
      <c r="AX75">
        <v>238059</v>
      </c>
      <c r="AY75" s="51">
        <v>37289.910000000003</v>
      </c>
      <c r="AZ75" s="32">
        <f t="shared" si="74"/>
        <v>8877198684.6900005</v>
      </c>
      <c r="BA75">
        <v>14751</v>
      </c>
      <c r="BB75" s="37">
        <f t="shared" si="75"/>
        <v>3.9129396784975332E-2</v>
      </c>
      <c r="BC75">
        <v>0</v>
      </c>
      <c r="BD75" s="3">
        <f t="shared" si="76"/>
        <v>0</v>
      </c>
      <c r="BE75" s="11">
        <f>+'Seat capacity elasticities'!Y105</f>
        <v>0</v>
      </c>
      <c r="BF75" s="11">
        <f>+'Seat capacity elasticities'!Z105</f>
        <v>0</v>
      </c>
      <c r="BG75" s="11">
        <f>+'Seat capacity elasticities'!AA105</f>
        <v>0</v>
      </c>
      <c r="BH75" s="11">
        <f>+'Seat capacity elasticities'!AB105</f>
        <v>0</v>
      </c>
      <c r="BI75" s="32">
        <f t="shared" si="96"/>
        <v>0</v>
      </c>
      <c r="BJ75" s="33">
        <f t="shared" si="97"/>
        <v>0</v>
      </c>
      <c r="BK75" s="40">
        <f t="shared" si="98"/>
        <v>0</v>
      </c>
      <c r="BL75" s="33">
        <f t="shared" si="99"/>
        <v>0</v>
      </c>
      <c r="BM75" s="40">
        <f t="shared" si="100"/>
        <v>0</v>
      </c>
      <c r="BN75" s="41">
        <f t="shared" si="101"/>
        <v>0</v>
      </c>
      <c r="BO75" s="40">
        <f t="shared" si="102"/>
        <v>0</v>
      </c>
      <c r="BP75" s="41">
        <f t="shared" si="103"/>
        <v>0</v>
      </c>
      <c r="BQ75" s="53"/>
      <c r="BR75" s="53"/>
      <c r="BS75" t="s">
        <v>364</v>
      </c>
      <c r="BT75">
        <v>376980</v>
      </c>
      <c r="BU75">
        <v>238059</v>
      </c>
      <c r="BV75" s="51">
        <v>37289.910000000003</v>
      </c>
      <c r="BW75" s="32">
        <f t="shared" si="77"/>
        <v>8877198684.6900005</v>
      </c>
      <c r="BX75">
        <v>14751</v>
      </c>
      <c r="BY75" s="37">
        <f t="shared" si="78"/>
        <v>3.9129396784975332E-2</v>
      </c>
      <c r="BZ75">
        <v>8.5810999999999995E-3</v>
      </c>
      <c r="CA75" s="3">
        <f t="shared" si="79"/>
        <v>8.5810999999999995E-5</v>
      </c>
      <c r="CB75" s="11">
        <f>+'Seat capacity elasticities'!AF105</f>
        <v>4.8324876230495119E-2</v>
      </c>
      <c r="CC75" s="11">
        <f>+'Seat capacity elasticities'!AG105</f>
        <v>3.8615587129261497E-2</v>
      </c>
      <c r="CD75" s="11">
        <f>+'Seat capacity elasticities'!AH105</f>
        <v>0.13258810806922847</v>
      </c>
      <c r="CE75" s="11">
        <f>+'Seat capacity elasticities'!AI105</f>
        <v>4.5728984758335985E-2</v>
      </c>
      <c r="CF75" s="32">
        <f t="shared" si="104"/>
        <v>4289895.2771115834</v>
      </c>
      <c r="CG75" s="33">
        <f t="shared" si="105"/>
        <v>4.8324876230495118E-4</v>
      </c>
      <c r="CH75" s="40">
        <f t="shared" si="106"/>
        <v>3427982.3927241224</v>
      </c>
      <c r="CI75" s="33">
        <f t="shared" si="107"/>
        <v>3.8615587129261494E-4</v>
      </c>
      <c r="CJ75" s="40">
        <f t="shared" si="108"/>
        <v>19558071.821291894</v>
      </c>
      <c r="CK75" s="41">
        <f t="shared" si="109"/>
        <v>1.3258810806922848E-3</v>
      </c>
      <c r="CL75" s="40">
        <f t="shared" si="110"/>
        <v>6745482.541702142</v>
      </c>
      <c r="CM75" s="41">
        <f t="shared" si="111"/>
        <v>4.5728984758335993E-4</v>
      </c>
      <c r="CO75" s="70">
        <f t="shared" si="112"/>
        <v>0</v>
      </c>
      <c r="CP75" s="70">
        <f t="shared" si="113"/>
        <v>0</v>
      </c>
      <c r="CQ75" s="70">
        <f t="shared" si="114"/>
        <v>0</v>
      </c>
      <c r="CR75" s="70">
        <f t="shared" si="115"/>
        <v>0</v>
      </c>
      <c r="CS75" s="70">
        <f t="shared" si="116"/>
        <v>0</v>
      </c>
      <c r="CT75" s="70">
        <f t="shared" si="117"/>
        <v>0</v>
      </c>
      <c r="CU75" s="69">
        <f t="shared" si="118"/>
        <v>0</v>
      </c>
      <c r="CV75" s="69">
        <f t="shared" si="119"/>
        <v>0</v>
      </c>
      <c r="CW75" s="70">
        <f t="shared" si="120"/>
        <v>0</v>
      </c>
      <c r="CX75" s="69">
        <f t="shared" si="121"/>
        <v>0</v>
      </c>
      <c r="CY75" s="69">
        <f t="shared" si="122"/>
        <v>0</v>
      </c>
      <c r="CZ75" s="70">
        <f t="shared" si="123"/>
        <v>0</v>
      </c>
      <c r="DB75" s="70">
        <f t="shared" si="124"/>
        <v>8.0459856766716271</v>
      </c>
      <c r="DC75" s="70">
        <f t="shared" si="125"/>
        <v>18.020302853963024</v>
      </c>
      <c r="DD75" s="70">
        <f t="shared" si="126"/>
        <v>26.066288530634651</v>
      </c>
      <c r="DE75" s="70">
        <f t="shared" si="127"/>
        <v>15.249368460121767</v>
      </c>
      <c r="DF75" s="70">
        <f t="shared" si="128"/>
        <v>14.399717686473195</v>
      </c>
      <c r="DG75" s="70">
        <f t="shared" si="129"/>
        <v>29.649086146594961</v>
      </c>
      <c r="DH75" s="69">
        <f t="shared" si="130"/>
        <v>36.682472548230557</v>
      </c>
      <c r="DI75" s="69">
        <f t="shared" si="131"/>
        <v>82.156405854396994</v>
      </c>
      <c r="DJ75" s="70">
        <f t="shared" si="132"/>
        <v>118.83887840262756</v>
      </c>
      <c r="DK75" s="69">
        <f t="shared" si="133"/>
        <v>30.007257020358033</v>
      </c>
      <c r="DL75" s="69">
        <f t="shared" si="134"/>
        <v>28.335339313792556</v>
      </c>
      <c r="DM75" s="70">
        <f t="shared" si="135"/>
        <v>58.342596334150585</v>
      </c>
    </row>
    <row r="76" spans="1:117">
      <c r="A76" t="s">
        <v>365</v>
      </c>
      <c r="B76">
        <v>837036</v>
      </c>
      <c r="C76">
        <v>493099</v>
      </c>
      <c r="D76" s="51">
        <v>38217.019999999997</v>
      </c>
      <c r="E76" s="32">
        <f t="shared" si="68"/>
        <v>18844774344.98</v>
      </c>
      <c r="F76">
        <v>27984</v>
      </c>
      <c r="G76" s="37">
        <f t="shared" si="69"/>
        <v>3.3432253809871977E-2</v>
      </c>
      <c r="H76">
        <v>0</v>
      </c>
      <c r="I76" s="3">
        <f t="shared" si="70"/>
        <v>0</v>
      </c>
      <c r="J76" s="11">
        <f>+'Seat capacity elasticities'!K106</f>
        <v>0</v>
      </c>
      <c r="K76" s="11">
        <f>+'Seat capacity elasticities'!L106</f>
        <v>0</v>
      </c>
      <c r="L76" s="11">
        <f>+'Seat capacity elasticities'!M106</f>
        <v>0</v>
      </c>
      <c r="M76" s="11">
        <f>+'Seat capacity elasticities'!N106</f>
        <v>0</v>
      </c>
      <c r="N76" s="32">
        <f t="shared" si="80"/>
        <v>0</v>
      </c>
      <c r="O76" s="33">
        <f t="shared" si="81"/>
        <v>0</v>
      </c>
      <c r="P76" s="40">
        <f t="shared" si="82"/>
        <v>0</v>
      </c>
      <c r="Q76" s="33">
        <f t="shared" si="83"/>
        <v>0</v>
      </c>
      <c r="R76" s="40">
        <f t="shared" si="84"/>
        <v>0</v>
      </c>
      <c r="S76" s="41">
        <f t="shared" si="85"/>
        <v>0</v>
      </c>
      <c r="T76" s="40">
        <f t="shared" si="86"/>
        <v>0</v>
      </c>
      <c r="U76" s="41">
        <f t="shared" si="87"/>
        <v>0</v>
      </c>
      <c r="V76" s="53"/>
      <c r="W76" s="53"/>
      <c r="X76" t="s">
        <v>365</v>
      </c>
      <c r="Y76">
        <v>837036</v>
      </c>
      <c r="Z76">
        <v>493099</v>
      </c>
      <c r="AA76" s="51">
        <v>38217.019999999997</v>
      </c>
      <c r="AB76" s="32">
        <f t="shared" si="71"/>
        <v>18844774344.98</v>
      </c>
      <c r="AC76">
        <v>27984</v>
      </c>
      <c r="AD76" s="37">
        <f t="shared" si="72"/>
        <v>3.3432253809871977E-2</v>
      </c>
      <c r="AE76">
        <v>5.0907000000000001E-3</v>
      </c>
      <c r="AF76" s="3">
        <f t="shared" si="73"/>
        <v>5.0906999999999999E-5</v>
      </c>
      <c r="AG76" s="11">
        <f>+'Seat capacity elasticities'!R106</f>
        <v>1.0382110391741388E-2</v>
      </c>
      <c r="AH76" s="11">
        <f>+'Seat capacity elasticities'!S106</f>
        <v>1.9676970991429343E-2</v>
      </c>
      <c r="AI76" s="11">
        <f>+'Seat capacity elasticities'!T106</f>
        <v>2.8485212627160486E-2</v>
      </c>
      <c r="AJ76" s="11">
        <f>+'Seat capacity elasticities'!U106</f>
        <v>2.3301676174061065E-2</v>
      </c>
      <c r="AK76" s="32">
        <f t="shared" si="88"/>
        <v>1956485.2755703835</v>
      </c>
      <c r="AL76" s="33">
        <f t="shared" si="89"/>
        <v>1.0382110391741388E-4</v>
      </c>
      <c r="AM76" s="40">
        <f t="shared" si="90"/>
        <v>3708080.7812620332</v>
      </c>
      <c r="AN76" s="33">
        <f t="shared" si="91"/>
        <v>1.9676970991429341E-4</v>
      </c>
      <c r="AO76" s="40">
        <f t="shared" si="92"/>
        <v>7971301.9015845899</v>
      </c>
      <c r="AP76" s="41">
        <f t="shared" si="93"/>
        <v>2.8485212627160487E-4</v>
      </c>
      <c r="AQ76" s="40">
        <f t="shared" si="94"/>
        <v>6520741.0605492471</v>
      </c>
      <c r="AR76" s="41">
        <f t="shared" si="95"/>
        <v>2.3301676174061062E-4</v>
      </c>
      <c r="AV76" t="s">
        <v>365</v>
      </c>
      <c r="AW76">
        <v>837036</v>
      </c>
      <c r="AX76">
        <v>493099</v>
      </c>
      <c r="AY76" s="51">
        <v>38217.019999999997</v>
      </c>
      <c r="AZ76" s="32">
        <f t="shared" si="74"/>
        <v>18844774344.98</v>
      </c>
      <c r="BA76">
        <v>27984</v>
      </c>
      <c r="BB76" s="37">
        <f t="shared" si="75"/>
        <v>3.3432253809871977E-2</v>
      </c>
      <c r="BC76">
        <v>0</v>
      </c>
      <c r="BD76" s="3">
        <f t="shared" si="76"/>
        <v>0</v>
      </c>
      <c r="BE76" s="11">
        <f>+'Seat capacity elasticities'!Y106</f>
        <v>0</v>
      </c>
      <c r="BF76" s="11">
        <f>+'Seat capacity elasticities'!Z106</f>
        <v>0</v>
      </c>
      <c r="BG76" s="11">
        <f>+'Seat capacity elasticities'!AA106</f>
        <v>0</v>
      </c>
      <c r="BH76" s="11">
        <f>+'Seat capacity elasticities'!AB106</f>
        <v>0</v>
      </c>
      <c r="BI76" s="32">
        <f t="shared" si="96"/>
        <v>0</v>
      </c>
      <c r="BJ76" s="33">
        <f t="shared" si="97"/>
        <v>0</v>
      </c>
      <c r="BK76" s="40">
        <f t="shared" si="98"/>
        <v>0</v>
      </c>
      <c r="BL76" s="33">
        <f t="shared" si="99"/>
        <v>0</v>
      </c>
      <c r="BM76" s="40">
        <f t="shared" si="100"/>
        <v>0</v>
      </c>
      <c r="BN76" s="41">
        <f t="shared" si="101"/>
        <v>0</v>
      </c>
      <c r="BO76" s="40">
        <f t="shared" si="102"/>
        <v>0</v>
      </c>
      <c r="BP76" s="41">
        <f t="shared" si="103"/>
        <v>0</v>
      </c>
      <c r="BQ76" s="53"/>
      <c r="BR76" s="53"/>
      <c r="BS76" t="s">
        <v>365</v>
      </c>
      <c r="BT76">
        <v>837036</v>
      </c>
      <c r="BU76">
        <v>493099</v>
      </c>
      <c r="BV76" s="51">
        <v>38217.019999999997</v>
      </c>
      <c r="BW76" s="32">
        <f t="shared" si="77"/>
        <v>18844774344.98</v>
      </c>
      <c r="BX76">
        <v>27984</v>
      </c>
      <c r="BY76" s="37">
        <f t="shared" si="78"/>
        <v>3.3432253809871977E-2</v>
      </c>
      <c r="BZ76">
        <v>5.0907000000000001E-3</v>
      </c>
      <c r="CA76" s="3">
        <f t="shared" si="79"/>
        <v>5.0906999999999999E-5</v>
      </c>
      <c r="CB76" s="11">
        <f>+'Seat capacity elasticities'!AF106</f>
        <v>1.2911582212574756E-2</v>
      </c>
      <c r="CC76" s="11">
        <f>+'Seat capacity elasticities'!AG106</f>
        <v>1.0317425864231646E-2</v>
      </c>
      <c r="CD76" s="11">
        <f>+'Seat capacity elasticities'!AH106</f>
        <v>3.54252797168116E-2</v>
      </c>
      <c r="CE76" s="11">
        <f>+'Seat capacity elasticities'!AI106</f>
        <v>1.2218004312905897E-2</v>
      </c>
      <c r="CF76" s="32">
        <f t="shared" si="104"/>
        <v>2433158.5323262885</v>
      </c>
      <c r="CG76" s="33">
        <f t="shared" si="105"/>
        <v>1.2911582212574757E-4</v>
      </c>
      <c r="CH76" s="40">
        <f t="shared" si="106"/>
        <v>1944295.6223250562</v>
      </c>
      <c r="CI76" s="33">
        <f t="shared" si="107"/>
        <v>1.0317425864231647E-4</v>
      </c>
      <c r="CJ76" s="40">
        <f t="shared" si="108"/>
        <v>9913410.275952559</v>
      </c>
      <c r="CK76" s="41">
        <f t="shared" si="109"/>
        <v>3.5425279716811607E-4</v>
      </c>
      <c r="CL76" s="40">
        <f t="shared" si="110"/>
        <v>3419086.326923586</v>
      </c>
      <c r="CM76" s="41">
        <f t="shared" si="111"/>
        <v>1.2218004312905897E-4</v>
      </c>
      <c r="CO76" s="70">
        <f t="shared" si="112"/>
        <v>0</v>
      </c>
      <c r="CP76" s="70">
        <f t="shared" si="113"/>
        <v>0</v>
      </c>
      <c r="CQ76" s="70">
        <f t="shared" si="114"/>
        <v>0</v>
      </c>
      <c r="CR76" s="70">
        <f t="shared" si="115"/>
        <v>0</v>
      </c>
      <c r="CS76" s="70">
        <f t="shared" si="116"/>
        <v>0</v>
      </c>
      <c r="CT76" s="70">
        <f t="shared" si="117"/>
        <v>0</v>
      </c>
      <c r="CU76" s="69">
        <f t="shared" si="118"/>
        <v>0</v>
      </c>
      <c r="CV76" s="69">
        <f t="shared" si="119"/>
        <v>0</v>
      </c>
      <c r="CW76" s="70">
        <f t="shared" si="120"/>
        <v>0</v>
      </c>
      <c r="CX76" s="69">
        <f t="shared" si="121"/>
        <v>0</v>
      </c>
      <c r="CY76" s="69">
        <f t="shared" si="122"/>
        <v>0</v>
      </c>
      <c r="CZ76" s="70">
        <f t="shared" si="123"/>
        <v>0</v>
      </c>
      <c r="DB76" s="70">
        <f t="shared" si="124"/>
        <v>3.9677332048338845</v>
      </c>
      <c r="DC76" s="70">
        <f t="shared" si="125"/>
        <v>4.9344219564961369</v>
      </c>
      <c r="DD76" s="70">
        <f t="shared" si="126"/>
        <v>8.9021551613300218</v>
      </c>
      <c r="DE76" s="70">
        <f t="shared" si="127"/>
        <v>7.5199519391887497</v>
      </c>
      <c r="DF76" s="70">
        <f t="shared" si="128"/>
        <v>3.9430127060185809</v>
      </c>
      <c r="DG76" s="70">
        <f t="shared" si="129"/>
        <v>11.462964645207331</v>
      </c>
      <c r="DH76" s="69">
        <f t="shared" si="130"/>
        <v>16.16572311358285</v>
      </c>
      <c r="DI76" s="69">
        <f t="shared" si="131"/>
        <v>20.104300101911704</v>
      </c>
      <c r="DJ76" s="70">
        <f t="shared" si="132"/>
        <v>36.270023215494554</v>
      </c>
      <c r="DK76" s="69">
        <f t="shared" si="133"/>
        <v>13.22399976586699</v>
      </c>
      <c r="DL76" s="69">
        <f t="shared" si="134"/>
        <v>6.9338739825543874</v>
      </c>
      <c r="DM76" s="70">
        <f t="shared" si="135"/>
        <v>20.157873748421377</v>
      </c>
    </row>
    <row r="77" spans="1:117">
      <c r="A77" t="s">
        <v>366</v>
      </c>
      <c r="B77">
        <v>108326</v>
      </c>
      <c r="C77">
        <v>67919</v>
      </c>
      <c r="D77" s="51">
        <v>37665.75</v>
      </c>
      <c r="E77" s="32">
        <f t="shared" si="68"/>
        <v>2558220074.25</v>
      </c>
      <c r="F77">
        <v>4819</v>
      </c>
      <c r="G77" s="37">
        <f t="shared" si="69"/>
        <v>4.4486088289053413E-2</v>
      </c>
      <c r="H77">
        <v>0</v>
      </c>
      <c r="I77" s="3">
        <f t="shared" si="70"/>
        <v>0</v>
      </c>
      <c r="J77" s="11">
        <f>+'Seat capacity elasticities'!K107</f>
        <v>0</v>
      </c>
      <c r="K77" s="11">
        <f>+'Seat capacity elasticities'!L107</f>
        <v>0</v>
      </c>
      <c r="L77" s="11">
        <f>+'Seat capacity elasticities'!M107</f>
        <v>0</v>
      </c>
      <c r="M77" s="11">
        <f>+'Seat capacity elasticities'!N107</f>
        <v>0</v>
      </c>
      <c r="N77" s="32">
        <f t="shared" si="80"/>
        <v>0</v>
      </c>
      <c r="O77" s="33">
        <f t="shared" si="81"/>
        <v>0</v>
      </c>
      <c r="P77" s="40">
        <f t="shared" si="82"/>
        <v>0</v>
      </c>
      <c r="Q77" s="33">
        <f t="shared" si="83"/>
        <v>0</v>
      </c>
      <c r="R77" s="40">
        <f t="shared" si="84"/>
        <v>0</v>
      </c>
      <c r="S77" s="41">
        <f t="shared" si="85"/>
        <v>0</v>
      </c>
      <c r="T77" s="40">
        <f t="shared" si="86"/>
        <v>0</v>
      </c>
      <c r="U77" s="41">
        <f t="shared" si="87"/>
        <v>0</v>
      </c>
      <c r="V77" s="53"/>
      <c r="W77" s="53"/>
      <c r="X77" t="s">
        <v>366</v>
      </c>
      <c r="Y77">
        <v>108326</v>
      </c>
      <c r="Z77">
        <v>67919</v>
      </c>
      <c r="AA77" s="51">
        <v>37665.75</v>
      </c>
      <c r="AB77" s="32">
        <f t="shared" si="71"/>
        <v>2558220074.25</v>
      </c>
      <c r="AC77">
        <v>4819</v>
      </c>
      <c r="AD77" s="37">
        <f t="shared" si="72"/>
        <v>4.4486088289053413E-2</v>
      </c>
      <c r="AE77">
        <v>6.8431000000000004E-3</v>
      </c>
      <c r="AF77" s="3">
        <f t="shared" si="73"/>
        <v>6.8431000000000009E-5</v>
      </c>
      <c r="AG77" s="11">
        <f>+'Seat capacity elasticities'!R107</f>
        <v>2.2471567768295321E-2</v>
      </c>
      <c r="AH77" s="11">
        <f>+'Seat capacity elasticities'!S107</f>
        <v>4.2589836788907445E-2</v>
      </c>
      <c r="AI77" s="11">
        <f>+'Seat capacity elasticities'!T107</f>
        <v>6.1654842974384276E-2</v>
      </c>
      <c r="AJ77" s="11">
        <f>+'Seat capacity elasticities'!U107</f>
        <v>5.0435333039495663E-2</v>
      </c>
      <c r="AK77" s="32">
        <f t="shared" si="88"/>
        <v>574872.15764722368</v>
      </c>
      <c r="AL77" s="33">
        <f t="shared" si="89"/>
        <v>2.2471567768295322E-4</v>
      </c>
      <c r="AM77" s="40">
        <f t="shared" si="90"/>
        <v>1089541.7543241419</v>
      </c>
      <c r="AN77" s="33">
        <f t="shared" si="91"/>
        <v>4.2589836788907448E-4</v>
      </c>
      <c r="AO77" s="40">
        <f t="shared" si="92"/>
        <v>2971146.8829355785</v>
      </c>
      <c r="AP77" s="41">
        <f t="shared" si="93"/>
        <v>6.165484297438428E-4</v>
      </c>
      <c r="AQ77" s="40">
        <f t="shared" si="94"/>
        <v>2430478.6991732959</v>
      </c>
      <c r="AR77" s="41">
        <f t="shared" si="95"/>
        <v>5.0435333039495665E-4</v>
      </c>
      <c r="AV77" t="s">
        <v>366</v>
      </c>
      <c r="AW77">
        <v>108326</v>
      </c>
      <c r="AX77">
        <v>67919</v>
      </c>
      <c r="AY77" s="51">
        <v>37665.75</v>
      </c>
      <c r="AZ77" s="32">
        <f t="shared" si="74"/>
        <v>2558220074.25</v>
      </c>
      <c r="BA77">
        <v>4819</v>
      </c>
      <c r="BB77" s="37">
        <f t="shared" si="75"/>
        <v>4.4486088289053413E-2</v>
      </c>
      <c r="BC77">
        <v>0</v>
      </c>
      <c r="BD77" s="3">
        <f t="shared" si="76"/>
        <v>0</v>
      </c>
      <c r="BE77" s="11">
        <f>+'Seat capacity elasticities'!Y107</f>
        <v>0</v>
      </c>
      <c r="BF77" s="11">
        <f>+'Seat capacity elasticities'!Z107</f>
        <v>0</v>
      </c>
      <c r="BG77" s="11">
        <f>+'Seat capacity elasticities'!AA107</f>
        <v>0</v>
      </c>
      <c r="BH77" s="11">
        <f>+'Seat capacity elasticities'!AB107</f>
        <v>0</v>
      </c>
      <c r="BI77" s="32">
        <f t="shared" si="96"/>
        <v>0</v>
      </c>
      <c r="BJ77" s="33">
        <f t="shared" si="97"/>
        <v>0</v>
      </c>
      <c r="BK77" s="40">
        <f t="shared" si="98"/>
        <v>0</v>
      </c>
      <c r="BL77" s="33">
        <f t="shared" si="99"/>
        <v>0</v>
      </c>
      <c r="BM77" s="40">
        <f t="shared" si="100"/>
        <v>0</v>
      </c>
      <c r="BN77" s="41">
        <f t="shared" si="101"/>
        <v>0</v>
      </c>
      <c r="BO77" s="40">
        <f t="shared" si="102"/>
        <v>0</v>
      </c>
      <c r="BP77" s="41">
        <f t="shared" si="103"/>
        <v>0</v>
      </c>
      <c r="BQ77" s="53"/>
      <c r="BR77" s="53"/>
      <c r="BS77" t="s">
        <v>366</v>
      </c>
      <c r="BT77">
        <v>108326</v>
      </c>
      <c r="BU77">
        <v>67919</v>
      </c>
      <c r="BV77" s="51">
        <v>37665.75</v>
      </c>
      <c r="BW77" s="32">
        <f t="shared" si="77"/>
        <v>2558220074.25</v>
      </c>
      <c r="BX77">
        <v>4819</v>
      </c>
      <c r="BY77" s="37">
        <f t="shared" si="78"/>
        <v>4.4486088289053413E-2</v>
      </c>
      <c r="BZ77">
        <v>6.8431000000000004E-3</v>
      </c>
      <c r="CA77" s="3">
        <f t="shared" si="79"/>
        <v>6.8431000000000009E-5</v>
      </c>
      <c r="CB77" s="11">
        <f>+'Seat capacity elasticities'!AF107</f>
        <v>0.13411157938055401</v>
      </c>
      <c r="CC77" s="11">
        <f>+'Seat capacity elasticities'!AG107</f>
        <v>0.10716628334258628</v>
      </c>
      <c r="CD77" s="11">
        <f>+'Seat capacity elasticities'!AH107</f>
        <v>0.36795956797552726</v>
      </c>
      <c r="CE77" s="11">
        <f>+'Seat capacity elasticities'!AI107</f>
        <v>0.12690744080043112</v>
      </c>
      <c r="CF77" s="32">
        <f t="shared" si="104"/>
        <v>3430869.3456070567</v>
      </c>
      <c r="CG77" s="33">
        <f t="shared" si="105"/>
        <v>1.3411157938055401E-3</v>
      </c>
      <c r="CH77" s="40">
        <f t="shared" si="106"/>
        <v>2741549.373297676</v>
      </c>
      <c r="CI77" s="33">
        <f t="shared" si="107"/>
        <v>1.0716628334258627E-3</v>
      </c>
      <c r="CJ77" s="40">
        <f t="shared" si="108"/>
        <v>17731971.58074066</v>
      </c>
      <c r="CK77" s="41">
        <f t="shared" si="109"/>
        <v>3.6795956797552733E-3</v>
      </c>
      <c r="CL77" s="40">
        <f t="shared" si="110"/>
        <v>6115669.5721727759</v>
      </c>
      <c r="CM77" s="41">
        <f t="shared" si="111"/>
        <v>1.2690744080043111E-3</v>
      </c>
      <c r="CO77" s="70">
        <f t="shared" si="112"/>
        <v>0</v>
      </c>
      <c r="CP77" s="70">
        <f t="shared" si="113"/>
        <v>0</v>
      </c>
      <c r="CQ77" s="70">
        <f t="shared" si="114"/>
        <v>0</v>
      </c>
      <c r="CR77" s="70">
        <f t="shared" si="115"/>
        <v>0</v>
      </c>
      <c r="CS77" s="70">
        <f t="shared" si="116"/>
        <v>0</v>
      </c>
      <c r="CT77" s="70">
        <f t="shared" si="117"/>
        <v>0</v>
      </c>
      <c r="CU77" s="69">
        <f t="shared" si="118"/>
        <v>0</v>
      </c>
      <c r="CV77" s="69">
        <f t="shared" si="119"/>
        <v>0</v>
      </c>
      <c r="CW77" s="70">
        <f t="shared" si="120"/>
        <v>0</v>
      </c>
      <c r="CX77" s="69">
        <f t="shared" si="121"/>
        <v>0</v>
      </c>
      <c r="CY77" s="69">
        <f t="shared" si="122"/>
        <v>0</v>
      </c>
      <c r="CZ77" s="70">
        <f t="shared" si="123"/>
        <v>0</v>
      </c>
      <c r="DB77" s="70">
        <f t="shared" si="124"/>
        <v>8.4640845366866948</v>
      </c>
      <c r="DC77" s="70">
        <f t="shared" si="125"/>
        <v>50.514132210531024</v>
      </c>
      <c r="DD77" s="70">
        <f t="shared" si="126"/>
        <v>58.978216747217715</v>
      </c>
      <c r="DE77" s="70">
        <f t="shared" si="127"/>
        <v>16.041781450317906</v>
      </c>
      <c r="DF77" s="70">
        <f t="shared" si="128"/>
        <v>40.364984368110193</v>
      </c>
      <c r="DG77" s="70">
        <f t="shared" si="129"/>
        <v>56.406765818428099</v>
      </c>
      <c r="DH77" s="69">
        <f t="shared" si="130"/>
        <v>43.745445058607729</v>
      </c>
      <c r="DI77" s="69">
        <f t="shared" si="131"/>
        <v>261.0752746763153</v>
      </c>
      <c r="DJ77" s="70">
        <f t="shared" si="132"/>
        <v>304.82071973492305</v>
      </c>
      <c r="DK77" s="69">
        <f t="shared" si="133"/>
        <v>35.784960013741305</v>
      </c>
      <c r="DL77" s="69">
        <f t="shared" si="134"/>
        <v>90.043575025733233</v>
      </c>
      <c r="DM77" s="70">
        <f t="shared" si="135"/>
        <v>125.82853503947453</v>
      </c>
    </row>
    <row r="78" spans="1:117">
      <c r="A78" t="s">
        <v>367</v>
      </c>
      <c r="B78">
        <v>497344</v>
      </c>
      <c r="C78">
        <v>215822</v>
      </c>
      <c r="D78" s="51">
        <v>28576.240000000002</v>
      </c>
      <c r="E78" s="32">
        <f t="shared" si="68"/>
        <v>6167381269.2800007</v>
      </c>
      <c r="F78">
        <v>10798</v>
      </c>
      <c r="G78" s="37">
        <f t="shared" si="69"/>
        <v>2.1711330588083902E-2</v>
      </c>
      <c r="H78">
        <v>0</v>
      </c>
      <c r="I78" s="3">
        <f t="shared" si="70"/>
        <v>0</v>
      </c>
      <c r="J78" s="11">
        <f>+'Seat capacity elasticities'!K108</f>
        <v>0</v>
      </c>
      <c r="K78" s="11">
        <f>+'Seat capacity elasticities'!L108</f>
        <v>0</v>
      </c>
      <c r="L78" s="11">
        <f>+'Seat capacity elasticities'!M108</f>
        <v>0</v>
      </c>
      <c r="M78" s="11">
        <f>+'Seat capacity elasticities'!N108</f>
        <v>0</v>
      </c>
      <c r="N78" s="32">
        <f t="shared" si="80"/>
        <v>0</v>
      </c>
      <c r="O78" s="33">
        <f t="shared" si="81"/>
        <v>0</v>
      </c>
      <c r="P78" s="40">
        <f t="shared" si="82"/>
        <v>0</v>
      </c>
      <c r="Q78" s="33">
        <f t="shared" si="83"/>
        <v>0</v>
      </c>
      <c r="R78" s="40">
        <f t="shared" si="84"/>
        <v>0</v>
      </c>
      <c r="S78" s="41">
        <f t="shared" si="85"/>
        <v>0</v>
      </c>
      <c r="T78" s="40">
        <f t="shared" si="86"/>
        <v>0</v>
      </c>
      <c r="U78" s="41">
        <f t="shared" si="87"/>
        <v>0</v>
      </c>
      <c r="V78" s="53"/>
      <c r="W78" s="53"/>
      <c r="X78" t="s">
        <v>367</v>
      </c>
      <c r="Y78">
        <v>497344</v>
      </c>
      <c r="Z78">
        <v>215822</v>
      </c>
      <c r="AA78" s="51">
        <v>28576.240000000002</v>
      </c>
      <c r="AB78" s="32">
        <f t="shared" si="71"/>
        <v>6167381269.2800007</v>
      </c>
      <c r="AC78">
        <v>10798</v>
      </c>
      <c r="AD78" s="37">
        <f t="shared" si="72"/>
        <v>2.1711330588083902E-2</v>
      </c>
      <c r="AE78">
        <v>3.5406999999999999E-3</v>
      </c>
      <c r="AF78" s="3">
        <f t="shared" si="73"/>
        <v>3.5407000000000002E-5</v>
      </c>
      <c r="AG78" s="11">
        <f>+'Seat capacity elasticities'!R108</f>
        <v>1.5047267541396511E-2</v>
      </c>
      <c r="AH78" s="11">
        <f>+'Seat capacity elasticities'!S108</f>
        <v>2.8518734220728443E-2</v>
      </c>
      <c r="AI78" s="11">
        <f>+'Seat capacity elasticities'!T108</f>
        <v>4.128492177422869E-2</v>
      </c>
      <c r="AJ78" s="11">
        <f>+'Seat capacity elasticities'!U108</f>
        <v>3.3772185261388948E-2</v>
      </c>
      <c r="AK78" s="32">
        <f t="shared" si="88"/>
        <v>928022.35988653766</v>
      </c>
      <c r="AL78" s="33">
        <f t="shared" si="89"/>
        <v>1.5047267541396509E-4</v>
      </c>
      <c r="AM78" s="40">
        <f t="shared" si="90"/>
        <v>1758859.0725649518</v>
      </c>
      <c r="AN78" s="33">
        <f t="shared" si="91"/>
        <v>2.8518734220728443E-4</v>
      </c>
      <c r="AO78" s="40">
        <f t="shared" si="92"/>
        <v>4457945.8531812141</v>
      </c>
      <c r="AP78" s="41">
        <f t="shared" si="93"/>
        <v>4.1284921774228689E-4</v>
      </c>
      <c r="AQ78" s="40">
        <f t="shared" si="94"/>
        <v>3646720.5645247786</v>
      </c>
      <c r="AR78" s="41">
        <f t="shared" si="95"/>
        <v>3.3772185261388951E-4</v>
      </c>
      <c r="AV78" t="s">
        <v>367</v>
      </c>
      <c r="AW78">
        <v>497344</v>
      </c>
      <c r="AX78">
        <v>215822</v>
      </c>
      <c r="AY78" s="51">
        <v>28576.240000000002</v>
      </c>
      <c r="AZ78" s="32">
        <f t="shared" si="74"/>
        <v>6167381269.2800007</v>
      </c>
      <c r="BA78">
        <v>10798</v>
      </c>
      <c r="BB78" s="37">
        <f t="shared" si="75"/>
        <v>2.1711330588083902E-2</v>
      </c>
      <c r="BC78">
        <v>0</v>
      </c>
      <c r="BD78" s="3">
        <f t="shared" si="76"/>
        <v>0</v>
      </c>
      <c r="BE78" s="11">
        <f>+'Seat capacity elasticities'!Y108</f>
        <v>0</v>
      </c>
      <c r="BF78" s="11">
        <f>+'Seat capacity elasticities'!Z108</f>
        <v>0</v>
      </c>
      <c r="BG78" s="11">
        <f>+'Seat capacity elasticities'!AA108</f>
        <v>0</v>
      </c>
      <c r="BH78" s="11">
        <f>+'Seat capacity elasticities'!AB108</f>
        <v>0</v>
      </c>
      <c r="BI78" s="32">
        <f t="shared" si="96"/>
        <v>0</v>
      </c>
      <c r="BJ78" s="33">
        <f t="shared" si="97"/>
        <v>0</v>
      </c>
      <c r="BK78" s="40">
        <f t="shared" si="98"/>
        <v>0</v>
      </c>
      <c r="BL78" s="33">
        <f t="shared" si="99"/>
        <v>0</v>
      </c>
      <c r="BM78" s="40">
        <f t="shared" si="100"/>
        <v>0</v>
      </c>
      <c r="BN78" s="41">
        <f t="shared" si="101"/>
        <v>0</v>
      </c>
      <c r="BO78" s="40">
        <f t="shared" si="102"/>
        <v>0</v>
      </c>
      <c r="BP78" s="41">
        <f t="shared" si="103"/>
        <v>0</v>
      </c>
      <c r="BQ78" s="53"/>
      <c r="BR78" s="53"/>
      <c r="BS78" t="s">
        <v>367</v>
      </c>
      <c r="BT78">
        <v>497344</v>
      </c>
      <c r="BU78">
        <v>215822</v>
      </c>
      <c r="BV78" s="51">
        <v>28576.240000000002</v>
      </c>
      <c r="BW78" s="32">
        <f t="shared" si="77"/>
        <v>6167381269.2800007</v>
      </c>
      <c r="BX78">
        <v>10798</v>
      </c>
      <c r="BY78" s="37">
        <f t="shared" si="78"/>
        <v>2.1711330588083902E-2</v>
      </c>
      <c r="BZ78">
        <v>3.5406999999999999E-3</v>
      </c>
      <c r="CA78" s="3">
        <f t="shared" si="79"/>
        <v>3.5407000000000002E-5</v>
      </c>
      <c r="CB78" s="11">
        <f>+'Seat capacity elasticities'!AF108</f>
        <v>1.5113962678425239E-2</v>
      </c>
      <c r="CC78" s="11">
        <f>+'Seat capacity elasticities'!AG108</f>
        <v>1.2077310656593825E-2</v>
      </c>
      <c r="CD78" s="11">
        <f>+'Seat capacity elasticities'!AH108</f>
        <v>4.1467912041888745E-2</v>
      </c>
      <c r="CE78" s="11">
        <f>+'Seat capacity elasticities'!AI108</f>
        <v>1.4302078409124269E-2</v>
      </c>
      <c r="CF78" s="32">
        <f t="shared" si="104"/>
        <v>932135.70327516808</v>
      </c>
      <c r="CG78" s="33">
        <f t="shared" si="105"/>
        <v>1.5113962678425238E-4</v>
      </c>
      <c r="CH78" s="40">
        <f t="shared" si="106"/>
        <v>744853.79526752501</v>
      </c>
      <c r="CI78" s="33">
        <f t="shared" si="107"/>
        <v>1.2077310656593825E-4</v>
      </c>
      <c r="CJ78" s="40">
        <f t="shared" si="108"/>
        <v>4477705.1422831472</v>
      </c>
      <c r="CK78" s="41">
        <f t="shared" si="109"/>
        <v>4.1467912041888753E-4</v>
      </c>
      <c r="CL78" s="40">
        <f t="shared" si="110"/>
        <v>1544338.4266172384</v>
      </c>
      <c r="CM78" s="41">
        <f t="shared" si="111"/>
        <v>1.4302078409124269E-4</v>
      </c>
      <c r="CO78" s="70">
        <f t="shared" si="112"/>
        <v>0</v>
      </c>
      <c r="CP78" s="70">
        <f t="shared" si="113"/>
        <v>0</v>
      </c>
      <c r="CQ78" s="70">
        <f t="shared" si="114"/>
        <v>0</v>
      </c>
      <c r="CR78" s="70">
        <f t="shared" si="115"/>
        <v>0</v>
      </c>
      <c r="CS78" s="70">
        <f t="shared" si="116"/>
        <v>0</v>
      </c>
      <c r="CT78" s="70">
        <f t="shared" si="117"/>
        <v>0</v>
      </c>
      <c r="CU78" s="69">
        <f t="shared" si="118"/>
        <v>0</v>
      </c>
      <c r="CV78" s="69">
        <f t="shared" si="119"/>
        <v>0</v>
      </c>
      <c r="CW78" s="70">
        <f t="shared" si="120"/>
        <v>0</v>
      </c>
      <c r="CX78" s="69">
        <f t="shared" si="121"/>
        <v>0</v>
      </c>
      <c r="CY78" s="69">
        <f t="shared" si="122"/>
        <v>0</v>
      </c>
      <c r="CZ78" s="70">
        <f t="shared" si="123"/>
        <v>0</v>
      </c>
      <c r="DB78" s="70">
        <f t="shared" si="124"/>
        <v>4.2999432860715663</v>
      </c>
      <c r="DC78" s="70">
        <f t="shared" si="125"/>
        <v>4.3190022484972248</v>
      </c>
      <c r="DD78" s="70">
        <f t="shared" si="126"/>
        <v>8.6189455345687911</v>
      </c>
      <c r="DE78" s="70">
        <f t="shared" si="127"/>
        <v>8.1495819358774906</v>
      </c>
      <c r="DF78" s="70">
        <f t="shared" si="128"/>
        <v>3.4512412787738276</v>
      </c>
      <c r="DG78" s="70">
        <f t="shared" si="129"/>
        <v>11.600823214651317</v>
      </c>
      <c r="DH78" s="69">
        <f t="shared" si="130"/>
        <v>20.655660003063701</v>
      </c>
      <c r="DI78" s="69">
        <f t="shared" si="131"/>
        <v>20.747213640329285</v>
      </c>
      <c r="DJ78" s="70">
        <f t="shared" si="132"/>
        <v>41.402873643392986</v>
      </c>
      <c r="DK78" s="69">
        <f t="shared" si="133"/>
        <v>16.896889865374146</v>
      </c>
      <c r="DL78" s="69">
        <f t="shared" si="134"/>
        <v>7.15561169212239</v>
      </c>
      <c r="DM78" s="70">
        <f t="shared" si="135"/>
        <v>24.052501557496534</v>
      </c>
    </row>
    <row r="79" spans="1:117">
      <c r="A79" t="s">
        <v>293</v>
      </c>
      <c r="B79">
        <v>2500384</v>
      </c>
      <c r="C79">
        <v>1701841</v>
      </c>
      <c r="D79" s="51">
        <v>47081.16</v>
      </c>
      <c r="E79" s="32">
        <f t="shared" si="68"/>
        <v>80124648415.560013</v>
      </c>
      <c r="F79">
        <v>136608</v>
      </c>
      <c r="G79" s="37">
        <f t="shared" si="69"/>
        <v>5.4634808093476844E-2</v>
      </c>
      <c r="H79">
        <v>2.4038000000000002E-3</v>
      </c>
      <c r="I79" s="3">
        <f t="shared" si="70"/>
        <v>2.4038000000000003E-5</v>
      </c>
      <c r="J79" s="11">
        <f>+'Seat capacity elasticities'!K109</f>
        <v>3.4645737783422833E-3</v>
      </c>
      <c r="K79" s="11">
        <f>+'Seat capacity elasticities'!L109</f>
        <v>1.7190775815942635E-2</v>
      </c>
      <c r="L79" s="11">
        <f>+'Seat capacity elasticities'!M109</f>
        <v>9.5056897889535582E-3</v>
      </c>
      <c r="M79" s="11">
        <f>+'Seat capacity elasticities'!N109</f>
        <v>2.0357497676774174E-2</v>
      </c>
      <c r="N79" s="32">
        <f t="shared" si="80"/>
        <v>2775977.558994438</v>
      </c>
      <c r="O79" s="33">
        <f t="shared" si="81"/>
        <v>3.4645737783422833E-5</v>
      </c>
      <c r="P79" s="40">
        <f t="shared" si="82"/>
        <v>13774048.682431156</v>
      </c>
      <c r="Q79" s="33">
        <f t="shared" si="83"/>
        <v>1.7190775815942636E-4</v>
      </c>
      <c r="R79" s="40">
        <f t="shared" si="84"/>
        <v>12985532.706893677</v>
      </c>
      <c r="S79" s="41">
        <f t="shared" si="85"/>
        <v>9.5056897889535583E-5</v>
      </c>
      <c r="T79" s="40">
        <f t="shared" si="86"/>
        <v>27809970.426287662</v>
      </c>
      <c r="U79" s="41">
        <f t="shared" si="87"/>
        <v>2.0357497676774173E-4</v>
      </c>
      <c r="V79" s="53"/>
      <c r="W79" s="53"/>
      <c r="X79" t="s">
        <v>293</v>
      </c>
      <c r="Y79">
        <v>2500384</v>
      </c>
      <c r="Z79">
        <v>1701841</v>
      </c>
      <c r="AA79" s="51">
        <v>47081.16</v>
      </c>
      <c r="AB79" s="32">
        <f t="shared" si="71"/>
        <v>80124648415.560013</v>
      </c>
      <c r="AC79">
        <v>136608</v>
      </c>
      <c r="AD79" s="37">
        <f t="shared" si="72"/>
        <v>5.4634808093476844E-2</v>
      </c>
      <c r="AE79">
        <v>1.83117E-2</v>
      </c>
      <c r="AF79" s="3">
        <f t="shared" si="73"/>
        <v>1.83117E-4</v>
      </c>
      <c r="AG79" s="11">
        <f>+'Seat capacity elasticities'!R109</f>
        <v>2.4262778468170772E-2</v>
      </c>
      <c r="AH79" s="11">
        <f>+'Seat capacity elasticities'!S109</f>
        <v>4.59846765325711E-2</v>
      </c>
      <c r="AI79" s="11">
        <f>+'Seat capacity elasticities'!T109</f>
        <v>6.6569356085955905E-2</v>
      </c>
      <c r="AJ79" s="11">
        <f>+'Seat capacity elasticities'!U109</f>
        <v>5.4455537999097359E-2</v>
      </c>
      <c r="AK79" s="32">
        <f t="shared" si="88"/>
        <v>19440465.943468031</v>
      </c>
      <c r="AL79" s="33">
        <f t="shared" si="89"/>
        <v>2.4262778468170775E-4</v>
      </c>
      <c r="AM79" s="40">
        <f t="shared" si="90"/>
        <v>36845060.396755129</v>
      </c>
      <c r="AN79" s="33">
        <f t="shared" si="91"/>
        <v>4.5984676532571104E-4</v>
      </c>
      <c r="AO79" s="40">
        <f t="shared" si="92"/>
        <v>90939065.961902648</v>
      </c>
      <c r="AP79" s="41">
        <f t="shared" si="93"/>
        <v>6.6569356085955907E-4</v>
      </c>
      <c r="AQ79" s="40">
        <f t="shared" si="94"/>
        <v>74390621.34980692</v>
      </c>
      <c r="AR79" s="41">
        <f t="shared" si="95"/>
        <v>5.4455537999097364E-4</v>
      </c>
      <c r="AV79" t="s">
        <v>293</v>
      </c>
      <c r="AW79">
        <v>2500384</v>
      </c>
      <c r="AX79">
        <v>1701841</v>
      </c>
      <c r="AY79" s="51">
        <v>47081.16</v>
      </c>
      <c r="AZ79" s="32">
        <f t="shared" si="74"/>
        <v>80124648415.560013</v>
      </c>
      <c r="BA79">
        <v>136608</v>
      </c>
      <c r="BB79" s="37">
        <f t="shared" si="75"/>
        <v>5.4634808093476844E-2</v>
      </c>
      <c r="BC79">
        <v>2.4038000000000002E-3</v>
      </c>
      <c r="BD79" s="3">
        <f t="shared" si="76"/>
        <v>2.4038000000000003E-5</v>
      </c>
      <c r="BE79" s="11">
        <f>+'Seat capacity elasticities'!Y109</f>
        <v>1.944474959796676E-2</v>
      </c>
      <c r="BF79" s="11">
        <f>+'Seat capacity elasticities'!Z109</f>
        <v>5.3042221488334387E-2</v>
      </c>
      <c r="BG79" s="11">
        <f>+'Seat capacity elasticities'!AA109</f>
        <v>5.3350215503446707E-2</v>
      </c>
      <c r="BH79" s="11">
        <f>+'Seat capacity elasticities'!AB109</f>
        <v>6.2813157025659136E-2</v>
      </c>
      <c r="BI79" s="32">
        <f t="shared" si="96"/>
        <v>15580037.250656886</v>
      </c>
      <c r="BJ79" s="33">
        <f t="shared" si="97"/>
        <v>1.9444749597966762E-4</v>
      </c>
      <c r="BK79" s="40">
        <f t="shared" si="98"/>
        <v>42499893.479330555</v>
      </c>
      <c r="BL79" s="33">
        <f t="shared" si="99"/>
        <v>5.3042221488334388E-4</v>
      </c>
      <c r="BM79" s="40">
        <f t="shared" si="100"/>
        <v>72880662.394948483</v>
      </c>
      <c r="BN79" s="41">
        <f t="shared" si="101"/>
        <v>5.3350215503446719E-4</v>
      </c>
      <c r="BO79" s="40">
        <f t="shared" si="102"/>
        <v>85807797.549612448</v>
      </c>
      <c r="BP79" s="41">
        <f t="shared" si="103"/>
        <v>6.2813157025659139E-4</v>
      </c>
      <c r="BQ79" s="53"/>
      <c r="BR79" s="53"/>
      <c r="BS79" t="s">
        <v>293</v>
      </c>
      <c r="BT79">
        <v>2500384</v>
      </c>
      <c r="BU79">
        <v>1701841</v>
      </c>
      <c r="BV79" s="51">
        <v>47081.16</v>
      </c>
      <c r="BW79" s="32">
        <f t="shared" si="77"/>
        <v>80124648415.560013</v>
      </c>
      <c r="BX79">
        <v>136608</v>
      </c>
      <c r="BY79" s="37">
        <f t="shared" si="78"/>
        <v>5.4634808093476844E-2</v>
      </c>
      <c r="BZ79">
        <v>1.83117E-2</v>
      </c>
      <c r="CA79" s="3">
        <f t="shared" si="79"/>
        <v>1.83117E-4</v>
      </c>
      <c r="CB79" s="11">
        <f>+'Seat capacity elasticities'!AF109</f>
        <v>1.5547767977353254E-2</v>
      </c>
      <c r="CC79" s="11">
        <f>+'Seat capacity elasticities'!AG109</f>
        <v>1.2423957096783135E-2</v>
      </c>
      <c r="CD79" s="11">
        <f>+'Seat capacity elasticities'!AH109</f>
        <v>4.2658135966745392E-2</v>
      </c>
      <c r="CE79" s="11">
        <f>+'Seat capacity elasticities'!AI109</f>
        <v>1.4712580772506343E-2</v>
      </c>
      <c r="CF79" s="32">
        <f t="shared" si="104"/>
        <v>12457594.428321322</v>
      </c>
      <c r="CG79" s="33">
        <f t="shared" si="105"/>
        <v>1.5547767977353255E-4</v>
      </c>
      <c r="CH79" s="40">
        <f t="shared" si="106"/>
        <v>9954651.9430975039</v>
      </c>
      <c r="CI79" s="33">
        <f t="shared" si="107"/>
        <v>1.2423957096783134E-4</v>
      </c>
      <c r="CJ79" s="40">
        <f t="shared" si="108"/>
        <v>58274426.38145154</v>
      </c>
      <c r="CK79" s="41">
        <f t="shared" si="109"/>
        <v>4.2658135966745385E-4</v>
      </c>
      <c r="CL79" s="40">
        <f t="shared" si="110"/>
        <v>20098562.341705468</v>
      </c>
      <c r="CM79" s="41">
        <f t="shared" si="111"/>
        <v>1.4712580772506344E-4</v>
      </c>
      <c r="CO79" s="70">
        <f t="shared" si="112"/>
        <v>1.631161523899376</v>
      </c>
      <c r="CP79" s="70">
        <f t="shared" si="113"/>
        <v>9.154813669818088</v>
      </c>
      <c r="CQ79" s="70">
        <f t="shared" si="114"/>
        <v>10.785975193717464</v>
      </c>
      <c r="CR79" s="70">
        <f t="shared" si="115"/>
        <v>8.093616667145259</v>
      </c>
      <c r="CS79" s="70">
        <f t="shared" si="116"/>
        <v>24.9728931664771</v>
      </c>
      <c r="CT79" s="70">
        <f t="shared" si="117"/>
        <v>33.066509833622362</v>
      </c>
      <c r="CU79" s="69">
        <f t="shared" si="118"/>
        <v>7.6302855007569317</v>
      </c>
      <c r="CV79" s="69">
        <f t="shared" si="119"/>
        <v>42.824601355207967</v>
      </c>
      <c r="CW79" s="70">
        <f t="shared" si="120"/>
        <v>50.454886855964901</v>
      </c>
      <c r="CX79" s="69">
        <f t="shared" si="121"/>
        <v>16.341109672576735</v>
      </c>
      <c r="CY79" s="69">
        <f t="shared" si="122"/>
        <v>50.420572515066006</v>
      </c>
      <c r="CZ79" s="70">
        <f t="shared" si="123"/>
        <v>66.761682187642748</v>
      </c>
      <c r="DB79" s="70">
        <f t="shared" si="124"/>
        <v>11.423197551045034</v>
      </c>
      <c r="DC79" s="70">
        <f t="shared" si="125"/>
        <v>7.3200695178464512</v>
      </c>
      <c r="DD79" s="70">
        <f t="shared" si="126"/>
        <v>18.743267068891484</v>
      </c>
      <c r="DE79" s="70">
        <f t="shared" si="127"/>
        <v>21.650119133782255</v>
      </c>
      <c r="DF79" s="70">
        <f t="shared" si="128"/>
        <v>5.8493431190678233</v>
      </c>
      <c r="DG79" s="70">
        <f t="shared" si="129"/>
        <v>27.49946225285008</v>
      </c>
      <c r="DH79" s="69">
        <f t="shared" si="130"/>
        <v>53.435700492527005</v>
      </c>
      <c r="DI79" s="69">
        <f t="shared" si="131"/>
        <v>34.241992278627407</v>
      </c>
      <c r="DJ79" s="70">
        <f t="shared" si="132"/>
        <v>87.677692771154412</v>
      </c>
      <c r="DK79" s="69">
        <f t="shared" si="133"/>
        <v>43.711851665230135</v>
      </c>
      <c r="DL79" s="69">
        <f t="shared" si="134"/>
        <v>11.809894309577373</v>
      </c>
      <c r="DM79" s="70">
        <f t="shared" si="135"/>
        <v>55.521745974807509</v>
      </c>
    </row>
    <row r="80" spans="1:117">
      <c r="A80" t="s">
        <v>368</v>
      </c>
      <c r="B80">
        <v>554101</v>
      </c>
      <c r="C80">
        <v>408872</v>
      </c>
      <c r="D80" s="51">
        <v>41561.08</v>
      </c>
      <c r="E80" s="32">
        <f t="shared" si="68"/>
        <v>16993161901.76</v>
      </c>
      <c r="F80">
        <v>31211</v>
      </c>
      <c r="G80" s="37">
        <f t="shared" si="69"/>
        <v>5.6327276074217517E-2</v>
      </c>
      <c r="H80">
        <v>0</v>
      </c>
      <c r="I80" s="3">
        <f t="shared" si="70"/>
        <v>0</v>
      </c>
      <c r="J80" s="11">
        <f>+'Seat capacity elasticities'!K110</f>
        <v>0</v>
      </c>
      <c r="K80" s="11">
        <f>+'Seat capacity elasticities'!L110</f>
        <v>0</v>
      </c>
      <c r="L80" s="11">
        <f>+'Seat capacity elasticities'!M110</f>
        <v>0</v>
      </c>
      <c r="M80" s="11">
        <f>+'Seat capacity elasticities'!N110</f>
        <v>0</v>
      </c>
      <c r="N80" s="32">
        <f t="shared" si="80"/>
        <v>0</v>
      </c>
      <c r="O80" s="33">
        <f t="shared" si="81"/>
        <v>0</v>
      </c>
      <c r="P80" s="40">
        <f t="shared" si="82"/>
        <v>0</v>
      </c>
      <c r="Q80" s="33">
        <f t="shared" si="83"/>
        <v>0</v>
      </c>
      <c r="R80" s="40">
        <f t="shared" si="84"/>
        <v>0</v>
      </c>
      <c r="S80" s="41">
        <f t="shared" si="85"/>
        <v>0</v>
      </c>
      <c r="T80" s="40">
        <f t="shared" si="86"/>
        <v>0</v>
      </c>
      <c r="U80" s="41">
        <f t="shared" si="87"/>
        <v>0</v>
      </c>
      <c r="V80" s="53"/>
      <c r="W80" s="53"/>
      <c r="X80" t="s">
        <v>368</v>
      </c>
      <c r="Y80">
        <v>554101</v>
      </c>
      <c r="Z80">
        <v>408872</v>
      </c>
      <c r="AA80" s="51">
        <v>41561.08</v>
      </c>
      <c r="AB80" s="32">
        <f t="shared" si="71"/>
        <v>16993161901.76</v>
      </c>
      <c r="AC80">
        <v>31211</v>
      </c>
      <c r="AD80" s="37">
        <f t="shared" si="72"/>
        <v>5.6327276074217517E-2</v>
      </c>
      <c r="AE80">
        <v>8.8655999999999995E-3</v>
      </c>
      <c r="AF80" s="3">
        <f t="shared" si="73"/>
        <v>8.8656E-5</v>
      </c>
      <c r="AG80" s="11">
        <f>+'Seat capacity elasticities'!R110</f>
        <v>1.4634571284886506E-2</v>
      </c>
      <c r="AH80" s="11">
        <f>+'Seat capacity elasticities'!S110</f>
        <v>2.7736560658590391E-2</v>
      </c>
      <c r="AI80" s="11">
        <f>+'Seat capacity elasticities'!T110</f>
        <v>4.0152614355645287E-2</v>
      </c>
      <c r="AJ80" s="11">
        <f>+'Seat capacity elasticities'!U110</f>
        <v>3.2845927095699147E-2</v>
      </c>
      <c r="AK80" s="32">
        <f t="shared" si="88"/>
        <v>2486876.3920692424</v>
      </c>
      <c r="AL80" s="33">
        <f t="shared" si="89"/>
        <v>1.4634571284886504E-4</v>
      </c>
      <c r="AM80" s="40">
        <f t="shared" si="90"/>
        <v>4713318.658694135</v>
      </c>
      <c r="AN80" s="33">
        <f t="shared" si="91"/>
        <v>2.7736560658590391E-4</v>
      </c>
      <c r="AO80" s="40">
        <f t="shared" si="92"/>
        <v>12532032.466540452</v>
      </c>
      <c r="AP80" s="41">
        <f t="shared" si="93"/>
        <v>4.0152614355645289E-4</v>
      </c>
      <c r="AQ80" s="40">
        <f t="shared" si="94"/>
        <v>10251542.305838661</v>
      </c>
      <c r="AR80" s="41">
        <f t="shared" si="95"/>
        <v>3.2845927095699146E-4</v>
      </c>
      <c r="AV80" t="s">
        <v>368</v>
      </c>
      <c r="AW80">
        <v>554101</v>
      </c>
      <c r="AX80">
        <v>408872</v>
      </c>
      <c r="AY80" s="51">
        <v>41561.08</v>
      </c>
      <c r="AZ80" s="32">
        <f t="shared" si="74"/>
        <v>16993161901.76</v>
      </c>
      <c r="BA80">
        <v>31211</v>
      </c>
      <c r="BB80" s="37">
        <f t="shared" si="75"/>
        <v>5.6327276074217517E-2</v>
      </c>
      <c r="BC80">
        <v>0</v>
      </c>
      <c r="BD80" s="3">
        <f t="shared" si="76"/>
        <v>0</v>
      </c>
      <c r="BE80" s="11">
        <f>+'Seat capacity elasticities'!Y110</f>
        <v>0</v>
      </c>
      <c r="BF80" s="11">
        <f>+'Seat capacity elasticities'!Z110</f>
        <v>0</v>
      </c>
      <c r="BG80" s="11">
        <f>+'Seat capacity elasticities'!AA110</f>
        <v>0</v>
      </c>
      <c r="BH80" s="11">
        <f>+'Seat capacity elasticities'!AB110</f>
        <v>0</v>
      </c>
      <c r="BI80" s="32">
        <f t="shared" si="96"/>
        <v>0</v>
      </c>
      <c r="BJ80" s="33">
        <f t="shared" si="97"/>
        <v>0</v>
      </c>
      <c r="BK80" s="40">
        <f t="shared" si="98"/>
        <v>0</v>
      </c>
      <c r="BL80" s="33">
        <f t="shared" si="99"/>
        <v>0</v>
      </c>
      <c r="BM80" s="40">
        <f t="shared" si="100"/>
        <v>0</v>
      </c>
      <c r="BN80" s="41">
        <f t="shared" si="101"/>
        <v>0</v>
      </c>
      <c r="BO80" s="40">
        <f t="shared" si="102"/>
        <v>0</v>
      </c>
      <c r="BP80" s="41">
        <f t="shared" si="103"/>
        <v>0</v>
      </c>
      <c r="BQ80" s="53"/>
      <c r="BR80" s="53"/>
      <c r="BS80" t="s">
        <v>368</v>
      </c>
      <c r="BT80">
        <v>554101</v>
      </c>
      <c r="BU80">
        <v>408872</v>
      </c>
      <c r="BV80" s="51">
        <v>41561.08</v>
      </c>
      <c r="BW80" s="32">
        <f t="shared" si="77"/>
        <v>16993161901.76</v>
      </c>
      <c r="BX80">
        <v>31211</v>
      </c>
      <c r="BY80" s="37">
        <f t="shared" si="78"/>
        <v>5.6327276074217517E-2</v>
      </c>
      <c r="BZ80">
        <v>8.8655999999999995E-3</v>
      </c>
      <c r="CA80" s="3">
        <f t="shared" si="79"/>
        <v>8.8656E-5</v>
      </c>
      <c r="CB80" s="11">
        <f>+'Seat capacity elasticities'!AF110</f>
        <v>3.3967633918766775E-2</v>
      </c>
      <c r="CC80" s="11">
        <f>+'Seat capacity elasticities'!AG110</f>
        <v>2.7142958854331607E-2</v>
      </c>
      <c r="CD80" s="11">
        <f>+'Seat capacity elasticities'!AH110</f>
        <v>9.3196396311417878E-2</v>
      </c>
      <c r="CE80" s="11">
        <f>+'Seat capacity elasticities'!AI110</f>
        <v>3.2142977590655854E-2</v>
      </c>
      <c r="CF80" s="32">
        <f t="shared" si="104"/>
        <v>5772175.0260131825</v>
      </c>
      <c r="CG80" s="33">
        <f t="shared" si="105"/>
        <v>3.3967633918766772E-4</v>
      </c>
      <c r="CH80" s="40">
        <f t="shared" si="106"/>
        <v>4612446.9430446709</v>
      </c>
      <c r="CI80" s="33">
        <f t="shared" si="107"/>
        <v>2.7142958854331603E-4</v>
      </c>
      <c r="CJ80" s="40">
        <f t="shared" si="108"/>
        <v>29087527.252756633</v>
      </c>
      <c r="CK80" s="41">
        <f t="shared" si="109"/>
        <v>9.3196396311417875E-4</v>
      </c>
      <c r="CL80" s="40">
        <f t="shared" si="110"/>
        <v>10032144.735819599</v>
      </c>
      <c r="CM80" s="41">
        <f t="shared" si="111"/>
        <v>3.2142977590655854E-4</v>
      </c>
      <c r="CO80" s="70">
        <f t="shared" si="112"/>
        <v>0</v>
      </c>
      <c r="CP80" s="70">
        <f t="shared" si="113"/>
        <v>0</v>
      </c>
      <c r="CQ80" s="70">
        <f t="shared" si="114"/>
        <v>0</v>
      </c>
      <c r="CR80" s="70">
        <f t="shared" si="115"/>
        <v>0</v>
      </c>
      <c r="CS80" s="70">
        <f t="shared" si="116"/>
        <v>0</v>
      </c>
      <c r="CT80" s="70">
        <f t="shared" si="117"/>
        <v>0</v>
      </c>
      <c r="CU80" s="69">
        <f t="shared" si="118"/>
        <v>0</v>
      </c>
      <c r="CV80" s="69">
        <f t="shared" si="119"/>
        <v>0</v>
      </c>
      <c r="CW80" s="70">
        <f t="shared" si="120"/>
        <v>0</v>
      </c>
      <c r="CX80" s="69">
        <f t="shared" si="121"/>
        <v>0</v>
      </c>
      <c r="CY80" s="69">
        <f t="shared" si="122"/>
        <v>0</v>
      </c>
      <c r="CZ80" s="70">
        <f t="shared" si="123"/>
        <v>0</v>
      </c>
      <c r="DB80" s="70">
        <f t="shared" si="124"/>
        <v>6.0822858793687082</v>
      </c>
      <c r="DC80" s="70">
        <f t="shared" si="125"/>
        <v>14.117315507085793</v>
      </c>
      <c r="DD80" s="70">
        <f t="shared" si="126"/>
        <v>20.199601386454503</v>
      </c>
      <c r="DE80" s="70">
        <f t="shared" si="127"/>
        <v>11.52761416456528</v>
      </c>
      <c r="DF80" s="70">
        <f t="shared" si="128"/>
        <v>11.280906843815842</v>
      </c>
      <c r="DG80" s="70">
        <f t="shared" si="129"/>
        <v>22.808521008381121</v>
      </c>
      <c r="DH80" s="69">
        <f t="shared" si="130"/>
        <v>30.650258434278825</v>
      </c>
      <c r="DI80" s="69">
        <f t="shared" si="131"/>
        <v>71.140912688461512</v>
      </c>
      <c r="DJ80" s="70">
        <f t="shared" si="132"/>
        <v>101.79117112274034</v>
      </c>
      <c r="DK80" s="69">
        <f t="shared" si="133"/>
        <v>25.072742339506402</v>
      </c>
      <c r="DL80" s="69">
        <f t="shared" si="134"/>
        <v>24.536150031842723</v>
      </c>
      <c r="DM80" s="70">
        <f t="shared" si="135"/>
        <v>49.608892371349128</v>
      </c>
    </row>
    <row r="81" spans="1:117">
      <c r="A81" t="s">
        <v>369</v>
      </c>
      <c r="B81">
        <v>4423781</v>
      </c>
      <c r="C81">
        <v>2416644</v>
      </c>
      <c r="D81" s="51">
        <v>46027.11</v>
      </c>
      <c r="E81" s="32">
        <f t="shared" si="68"/>
        <v>111231139218.84</v>
      </c>
      <c r="F81">
        <v>183453</v>
      </c>
      <c r="G81" s="37">
        <f t="shared" si="69"/>
        <v>4.146972917511061E-2</v>
      </c>
      <c r="H81">
        <v>0</v>
      </c>
      <c r="I81" s="3">
        <f t="shared" si="70"/>
        <v>0</v>
      </c>
      <c r="J81" s="11">
        <f>+'Seat capacity elasticities'!K111</f>
        <v>0</v>
      </c>
      <c r="K81" s="11">
        <f>+'Seat capacity elasticities'!L111</f>
        <v>0</v>
      </c>
      <c r="L81" s="11">
        <f>+'Seat capacity elasticities'!M111</f>
        <v>0</v>
      </c>
      <c r="M81" s="11">
        <f>+'Seat capacity elasticities'!N111</f>
        <v>0</v>
      </c>
      <c r="N81" s="32">
        <f t="shared" si="80"/>
        <v>0</v>
      </c>
      <c r="O81" s="33">
        <f t="shared" si="81"/>
        <v>0</v>
      </c>
      <c r="P81" s="40">
        <f t="shared" si="82"/>
        <v>0</v>
      </c>
      <c r="Q81" s="33">
        <f t="shared" si="83"/>
        <v>0</v>
      </c>
      <c r="R81" s="40">
        <f t="shared" si="84"/>
        <v>0</v>
      </c>
      <c r="S81" s="41">
        <f t="shared" si="85"/>
        <v>0</v>
      </c>
      <c r="T81" s="40">
        <f t="shared" si="86"/>
        <v>0</v>
      </c>
      <c r="U81" s="41">
        <f t="shared" si="87"/>
        <v>0</v>
      </c>
      <c r="V81" s="53"/>
      <c r="W81" s="53"/>
      <c r="X81" t="s">
        <v>369</v>
      </c>
      <c r="Y81">
        <v>4423781</v>
      </c>
      <c r="Z81">
        <v>2416644</v>
      </c>
      <c r="AA81" s="51">
        <v>46027.11</v>
      </c>
      <c r="AB81" s="32">
        <f t="shared" si="71"/>
        <v>111231139218.84</v>
      </c>
      <c r="AC81">
        <v>183453</v>
      </c>
      <c r="AD81" s="37">
        <f t="shared" si="72"/>
        <v>4.146972917511061E-2</v>
      </c>
      <c r="AE81">
        <v>7.2024000000000003E-3</v>
      </c>
      <c r="AF81" s="3">
        <f t="shared" si="73"/>
        <v>7.2024E-5</v>
      </c>
      <c r="AG81" s="11">
        <f>+'Seat capacity elasticities'!R111</f>
        <v>1.2011200825706435E-2</v>
      </c>
      <c r="AH81" s="11">
        <f>+'Seat capacity elasticities'!S111</f>
        <v>2.2764547987051E-2</v>
      </c>
      <c r="AI81" s="11">
        <f>+'Seat capacity elasticities'!T111</f>
        <v>3.2954919232985165E-2</v>
      </c>
      <c r="AJ81" s="11">
        <f>+'Seat capacity elasticities'!U111</f>
        <v>2.6958017353086713E-2</v>
      </c>
      <c r="AK81" s="32">
        <f t="shared" si="88"/>
        <v>13360195.512295986</v>
      </c>
      <c r="AL81" s="33">
        <f t="shared" si="89"/>
        <v>1.2011200825706436E-4</v>
      </c>
      <c r="AM81" s="40">
        <f t="shared" si="90"/>
        <v>25321266.064016338</v>
      </c>
      <c r="AN81" s="33">
        <f t="shared" si="91"/>
        <v>2.2764547987051003E-4</v>
      </c>
      <c r="AO81" s="40">
        <f t="shared" si="92"/>
        <v>60456787.980488271</v>
      </c>
      <c r="AP81" s="41">
        <f t="shared" si="93"/>
        <v>3.2954919232985164E-4</v>
      </c>
      <c r="AQ81" s="40">
        <f t="shared" si="94"/>
        <v>49455291.574758172</v>
      </c>
      <c r="AR81" s="41">
        <f t="shared" si="95"/>
        <v>2.695801735308672E-4</v>
      </c>
      <c r="AV81" t="s">
        <v>369</v>
      </c>
      <c r="AW81">
        <v>4423781</v>
      </c>
      <c r="AX81">
        <v>2416644</v>
      </c>
      <c r="AY81" s="51">
        <v>46027.11</v>
      </c>
      <c r="AZ81" s="32">
        <f t="shared" si="74"/>
        <v>111231139218.84</v>
      </c>
      <c r="BA81">
        <v>183453</v>
      </c>
      <c r="BB81" s="37">
        <f t="shared" si="75"/>
        <v>4.146972917511061E-2</v>
      </c>
      <c r="BC81">
        <v>0</v>
      </c>
      <c r="BD81" s="3">
        <f t="shared" si="76"/>
        <v>0</v>
      </c>
      <c r="BE81" s="11">
        <f>+'Seat capacity elasticities'!Y111</f>
        <v>0</v>
      </c>
      <c r="BF81" s="11">
        <f>+'Seat capacity elasticities'!Z111</f>
        <v>0</v>
      </c>
      <c r="BG81" s="11">
        <f>+'Seat capacity elasticities'!AA111</f>
        <v>0</v>
      </c>
      <c r="BH81" s="11">
        <f>+'Seat capacity elasticities'!AB111</f>
        <v>0</v>
      </c>
      <c r="BI81" s="32">
        <f t="shared" si="96"/>
        <v>0</v>
      </c>
      <c r="BJ81" s="33">
        <f t="shared" si="97"/>
        <v>0</v>
      </c>
      <c r="BK81" s="40">
        <f t="shared" si="98"/>
        <v>0</v>
      </c>
      <c r="BL81" s="33">
        <f t="shared" si="99"/>
        <v>0</v>
      </c>
      <c r="BM81" s="40">
        <f t="shared" si="100"/>
        <v>0</v>
      </c>
      <c r="BN81" s="41">
        <f t="shared" si="101"/>
        <v>0</v>
      </c>
      <c r="BO81" s="40">
        <f t="shared" si="102"/>
        <v>0</v>
      </c>
      <c r="BP81" s="41">
        <f t="shared" si="103"/>
        <v>0</v>
      </c>
      <c r="BQ81" s="53"/>
      <c r="BR81" s="53"/>
      <c r="BS81" t="s">
        <v>369</v>
      </c>
      <c r="BT81">
        <v>4423781</v>
      </c>
      <c r="BU81">
        <v>2416644</v>
      </c>
      <c r="BV81" s="51">
        <v>46027.11</v>
      </c>
      <c r="BW81" s="32">
        <f t="shared" si="77"/>
        <v>111231139218.84</v>
      </c>
      <c r="BX81">
        <v>183453</v>
      </c>
      <c r="BY81" s="37">
        <f t="shared" si="78"/>
        <v>4.146972917511061E-2</v>
      </c>
      <c r="BZ81">
        <v>7.2024000000000003E-3</v>
      </c>
      <c r="CA81" s="3">
        <f t="shared" si="79"/>
        <v>7.2024E-5</v>
      </c>
      <c r="CB81" s="11">
        <f>+'Seat capacity elasticities'!AF111</f>
        <v>3.4564455165812156E-3</v>
      </c>
      <c r="CC81" s="11">
        <f>+'Seat capacity elasticities'!AG111</f>
        <v>2.761986856758054E-3</v>
      </c>
      <c r="CD81" s="11">
        <f>+'Seat capacity elasticities'!AH111</f>
        <v>9.4833884209448507E-3</v>
      </c>
      <c r="CE81" s="11">
        <f>+'Seat capacity elasticities'!AI111</f>
        <v>3.2707739093187482E-3</v>
      </c>
      <c r="CF81" s="32">
        <f t="shared" si="104"/>
        <v>3844643.7245718054</v>
      </c>
      <c r="CG81" s="33">
        <f t="shared" si="105"/>
        <v>3.4564455165812155E-5</v>
      </c>
      <c r="CH81" s="40">
        <f t="shared" si="106"/>
        <v>3072189.445846614</v>
      </c>
      <c r="CI81" s="33">
        <f t="shared" si="107"/>
        <v>2.7619868567580541E-5</v>
      </c>
      <c r="CJ81" s="40">
        <f t="shared" si="108"/>
        <v>17397560.559875954</v>
      </c>
      <c r="CK81" s="41">
        <f t="shared" si="109"/>
        <v>9.4833884209448489E-5</v>
      </c>
      <c r="CL81" s="40">
        <f t="shared" si="110"/>
        <v>6000332.8598625232</v>
      </c>
      <c r="CM81" s="41">
        <f t="shared" si="111"/>
        <v>3.2707739093187487E-5</v>
      </c>
      <c r="CO81" s="70">
        <f t="shared" si="112"/>
        <v>0</v>
      </c>
      <c r="CP81" s="70">
        <f t="shared" si="113"/>
        <v>0</v>
      </c>
      <c r="CQ81" s="70">
        <f t="shared" si="114"/>
        <v>0</v>
      </c>
      <c r="CR81" s="70">
        <f t="shared" si="115"/>
        <v>0</v>
      </c>
      <c r="CS81" s="70">
        <f t="shared" si="116"/>
        <v>0</v>
      </c>
      <c r="CT81" s="70">
        <f t="shared" si="117"/>
        <v>0</v>
      </c>
      <c r="CU81" s="69">
        <f t="shared" si="118"/>
        <v>0</v>
      </c>
      <c r="CV81" s="69">
        <f t="shared" si="119"/>
        <v>0</v>
      </c>
      <c r="CW81" s="70">
        <f t="shared" si="120"/>
        <v>0</v>
      </c>
      <c r="CX81" s="69">
        <f t="shared" si="121"/>
        <v>0</v>
      </c>
      <c r="CY81" s="69">
        <f t="shared" si="122"/>
        <v>0</v>
      </c>
      <c r="CZ81" s="70">
        <f t="shared" si="123"/>
        <v>0</v>
      </c>
      <c r="DB81" s="70">
        <f t="shared" si="124"/>
        <v>5.52840861636881</v>
      </c>
      <c r="DC81" s="70">
        <f t="shared" si="125"/>
        <v>1.5909019800069044</v>
      </c>
      <c r="DD81" s="70">
        <f t="shared" si="126"/>
        <v>7.1193105963757146</v>
      </c>
      <c r="DE81" s="70">
        <f t="shared" si="127"/>
        <v>10.47786354300275</v>
      </c>
      <c r="DF81" s="70">
        <f t="shared" si="128"/>
        <v>1.271262728745572</v>
      </c>
      <c r="DG81" s="70">
        <f t="shared" si="129"/>
        <v>11.749126271748322</v>
      </c>
      <c r="DH81" s="69">
        <f t="shared" si="130"/>
        <v>25.016836563634641</v>
      </c>
      <c r="DI81" s="69">
        <f t="shared" si="131"/>
        <v>7.1990580987004931</v>
      </c>
      <c r="DJ81" s="70">
        <f t="shared" si="132"/>
        <v>32.215894662335131</v>
      </c>
      <c r="DK81" s="69">
        <f t="shared" si="133"/>
        <v>20.464450525091067</v>
      </c>
      <c r="DL81" s="69">
        <f t="shared" si="134"/>
        <v>2.4829196438790833</v>
      </c>
      <c r="DM81" s="70">
        <f t="shared" si="135"/>
        <v>22.947370168970149</v>
      </c>
    </row>
    <row r="82" spans="1:117">
      <c r="A82" t="s">
        <v>370</v>
      </c>
      <c r="B82">
        <v>92589</v>
      </c>
      <c r="C82">
        <v>67386</v>
      </c>
      <c r="D82" s="51">
        <v>33052.629999999997</v>
      </c>
      <c r="E82" s="32">
        <f t="shared" si="68"/>
        <v>2227284525.1799998</v>
      </c>
      <c r="F82">
        <v>4037</v>
      </c>
      <c r="G82" s="37">
        <f t="shared" si="69"/>
        <v>4.3601291730119125E-2</v>
      </c>
      <c r="H82">
        <v>0</v>
      </c>
      <c r="I82" s="3">
        <f t="shared" si="70"/>
        <v>0</v>
      </c>
      <c r="J82" s="11">
        <f>+'Seat capacity elasticities'!K112</f>
        <v>0</v>
      </c>
      <c r="K82" s="11">
        <f>+'Seat capacity elasticities'!L112</f>
        <v>0</v>
      </c>
      <c r="L82" s="11">
        <f>+'Seat capacity elasticities'!M112</f>
        <v>0</v>
      </c>
      <c r="M82" s="11">
        <f>+'Seat capacity elasticities'!N112</f>
        <v>0</v>
      </c>
      <c r="N82" s="32">
        <f t="shared" si="80"/>
        <v>0</v>
      </c>
      <c r="O82" s="33">
        <f t="shared" si="81"/>
        <v>0</v>
      </c>
      <c r="P82" s="40">
        <f t="shared" si="82"/>
        <v>0</v>
      </c>
      <c r="Q82" s="33">
        <f t="shared" si="83"/>
        <v>0</v>
      </c>
      <c r="R82" s="40">
        <f t="shared" si="84"/>
        <v>0</v>
      </c>
      <c r="S82" s="41">
        <f t="shared" si="85"/>
        <v>0</v>
      </c>
      <c r="T82" s="40">
        <f t="shared" si="86"/>
        <v>0</v>
      </c>
      <c r="U82" s="41">
        <f t="shared" si="87"/>
        <v>0</v>
      </c>
      <c r="V82" s="53"/>
      <c r="W82" s="53"/>
      <c r="X82" t="s">
        <v>370</v>
      </c>
      <c r="Y82">
        <v>92589</v>
      </c>
      <c r="Z82">
        <v>67386</v>
      </c>
      <c r="AA82" s="51">
        <v>33052.629999999997</v>
      </c>
      <c r="AB82" s="32">
        <f t="shared" si="71"/>
        <v>2227284525.1799998</v>
      </c>
      <c r="AC82">
        <v>4037</v>
      </c>
      <c r="AD82" s="37">
        <f t="shared" si="72"/>
        <v>4.3601291730119125E-2</v>
      </c>
      <c r="AE82">
        <v>4.9645999999999996E-3</v>
      </c>
      <c r="AF82" s="3">
        <f t="shared" si="73"/>
        <v>4.9645999999999999E-5</v>
      </c>
      <c r="AG82" s="11">
        <f>+'Seat capacity elasticities'!R112</f>
        <v>1.1468643356441603E-2</v>
      </c>
      <c r="AH82" s="11">
        <f>+'Seat capacity elasticities'!S112</f>
        <v>2.1736251505788413E-2</v>
      </c>
      <c r="AI82" s="11">
        <f>+'Seat capacity elasticities'!T112</f>
        <v>3.1466313902150246E-2</v>
      </c>
      <c r="AJ82" s="11">
        <f>+'Seat capacity elasticities'!U112</f>
        <v>2.5740297835802065E-2</v>
      </c>
      <c r="AK82" s="32">
        <f t="shared" si="88"/>
        <v>255439.31872610791</v>
      </c>
      <c r="AL82" s="33">
        <f t="shared" si="89"/>
        <v>1.1468643356441601E-4</v>
      </c>
      <c r="AM82" s="40">
        <f t="shared" si="90"/>
        <v>484128.16614262998</v>
      </c>
      <c r="AN82" s="33">
        <f t="shared" si="91"/>
        <v>2.1736251505788412E-4</v>
      </c>
      <c r="AO82" s="40">
        <f t="shared" si="92"/>
        <v>1270295.0922298052</v>
      </c>
      <c r="AP82" s="41">
        <f t="shared" si="93"/>
        <v>3.1466313902150239E-4</v>
      </c>
      <c r="AQ82" s="40">
        <f t="shared" si="94"/>
        <v>1039135.8236313292</v>
      </c>
      <c r="AR82" s="41">
        <f t="shared" si="95"/>
        <v>2.5740297835802063E-4</v>
      </c>
      <c r="AV82" t="s">
        <v>370</v>
      </c>
      <c r="AW82">
        <v>92589</v>
      </c>
      <c r="AX82">
        <v>67386</v>
      </c>
      <c r="AY82" s="51">
        <v>33052.629999999997</v>
      </c>
      <c r="AZ82" s="32">
        <f t="shared" si="74"/>
        <v>2227284525.1799998</v>
      </c>
      <c r="BA82">
        <v>4037</v>
      </c>
      <c r="BB82" s="37">
        <f t="shared" si="75"/>
        <v>4.3601291730119125E-2</v>
      </c>
      <c r="BC82">
        <v>0</v>
      </c>
      <c r="BD82" s="3">
        <f t="shared" si="76"/>
        <v>0</v>
      </c>
      <c r="BE82" s="11">
        <f>+'Seat capacity elasticities'!Y112</f>
        <v>0</v>
      </c>
      <c r="BF82" s="11">
        <f>+'Seat capacity elasticities'!Z112</f>
        <v>0</v>
      </c>
      <c r="BG82" s="11">
        <f>+'Seat capacity elasticities'!AA112</f>
        <v>0</v>
      </c>
      <c r="BH82" s="11">
        <f>+'Seat capacity elasticities'!AB112</f>
        <v>0</v>
      </c>
      <c r="BI82" s="32">
        <f t="shared" si="96"/>
        <v>0</v>
      </c>
      <c r="BJ82" s="33">
        <f t="shared" si="97"/>
        <v>0</v>
      </c>
      <c r="BK82" s="40">
        <f t="shared" si="98"/>
        <v>0</v>
      </c>
      <c r="BL82" s="33">
        <f t="shared" si="99"/>
        <v>0</v>
      </c>
      <c r="BM82" s="40">
        <f t="shared" si="100"/>
        <v>0</v>
      </c>
      <c r="BN82" s="41">
        <f t="shared" si="101"/>
        <v>0</v>
      </c>
      <c r="BO82" s="40">
        <f t="shared" si="102"/>
        <v>0</v>
      </c>
      <c r="BP82" s="41">
        <f t="shared" si="103"/>
        <v>0</v>
      </c>
      <c r="BQ82" s="53"/>
      <c r="BR82" s="53"/>
      <c r="BS82" t="s">
        <v>370</v>
      </c>
      <c r="BT82">
        <v>92589</v>
      </c>
      <c r="BU82">
        <v>67386</v>
      </c>
      <c r="BV82" s="51">
        <v>33052.629999999997</v>
      </c>
      <c r="BW82" s="32">
        <f t="shared" si="77"/>
        <v>2227284525.1799998</v>
      </c>
      <c r="BX82">
        <v>4037</v>
      </c>
      <c r="BY82" s="37">
        <f t="shared" si="78"/>
        <v>4.3601291730119125E-2</v>
      </c>
      <c r="BZ82">
        <v>4.9645999999999996E-3</v>
      </c>
      <c r="CA82" s="3">
        <f t="shared" si="79"/>
        <v>4.9645999999999999E-5</v>
      </c>
      <c r="CB82" s="11">
        <f>+'Seat capacity elasticities'!AF112</f>
        <v>0.11383373004269695</v>
      </c>
      <c r="CC82" s="11">
        <f>+'Seat capacity elasticities'!AG112</f>
        <v>9.0962598636490283E-2</v>
      </c>
      <c r="CD82" s="11">
        <f>+'Seat capacity elasticities'!AH112</f>
        <v>0.31232359145288696</v>
      </c>
      <c r="CE82" s="11">
        <f>+'Seat capacity elasticities'!AI112</f>
        <v>0.10771886680637008</v>
      </c>
      <c r="CF82" s="32">
        <f t="shared" si="104"/>
        <v>2535401.0536761656</v>
      </c>
      <c r="CG82" s="33">
        <f t="shared" si="105"/>
        <v>1.1383373004269694E-3</v>
      </c>
      <c r="CH82" s="40">
        <f t="shared" si="106"/>
        <v>2025995.8831321415</v>
      </c>
      <c r="CI82" s="33">
        <f t="shared" si="107"/>
        <v>9.0962598636490279E-4</v>
      </c>
      <c r="CJ82" s="40">
        <f t="shared" si="108"/>
        <v>12608503.386953045</v>
      </c>
      <c r="CK82" s="41">
        <f t="shared" si="109"/>
        <v>3.1232359145288691E-3</v>
      </c>
      <c r="CL82" s="40">
        <f t="shared" si="110"/>
        <v>4348610.6529731601</v>
      </c>
      <c r="CM82" s="41">
        <f t="shared" si="111"/>
        <v>1.0771886680637007E-3</v>
      </c>
      <c r="CO82" s="70">
        <f t="shared" si="112"/>
        <v>0</v>
      </c>
      <c r="CP82" s="70">
        <f t="shared" si="113"/>
        <v>0</v>
      </c>
      <c r="CQ82" s="70">
        <f t="shared" si="114"/>
        <v>0</v>
      </c>
      <c r="CR82" s="70">
        <f t="shared" si="115"/>
        <v>0</v>
      </c>
      <c r="CS82" s="70">
        <f t="shared" si="116"/>
        <v>0</v>
      </c>
      <c r="CT82" s="70">
        <f t="shared" si="117"/>
        <v>0</v>
      </c>
      <c r="CU82" s="69">
        <f t="shared" si="118"/>
        <v>0</v>
      </c>
      <c r="CV82" s="69">
        <f t="shared" si="119"/>
        <v>0</v>
      </c>
      <c r="CW82" s="70">
        <f t="shared" si="120"/>
        <v>0</v>
      </c>
      <c r="CX82" s="69">
        <f t="shared" si="121"/>
        <v>0</v>
      </c>
      <c r="CY82" s="69">
        <f t="shared" si="122"/>
        <v>0</v>
      </c>
      <c r="CZ82" s="70">
        <f t="shared" si="123"/>
        <v>0</v>
      </c>
      <c r="DB82" s="70">
        <f t="shared" si="124"/>
        <v>3.7906882546242233</v>
      </c>
      <c r="DC82" s="70">
        <f t="shared" si="125"/>
        <v>37.625041606211461</v>
      </c>
      <c r="DD82" s="70">
        <f t="shared" si="126"/>
        <v>41.415729860835683</v>
      </c>
      <c r="DE82" s="70">
        <f t="shared" si="127"/>
        <v>7.1844027860776718</v>
      </c>
      <c r="DF82" s="70">
        <f t="shared" si="128"/>
        <v>30.065531165704176</v>
      </c>
      <c r="DG82" s="70">
        <f t="shared" si="129"/>
        <v>37.249933951781848</v>
      </c>
      <c r="DH82" s="69">
        <f t="shared" si="130"/>
        <v>18.851023836253898</v>
      </c>
      <c r="DI82" s="69">
        <f t="shared" si="131"/>
        <v>187.10864848711964</v>
      </c>
      <c r="DJ82" s="70">
        <f t="shared" si="132"/>
        <v>205.95967232337352</v>
      </c>
      <c r="DK82" s="69">
        <f t="shared" si="133"/>
        <v>15.420648556544819</v>
      </c>
      <c r="DL82" s="69">
        <f t="shared" si="134"/>
        <v>64.532850339434901</v>
      </c>
      <c r="DM82" s="70">
        <f t="shared" si="135"/>
        <v>79.95349889597972</v>
      </c>
    </row>
    <row r="83" spans="1:117">
      <c r="A83" t="s">
        <v>371</v>
      </c>
      <c r="B83">
        <v>275188</v>
      </c>
      <c r="C83">
        <v>165180</v>
      </c>
      <c r="D83" s="51">
        <v>33884.67</v>
      </c>
      <c r="E83" s="32">
        <f t="shared" si="68"/>
        <v>5597069790.5999994</v>
      </c>
      <c r="F83">
        <v>8262</v>
      </c>
      <c r="G83" s="37">
        <f t="shared" si="69"/>
        <v>3.0023111472883991E-2</v>
      </c>
      <c r="H83">
        <v>0</v>
      </c>
      <c r="I83" s="3">
        <f t="shared" si="70"/>
        <v>0</v>
      </c>
      <c r="J83" s="11">
        <f>+'Seat capacity elasticities'!K113</f>
        <v>0</v>
      </c>
      <c r="K83" s="11">
        <f>+'Seat capacity elasticities'!L113</f>
        <v>0</v>
      </c>
      <c r="L83" s="11">
        <f>+'Seat capacity elasticities'!M113</f>
        <v>0</v>
      </c>
      <c r="M83" s="11">
        <f>+'Seat capacity elasticities'!N113</f>
        <v>0</v>
      </c>
      <c r="N83" s="32">
        <f t="shared" si="80"/>
        <v>0</v>
      </c>
      <c r="O83" s="33">
        <f t="shared" si="81"/>
        <v>0</v>
      </c>
      <c r="P83" s="40">
        <f t="shared" si="82"/>
        <v>0</v>
      </c>
      <c r="Q83" s="33">
        <f t="shared" si="83"/>
        <v>0</v>
      </c>
      <c r="R83" s="40">
        <f t="shared" si="84"/>
        <v>0</v>
      </c>
      <c r="S83" s="41">
        <f t="shared" si="85"/>
        <v>0</v>
      </c>
      <c r="T83" s="40">
        <f t="shared" si="86"/>
        <v>0</v>
      </c>
      <c r="U83" s="41">
        <f t="shared" si="87"/>
        <v>0</v>
      </c>
      <c r="V83" s="53"/>
      <c r="W83" s="53"/>
      <c r="X83" t="s">
        <v>371</v>
      </c>
      <c r="Y83">
        <v>275188</v>
      </c>
      <c r="Z83">
        <v>165180</v>
      </c>
      <c r="AA83" s="51">
        <v>33884.67</v>
      </c>
      <c r="AB83" s="32">
        <f t="shared" si="71"/>
        <v>5597069790.5999994</v>
      </c>
      <c r="AC83">
        <v>8262</v>
      </c>
      <c r="AD83" s="37">
        <f t="shared" si="72"/>
        <v>3.0023111472883991E-2</v>
      </c>
      <c r="AE83">
        <v>1.00041E-2</v>
      </c>
      <c r="AF83" s="3">
        <f t="shared" si="73"/>
        <v>1.00041E-4</v>
      </c>
      <c r="AG83" s="11">
        <f>+'Seat capacity elasticities'!R113</f>
        <v>2.8835697241625866E-2</v>
      </c>
      <c r="AH83" s="11">
        <f>+'Seat capacity elasticities'!S113</f>
        <v>5.4651622524882579E-2</v>
      </c>
      <c r="AI83" s="11">
        <f>+'Seat capacity elasticities'!T113</f>
        <v>7.911599243189768E-2</v>
      </c>
      <c r="AJ83" s="11">
        <f>+'Seat capacity elasticities'!U113</f>
        <v>6.4719026674203053E-2</v>
      </c>
      <c r="AK83" s="32">
        <f t="shared" si="88"/>
        <v>1613954.0992199187</v>
      </c>
      <c r="AL83" s="33">
        <f t="shared" si="89"/>
        <v>2.8835697241625866E-4</v>
      </c>
      <c r="AM83" s="40">
        <f t="shared" si="90"/>
        <v>3058889.4544129474</v>
      </c>
      <c r="AN83" s="33">
        <f t="shared" si="91"/>
        <v>5.4651622524882581E-4</v>
      </c>
      <c r="AO83" s="40">
        <f t="shared" si="92"/>
        <v>6536563.2947233869</v>
      </c>
      <c r="AP83" s="41">
        <f t="shared" si="93"/>
        <v>7.9115992431897687E-4</v>
      </c>
      <c r="AQ83" s="40">
        <f t="shared" si="94"/>
        <v>5347085.9838226559</v>
      </c>
      <c r="AR83" s="41">
        <f t="shared" si="95"/>
        <v>6.4719026674203055E-4</v>
      </c>
      <c r="AV83" t="s">
        <v>371</v>
      </c>
      <c r="AW83">
        <v>275188</v>
      </c>
      <c r="AX83">
        <v>165180</v>
      </c>
      <c r="AY83" s="51">
        <v>33884.67</v>
      </c>
      <c r="AZ83" s="32">
        <f t="shared" si="74"/>
        <v>5597069790.5999994</v>
      </c>
      <c r="BA83">
        <v>8262</v>
      </c>
      <c r="BB83" s="37">
        <f t="shared" si="75"/>
        <v>3.0023111472883991E-2</v>
      </c>
      <c r="BC83">
        <v>0</v>
      </c>
      <c r="BD83" s="3">
        <f t="shared" si="76"/>
        <v>0</v>
      </c>
      <c r="BE83" s="11">
        <f>+'Seat capacity elasticities'!Y113</f>
        <v>0</v>
      </c>
      <c r="BF83" s="11">
        <f>+'Seat capacity elasticities'!Z113</f>
        <v>0</v>
      </c>
      <c r="BG83" s="11">
        <f>+'Seat capacity elasticities'!AA113</f>
        <v>0</v>
      </c>
      <c r="BH83" s="11">
        <f>+'Seat capacity elasticities'!AB113</f>
        <v>0</v>
      </c>
      <c r="BI83" s="32">
        <f t="shared" si="96"/>
        <v>0</v>
      </c>
      <c r="BJ83" s="33">
        <f t="shared" si="97"/>
        <v>0</v>
      </c>
      <c r="BK83" s="40">
        <f t="shared" si="98"/>
        <v>0</v>
      </c>
      <c r="BL83" s="33">
        <f t="shared" si="99"/>
        <v>0</v>
      </c>
      <c r="BM83" s="40">
        <f t="shared" si="100"/>
        <v>0</v>
      </c>
      <c r="BN83" s="41">
        <f t="shared" si="101"/>
        <v>0</v>
      </c>
      <c r="BO83" s="40">
        <f t="shared" si="102"/>
        <v>0</v>
      </c>
      <c r="BP83" s="41">
        <f t="shared" si="103"/>
        <v>0</v>
      </c>
      <c r="BQ83" s="53"/>
      <c r="BR83" s="53"/>
      <c r="BS83" t="s">
        <v>371</v>
      </c>
      <c r="BT83">
        <v>275188</v>
      </c>
      <c r="BU83">
        <v>165180</v>
      </c>
      <c r="BV83" s="51">
        <v>33884.67</v>
      </c>
      <c r="BW83" s="32">
        <f t="shared" si="77"/>
        <v>5597069790.5999994</v>
      </c>
      <c r="BX83">
        <v>8262</v>
      </c>
      <c r="BY83" s="37">
        <f t="shared" si="78"/>
        <v>3.0023111472883991E-2</v>
      </c>
      <c r="BZ83">
        <v>1.00041E-2</v>
      </c>
      <c r="CA83" s="3">
        <f t="shared" si="79"/>
        <v>1.00041E-4</v>
      </c>
      <c r="CB83" s="11">
        <f>+'Seat capacity elasticities'!AF113</f>
        <v>7.717819721463294E-2</v>
      </c>
      <c r="CC83" s="11">
        <f>+'Seat capacity elasticities'!AG113</f>
        <v>6.16717854548854E-2</v>
      </c>
      <c r="CD83" s="11">
        <f>+'Seat capacity elasticities'!AH113</f>
        <v>0.21175245445170049</v>
      </c>
      <c r="CE83" s="11">
        <f>+'Seat capacity elasticities'!AI113</f>
        <v>7.3032377512364285E-2</v>
      </c>
      <c r="CF83" s="32">
        <f t="shared" si="104"/>
        <v>4319717.5612299107</v>
      </c>
      <c r="CG83" s="33">
        <f t="shared" si="105"/>
        <v>7.7178197214632939E-4</v>
      </c>
      <c r="CH83" s="40">
        <f t="shared" si="106"/>
        <v>3451812.8730190354</v>
      </c>
      <c r="CI83" s="33">
        <f t="shared" si="107"/>
        <v>6.1671785454885401E-4</v>
      </c>
      <c r="CJ83" s="40">
        <f t="shared" si="108"/>
        <v>17494987.78679949</v>
      </c>
      <c r="CK83" s="41">
        <f t="shared" si="109"/>
        <v>2.1175245445170044E-3</v>
      </c>
      <c r="CL83" s="40">
        <f t="shared" si="110"/>
        <v>6033935.030071537</v>
      </c>
      <c r="CM83" s="41">
        <f t="shared" si="111"/>
        <v>7.3032377512364285E-4</v>
      </c>
      <c r="CO83" s="70">
        <f t="shared" si="112"/>
        <v>0</v>
      </c>
      <c r="CP83" s="70">
        <f t="shared" si="113"/>
        <v>0</v>
      </c>
      <c r="CQ83" s="70">
        <f t="shared" si="114"/>
        <v>0</v>
      </c>
      <c r="CR83" s="70">
        <f t="shared" si="115"/>
        <v>0</v>
      </c>
      <c r="CS83" s="70">
        <f t="shared" si="116"/>
        <v>0</v>
      </c>
      <c r="CT83" s="70">
        <f t="shared" si="117"/>
        <v>0</v>
      </c>
      <c r="CU83" s="69">
        <f t="shared" si="118"/>
        <v>0</v>
      </c>
      <c r="CV83" s="69">
        <f t="shared" si="119"/>
        <v>0</v>
      </c>
      <c r="CW83" s="70">
        <f t="shared" si="120"/>
        <v>0</v>
      </c>
      <c r="CX83" s="69">
        <f t="shared" si="121"/>
        <v>0</v>
      </c>
      <c r="CY83" s="69">
        <f t="shared" si="122"/>
        <v>0</v>
      </c>
      <c r="CZ83" s="70">
        <f t="shared" si="123"/>
        <v>0</v>
      </c>
      <c r="DB83" s="70">
        <f t="shared" si="124"/>
        <v>9.7708808525240265</v>
      </c>
      <c r="DC83" s="70">
        <f t="shared" si="125"/>
        <v>26.151577438127561</v>
      </c>
      <c r="DD83" s="70">
        <f t="shared" si="126"/>
        <v>35.922458290651591</v>
      </c>
      <c r="DE83" s="70">
        <f t="shared" si="127"/>
        <v>18.518521942202128</v>
      </c>
      <c r="DF83" s="70">
        <f t="shared" si="128"/>
        <v>20.897280984495918</v>
      </c>
      <c r="DG83" s="70">
        <f t="shared" si="129"/>
        <v>39.415802926698049</v>
      </c>
      <c r="DH83" s="69">
        <f t="shared" si="130"/>
        <v>39.572365266517657</v>
      </c>
      <c r="DI83" s="69">
        <f t="shared" si="131"/>
        <v>105.91468571739611</v>
      </c>
      <c r="DJ83" s="70">
        <f t="shared" si="132"/>
        <v>145.48705098391378</v>
      </c>
      <c r="DK83" s="69">
        <f t="shared" si="133"/>
        <v>32.371267610017291</v>
      </c>
      <c r="DL83" s="69">
        <f t="shared" si="134"/>
        <v>36.529452900299894</v>
      </c>
      <c r="DM83" s="70">
        <f t="shared" si="135"/>
        <v>68.900720510317186</v>
      </c>
    </row>
    <row r="84" spans="1:117">
      <c r="A84" t="s">
        <v>372</v>
      </c>
      <c r="B84">
        <v>158495</v>
      </c>
      <c r="C84">
        <v>107051</v>
      </c>
      <c r="D84" s="51">
        <v>33180.519999999997</v>
      </c>
      <c r="E84" s="32">
        <f t="shared" si="68"/>
        <v>3552007846.5199995</v>
      </c>
      <c r="F84">
        <v>5260</v>
      </c>
      <c r="G84" s="37">
        <f t="shared" si="69"/>
        <v>3.3187166787595826E-2</v>
      </c>
      <c r="H84">
        <v>0</v>
      </c>
      <c r="I84" s="3">
        <f t="shared" si="70"/>
        <v>0</v>
      </c>
      <c r="J84" s="11">
        <f>+'Seat capacity elasticities'!K114</f>
        <v>0</v>
      </c>
      <c r="K84" s="11">
        <f>+'Seat capacity elasticities'!L114</f>
        <v>0</v>
      </c>
      <c r="L84" s="11">
        <f>+'Seat capacity elasticities'!M114</f>
        <v>0</v>
      </c>
      <c r="M84" s="11">
        <f>+'Seat capacity elasticities'!N114</f>
        <v>0</v>
      </c>
      <c r="N84" s="32">
        <f t="shared" si="80"/>
        <v>0</v>
      </c>
      <c r="O84" s="33">
        <f t="shared" si="81"/>
        <v>0</v>
      </c>
      <c r="P84" s="40">
        <f t="shared" si="82"/>
        <v>0</v>
      </c>
      <c r="Q84" s="33">
        <f t="shared" si="83"/>
        <v>0</v>
      </c>
      <c r="R84" s="40">
        <f t="shared" si="84"/>
        <v>0</v>
      </c>
      <c r="S84" s="41">
        <f t="shared" si="85"/>
        <v>0</v>
      </c>
      <c r="T84" s="40">
        <f t="shared" si="86"/>
        <v>0</v>
      </c>
      <c r="U84" s="41">
        <f t="shared" si="87"/>
        <v>0</v>
      </c>
      <c r="V84" s="53"/>
      <c r="W84" s="53"/>
      <c r="X84" t="s">
        <v>372</v>
      </c>
      <c r="Y84">
        <v>158495</v>
      </c>
      <c r="Z84">
        <v>107051</v>
      </c>
      <c r="AA84" s="51">
        <v>33180.519999999997</v>
      </c>
      <c r="AB84" s="32">
        <f t="shared" si="71"/>
        <v>3552007846.5199995</v>
      </c>
      <c r="AC84">
        <v>5260</v>
      </c>
      <c r="AD84" s="37">
        <f t="shared" si="72"/>
        <v>3.3187166787595826E-2</v>
      </c>
      <c r="AE84">
        <v>4.0664000000000004E-3</v>
      </c>
      <c r="AF84" s="3">
        <f t="shared" si="73"/>
        <v>4.0664000000000002E-5</v>
      </c>
      <c r="AG84" s="11">
        <f>+'Seat capacity elasticities'!R114</f>
        <v>9.1470849829217299E-3</v>
      </c>
      <c r="AH84" s="11">
        <f>+'Seat capacity elasticities'!S114</f>
        <v>1.7336256220918559E-2</v>
      </c>
      <c r="AI84" s="11">
        <f>+'Seat capacity elasticities'!T114</f>
        <v>2.5096695260001859E-2</v>
      </c>
      <c r="AJ84" s="11">
        <f>+'Seat capacity elasticities'!U114</f>
        <v>2.0529777103719345E-2</v>
      </c>
      <c r="AK84" s="32">
        <f t="shared" si="88"/>
        <v>324905.1763212324</v>
      </c>
      <c r="AL84" s="33">
        <f t="shared" si="89"/>
        <v>9.1470849829217296E-5</v>
      </c>
      <c r="AM84" s="40">
        <f t="shared" si="90"/>
        <v>615785.18125983875</v>
      </c>
      <c r="AN84" s="33">
        <f t="shared" si="91"/>
        <v>1.7336256220918558E-4</v>
      </c>
      <c r="AO84" s="40">
        <f t="shared" si="92"/>
        <v>1320086.170676098</v>
      </c>
      <c r="AP84" s="41">
        <f t="shared" si="93"/>
        <v>2.5096695260001865E-4</v>
      </c>
      <c r="AQ84" s="40">
        <f t="shared" si="94"/>
        <v>1079866.2756556377</v>
      </c>
      <c r="AR84" s="41">
        <f t="shared" si="95"/>
        <v>2.0529777103719349E-4</v>
      </c>
      <c r="AV84" t="s">
        <v>372</v>
      </c>
      <c r="AW84">
        <v>158495</v>
      </c>
      <c r="AX84">
        <v>107051</v>
      </c>
      <c r="AY84" s="51">
        <v>33180.519999999997</v>
      </c>
      <c r="AZ84" s="32">
        <f t="shared" si="74"/>
        <v>3552007846.5199995</v>
      </c>
      <c r="BA84">
        <v>5260</v>
      </c>
      <c r="BB84" s="37">
        <f t="shared" si="75"/>
        <v>3.3187166787595826E-2</v>
      </c>
      <c r="BC84">
        <v>0</v>
      </c>
      <c r="BD84" s="3">
        <f t="shared" si="76"/>
        <v>0</v>
      </c>
      <c r="BE84" s="11">
        <f>+'Seat capacity elasticities'!Y114</f>
        <v>0</v>
      </c>
      <c r="BF84" s="11">
        <f>+'Seat capacity elasticities'!Z114</f>
        <v>0</v>
      </c>
      <c r="BG84" s="11">
        <f>+'Seat capacity elasticities'!AA114</f>
        <v>0</v>
      </c>
      <c r="BH84" s="11">
        <f>+'Seat capacity elasticities'!AB114</f>
        <v>0</v>
      </c>
      <c r="BI84" s="32">
        <f t="shared" si="96"/>
        <v>0</v>
      </c>
      <c r="BJ84" s="33">
        <f t="shared" si="97"/>
        <v>0</v>
      </c>
      <c r="BK84" s="40">
        <f t="shared" si="98"/>
        <v>0</v>
      </c>
      <c r="BL84" s="33">
        <f t="shared" si="99"/>
        <v>0</v>
      </c>
      <c r="BM84" s="40">
        <f t="shared" si="100"/>
        <v>0</v>
      </c>
      <c r="BN84" s="41">
        <f t="shared" si="101"/>
        <v>0</v>
      </c>
      <c r="BO84" s="40">
        <f t="shared" si="102"/>
        <v>0</v>
      </c>
      <c r="BP84" s="41">
        <f t="shared" si="103"/>
        <v>0</v>
      </c>
      <c r="BQ84" s="53"/>
      <c r="BR84" s="53"/>
      <c r="BS84" t="s">
        <v>372</v>
      </c>
      <c r="BT84">
        <v>158495</v>
      </c>
      <c r="BU84">
        <v>107051</v>
      </c>
      <c r="BV84" s="51">
        <v>33180.519999999997</v>
      </c>
      <c r="BW84" s="32">
        <f t="shared" si="77"/>
        <v>3552007846.5199995</v>
      </c>
      <c r="BX84">
        <v>5260</v>
      </c>
      <c r="BY84" s="37">
        <f t="shared" si="78"/>
        <v>3.3187166787595826E-2</v>
      </c>
      <c r="BZ84">
        <v>4.0664000000000004E-3</v>
      </c>
      <c r="CA84" s="3">
        <f t="shared" si="79"/>
        <v>4.0664000000000002E-5</v>
      </c>
      <c r="CB84" s="11">
        <f>+'Seat capacity elasticities'!AF114</f>
        <v>5.4467899558015377E-2</v>
      </c>
      <c r="CC84" s="11">
        <f>+'Seat capacity elasticities'!AG114</f>
        <v>4.3524372646051933E-2</v>
      </c>
      <c r="CD84" s="11">
        <f>+'Seat capacity elasticities'!AH114</f>
        <v>0.14944261250574617</v>
      </c>
      <c r="CE84" s="11">
        <f>+'Seat capacity elasticities'!AI114</f>
        <v>5.1542020238745712E-2</v>
      </c>
      <c r="CF84" s="32">
        <f t="shared" si="104"/>
        <v>1934704.0661353383</v>
      </c>
      <c r="CG84" s="33">
        <f t="shared" si="105"/>
        <v>5.4467899558015374E-4</v>
      </c>
      <c r="CH84" s="40">
        <f t="shared" si="106"/>
        <v>1545989.1315363687</v>
      </c>
      <c r="CI84" s="33">
        <f t="shared" si="107"/>
        <v>4.3524372646051927E-4</v>
      </c>
      <c r="CJ84" s="40">
        <f t="shared" si="108"/>
        <v>7860681.4178022482</v>
      </c>
      <c r="CK84" s="41">
        <f t="shared" si="109"/>
        <v>1.4944261250574617E-3</v>
      </c>
      <c r="CL84" s="40">
        <f t="shared" si="110"/>
        <v>2711110.2645580247</v>
      </c>
      <c r="CM84" s="41">
        <f t="shared" si="111"/>
        <v>5.154202023874571E-4</v>
      </c>
      <c r="CO84" s="70">
        <f t="shared" si="112"/>
        <v>0</v>
      </c>
      <c r="CP84" s="70">
        <f t="shared" si="113"/>
        <v>0</v>
      </c>
      <c r="CQ84" s="70">
        <f t="shared" si="114"/>
        <v>0</v>
      </c>
      <c r="CR84" s="70">
        <f t="shared" si="115"/>
        <v>0</v>
      </c>
      <c r="CS84" s="70">
        <f t="shared" si="116"/>
        <v>0</v>
      </c>
      <c r="CT84" s="70">
        <f t="shared" si="117"/>
        <v>0</v>
      </c>
      <c r="CU84" s="69">
        <f t="shared" si="118"/>
        <v>0</v>
      </c>
      <c r="CV84" s="69">
        <f t="shared" si="119"/>
        <v>0</v>
      </c>
      <c r="CW84" s="70">
        <f t="shared" si="120"/>
        <v>0</v>
      </c>
      <c r="CX84" s="69">
        <f t="shared" si="121"/>
        <v>0</v>
      </c>
      <c r="CY84" s="69">
        <f t="shared" si="122"/>
        <v>0</v>
      </c>
      <c r="CZ84" s="70">
        <f t="shared" si="123"/>
        <v>0</v>
      </c>
      <c r="DB84" s="70">
        <f t="shared" si="124"/>
        <v>3.0350503621753409</v>
      </c>
      <c r="DC84" s="70">
        <f t="shared" si="125"/>
        <v>18.072732306427202</v>
      </c>
      <c r="DD84" s="70">
        <f t="shared" si="126"/>
        <v>21.107782668602542</v>
      </c>
      <c r="DE84" s="70">
        <f t="shared" si="127"/>
        <v>5.7522599626331257</v>
      </c>
      <c r="DF84" s="70">
        <f t="shared" si="128"/>
        <v>14.441613170697787</v>
      </c>
      <c r="DG84" s="70">
        <f t="shared" si="129"/>
        <v>20.193873133330911</v>
      </c>
      <c r="DH84" s="69">
        <f t="shared" si="130"/>
        <v>12.331376359642581</v>
      </c>
      <c r="DI84" s="69">
        <f t="shared" si="131"/>
        <v>73.429313297421302</v>
      </c>
      <c r="DJ84" s="70">
        <f t="shared" si="132"/>
        <v>85.760689657063878</v>
      </c>
      <c r="DK84" s="69">
        <f t="shared" si="133"/>
        <v>10.087400170532154</v>
      </c>
      <c r="DL84" s="69">
        <f t="shared" si="134"/>
        <v>25.325408119102342</v>
      </c>
      <c r="DM84" s="70">
        <f t="shared" si="135"/>
        <v>35.412808289634498</v>
      </c>
    </row>
    <row r="85" spans="1:117">
      <c r="A85" t="s">
        <v>373</v>
      </c>
      <c r="B85">
        <v>163093</v>
      </c>
      <c r="C85">
        <v>70817</v>
      </c>
      <c r="D85" s="51">
        <v>26249.599999999999</v>
      </c>
      <c r="E85" s="32">
        <f t="shared" si="68"/>
        <v>1858917923.1999998</v>
      </c>
      <c r="F85">
        <v>2759</v>
      </c>
      <c r="G85" s="37">
        <f t="shared" si="69"/>
        <v>1.6916728492332597E-2</v>
      </c>
      <c r="H85">
        <v>0</v>
      </c>
      <c r="I85" s="3">
        <f t="shared" si="70"/>
        <v>0</v>
      </c>
      <c r="J85" s="11">
        <f>+'Seat capacity elasticities'!K115</f>
        <v>0</v>
      </c>
      <c r="K85" s="11">
        <f>+'Seat capacity elasticities'!L115</f>
        <v>0</v>
      </c>
      <c r="L85" s="11">
        <f>+'Seat capacity elasticities'!M115</f>
        <v>0</v>
      </c>
      <c r="M85" s="11">
        <f>+'Seat capacity elasticities'!N115</f>
        <v>0</v>
      </c>
      <c r="N85" s="32">
        <f t="shared" si="80"/>
        <v>0</v>
      </c>
      <c r="O85" s="33">
        <f t="shared" si="81"/>
        <v>0</v>
      </c>
      <c r="P85" s="40">
        <f t="shared" si="82"/>
        <v>0</v>
      </c>
      <c r="Q85" s="33">
        <f t="shared" si="83"/>
        <v>0</v>
      </c>
      <c r="R85" s="40">
        <f t="shared" si="84"/>
        <v>0</v>
      </c>
      <c r="S85" s="41">
        <f t="shared" si="85"/>
        <v>0</v>
      </c>
      <c r="T85" s="40">
        <f t="shared" si="86"/>
        <v>0</v>
      </c>
      <c r="U85" s="41">
        <f t="shared" si="87"/>
        <v>0</v>
      </c>
      <c r="V85" s="53"/>
      <c r="W85" s="53"/>
      <c r="X85" t="s">
        <v>373</v>
      </c>
      <c r="Y85">
        <v>163093</v>
      </c>
      <c r="Z85">
        <v>70817</v>
      </c>
      <c r="AA85" s="51">
        <v>26249.599999999999</v>
      </c>
      <c r="AB85" s="32">
        <f t="shared" si="71"/>
        <v>1858917923.1999998</v>
      </c>
      <c r="AC85">
        <v>2759</v>
      </c>
      <c r="AD85" s="37">
        <f t="shared" si="72"/>
        <v>1.6916728492332597E-2</v>
      </c>
      <c r="AE85">
        <v>4.4647999999999997E-3</v>
      </c>
      <c r="AF85" s="3">
        <f t="shared" si="73"/>
        <v>4.4647999999999997E-5</v>
      </c>
      <c r="AG85" s="11">
        <f>+'Seat capacity elasticities'!R115</f>
        <v>8.8294730905660781E-3</v>
      </c>
      <c r="AH85" s="11">
        <f>+'Seat capacity elasticities'!S115</f>
        <v>1.6734293830171245E-2</v>
      </c>
      <c r="AI85" s="11">
        <f>+'Seat capacity elasticities'!T115</f>
        <v>2.4225269129350972E-2</v>
      </c>
      <c r="AJ85" s="11">
        <f>+'Seat capacity elasticities'!U115</f>
        <v>1.981692690415016E-2</v>
      </c>
      <c r="AK85" s="32">
        <f t="shared" si="88"/>
        <v>164132.65780465378</v>
      </c>
      <c r="AL85" s="33">
        <f t="shared" si="89"/>
        <v>8.8294730905660775E-5</v>
      </c>
      <c r="AM85" s="40">
        <f t="shared" si="90"/>
        <v>311076.78733000497</v>
      </c>
      <c r="AN85" s="33">
        <f t="shared" si="91"/>
        <v>1.6734293830171244E-4</v>
      </c>
      <c r="AO85" s="40">
        <f t="shared" si="92"/>
        <v>668375.17527879332</v>
      </c>
      <c r="AP85" s="41">
        <f t="shared" si="93"/>
        <v>2.4225269129350972E-4</v>
      </c>
      <c r="AQ85" s="40">
        <f t="shared" si="94"/>
        <v>546749.01328550291</v>
      </c>
      <c r="AR85" s="41">
        <f t="shared" si="95"/>
        <v>1.9816926904150158E-4</v>
      </c>
      <c r="AV85" t="s">
        <v>373</v>
      </c>
      <c r="AW85">
        <v>163093</v>
      </c>
      <c r="AX85">
        <v>70817</v>
      </c>
      <c r="AY85" s="51">
        <v>26249.599999999999</v>
      </c>
      <c r="AZ85" s="32">
        <f t="shared" si="74"/>
        <v>1858917923.1999998</v>
      </c>
      <c r="BA85">
        <v>2759</v>
      </c>
      <c r="BB85" s="37">
        <f t="shared" si="75"/>
        <v>1.6916728492332597E-2</v>
      </c>
      <c r="BC85">
        <v>0</v>
      </c>
      <c r="BD85" s="3">
        <f t="shared" si="76"/>
        <v>0</v>
      </c>
      <c r="BE85" s="11">
        <f>+'Seat capacity elasticities'!Y115</f>
        <v>0</v>
      </c>
      <c r="BF85" s="11">
        <f>+'Seat capacity elasticities'!Z115</f>
        <v>0</v>
      </c>
      <c r="BG85" s="11">
        <f>+'Seat capacity elasticities'!AA115</f>
        <v>0</v>
      </c>
      <c r="BH85" s="11">
        <f>+'Seat capacity elasticities'!AB115</f>
        <v>0</v>
      </c>
      <c r="BI85" s="32">
        <f t="shared" si="96"/>
        <v>0</v>
      </c>
      <c r="BJ85" s="33">
        <f t="shared" si="97"/>
        <v>0</v>
      </c>
      <c r="BK85" s="40">
        <f t="shared" si="98"/>
        <v>0</v>
      </c>
      <c r="BL85" s="33">
        <f t="shared" si="99"/>
        <v>0</v>
      </c>
      <c r="BM85" s="40">
        <f t="shared" si="100"/>
        <v>0</v>
      </c>
      <c r="BN85" s="41">
        <f t="shared" si="101"/>
        <v>0</v>
      </c>
      <c r="BO85" s="40">
        <f t="shared" si="102"/>
        <v>0</v>
      </c>
      <c r="BP85" s="41">
        <f t="shared" si="103"/>
        <v>0</v>
      </c>
      <c r="BQ85" s="53"/>
      <c r="BR85" s="53"/>
      <c r="BS85" t="s">
        <v>373</v>
      </c>
      <c r="BT85">
        <v>163093</v>
      </c>
      <c r="BU85">
        <v>70817</v>
      </c>
      <c r="BV85" s="51">
        <v>26249.599999999999</v>
      </c>
      <c r="BW85" s="32">
        <f t="shared" si="77"/>
        <v>1858917923.1999998</v>
      </c>
      <c r="BX85">
        <v>2759</v>
      </c>
      <c r="BY85" s="37">
        <f t="shared" si="78"/>
        <v>1.6916728492332597E-2</v>
      </c>
      <c r="BZ85">
        <v>4.4647999999999997E-3</v>
      </c>
      <c r="CA85" s="3">
        <f t="shared" si="79"/>
        <v>4.4647999999999997E-5</v>
      </c>
      <c r="CB85" s="11">
        <f>+'Seat capacity elasticities'!AF115</f>
        <v>5.8118284362011455E-2</v>
      </c>
      <c r="CC85" s="11">
        <f>+'Seat capacity elasticities'!AG115</f>
        <v>4.644133309064153E-2</v>
      </c>
      <c r="CD85" s="11">
        <f>+'Seat capacity elasticities'!AH115</f>
        <v>0.1594581087188762</v>
      </c>
      <c r="CE85" s="11">
        <f>+'Seat capacity elasticities'!AI115</f>
        <v>5.4996315502075503E-2</v>
      </c>
      <c r="CF85" s="32">
        <f t="shared" si="104"/>
        <v>1080371.2046617735</v>
      </c>
      <c r="CG85" s="33">
        <f t="shared" si="105"/>
        <v>5.8118284362011449E-4</v>
      </c>
      <c r="CH85" s="40">
        <f t="shared" si="106"/>
        <v>863306.2645949478</v>
      </c>
      <c r="CI85" s="33">
        <f t="shared" si="107"/>
        <v>4.6441333090641528E-4</v>
      </c>
      <c r="CJ85" s="40">
        <f t="shared" si="108"/>
        <v>4399449.2195537947</v>
      </c>
      <c r="CK85" s="41">
        <f t="shared" si="109"/>
        <v>1.5945810871887621E-3</v>
      </c>
      <c r="CL85" s="40">
        <f t="shared" si="110"/>
        <v>1517348.3447022634</v>
      </c>
      <c r="CM85" s="41">
        <f t="shared" si="111"/>
        <v>5.4996315502075512E-4</v>
      </c>
      <c r="CO85" s="70">
        <f t="shared" si="112"/>
        <v>0</v>
      </c>
      <c r="CP85" s="70">
        <f t="shared" si="113"/>
        <v>0</v>
      </c>
      <c r="CQ85" s="70">
        <f t="shared" si="114"/>
        <v>0</v>
      </c>
      <c r="CR85" s="70">
        <f t="shared" si="115"/>
        <v>0</v>
      </c>
      <c r="CS85" s="70">
        <f t="shared" si="116"/>
        <v>0</v>
      </c>
      <c r="CT85" s="70">
        <f t="shared" si="117"/>
        <v>0</v>
      </c>
      <c r="CU85" s="69">
        <f t="shared" si="118"/>
        <v>0</v>
      </c>
      <c r="CV85" s="69">
        <f t="shared" si="119"/>
        <v>0</v>
      </c>
      <c r="CW85" s="70">
        <f t="shared" si="120"/>
        <v>0</v>
      </c>
      <c r="CX85" s="69">
        <f t="shared" si="121"/>
        <v>0</v>
      </c>
      <c r="CY85" s="69">
        <f t="shared" si="122"/>
        <v>0</v>
      </c>
      <c r="CZ85" s="70">
        <f t="shared" si="123"/>
        <v>0</v>
      </c>
      <c r="DB85" s="70">
        <f t="shared" si="124"/>
        <v>2.3177013683812331</v>
      </c>
      <c r="DC85" s="70">
        <f t="shared" si="125"/>
        <v>15.255817171890556</v>
      </c>
      <c r="DD85" s="70">
        <f t="shared" si="126"/>
        <v>17.573518540271788</v>
      </c>
      <c r="DE85" s="70">
        <f t="shared" si="127"/>
        <v>4.3926851932446302</v>
      </c>
      <c r="DF85" s="70">
        <f t="shared" si="128"/>
        <v>12.190664170961037</v>
      </c>
      <c r="DG85" s="70">
        <f t="shared" si="129"/>
        <v>16.583349364205667</v>
      </c>
      <c r="DH85" s="69">
        <f t="shared" si="130"/>
        <v>9.4380611333266486</v>
      </c>
      <c r="DI85" s="69">
        <f t="shared" si="131"/>
        <v>62.124196443704122</v>
      </c>
      <c r="DJ85" s="70">
        <f t="shared" si="132"/>
        <v>71.562257577030778</v>
      </c>
      <c r="DK85" s="69">
        <f t="shared" si="133"/>
        <v>7.7205898765198029</v>
      </c>
      <c r="DL85" s="69">
        <f t="shared" si="134"/>
        <v>21.426329055202331</v>
      </c>
      <c r="DM85" s="70">
        <f t="shared" si="135"/>
        <v>29.146918931722134</v>
      </c>
    </row>
    <row r="86" spans="1:117">
      <c r="A86" t="s">
        <v>374</v>
      </c>
      <c r="B86">
        <v>738416</v>
      </c>
      <c r="C86">
        <v>382591</v>
      </c>
      <c r="D86" s="51">
        <v>27438.880000000001</v>
      </c>
      <c r="E86" s="32">
        <f t="shared" si="68"/>
        <v>10497868538.08</v>
      </c>
      <c r="F86">
        <v>20271</v>
      </c>
      <c r="G86" s="37">
        <f t="shared" si="69"/>
        <v>2.7452005373664708E-2</v>
      </c>
      <c r="H86">
        <v>0</v>
      </c>
      <c r="I86" s="3">
        <f t="shared" si="70"/>
        <v>0</v>
      </c>
      <c r="J86" s="11">
        <f>+'Seat capacity elasticities'!K116</f>
        <v>0</v>
      </c>
      <c r="K86" s="11">
        <f>+'Seat capacity elasticities'!L116</f>
        <v>0</v>
      </c>
      <c r="L86" s="11">
        <f>+'Seat capacity elasticities'!M116</f>
        <v>0</v>
      </c>
      <c r="M86" s="11">
        <f>+'Seat capacity elasticities'!N116</f>
        <v>0</v>
      </c>
      <c r="N86" s="32">
        <f t="shared" si="80"/>
        <v>0</v>
      </c>
      <c r="O86" s="33">
        <f t="shared" si="81"/>
        <v>0</v>
      </c>
      <c r="P86" s="40">
        <f t="shared" si="82"/>
        <v>0</v>
      </c>
      <c r="Q86" s="33">
        <f t="shared" si="83"/>
        <v>0</v>
      </c>
      <c r="R86" s="40">
        <f t="shared" si="84"/>
        <v>0</v>
      </c>
      <c r="S86" s="41">
        <f t="shared" si="85"/>
        <v>0</v>
      </c>
      <c r="T86" s="40">
        <f t="shared" si="86"/>
        <v>0</v>
      </c>
      <c r="U86" s="41">
        <f t="shared" si="87"/>
        <v>0</v>
      </c>
      <c r="V86" s="53"/>
      <c r="W86" s="53"/>
      <c r="X86" t="s">
        <v>374</v>
      </c>
      <c r="Y86">
        <v>738416</v>
      </c>
      <c r="Z86">
        <v>382591</v>
      </c>
      <c r="AA86" s="51">
        <v>27438.880000000001</v>
      </c>
      <c r="AB86" s="32">
        <f t="shared" si="71"/>
        <v>10497868538.08</v>
      </c>
      <c r="AC86">
        <v>20271</v>
      </c>
      <c r="AD86" s="37">
        <f t="shared" si="72"/>
        <v>2.7452005373664708E-2</v>
      </c>
      <c r="AE86">
        <v>8.1227999999999995E-3</v>
      </c>
      <c r="AF86" s="3">
        <f t="shared" si="73"/>
        <v>8.1228000000000002E-5</v>
      </c>
      <c r="AG86" s="11">
        <f>+'Seat capacity elasticities'!R116</f>
        <v>1.6453140239260814E-2</v>
      </c>
      <c r="AH86" s="11">
        <f>+'Seat capacity elasticities'!S116</f>
        <v>3.1183251862105448E-2</v>
      </c>
      <c r="AI86" s="11">
        <f>+'Seat capacity elasticities'!T116</f>
        <v>4.5142189826130753E-2</v>
      </c>
      <c r="AJ86" s="11">
        <f>+'Seat capacity elasticities'!U116</f>
        <v>3.6927535099861721E-2</v>
      </c>
      <c r="AK86" s="32">
        <f t="shared" si="88"/>
        <v>1727229.0327035417</v>
      </c>
      <c r="AL86" s="33">
        <f t="shared" si="89"/>
        <v>1.6453140239260815E-4</v>
      </c>
      <c r="AM86" s="40">
        <f t="shared" si="90"/>
        <v>3273576.7863822137</v>
      </c>
      <c r="AN86" s="33">
        <f t="shared" si="91"/>
        <v>3.1183251862105447E-4</v>
      </c>
      <c r="AO86" s="40">
        <f t="shared" si="92"/>
        <v>9150773.2996549644</v>
      </c>
      <c r="AP86" s="41">
        <f t="shared" si="93"/>
        <v>4.5142189826130749E-4</v>
      </c>
      <c r="AQ86" s="40">
        <f t="shared" si="94"/>
        <v>7485580.6400929699</v>
      </c>
      <c r="AR86" s="41">
        <f t="shared" si="95"/>
        <v>3.6927535099861723E-4</v>
      </c>
      <c r="AV86" t="s">
        <v>374</v>
      </c>
      <c r="AW86">
        <v>738416</v>
      </c>
      <c r="AX86">
        <v>382591</v>
      </c>
      <c r="AY86" s="51">
        <v>27438.880000000001</v>
      </c>
      <c r="AZ86" s="32">
        <f t="shared" si="74"/>
        <v>10497868538.08</v>
      </c>
      <c r="BA86">
        <v>20271</v>
      </c>
      <c r="BB86" s="37">
        <f t="shared" si="75"/>
        <v>2.7452005373664708E-2</v>
      </c>
      <c r="BC86">
        <v>0</v>
      </c>
      <c r="BD86" s="3">
        <f t="shared" si="76"/>
        <v>0</v>
      </c>
      <c r="BE86" s="11">
        <f>+'Seat capacity elasticities'!Y116</f>
        <v>0</v>
      </c>
      <c r="BF86" s="11">
        <f>+'Seat capacity elasticities'!Z116</f>
        <v>0</v>
      </c>
      <c r="BG86" s="11">
        <f>+'Seat capacity elasticities'!AA116</f>
        <v>0</v>
      </c>
      <c r="BH86" s="11">
        <f>+'Seat capacity elasticities'!AB116</f>
        <v>0</v>
      </c>
      <c r="BI86" s="32">
        <f t="shared" si="96"/>
        <v>0</v>
      </c>
      <c r="BJ86" s="33">
        <f t="shared" si="97"/>
        <v>0</v>
      </c>
      <c r="BK86" s="40">
        <f t="shared" si="98"/>
        <v>0</v>
      </c>
      <c r="BL86" s="33">
        <f t="shared" si="99"/>
        <v>0</v>
      </c>
      <c r="BM86" s="40">
        <f t="shared" si="100"/>
        <v>0</v>
      </c>
      <c r="BN86" s="41">
        <f t="shared" si="101"/>
        <v>0</v>
      </c>
      <c r="BO86" s="40">
        <f t="shared" si="102"/>
        <v>0</v>
      </c>
      <c r="BP86" s="41">
        <f t="shared" si="103"/>
        <v>0</v>
      </c>
      <c r="BQ86" s="53"/>
      <c r="BR86" s="53"/>
      <c r="BS86" t="s">
        <v>374</v>
      </c>
      <c r="BT86">
        <v>738416</v>
      </c>
      <c r="BU86">
        <v>382591</v>
      </c>
      <c r="BV86" s="51">
        <v>27438.880000000001</v>
      </c>
      <c r="BW86" s="32">
        <f t="shared" si="77"/>
        <v>10497868538.08</v>
      </c>
      <c r="BX86">
        <v>20271</v>
      </c>
      <c r="BY86" s="37">
        <f t="shared" si="78"/>
        <v>2.7452005373664708E-2</v>
      </c>
      <c r="BZ86">
        <v>8.1227999999999995E-3</v>
      </c>
      <c r="CA86" s="3">
        <f t="shared" si="79"/>
        <v>8.1228000000000002E-5</v>
      </c>
      <c r="CB86" s="11">
        <f>+'Seat capacity elasticities'!AF116</f>
        <v>2.3353434475122548E-2</v>
      </c>
      <c r="CC86" s="11">
        <f>+'Seat capacity elasticities'!AG116</f>
        <v>1.8661332507925073E-2</v>
      </c>
      <c r="CD86" s="11">
        <f>+'Seat capacity elasticities'!AH116</f>
        <v>6.4074405058097972E-2</v>
      </c>
      <c r="CE86" s="11">
        <f>+'Seat capacity elasticities'!AI116</f>
        <v>2.2098946390963901E-2</v>
      </c>
      <c r="CF86" s="32">
        <f t="shared" si="104"/>
        <v>2451612.8503250182</v>
      </c>
      <c r="CG86" s="33">
        <f t="shared" si="105"/>
        <v>2.3353434475122548E-4</v>
      </c>
      <c r="CH86" s="40">
        <f t="shared" si="106"/>
        <v>1959042.1541359618</v>
      </c>
      <c r="CI86" s="33">
        <f t="shared" si="107"/>
        <v>1.8661332507925073E-4</v>
      </c>
      <c r="CJ86" s="40">
        <f t="shared" si="108"/>
        <v>12988522.64932704</v>
      </c>
      <c r="CK86" s="41">
        <f t="shared" si="109"/>
        <v>6.4074405058097967E-4</v>
      </c>
      <c r="CL86" s="40">
        <f t="shared" si="110"/>
        <v>4479677.4229122922</v>
      </c>
      <c r="CM86" s="41">
        <f t="shared" si="111"/>
        <v>2.20989463909639E-4</v>
      </c>
      <c r="CO86" s="70">
        <f t="shared" si="112"/>
        <v>0</v>
      </c>
      <c r="CP86" s="70">
        <f t="shared" si="113"/>
        <v>0</v>
      </c>
      <c r="CQ86" s="70">
        <f t="shared" si="114"/>
        <v>0</v>
      </c>
      <c r="CR86" s="70">
        <f t="shared" si="115"/>
        <v>0</v>
      </c>
      <c r="CS86" s="70">
        <f t="shared" si="116"/>
        <v>0</v>
      </c>
      <c r="CT86" s="70">
        <f t="shared" si="117"/>
        <v>0</v>
      </c>
      <c r="CU86" s="69">
        <f t="shared" si="118"/>
        <v>0</v>
      </c>
      <c r="CV86" s="69">
        <f t="shared" si="119"/>
        <v>0</v>
      </c>
      <c r="CW86" s="70">
        <f t="shared" si="120"/>
        <v>0</v>
      </c>
      <c r="CX86" s="69">
        <f t="shared" si="121"/>
        <v>0</v>
      </c>
      <c r="CY86" s="69">
        <f t="shared" si="122"/>
        <v>0</v>
      </c>
      <c r="CZ86" s="70">
        <f t="shared" si="123"/>
        <v>0</v>
      </c>
      <c r="DB86" s="70">
        <f t="shared" si="124"/>
        <v>4.5145574064824885</v>
      </c>
      <c r="DC86" s="70">
        <f t="shared" si="125"/>
        <v>6.4079208615075061</v>
      </c>
      <c r="DD86" s="70">
        <f t="shared" si="126"/>
        <v>10.922478267989995</v>
      </c>
      <c r="DE86" s="70">
        <f t="shared" si="127"/>
        <v>8.5563350585408795</v>
      </c>
      <c r="DF86" s="70">
        <f t="shared" si="128"/>
        <v>5.120460633250552</v>
      </c>
      <c r="DG86" s="70">
        <f t="shared" si="129"/>
        <v>13.676795691791432</v>
      </c>
      <c r="DH86" s="69">
        <f t="shared" si="130"/>
        <v>23.917900054248438</v>
      </c>
      <c r="DI86" s="69">
        <f t="shared" si="131"/>
        <v>33.948845240288037</v>
      </c>
      <c r="DJ86" s="70">
        <f t="shared" si="132"/>
        <v>57.866745294536472</v>
      </c>
      <c r="DK86" s="69">
        <f t="shared" si="133"/>
        <v>19.56549066782274</v>
      </c>
      <c r="DL86" s="69">
        <f t="shared" si="134"/>
        <v>11.708789341391439</v>
      </c>
      <c r="DM86" s="70">
        <f t="shared" si="135"/>
        <v>31.274280009214181</v>
      </c>
    </row>
    <row r="87" spans="1:117">
      <c r="A87" t="s">
        <v>375</v>
      </c>
      <c r="B87">
        <v>200125</v>
      </c>
      <c r="C87">
        <v>145709</v>
      </c>
      <c r="D87" s="51">
        <v>32346.81</v>
      </c>
      <c r="E87" s="32">
        <f t="shared" si="68"/>
        <v>4713221338.29</v>
      </c>
      <c r="F87">
        <v>8631</v>
      </c>
      <c r="G87" s="37">
        <f t="shared" si="69"/>
        <v>4.3128044971892564E-2</v>
      </c>
      <c r="H87">
        <v>0</v>
      </c>
      <c r="I87" s="3">
        <f t="shared" si="70"/>
        <v>0</v>
      </c>
      <c r="J87" s="11">
        <f>+'Seat capacity elasticities'!K117</f>
        <v>0</v>
      </c>
      <c r="K87" s="11">
        <f>+'Seat capacity elasticities'!L117</f>
        <v>0</v>
      </c>
      <c r="L87" s="11">
        <f>+'Seat capacity elasticities'!M117</f>
        <v>0</v>
      </c>
      <c r="M87" s="11">
        <f>+'Seat capacity elasticities'!N117</f>
        <v>0</v>
      </c>
      <c r="N87" s="32">
        <f t="shared" si="80"/>
        <v>0</v>
      </c>
      <c r="O87" s="33">
        <f t="shared" si="81"/>
        <v>0</v>
      </c>
      <c r="P87" s="40">
        <f t="shared" si="82"/>
        <v>0</v>
      </c>
      <c r="Q87" s="33">
        <f t="shared" si="83"/>
        <v>0</v>
      </c>
      <c r="R87" s="40">
        <f t="shared" si="84"/>
        <v>0</v>
      </c>
      <c r="S87" s="41">
        <f t="shared" si="85"/>
        <v>0</v>
      </c>
      <c r="T87" s="40">
        <f t="shared" si="86"/>
        <v>0</v>
      </c>
      <c r="U87" s="41">
        <f t="shared" si="87"/>
        <v>0</v>
      </c>
      <c r="V87" s="53"/>
      <c r="W87" s="53"/>
      <c r="X87" t="s">
        <v>375</v>
      </c>
      <c r="Y87">
        <v>200125</v>
      </c>
      <c r="Z87">
        <v>145709</v>
      </c>
      <c r="AA87" s="51">
        <v>32346.81</v>
      </c>
      <c r="AB87" s="32">
        <f t="shared" si="71"/>
        <v>4713221338.29</v>
      </c>
      <c r="AC87">
        <v>8631</v>
      </c>
      <c r="AD87" s="37">
        <f t="shared" si="72"/>
        <v>4.3128044971892564E-2</v>
      </c>
      <c r="AE87">
        <v>1.25E-3</v>
      </c>
      <c r="AF87" s="3">
        <f t="shared" si="73"/>
        <v>1.2500000000000001E-5</v>
      </c>
      <c r="AG87" s="11">
        <f>+'Seat capacity elasticities'!R117</f>
        <v>2.8894621754737455E-3</v>
      </c>
      <c r="AH87" s="11">
        <f>+'Seat capacity elasticities'!S117</f>
        <v>5.4763300776358636E-3</v>
      </c>
      <c r="AI87" s="11">
        <f>+'Seat capacity elasticities'!T117</f>
        <v>7.9277662576174961E-3</v>
      </c>
      <c r="AJ87" s="11">
        <f>+'Seat capacity elasticities'!U117</f>
        <v>6.4851277235161544E-3</v>
      </c>
      <c r="AK87" s="32">
        <f t="shared" si="88"/>
        <v>136186.74781624702</v>
      </c>
      <c r="AL87" s="33">
        <f t="shared" si="89"/>
        <v>2.8894621754737456E-5</v>
      </c>
      <c r="AM87" s="40">
        <f t="shared" si="90"/>
        <v>258111.55777432685</v>
      </c>
      <c r="AN87" s="33">
        <f t="shared" si="91"/>
        <v>5.4763300776358637E-5</v>
      </c>
      <c r="AO87" s="40">
        <f t="shared" si="92"/>
        <v>684245.50569496595</v>
      </c>
      <c r="AP87" s="41">
        <f t="shared" si="93"/>
        <v>7.9277662576174949E-5</v>
      </c>
      <c r="AQ87" s="40">
        <f t="shared" si="94"/>
        <v>559731.37381667912</v>
      </c>
      <c r="AR87" s="41">
        <f t="shared" si="95"/>
        <v>6.4851277235161524E-5</v>
      </c>
      <c r="AV87" t="s">
        <v>375</v>
      </c>
      <c r="AW87">
        <v>200125</v>
      </c>
      <c r="AX87">
        <v>145709</v>
      </c>
      <c r="AY87" s="51">
        <v>32346.81</v>
      </c>
      <c r="AZ87" s="32">
        <f t="shared" si="74"/>
        <v>4713221338.29</v>
      </c>
      <c r="BA87">
        <v>8631</v>
      </c>
      <c r="BB87" s="37">
        <f t="shared" si="75"/>
        <v>4.3128044971892564E-2</v>
      </c>
      <c r="BC87">
        <v>0</v>
      </c>
      <c r="BD87" s="3">
        <f t="shared" si="76"/>
        <v>0</v>
      </c>
      <c r="BE87" s="11">
        <f>+'Seat capacity elasticities'!Y117</f>
        <v>0</v>
      </c>
      <c r="BF87" s="11">
        <f>+'Seat capacity elasticities'!Z117</f>
        <v>0</v>
      </c>
      <c r="BG87" s="11">
        <f>+'Seat capacity elasticities'!AA117</f>
        <v>0</v>
      </c>
      <c r="BH87" s="11">
        <f>+'Seat capacity elasticities'!AB117</f>
        <v>0</v>
      </c>
      <c r="BI87" s="32">
        <f t="shared" si="96"/>
        <v>0</v>
      </c>
      <c r="BJ87" s="33">
        <f t="shared" si="97"/>
        <v>0</v>
      </c>
      <c r="BK87" s="40">
        <f t="shared" si="98"/>
        <v>0</v>
      </c>
      <c r="BL87" s="33">
        <f t="shared" si="99"/>
        <v>0</v>
      </c>
      <c r="BM87" s="40">
        <f t="shared" si="100"/>
        <v>0</v>
      </c>
      <c r="BN87" s="41">
        <f t="shared" si="101"/>
        <v>0</v>
      </c>
      <c r="BO87" s="40">
        <f t="shared" si="102"/>
        <v>0</v>
      </c>
      <c r="BP87" s="41">
        <f t="shared" si="103"/>
        <v>0</v>
      </c>
      <c r="BQ87" s="53"/>
      <c r="BR87" s="53"/>
      <c r="BS87" t="s">
        <v>375</v>
      </c>
      <c r="BT87">
        <v>200125</v>
      </c>
      <c r="BU87">
        <v>145709</v>
      </c>
      <c r="BV87" s="51">
        <v>32346.81</v>
      </c>
      <c r="BW87" s="32">
        <f t="shared" si="77"/>
        <v>4713221338.29</v>
      </c>
      <c r="BX87">
        <v>8631</v>
      </c>
      <c r="BY87" s="37">
        <f t="shared" si="78"/>
        <v>4.3128044971892564E-2</v>
      </c>
      <c r="BZ87">
        <v>1.25E-3</v>
      </c>
      <c r="CA87" s="3">
        <f t="shared" si="79"/>
        <v>1.2500000000000001E-5</v>
      </c>
      <c r="CB87" s="11">
        <f>+'Seat capacity elasticities'!AF117</f>
        <v>1.3260343231230478E-2</v>
      </c>
      <c r="CC87" s="11">
        <f>+'Seat capacity elasticities'!AG117</f>
        <v>1.0596114865708932E-2</v>
      </c>
      <c r="CD87" s="11">
        <f>+'Seat capacity elasticities'!AH117</f>
        <v>3.6382169154278568E-2</v>
      </c>
      <c r="CE87" s="11">
        <f>+'Seat capacity elasticities'!AI117</f>
        <v>1.2548030762023736E-2</v>
      </c>
      <c r="CF87" s="32">
        <f t="shared" si="104"/>
        <v>624989.32670484856</v>
      </c>
      <c r="CG87" s="33">
        <f t="shared" si="105"/>
        <v>1.3260343231230479E-4</v>
      </c>
      <c r="CH87" s="40">
        <f t="shared" si="106"/>
        <v>499418.34688031214</v>
      </c>
      <c r="CI87" s="33">
        <f t="shared" si="107"/>
        <v>1.0596114865708932E-4</v>
      </c>
      <c r="CJ87" s="40">
        <f t="shared" si="108"/>
        <v>3140145.0197057826</v>
      </c>
      <c r="CK87" s="41">
        <f t="shared" si="109"/>
        <v>3.6382169154278561E-4</v>
      </c>
      <c r="CL87" s="40">
        <f t="shared" si="110"/>
        <v>1083020.5350702687</v>
      </c>
      <c r="CM87" s="41">
        <f t="shared" si="111"/>
        <v>1.2548030762023736E-4</v>
      </c>
      <c r="CO87" s="70">
        <f t="shared" si="112"/>
        <v>0</v>
      </c>
      <c r="CP87" s="70">
        <f t="shared" si="113"/>
        <v>0</v>
      </c>
      <c r="CQ87" s="70">
        <f t="shared" si="114"/>
        <v>0</v>
      </c>
      <c r="CR87" s="70">
        <f t="shared" si="115"/>
        <v>0</v>
      </c>
      <c r="CS87" s="70">
        <f t="shared" si="116"/>
        <v>0</v>
      </c>
      <c r="CT87" s="70">
        <f t="shared" si="117"/>
        <v>0</v>
      </c>
      <c r="CU87" s="69">
        <f t="shared" si="118"/>
        <v>0</v>
      </c>
      <c r="CV87" s="69">
        <f t="shared" si="119"/>
        <v>0</v>
      </c>
      <c r="CW87" s="70">
        <f t="shared" si="120"/>
        <v>0</v>
      </c>
      <c r="CX87" s="69">
        <f t="shared" si="121"/>
        <v>0</v>
      </c>
      <c r="CY87" s="69">
        <f t="shared" si="122"/>
        <v>0</v>
      </c>
      <c r="CZ87" s="70">
        <f t="shared" si="123"/>
        <v>0</v>
      </c>
      <c r="DB87" s="70">
        <f t="shared" si="124"/>
        <v>0.93464883992235914</v>
      </c>
      <c r="DC87" s="70">
        <f t="shared" si="125"/>
        <v>4.2892980303539829</v>
      </c>
      <c r="DD87" s="70">
        <f t="shared" si="126"/>
        <v>5.2239468702763423</v>
      </c>
      <c r="DE87" s="70">
        <f t="shared" si="127"/>
        <v>1.7714180851857253</v>
      </c>
      <c r="DF87" s="70">
        <f t="shared" si="128"/>
        <v>3.4275051429926231</v>
      </c>
      <c r="DG87" s="70">
        <f t="shared" si="129"/>
        <v>5.198923228178348</v>
      </c>
      <c r="DH87" s="69">
        <f t="shared" si="130"/>
        <v>4.6959728341761044</v>
      </c>
      <c r="DI87" s="69">
        <f t="shared" si="131"/>
        <v>21.550796585700148</v>
      </c>
      <c r="DJ87" s="70">
        <f t="shared" si="132"/>
        <v>26.246769419876252</v>
      </c>
      <c r="DK87" s="69">
        <f t="shared" si="133"/>
        <v>3.8414330879813816</v>
      </c>
      <c r="DL87" s="69">
        <f t="shared" si="134"/>
        <v>7.43276348798131</v>
      </c>
      <c r="DM87" s="70">
        <f t="shared" si="135"/>
        <v>11.274196575962691</v>
      </c>
    </row>
    <row r="88" spans="1:117">
      <c r="A88" t="s">
        <v>376</v>
      </c>
      <c r="B88">
        <v>87902</v>
      </c>
      <c r="C88">
        <v>49747</v>
      </c>
      <c r="D88" s="51">
        <v>33016.28</v>
      </c>
      <c r="E88" s="32">
        <f t="shared" si="68"/>
        <v>1642460881.1599998</v>
      </c>
      <c r="F88">
        <v>2303</v>
      </c>
      <c r="G88" s="37">
        <f t="shared" si="69"/>
        <v>2.6199631407704035E-2</v>
      </c>
      <c r="H88">
        <v>0</v>
      </c>
      <c r="I88" s="3">
        <f t="shared" si="70"/>
        <v>0</v>
      </c>
      <c r="J88" s="11">
        <f>+'Seat capacity elasticities'!K118</f>
        <v>0</v>
      </c>
      <c r="K88" s="11">
        <f>+'Seat capacity elasticities'!L118</f>
        <v>0</v>
      </c>
      <c r="L88" s="11">
        <f>+'Seat capacity elasticities'!M118</f>
        <v>0</v>
      </c>
      <c r="M88" s="11">
        <f>+'Seat capacity elasticities'!N118</f>
        <v>0</v>
      </c>
      <c r="N88" s="32">
        <f t="shared" si="80"/>
        <v>0</v>
      </c>
      <c r="O88" s="33">
        <f t="shared" si="81"/>
        <v>0</v>
      </c>
      <c r="P88" s="40">
        <f t="shared" si="82"/>
        <v>0</v>
      </c>
      <c r="Q88" s="33">
        <f t="shared" si="83"/>
        <v>0</v>
      </c>
      <c r="R88" s="40">
        <f t="shared" si="84"/>
        <v>0</v>
      </c>
      <c r="S88" s="41">
        <f t="shared" si="85"/>
        <v>0</v>
      </c>
      <c r="T88" s="40">
        <f t="shared" si="86"/>
        <v>0</v>
      </c>
      <c r="U88" s="41">
        <f t="shared" si="87"/>
        <v>0</v>
      </c>
      <c r="V88" s="53"/>
      <c r="W88" s="53"/>
      <c r="X88" t="s">
        <v>376</v>
      </c>
      <c r="Y88">
        <v>87902</v>
      </c>
      <c r="Z88">
        <v>49747</v>
      </c>
      <c r="AA88" s="51">
        <v>33016.28</v>
      </c>
      <c r="AB88" s="32">
        <f t="shared" si="71"/>
        <v>1642460881.1599998</v>
      </c>
      <c r="AC88">
        <v>2303</v>
      </c>
      <c r="AD88" s="37">
        <f t="shared" si="72"/>
        <v>2.6199631407704035E-2</v>
      </c>
      <c r="AE88">
        <v>6.9159E-3</v>
      </c>
      <c r="AF88" s="3">
        <f t="shared" si="73"/>
        <v>6.9159000000000006E-5</v>
      </c>
      <c r="AG88" s="11">
        <f>+'Seat capacity elasticities'!R118</f>
        <v>1.0000247715770186E-2</v>
      </c>
      <c r="AH88" s="11">
        <f>+'Seat capacity elasticities'!S118</f>
        <v>1.8953235593299502E-2</v>
      </c>
      <c r="AI88" s="11">
        <f>+'Seat capacity elasticities'!T118</f>
        <v>2.7437502758069825E-2</v>
      </c>
      <c r="AJ88" s="11">
        <f>+'Seat capacity elasticities'!U118</f>
        <v>2.2444621097328359E-2</v>
      </c>
      <c r="AK88" s="32">
        <f t="shared" si="88"/>
        <v>164250.15675062177</v>
      </c>
      <c r="AL88" s="33">
        <f t="shared" si="89"/>
        <v>1.0000247715770187E-4</v>
      </c>
      <c r="AM88" s="40">
        <f t="shared" si="90"/>
        <v>311299.48033403774</v>
      </c>
      <c r="AN88" s="33">
        <f t="shared" si="91"/>
        <v>1.8953235593299503E-4</v>
      </c>
      <c r="AO88" s="40">
        <f t="shared" si="92"/>
        <v>631885.68851834803</v>
      </c>
      <c r="AP88" s="41">
        <f t="shared" si="93"/>
        <v>2.7437502758069824E-4</v>
      </c>
      <c r="AQ88" s="40">
        <f t="shared" si="94"/>
        <v>516899.62387147214</v>
      </c>
      <c r="AR88" s="41">
        <f t="shared" si="95"/>
        <v>2.244462109732836E-4</v>
      </c>
      <c r="AV88" t="s">
        <v>376</v>
      </c>
      <c r="AW88">
        <v>87902</v>
      </c>
      <c r="AX88">
        <v>49747</v>
      </c>
      <c r="AY88" s="51">
        <v>33016.28</v>
      </c>
      <c r="AZ88" s="32">
        <f t="shared" si="74"/>
        <v>1642460881.1599998</v>
      </c>
      <c r="BA88">
        <v>2303</v>
      </c>
      <c r="BB88" s="37">
        <f t="shared" si="75"/>
        <v>2.6199631407704035E-2</v>
      </c>
      <c r="BC88">
        <v>0</v>
      </c>
      <c r="BD88" s="3">
        <f t="shared" si="76"/>
        <v>0</v>
      </c>
      <c r="BE88" s="11">
        <f>+'Seat capacity elasticities'!Y118</f>
        <v>0</v>
      </c>
      <c r="BF88" s="11">
        <f>+'Seat capacity elasticities'!Z118</f>
        <v>0</v>
      </c>
      <c r="BG88" s="11">
        <f>+'Seat capacity elasticities'!AA118</f>
        <v>0</v>
      </c>
      <c r="BH88" s="11">
        <f>+'Seat capacity elasticities'!AB118</f>
        <v>0</v>
      </c>
      <c r="BI88" s="32">
        <f t="shared" si="96"/>
        <v>0</v>
      </c>
      <c r="BJ88" s="33">
        <f t="shared" si="97"/>
        <v>0</v>
      </c>
      <c r="BK88" s="40">
        <f t="shared" si="98"/>
        <v>0</v>
      </c>
      <c r="BL88" s="33">
        <f t="shared" si="99"/>
        <v>0</v>
      </c>
      <c r="BM88" s="40">
        <f t="shared" si="100"/>
        <v>0</v>
      </c>
      <c r="BN88" s="41">
        <f t="shared" si="101"/>
        <v>0</v>
      </c>
      <c r="BO88" s="40">
        <f t="shared" si="102"/>
        <v>0</v>
      </c>
      <c r="BP88" s="41">
        <f t="shared" si="103"/>
        <v>0</v>
      </c>
      <c r="BQ88" s="53"/>
      <c r="BR88" s="53"/>
      <c r="BS88" t="s">
        <v>376</v>
      </c>
      <c r="BT88">
        <v>87902</v>
      </c>
      <c r="BU88">
        <v>49747</v>
      </c>
      <c r="BV88" s="51">
        <v>33016.28</v>
      </c>
      <c r="BW88" s="32">
        <f t="shared" si="77"/>
        <v>1642460881.1599998</v>
      </c>
      <c r="BX88">
        <v>2303</v>
      </c>
      <c r="BY88" s="37">
        <f t="shared" si="78"/>
        <v>2.6199631407704035E-2</v>
      </c>
      <c r="BZ88">
        <v>6.9159E-3</v>
      </c>
      <c r="CA88" s="3">
        <f t="shared" si="79"/>
        <v>6.9159000000000006E-5</v>
      </c>
      <c r="CB88" s="11">
        <f>+'Seat capacity elasticities'!AF118</f>
        <v>0.16703060182059551</v>
      </c>
      <c r="CC88" s="11">
        <f>+'Seat capacity elasticities'!AG118</f>
        <v>0.13347131458944053</v>
      </c>
      <c r="CD88" s="11">
        <f>+'Seat capacity elasticities'!AH118</f>
        <v>0.45827890752221151</v>
      </c>
      <c r="CE88" s="11">
        <f>+'Seat capacity elasticities'!AI118</f>
        <v>0.15805813569802168</v>
      </c>
      <c r="CF88" s="32">
        <f t="shared" si="104"/>
        <v>2743412.294469404</v>
      </c>
      <c r="CG88" s="33">
        <f t="shared" si="105"/>
        <v>1.6703060182059553E-3</v>
      </c>
      <c r="CH88" s="40">
        <f t="shared" si="106"/>
        <v>2192214.1297015604</v>
      </c>
      <c r="CI88" s="33">
        <f t="shared" si="107"/>
        <v>1.3347131458944052E-3</v>
      </c>
      <c r="CJ88" s="40">
        <f t="shared" si="108"/>
        <v>10554163.240236532</v>
      </c>
      <c r="CK88" s="41">
        <f t="shared" si="109"/>
        <v>4.5827890752221153E-3</v>
      </c>
      <c r="CL88" s="40">
        <f t="shared" si="110"/>
        <v>3640078.8651254396</v>
      </c>
      <c r="CM88" s="41">
        <f t="shared" si="111"/>
        <v>1.5805813569802168E-3</v>
      </c>
      <c r="CO88" s="70">
        <f t="shared" si="112"/>
        <v>0</v>
      </c>
      <c r="CP88" s="70">
        <f t="shared" si="113"/>
        <v>0</v>
      </c>
      <c r="CQ88" s="70">
        <f t="shared" si="114"/>
        <v>0</v>
      </c>
      <c r="CR88" s="70">
        <f t="shared" si="115"/>
        <v>0</v>
      </c>
      <c r="CS88" s="70">
        <f t="shared" si="116"/>
        <v>0</v>
      </c>
      <c r="CT88" s="70">
        <f t="shared" si="117"/>
        <v>0</v>
      </c>
      <c r="CU88" s="69">
        <f t="shared" si="118"/>
        <v>0</v>
      </c>
      <c r="CV88" s="69">
        <f t="shared" si="119"/>
        <v>0</v>
      </c>
      <c r="CW88" s="70">
        <f t="shared" si="120"/>
        <v>0</v>
      </c>
      <c r="CX88" s="69">
        <f t="shared" si="121"/>
        <v>0</v>
      </c>
      <c r="CY88" s="69">
        <f t="shared" si="122"/>
        <v>0</v>
      </c>
      <c r="CZ88" s="70">
        <f t="shared" si="123"/>
        <v>0</v>
      </c>
      <c r="DB88" s="70">
        <f t="shared" si="124"/>
        <v>3.3017097865322889</v>
      </c>
      <c r="DC88" s="70">
        <f t="shared" si="125"/>
        <v>55.147291182772911</v>
      </c>
      <c r="DD88" s="70">
        <f t="shared" si="126"/>
        <v>58.449000969305203</v>
      </c>
      <c r="DE88" s="70">
        <f t="shared" si="127"/>
        <v>6.2576533325434243</v>
      </c>
      <c r="DF88" s="70">
        <f t="shared" si="128"/>
        <v>44.067262944530533</v>
      </c>
      <c r="DG88" s="70">
        <f t="shared" si="129"/>
        <v>50.32491627707396</v>
      </c>
      <c r="DH88" s="69">
        <f t="shared" si="130"/>
        <v>12.701985818609122</v>
      </c>
      <c r="DI88" s="69">
        <f t="shared" si="131"/>
        <v>212.15677810192639</v>
      </c>
      <c r="DJ88" s="70">
        <f t="shared" si="132"/>
        <v>224.85876392053552</v>
      </c>
      <c r="DK88" s="69">
        <f t="shared" si="133"/>
        <v>10.390568755331421</v>
      </c>
      <c r="DL88" s="69">
        <f t="shared" si="134"/>
        <v>73.17182674584275</v>
      </c>
      <c r="DM88" s="70">
        <f t="shared" si="135"/>
        <v>83.562395501174166</v>
      </c>
    </row>
    <row r="89" spans="1:117">
      <c r="A89" t="s">
        <v>377</v>
      </c>
      <c r="B89">
        <v>279647</v>
      </c>
      <c r="C89">
        <v>164959</v>
      </c>
      <c r="D89" s="51">
        <v>32780.050000000003</v>
      </c>
      <c r="E89" s="32">
        <f t="shared" si="68"/>
        <v>5407364267.9500008</v>
      </c>
      <c r="F89">
        <v>8443</v>
      </c>
      <c r="G89" s="37">
        <f t="shared" si="69"/>
        <v>3.019163445343594E-2</v>
      </c>
      <c r="H89">
        <v>0</v>
      </c>
      <c r="I89" s="3">
        <f t="shared" si="70"/>
        <v>0</v>
      </c>
      <c r="J89" s="11">
        <f>+'Seat capacity elasticities'!K119</f>
        <v>0</v>
      </c>
      <c r="K89" s="11">
        <f>+'Seat capacity elasticities'!L119</f>
        <v>0</v>
      </c>
      <c r="L89" s="11">
        <f>+'Seat capacity elasticities'!M119</f>
        <v>0</v>
      </c>
      <c r="M89" s="11">
        <f>+'Seat capacity elasticities'!N119</f>
        <v>0</v>
      </c>
      <c r="N89" s="32">
        <f t="shared" si="80"/>
        <v>0</v>
      </c>
      <c r="O89" s="33">
        <f t="shared" si="81"/>
        <v>0</v>
      </c>
      <c r="P89" s="40">
        <f t="shared" si="82"/>
        <v>0</v>
      </c>
      <c r="Q89" s="33">
        <f t="shared" si="83"/>
        <v>0</v>
      </c>
      <c r="R89" s="40">
        <f t="shared" si="84"/>
        <v>0</v>
      </c>
      <c r="S89" s="41">
        <f t="shared" si="85"/>
        <v>0</v>
      </c>
      <c r="T89" s="40">
        <f t="shared" si="86"/>
        <v>0</v>
      </c>
      <c r="U89" s="41">
        <f t="shared" si="87"/>
        <v>0</v>
      </c>
      <c r="V89" s="53"/>
      <c r="W89" s="53"/>
      <c r="X89" t="s">
        <v>377</v>
      </c>
      <c r="Y89">
        <v>279647</v>
      </c>
      <c r="Z89">
        <v>164959</v>
      </c>
      <c r="AA89" s="51">
        <v>32780.050000000003</v>
      </c>
      <c r="AB89" s="32">
        <f t="shared" si="71"/>
        <v>5407364267.9500008</v>
      </c>
      <c r="AC89">
        <v>8443</v>
      </c>
      <c r="AD89" s="37">
        <f t="shared" si="72"/>
        <v>3.019163445343594E-2</v>
      </c>
      <c r="AE89">
        <v>7.7946999999999999E-3</v>
      </c>
      <c r="AF89" s="3">
        <f t="shared" si="73"/>
        <v>7.7947000000000004E-5</v>
      </c>
      <c r="AG89" s="11">
        <f>+'Seat capacity elasticities'!R119</f>
        <v>1.0779316641160918E-2</v>
      </c>
      <c r="AH89" s="11">
        <f>+'Seat capacity elasticities'!S119</f>
        <v>2.042978670543483E-2</v>
      </c>
      <c r="AI89" s="11">
        <f>+'Seat capacity elasticities'!T119</f>
        <v>2.9575020387300713E-2</v>
      </c>
      <c r="AJ89" s="11">
        <f>+'Seat capacity elasticities'!U119</f>
        <v>2.41931684669623E-2</v>
      </c>
      <c r="AK89" s="32">
        <f t="shared" si="88"/>
        <v>582876.91638332373</v>
      </c>
      <c r="AL89" s="33">
        <f t="shared" si="89"/>
        <v>1.0779316641160919E-4</v>
      </c>
      <c r="AM89" s="40">
        <f t="shared" si="90"/>
        <v>1104712.9863280826</v>
      </c>
      <c r="AN89" s="33">
        <f t="shared" si="91"/>
        <v>2.0429786705434828E-4</v>
      </c>
      <c r="AO89" s="40">
        <f t="shared" si="92"/>
        <v>2497018.9712997992</v>
      </c>
      <c r="AP89" s="41">
        <f t="shared" si="93"/>
        <v>2.9575020387300713E-4</v>
      </c>
      <c r="AQ89" s="40">
        <f t="shared" si="94"/>
        <v>2042629.2136656272</v>
      </c>
      <c r="AR89" s="41">
        <f t="shared" si="95"/>
        <v>2.4193168466962302E-4</v>
      </c>
      <c r="AV89" t="s">
        <v>377</v>
      </c>
      <c r="AW89">
        <v>279647</v>
      </c>
      <c r="AX89">
        <v>164959</v>
      </c>
      <c r="AY89" s="51">
        <v>32780.050000000003</v>
      </c>
      <c r="AZ89" s="32">
        <f t="shared" si="74"/>
        <v>5407364267.9500008</v>
      </c>
      <c r="BA89">
        <v>8443</v>
      </c>
      <c r="BB89" s="37">
        <f t="shared" si="75"/>
        <v>3.019163445343594E-2</v>
      </c>
      <c r="BC89">
        <v>0</v>
      </c>
      <c r="BD89" s="3">
        <f t="shared" si="76"/>
        <v>0</v>
      </c>
      <c r="BE89" s="11">
        <f>+'Seat capacity elasticities'!Y119</f>
        <v>0</v>
      </c>
      <c r="BF89" s="11">
        <f>+'Seat capacity elasticities'!Z119</f>
        <v>0</v>
      </c>
      <c r="BG89" s="11">
        <f>+'Seat capacity elasticities'!AA119</f>
        <v>0</v>
      </c>
      <c r="BH89" s="11">
        <f>+'Seat capacity elasticities'!AB119</f>
        <v>0</v>
      </c>
      <c r="BI89" s="32">
        <f t="shared" si="96"/>
        <v>0</v>
      </c>
      <c r="BJ89" s="33">
        <f t="shared" si="97"/>
        <v>0</v>
      </c>
      <c r="BK89" s="40">
        <f t="shared" si="98"/>
        <v>0</v>
      </c>
      <c r="BL89" s="33">
        <f t="shared" si="99"/>
        <v>0</v>
      </c>
      <c r="BM89" s="40">
        <f t="shared" si="100"/>
        <v>0</v>
      </c>
      <c r="BN89" s="41">
        <f t="shared" si="101"/>
        <v>0</v>
      </c>
      <c r="BO89" s="40">
        <f t="shared" si="102"/>
        <v>0</v>
      </c>
      <c r="BP89" s="41">
        <f t="shared" si="103"/>
        <v>0</v>
      </c>
      <c r="BQ89" s="53"/>
      <c r="BR89" s="53"/>
      <c r="BS89" t="s">
        <v>377</v>
      </c>
      <c r="BT89">
        <v>279647</v>
      </c>
      <c r="BU89">
        <v>164959</v>
      </c>
      <c r="BV89" s="51">
        <v>32780.050000000003</v>
      </c>
      <c r="BW89" s="32">
        <f t="shared" si="77"/>
        <v>5407364267.9500008</v>
      </c>
      <c r="BX89">
        <v>8443</v>
      </c>
      <c r="BY89" s="37">
        <f t="shared" si="78"/>
        <v>3.019163445343594E-2</v>
      </c>
      <c r="BZ89">
        <v>7.7946999999999999E-3</v>
      </c>
      <c r="CA89" s="3">
        <f t="shared" si="79"/>
        <v>7.7947000000000004E-5</v>
      </c>
      <c r="CB89" s="11">
        <f>+'Seat capacity elasticities'!AF119</f>
        <v>5.9174600912056993E-2</v>
      </c>
      <c r="CC89" s="11">
        <f>+'Seat capacity elasticities'!AG119</f>
        <v>4.7285417689633721E-2</v>
      </c>
      <c r="CD89" s="11">
        <f>+'Seat capacity elasticities'!AH119</f>
        <v>0.1623563057514921</v>
      </c>
      <c r="CE89" s="11">
        <f>+'Seat capacity elasticities'!AI119</f>
        <v>5.5995889369303088E-2</v>
      </c>
      <c r="CF89" s="32">
        <f t="shared" si="104"/>
        <v>3199786.2254205849</v>
      </c>
      <c r="CG89" s="33">
        <f t="shared" si="105"/>
        <v>5.9174600912056984E-4</v>
      </c>
      <c r="CH89" s="40">
        <f t="shared" si="106"/>
        <v>2556894.7801001626</v>
      </c>
      <c r="CI89" s="33">
        <f t="shared" si="107"/>
        <v>4.7285417689633719E-4</v>
      </c>
      <c r="CJ89" s="40">
        <f t="shared" si="108"/>
        <v>13707742.894598477</v>
      </c>
      <c r="CK89" s="41">
        <f t="shared" si="109"/>
        <v>1.6235630575149207E-3</v>
      </c>
      <c r="CL89" s="40">
        <f t="shared" si="110"/>
        <v>4727732.9394502603</v>
      </c>
      <c r="CM89" s="41">
        <f t="shared" si="111"/>
        <v>5.5995889369303098E-4</v>
      </c>
      <c r="CO89" s="70">
        <f t="shared" si="112"/>
        <v>0</v>
      </c>
      <c r="CP89" s="70">
        <f t="shared" si="113"/>
        <v>0</v>
      </c>
      <c r="CQ89" s="70">
        <f t="shared" si="114"/>
        <v>0</v>
      </c>
      <c r="CR89" s="70">
        <f t="shared" si="115"/>
        <v>0</v>
      </c>
      <c r="CS89" s="70">
        <f t="shared" si="116"/>
        <v>0</v>
      </c>
      <c r="CT89" s="70">
        <f t="shared" si="117"/>
        <v>0</v>
      </c>
      <c r="CU89" s="69">
        <f t="shared" si="118"/>
        <v>0</v>
      </c>
      <c r="CV89" s="69">
        <f t="shared" si="119"/>
        <v>0</v>
      </c>
      <c r="CW89" s="70">
        <f t="shared" si="120"/>
        <v>0</v>
      </c>
      <c r="CX89" s="69">
        <f t="shared" si="121"/>
        <v>0</v>
      </c>
      <c r="CY89" s="69">
        <f t="shared" si="122"/>
        <v>0</v>
      </c>
      <c r="CZ89" s="70">
        <f t="shared" si="123"/>
        <v>0</v>
      </c>
      <c r="DB89" s="70">
        <f t="shared" si="124"/>
        <v>3.5334653846308703</v>
      </c>
      <c r="DC89" s="70">
        <f t="shared" si="125"/>
        <v>19.39746376627274</v>
      </c>
      <c r="DD89" s="70">
        <f t="shared" si="126"/>
        <v>22.930929150903609</v>
      </c>
      <c r="DE89" s="70">
        <f t="shared" si="127"/>
        <v>6.6968942969348904</v>
      </c>
      <c r="DF89" s="70">
        <f t="shared" si="128"/>
        <v>15.500183561370781</v>
      </c>
      <c r="DG89" s="70">
        <f t="shared" si="129"/>
        <v>22.197077858305672</v>
      </c>
      <c r="DH89" s="69">
        <f t="shared" si="130"/>
        <v>15.137209678161234</v>
      </c>
      <c r="DI89" s="69">
        <f t="shared" si="131"/>
        <v>83.097878227914066</v>
      </c>
      <c r="DJ89" s="70">
        <f t="shared" si="132"/>
        <v>98.235087906075307</v>
      </c>
      <c r="DK89" s="69">
        <f t="shared" si="133"/>
        <v>12.382647892298252</v>
      </c>
      <c r="DL89" s="69">
        <f t="shared" si="134"/>
        <v>28.660048493566645</v>
      </c>
      <c r="DM89" s="70">
        <f t="shared" si="135"/>
        <v>41.0426963858649</v>
      </c>
    </row>
    <row r="90" spans="1:117">
      <c r="A90" t="s">
        <v>378</v>
      </c>
      <c r="B90">
        <v>348425</v>
      </c>
      <c r="C90">
        <v>205956</v>
      </c>
      <c r="D90" s="51">
        <v>32670.87</v>
      </c>
      <c r="E90" s="32">
        <f t="shared" si="68"/>
        <v>6728761701.7199993</v>
      </c>
      <c r="F90">
        <v>9628</v>
      </c>
      <c r="G90" s="37">
        <f t="shared" si="69"/>
        <v>2.7632919566621224E-2</v>
      </c>
      <c r="H90">
        <v>0</v>
      </c>
      <c r="I90" s="3">
        <f t="shared" si="70"/>
        <v>0</v>
      </c>
      <c r="J90" s="11">
        <f>+'Seat capacity elasticities'!K120</f>
        <v>0</v>
      </c>
      <c r="K90" s="11">
        <f>+'Seat capacity elasticities'!L120</f>
        <v>0</v>
      </c>
      <c r="L90" s="11">
        <f>+'Seat capacity elasticities'!M120</f>
        <v>0</v>
      </c>
      <c r="M90" s="11">
        <f>+'Seat capacity elasticities'!N120</f>
        <v>0</v>
      </c>
      <c r="N90" s="32">
        <f t="shared" si="80"/>
        <v>0</v>
      </c>
      <c r="O90" s="33">
        <f t="shared" si="81"/>
        <v>0</v>
      </c>
      <c r="P90" s="40">
        <f t="shared" si="82"/>
        <v>0</v>
      </c>
      <c r="Q90" s="33">
        <f t="shared" si="83"/>
        <v>0</v>
      </c>
      <c r="R90" s="40">
        <f t="shared" si="84"/>
        <v>0</v>
      </c>
      <c r="S90" s="41">
        <f t="shared" si="85"/>
        <v>0</v>
      </c>
      <c r="T90" s="40">
        <f t="shared" si="86"/>
        <v>0</v>
      </c>
      <c r="U90" s="41">
        <f t="shared" si="87"/>
        <v>0</v>
      </c>
      <c r="V90" s="53"/>
      <c r="W90" s="53"/>
      <c r="X90" t="s">
        <v>378</v>
      </c>
      <c r="Y90">
        <v>348425</v>
      </c>
      <c r="Z90">
        <v>205956</v>
      </c>
      <c r="AA90" s="51">
        <v>32670.87</v>
      </c>
      <c r="AB90" s="32">
        <f t="shared" si="71"/>
        <v>6728761701.7199993</v>
      </c>
      <c r="AC90">
        <v>9628</v>
      </c>
      <c r="AD90" s="37">
        <f t="shared" si="72"/>
        <v>2.7632919566621224E-2</v>
      </c>
      <c r="AE90">
        <v>1.3175299999999999E-2</v>
      </c>
      <c r="AF90" s="3">
        <f t="shared" si="73"/>
        <v>1.31753E-4</v>
      </c>
      <c r="AG90" s="11">
        <f>+'Seat capacity elasticities'!R120</f>
        <v>2.7338255752297196E-2</v>
      </c>
      <c r="AH90" s="11">
        <f>+'Seat capacity elasticities'!S120</f>
        <v>5.1813556694806133E-2</v>
      </c>
      <c r="AI90" s="11">
        <f>+'Seat capacity elasticities'!T120</f>
        <v>7.500748870666378E-2</v>
      </c>
      <c r="AJ90" s="11">
        <f>+'Seat capacity elasticities'!U120</f>
        <v>6.1358159243849367E-2</v>
      </c>
      <c r="AK90" s="32">
        <f t="shared" si="88"/>
        <v>1839526.0829788384</v>
      </c>
      <c r="AL90" s="33">
        <f t="shared" si="89"/>
        <v>2.7338255752297193E-4</v>
      </c>
      <c r="AM90" s="40">
        <f t="shared" si="90"/>
        <v>3486410.7591790939</v>
      </c>
      <c r="AN90" s="33">
        <f t="shared" si="91"/>
        <v>5.1813556694806139E-4</v>
      </c>
      <c r="AO90" s="40">
        <f t="shared" si="92"/>
        <v>7221721.0126775885</v>
      </c>
      <c r="AP90" s="41">
        <f t="shared" si="93"/>
        <v>7.500748870666378E-4</v>
      </c>
      <c r="AQ90" s="40">
        <f t="shared" si="94"/>
        <v>5907563.5719978167</v>
      </c>
      <c r="AR90" s="41">
        <f t="shared" si="95"/>
        <v>6.1358159243849364E-4</v>
      </c>
      <c r="AV90" t="s">
        <v>378</v>
      </c>
      <c r="AW90">
        <v>348425</v>
      </c>
      <c r="AX90">
        <v>205956</v>
      </c>
      <c r="AY90" s="51">
        <v>32670.87</v>
      </c>
      <c r="AZ90" s="32">
        <f t="shared" si="74"/>
        <v>6728761701.7199993</v>
      </c>
      <c r="BA90">
        <v>9628</v>
      </c>
      <c r="BB90" s="37">
        <f t="shared" si="75"/>
        <v>2.7632919566621224E-2</v>
      </c>
      <c r="BC90">
        <v>0</v>
      </c>
      <c r="BD90" s="3">
        <f t="shared" si="76"/>
        <v>0</v>
      </c>
      <c r="BE90" s="11">
        <f>+'Seat capacity elasticities'!Y120</f>
        <v>0</v>
      </c>
      <c r="BF90" s="11">
        <f>+'Seat capacity elasticities'!Z120</f>
        <v>0</v>
      </c>
      <c r="BG90" s="11">
        <f>+'Seat capacity elasticities'!AA120</f>
        <v>0</v>
      </c>
      <c r="BH90" s="11">
        <f>+'Seat capacity elasticities'!AB120</f>
        <v>0</v>
      </c>
      <c r="BI90" s="32">
        <f t="shared" si="96"/>
        <v>0</v>
      </c>
      <c r="BJ90" s="33">
        <f t="shared" si="97"/>
        <v>0</v>
      </c>
      <c r="BK90" s="40">
        <f t="shared" si="98"/>
        <v>0</v>
      </c>
      <c r="BL90" s="33">
        <f t="shared" si="99"/>
        <v>0</v>
      </c>
      <c r="BM90" s="40">
        <f t="shared" si="100"/>
        <v>0</v>
      </c>
      <c r="BN90" s="41">
        <f t="shared" si="101"/>
        <v>0</v>
      </c>
      <c r="BO90" s="40">
        <f t="shared" si="102"/>
        <v>0</v>
      </c>
      <c r="BP90" s="41">
        <f t="shared" si="103"/>
        <v>0</v>
      </c>
      <c r="BQ90" s="53"/>
      <c r="BR90" s="53"/>
      <c r="BS90" t="s">
        <v>378</v>
      </c>
      <c r="BT90">
        <v>348425</v>
      </c>
      <c r="BU90">
        <v>205956</v>
      </c>
      <c r="BV90" s="51">
        <v>32670.87</v>
      </c>
      <c r="BW90" s="32">
        <f t="shared" si="77"/>
        <v>6728761701.7199993</v>
      </c>
      <c r="BX90">
        <v>9628</v>
      </c>
      <c r="BY90" s="37">
        <f t="shared" si="78"/>
        <v>2.7632919566621224E-2</v>
      </c>
      <c r="BZ90">
        <v>1.3175299999999999E-2</v>
      </c>
      <c r="CA90" s="3">
        <f t="shared" si="79"/>
        <v>1.31753E-4</v>
      </c>
      <c r="CB90" s="11">
        <f>+'Seat capacity elasticities'!AF120</f>
        <v>8.0278139995483666E-2</v>
      </c>
      <c r="CC90" s="11">
        <f>+'Seat capacity elasticities'!AG120</f>
        <v>6.4148897035651867E-2</v>
      </c>
      <c r="CD90" s="11">
        <f>+'Seat capacity elasticities'!AH120</f>
        <v>0.22025771262298766</v>
      </c>
      <c r="CE90" s="11">
        <f>+'Seat capacity elasticities'!AI120</f>
        <v>7.5965799121166674E-2</v>
      </c>
      <c r="CF90" s="32">
        <f t="shared" si="104"/>
        <v>5401724.7388692703</v>
      </c>
      <c r="CG90" s="33">
        <f t="shared" si="105"/>
        <v>8.0278139995483674E-4</v>
      </c>
      <c r="CH90" s="40">
        <f t="shared" si="106"/>
        <v>4316426.4158107387</v>
      </c>
      <c r="CI90" s="33">
        <f t="shared" si="107"/>
        <v>6.4148897035651862E-4</v>
      </c>
      <c r="CJ90" s="40">
        <f t="shared" si="108"/>
        <v>21206412.57134125</v>
      </c>
      <c r="CK90" s="41">
        <f t="shared" si="109"/>
        <v>2.2025771262298762E-3</v>
      </c>
      <c r="CL90" s="40">
        <f t="shared" si="110"/>
        <v>7313987.1393859275</v>
      </c>
      <c r="CM90" s="41">
        <f t="shared" si="111"/>
        <v>7.5965799121166674E-4</v>
      </c>
      <c r="CO90" s="70">
        <f t="shared" si="112"/>
        <v>0</v>
      </c>
      <c r="CP90" s="70">
        <f t="shared" si="113"/>
        <v>0</v>
      </c>
      <c r="CQ90" s="70">
        <f t="shared" si="114"/>
        <v>0</v>
      </c>
      <c r="CR90" s="70">
        <f t="shared" si="115"/>
        <v>0</v>
      </c>
      <c r="CS90" s="70">
        <f t="shared" si="116"/>
        <v>0</v>
      </c>
      <c r="CT90" s="70">
        <f t="shared" si="117"/>
        <v>0</v>
      </c>
      <c r="CU90" s="69">
        <f t="shared" si="118"/>
        <v>0</v>
      </c>
      <c r="CV90" s="69">
        <f t="shared" si="119"/>
        <v>0</v>
      </c>
      <c r="CW90" s="70">
        <f t="shared" si="120"/>
        <v>0</v>
      </c>
      <c r="CX90" s="69">
        <f t="shared" si="121"/>
        <v>0</v>
      </c>
      <c r="CY90" s="69">
        <f t="shared" si="122"/>
        <v>0</v>
      </c>
      <c r="CZ90" s="70">
        <f t="shared" si="123"/>
        <v>0</v>
      </c>
      <c r="DB90" s="70">
        <f t="shared" si="124"/>
        <v>8.9316459971005386</v>
      </c>
      <c r="DC90" s="70">
        <f t="shared" si="125"/>
        <v>26.227566756342473</v>
      </c>
      <c r="DD90" s="70">
        <f t="shared" si="126"/>
        <v>35.159212753443015</v>
      </c>
      <c r="DE90" s="70">
        <f t="shared" si="127"/>
        <v>16.927939750136407</v>
      </c>
      <c r="DF90" s="70">
        <f t="shared" si="128"/>
        <v>20.958002756951672</v>
      </c>
      <c r="DG90" s="70">
        <f t="shared" si="129"/>
        <v>37.885942507088075</v>
      </c>
      <c r="DH90" s="69">
        <f t="shared" si="130"/>
        <v>35.064387600640856</v>
      </c>
      <c r="DI90" s="69">
        <f t="shared" si="131"/>
        <v>102.96574302929388</v>
      </c>
      <c r="DJ90" s="70">
        <f t="shared" si="132"/>
        <v>138.03013062993472</v>
      </c>
      <c r="DK90" s="69">
        <f t="shared" si="133"/>
        <v>28.6836196663259</v>
      </c>
      <c r="DL90" s="69">
        <f t="shared" si="134"/>
        <v>35.512377106692341</v>
      </c>
      <c r="DM90" s="70">
        <f t="shared" si="135"/>
        <v>64.195996773018237</v>
      </c>
    </row>
    <row r="91" spans="1:117">
      <c r="A91" t="s">
        <v>379</v>
      </c>
      <c r="B91">
        <v>350614</v>
      </c>
      <c r="C91">
        <v>211987</v>
      </c>
      <c r="D91" s="51">
        <v>35386.19</v>
      </c>
      <c r="E91" s="32">
        <f t="shared" si="68"/>
        <v>7501412259.5300007</v>
      </c>
      <c r="F91">
        <v>14630</v>
      </c>
      <c r="G91" s="37">
        <f t="shared" si="69"/>
        <v>4.1726799272134026E-2</v>
      </c>
      <c r="H91">
        <v>0</v>
      </c>
      <c r="I91" s="3">
        <f t="shared" si="70"/>
        <v>0</v>
      </c>
      <c r="J91" s="11">
        <f>+'Seat capacity elasticities'!K121</f>
        <v>0</v>
      </c>
      <c r="K91" s="11">
        <f>+'Seat capacity elasticities'!L121</f>
        <v>0</v>
      </c>
      <c r="L91" s="11">
        <f>+'Seat capacity elasticities'!M121</f>
        <v>0</v>
      </c>
      <c r="M91" s="11">
        <f>+'Seat capacity elasticities'!N121</f>
        <v>0</v>
      </c>
      <c r="N91" s="32">
        <f t="shared" si="80"/>
        <v>0</v>
      </c>
      <c r="O91" s="33">
        <f t="shared" si="81"/>
        <v>0</v>
      </c>
      <c r="P91" s="40">
        <f t="shared" si="82"/>
        <v>0</v>
      </c>
      <c r="Q91" s="33">
        <f t="shared" si="83"/>
        <v>0</v>
      </c>
      <c r="R91" s="40">
        <f t="shared" si="84"/>
        <v>0</v>
      </c>
      <c r="S91" s="41">
        <f t="shared" si="85"/>
        <v>0</v>
      </c>
      <c r="T91" s="40">
        <f t="shared" si="86"/>
        <v>0</v>
      </c>
      <c r="U91" s="41">
        <f t="shared" si="87"/>
        <v>0</v>
      </c>
      <c r="V91" s="53"/>
      <c r="W91" s="53"/>
      <c r="X91" t="s">
        <v>379</v>
      </c>
      <c r="Y91">
        <v>350614</v>
      </c>
      <c r="Z91">
        <v>211987</v>
      </c>
      <c r="AA91" s="51">
        <v>35386.19</v>
      </c>
      <c r="AB91" s="32">
        <f t="shared" si="71"/>
        <v>7501412259.5300007</v>
      </c>
      <c r="AC91">
        <v>14630</v>
      </c>
      <c r="AD91" s="37">
        <f t="shared" si="72"/>
        <v>4.1726799272134026E-2</v>
      </c>
      <c r="AE91">
        <v>3.0850999999999999E-3</v>
      </c>
      <c r="AF91" s="3">
        <f t="shared" si="73"/>
        <v>3.0851E-5</v>
      </c>
      <c r="AG91" s="11">
        <f>+'Seat capacity elasticities'!R121</f>
        <v>5.6080522789894753E-3</v>
      </c>
      <c r="AH91" s="11">
        <f>+'Seat capacity elasticities'!S121</f>
        <v>1.0628810313929463E-2</v>
      </c>
      <c r="AI91" s="11">
        <f>+'Seat capacity elasticities'!T121</f>
        <v>1.5386713834050547E-2</v>
      </c>
      <c r="AJ91" s="11">
        <f>+'Seat capacity elasticities'!U121</f>
        <v>1.2586749055969102E-2</v>
      </c>
      <c r="AK91" s="32">
        <f t="shared" si="88"/>
        <v>420683.1211769681</v>
      </c>
      <c r="AL91" s="33">
        <f t="shared" si="89"/>
        <v>5.6080522789894754E-5</v>
      </c>
      <c r="AM91" s="40">
        <f t="shared" si="90"/>
        <v>797310.87993129389</v>
      </c>
      <c r="AN91" s="33">
        <f t="shared" si="91"/>
        <v>1.0628810313929463E-4</v>
      </c>
      <c r="AO91" s="40">
        <f t="shared" si="92"/>
        <v>2251076.2339215949</v>
      </c>
      <c r="AP91" s="41">
        <f t="shared" si="93"/>
        <v>1.5386713834050544E-4</v>
      </c>
      <c r="AQ91" s="40">
        <f t="shared" si="94"/>
        <v>1841441.3868882796</v>
      </c>
      <c r="AR91" s="41">
        <f t="shared" si="95"/>
        <v>1.2586749055969103E-4</v>
      </c>
      <c r="AV91" t="s">
        <v>379</v>
      </c>
      <c r="AW91">
        <v>350614</v>
      </c>
      <c r="AX91">
        <v>211987</v>
      </c>
      <c r="AY91" s="51">
        <v>35386.19</v>
      </c>
      <c r="AZ91" s="32">
        <f t="shared" si="74"/>
        <v>7501412259.5300007</v>
      </c>
      <c r="BA91">
        <v>14630</v>
      </c>
      <c r="BB91" s="37">
        <f t="shared" si="75"/>
        <v>4.1726799272134026E-2</v>
      </c>
      <c r="BC91">
        <v>0</v>
      </c>
      <c r="BD91" s="3">
        <f t="shared" si="76"/>
        <v>0</v>
      </c>
      <c r="BE91" s="11">
        <f>+'Seat capacity elasticities'!Y121</f>
        <v>0</v>
      </c>
      <c r="BF91" s="11">
        <f>+'Seat capacity elasticities'!Z121</f>
        <v>0</v>
      </c>
      <c r="BG91" s="11">
        <f>+'Seat capacity elasticities'!AA121</f>
        <v>0</v>
      </c>
      <c r="BH91" s="11">
        <f>+'Seat capacity elasticities'!AB121</f>
        <v>0</v>
      </c>
      <c r="BI91" s="32">
        <f t="shared" si="96"/>
        <v>0</v>
      </c>
      <c r="BJ91" s="33">
        <f t="shared" si="97"/>
        <v>0</v>
      </c>
      <c r="BK91" s="40">
        <f t="shared" si="98"/>
        <v>0</v>
      </c>
      <c r="BL91" s="33">
        <f t="shared" si="99"/>
        <v>0</v>
      </c>
      <c r="BM91" s="40">
        <f t="shared" si="100"/>
        <v>0</v>
      </c>
      <c r="BN91" s="41">
        <f t="shared" si="101"/>
        <v>0</v>
      </c>
      <c r="BO91" s="40">
        <f t="shared" si="102"/>
        <v>0</v>
      </c>
      <c r="BP91" s="41">
        <f t="shared" si="103"/>
        <v>0</v>
      </c>
      <c r="BQ91" s="53"/>
      <c r="BR91" s="53"/>
      <c r="BS91" t="s">
        <v>379</v>
      </c>
      <c r="BT91">
        <v>350614</v>
      </c>
      <c r="BU91">
        <v>211987</v>
      </c>
      <c r="BV91" s="51">
        <v>35386.19</v>
      </c>
      <c r="BW91" s="32">
        <f t="shared" si="77"/>
        <v>7501412259.5300007</v>
      </c>
      <c r="BX91">
        <v>14630</v>
      </c>
      <c r="BY91" s="37">
        <f t="shared" si="78"/>
        <v>4.1726799272134026E-2</v>
      </c>
      <c r="BZ91">
        <v>3.0850999999999999E-3</v>
      </c>
      <c r="CA91" s="3">
        <f t="shared" si="79"/>
        <v>3.0851E-5</v>
      </c>
      <c r="CB91" s="11">
        <f>+'Seat capacity elasticities'!AF121</f>
        <v>1.8680396484217206E-2</v>
      </c>
      <c r="CC91" s="11">
        <f>+'Seat capacity elasticities'!AG121</f>
        <v>1.4927187285587569E-2</v>
      </c>
      <c r="CD91" s="11">
        <f>+'Seat capacity elasticities'!AH121</f>
        <v>5.1253073386299919E-2</v>
      </c>
      <c r="CE91" s="11">
        <f>+'Seat capacity elasticities'!AI121</f>
        <v>1.7676932311880018E-2</v>
      </c>
      <c r="CF91" s="32">
        <f t="shared" si="104"/>
        <v>1401293.5519958807</v>
      </c>
      <c r="CG91" s="33">
        <f t="shared" si="105"/>
        <v>1.8680396484217207E-4</v>
      </c>
      <c r="CH91" s="40">
        <f t="shared" si="106"/>
        <v>1119749.8570440693</v>
      </c>
      <c r="CI91" s="33">
        <f t="shared" si="107"/>
        <v>1.4927187285587569E-4</v>
      </c>
      <c r="CJ91" s="40">
        <f t="shared" si="108"/>
        <v>7498324.636415679</v>
      </c>
      <c r="CK91" s="41">
        <f t="shared" si="109"/>
        <v>5.1253073386299921E-4</v>
      </c>
      <c r="CL91" s="40">
        <f t="shared" si="110"/>
        <v>2586135.1972280466</v>
      </c>
      <c r="CM91" s="41">
        <f t="shared" si="111"/>
        <v>1.7676932311880018E-4</v>
      </c>
      <c r="CO91" s="70">
        <f t="shared" si="112"/>
        <v>0</v>
      </c>
      <c r="CP91" s="70">
        <f t="shared" si="113"/>
        <v>0</v>
      </c>
      <c r="CQ91" s="70">
        <f t="shared" si="114"/>
        <v>0</v>
      </c>
      <c r="CR91" s="70">
        <f t="shared" si="115"/>
        <v>0</v>
      </c>
      <c r="CS91" s="70">
        <f t="shared" si="116"/>
        <v>0</v>
      </c>
      <c r="CT91" s="70">
        <f t="shared" si="117"/>
        <v>0</v>
      </c>
      <c r="CU91" s="69">
        <f t="shared" si="118"/>
        <v>0</v>
      </c>
      <c r="CV91" s="69">
        <f t="shared" si="119"/>
        <v>0</v>
      </c>
      <c r="CW91" s="70">
        <f t="shared" si="120"/>
        <v>0</v>
      </c>
      <c r="CX91" s="69">
        <f t="shared" si="121"/>
        <v>0</v>
      </c>
      <c r="CY91" s="69">
        <f t="shared" si="122"/>
        <v>0</v>
      </c>
      <c r="CZ91" s="70">
        <f t="shared" si="123"/>
        <v>0</v>
      </c>
      <c r="DB91" s="70">
        <f t="shared" si="124"/>
        <v>1.9844760347425461</v>
      </c>
      <c r="DC91" s="70">
        <f t="shared" si="125"/>
        <v>6.6102805926584205</v>
      </c>
      <c r="DD91" s="70">
        <f t="shared" si="126"/>
        <v>8.594756627400967</v>
      </c>
      <c r="DE91" s="70">
        <f t="shared" si="127"/>
        <v>3.7611310124266768</v>
      </c>
      <c r="DF91" s="70">
        <f t="shared" si="128"/>
        <v>5.2821628545338601</v>
      </c>
      <c r="DG91" s="70">
        <f t="shared" si="129"/>
        <v>9.0432938669605374</v>
      </c>
      <c r="DH91" s="69">
        <f t="shared" si="130"/>
        <v>10.618935283397542</v>
      </c>
      <c r="DI91" s="69">
        <f t="shared" si="131"/>
        <v>35.371624846880607</v>
      </c>
      <c r="DJ91" s="70">
        <f t="shared" si="132"/>
        <v>45.990560130278148</v>
      </c>
      <c r="DK91" s="69">
        <f t="shared" si="133"/>
        <v>8.686576945229092</v>
      </c>
      <c r="DL91" s="69">
        <f t="shared" si="134"/>
        <v>12.199499012807609</v>
      </c>
      <c r="DM91" s="70">
        <f t="shared" si="135"/>
        <v>20.886075958036699</v>
      </c>
    </row>
    <row r="92" spans="1:117">
      <c r="A92" t="s">
        <v>380</v>
      </c>
      <c r="B92">
        <v>98351</v>
      </c>
      <c r="C92">
        <v>60183</v>
      </c>
      <c r="D92" s="51">
        <v>43813.14</v>
      </c>
      <c r="E92" s="32">
        <f t="shared" si="68"/>
        <v>2636806204.6199999</v>
      </c>
      <c r="F92">
        <v>3043</v>
      </c>
      <c r="G92" s="37">
        <f t="shared" si="69"/>
        <v>3.0940203963355735E-2</v>
      </c>
      <c r="H92">
        <v>0</v>
      </c>
      <c r="I92" s="3">
        <f t="shared" si="70"/>
        <v>0</v>
      </c>
      <c r="J92" s="11">
        <f>+'Seat capacity elasticities'!K122</f>
        <v>0</v>
      </c>
      <c r="K92" s="11">
        <f>+'Seat capacity elasticities'!L122</f>
        <v>0</v>
      </c>
      <c r="L92" s="11">
        <f>+'Seat capacity elasticities'!M122</f>
        <v>0</v>
      </c>
      <c r="M92" s="11">
        <f>+'Seat capacity elasticities'!N122</f>
        <v>0</v>
      </c>
      <c r="N92" s="32">
        <f t="shared" si="80"/>
        <v>0</v>
      </c>
      <c r="O92" s="33">
        <f t="shared" si="81"/>
        <v>0</v>
      </c>
      <c r="P92" s="40">
        <f t="shared" si="82"/>
        <v>0</v>
      </c>
      <c r="Q92" s="33">
        <f t="shared" si="83"/>
        <v>0</v>
      </c>
      <c r="R92" s="40">
        <f t="shared" si="84"/>
        <v>0</v>
      </c>
      <c r="S92" s="41">
        <f t="shared" si="85"/>
        <v>0</v>
      </c>
      <c r="T92" s="40">
        <f t="shared" si="86"/>
        <v>0</v>
      </c>
      <c r="U92" s="41">
        <f t="shared" si="87"/>
        <v>0</v>
      </c>
      <c r="V92" s="53"/>
      <c r="W92" s="53"/>
      <c r="X92" t="s">
        <v>380</v>
      </c>
      <c r="Y92">
        <v>98351</v>
      </c>
      <c r="Z92">
        <v>60183</v>
      </c>
      <c r="AA92" s="51">
        <v>43813.14</v>
      </c>
      <c r="AB92" s="32">
        <f t="shared" si="71"/>
        <v>2636806204.6199999</v>
      </c>
      <c r="AC92">
        <v>3043</v>
      </c>
      <c r="AD92" s="37">
        <f t="shared" si="72"/>
        <v>3.0940203963355735E-2</v>
      </c>
      <c r="AE92">
        <v>2.8482999999999998E-3</v>
      </c>
      <c r="AF92" s="3">
        <f t="shared" si="73"/>
        <v>2.8482999999999998E-5</v>
      </c>
      <c r="AG92" s="11">
        <f>+'Seat capacity elasticities'!R122</f>
        <v>9.6532933656670438E-3</v>
      </c>
      <c r="AH92" s="11">
        <f>+'Seat capacity elasticities'!S122</f>
        <v>1.8295661128693498E-2</v>
      </c>
      <c r="AI92" s="11">
        <f>+'Seat capacity elasticities'!T122</f>
        <v>2.6485570245151455E-2</v>
      </c>
      <c r="AJ92" s="11">
        <f>+'Seat capacity elasticities'!U122</f>
        <v>2.1665914494505459E-2</v>
      </c>
      <c r="AK92" s="32">
        <f t="shared" si="88"/>
        <v>254538.63841607943</v>
      </c>
      <c r="AL92" s="33">
        <f t="shared" si="89"/>
        <v>9.653293365667044E-5</v>
      </c>
      <c r="AM92" s="40">
        <f t="shared" si="90"/>
        <v>482421.12781763967</v>
      </c>
      <c r="AN92" s="33">
        <f t="shared" si="91"/>
        <v>1.8295661128693499E-4</v>
      </c>
      <c r="AO92" s="40">
        <f t="shared" si="92"/>
        <v>805955.90255995875</v>
      </c>
      <c r="AP92" s="41">
        <f t="shared" si="93"/>
        <v>2.6485570245151458E-4</v>
      </c>
      <c r="AQ92" s="40">
        <f t="shared" si="94"/>
        <v>659293.77806780115</v>
      </c>
      <c r="AR92" s="41">
        <f t="shared" si="95"/>
        <v>2.1665914494505462E-4</v>
      </c>
      <c r="AV92" t="s">
        <v>380</v>
      </c>
      <c r="AW92">
        <v>98351</v>
      </c>
      <c r="AX92">
        <v>60183</v>
      </c>
      <c r="AY92" s="51">
        <v>43813.14</v>
      </c>
      <c r="AZ92" s="32">
        <f t="shared" si="74"/>
        <v>2636806204.6199999</v>
      </c>
      <c r="BA92">
        <v>3043</v>
      </c>
      <c r="BB92" s="37">
        <f t="shared" si="75"/>
        <v>3.0940203963355735E-2</v>
      </c>
      <c r="BC92">
        <v>0</v>
      </c>
      <c r="BD92" s="3">
        <f t="shared" si="76"/>
        <v>0</v>
      </c>
      <c r="BE92" s="11">
        <f>+'Seat capacity elasticities'!Y122</f>
        <v>0</v>
      </c>
      <c r="BF92" s="11">
        <f>+'Seat capacity elasticities'!Z122</f>
        <v>0</v>
      </c>
      <c r="BG92" s="11">
        <f>+'Seat capacity elasticities'!AA122</f>
        <v>0</v>
      </c>
      <c r="BH92" s="11">
        <f>+'Seat capacity elasticities'!AB122</f>
        <v>0</v>
      </c>
      <c r="BI92" s="32">
        <f t="shared" si="96"/>
        <v>0</v>
      </c>
      <c r="BJ92" s="33">
        <f t="shared" si="97"/>
        <v>0</v>
      </c>
      <c r="BK92" s="40">
        <f t="shared" si="98"/>
        <v>0</v>
      </c>
      <c r="BL92" s="33">
        <f t="shared" si="99"/>
        <v>0</v>
      </c>
      <c r="BM92" s="40">
        <f t="shared" si="100"/>
        <v>0</v>
      </c>
      <c r="BN92" s="41">
        <f t="shared" si="101"/>
        <v>0</v>
      </c>
      <c r="BO92" s="40">
        <f t="shared" si="102"/>
        <v>0</v>
      </c>
      <c r="BP92" s="41">
        <f t="shared" si="103"/>
        <v>0</v>
      </c>
      <c r="BQ92" s="53"/>
      <c r="BR92" s="53"/>
      <c r="BS92" t="s">
        <v>380</v>
      </c>
      <c r="BT92">
        <v>98351</v>
      </c>
      <c r="BU92">
        <v>60183</v>
      </c>
      <c r="BV92" s="51">
        <v>43813.14</v>
      </c>
      <c r="BW92" s="32">
        <f t="shared" si="77"/>
        <v>2636806204.6199999</v>
      </c>
      <c r="BX92">
        <v>3043</v>
      </c>
      <c r="BY92" s="37">
        <f t="shared" si="78"/>
        <v>3.0940203963355735E-2</v>
      </c>
      <c r="BZ92">
        <v>2.8482999999999998E-3</v>
      </c>
      <c r="CA92" s="3">
        <f t="shared" si="79"/>
        <v>2.8482999999999998E-5</v>
      </c>
      <c r="CB92" s="11">
        <f>+'Seat capacity elasticities'!AF122</f>
        <v>6.1482716430384596E-2</v>
      </c>
      <c r="CC92" s="11">
        <f>+'Seat capacity elasticities'!AG122</f>
        <v>4.9129793565057797E-2</v>
      </c>
      <c r="CD92" s="11">
        <f>+'Seat capacity elasticities'!AH122</f>
        <v>0.16868904146964728</v>
      </c>
      <c r="CE92" s="11">
        <f>+'Seat capacity elasticities'!AI122</f>
        <v>5.8180018695463187E-2</v>
      </c>
      <c r="CF92" s="32">
        <f t="shared" si="104"/>
        <v>1621180.0816053012</v>
      </c>
      <c r="CG92" s="33">
        <f t="shared" si="105"/>
        <v>6.14827164303846E-4</v>
      </c>
      <c r="CH92" s="40">
        <f t="shared" si="106"/>
        <v>1295457.4450404416</v>
      </c>
      <c r="CI92" s="33">
        <f t="shared" si="107"/>
        <v>4.9129793565057798E-4</v>
      </c>
      <c r="CJ92" s="40">
        <f t="shared" si="108"/>
        <v>5133207.5319213672</v>
      </c>
      <c r="CK92" s="41">
        <f t="shared" si="109"/>
        <v>1.686890414696473E-3</v>
      </c>
      <c r="CL92" s="40">
        <f t="shared" si="110"/>
        <v>1770417.9689029448</v>
      </c>
      <c r="CM92" s="41">
        <f t="shared" si="111"/>
        <v>5.8180018695463184E-4</v>
      </c>
      <c r="CO92" s="70">
        <f t="shared" si="112"/>
        <v>0</v>
      </c>
      <c r="CP92" s="70">
        <f t="shared" si="113"/>
        <v>0</v>
      </c>
      <c r="CQ92" s="70">
        <f t="shared" si="114"/>
        <v>0</v>
      </c>
      <c r="CR92" s="70">
        <f t="shared" si="115"/>
        <v>0</v>
      </c>
      <c r="CS92" s="70">
        <f t="shared" si="116"/>
        <v>0</v>
      </c>
      <c r="CT92" s="70">
        <f t="shared" si="117"/>
        <v>0</v>
      </c>
      <c r="CU92" s="69">
        <f t="shared" si="118"/>
        <v>0</v>
      </c>
      <c r="CV92" s="69">
        <f t="shared" si="119"/>
        <v>0</v>
      </c>
      <c r="CW92" s="70">
        <f t="shared" si="120"/>
        <v>0</v>
      </c>
      <c r="CX92" s="69">
        <f t="shared" si="121"/>
        <v>0</v>
      </c>
      <c r="CY92" s="69">
        <f t="shared" si="122"/>
        <v>0</v>
      </c>
      <c r="CZ92" s="70">
        <f t="shared" si="123"/>
        <v>0</v>
      </c>
      <c r="DB92" s="70">
        <f t="shared" si="124"/>
        <v>4.2294109369104138</v>
      </c>
      <c r="DC92" s="70">
        <f t="shared" si="125"/>
        <v>26.937508625447407</v>
      </c>
      <c r="DD92" s="70">
        <f t="shared" si="126"/>
        <v>31.166919562357819</v>
      </c>
      <c r="DE92" s="70">
        <f t="shared" si="127"/>
        <v>8.0159036242400621</v>
      </c>
      <c r="DF92" s="70">
        <f t="shared" si="128"/>
        <v>21.525305236369764</v>
      </c>
      <c r="DG92" s="70">
        <f t="shared" si="129"/>
        <v>29.541208860609828</v>
      </c>
      <c r="DH92" s="69">
        <f t="shared" si="130"/>
        <v>13.391753527739706</v>
      </c>
      <c r="DI92" s="69">
        <f t="shared" si="131"/>
        <v>85.293314256872662</v>
      </c>
      <c r="DJ92" s="70">
        <f t="shared" si="132"/>
        <v>98.685067784612372</v>
      </c>
      <c r="DK92" s="69">
        <f t="shared" si="133"/>
        <v>10.954817441267487</v>
      </c>
      <c r="DL92" s="69">
        <f t="shared" si="134"/>
        <v>29.417243555538022</v>
      </c>
      <c r="DM92" s="70">
        <f t="shared" si="135"/>
        <v>40.372060996805509</v>
      </c>
    </row>
    <row r="93" spans="1:117">
      <c r="A93" t="s">
        <v>978</v>
      </c>
      <c r="B93">
        <v>195948</v>
      </c>
      <c r="C93">
        <v>152423</v>
      </c>
      <c r="D93" s="51">
        <v>33288.58</v>
      </c>
      <c r="E93" s="32">
        <f t="shared" si="68"/>
        <v>5073945229.3400002</v>
      </c>
      <c r="F93">
        <v>9060</v>
      </c>
      <c r="G93" s="37">
        <f t="shared" si="69"/>
        <v>4.6236756690550551E-2</v>
      </c>
      <c r="H93">
        <v>0</v>
      </c>
      <c r="I93" s="3">
        <f t="shared" si="70"/>
        <v>0</v>
      </c>
      <c r="J93" s="11">
        <f>+'Seat capacity elasticities'!K123</f>
        <v>0</v>
      </c>
      <c r="K93" s="11">
        <f>+'Seat capacity elasticities'!L123</f>
        <v>0</v>
      </c>
      <c r="L93" s="11">
        <f>+'Seat capacity elasticities'!M123</f>
        <v>0</v>
      </c>
      <c r="M93" s="11">
        <f>+'Seat capacity elasticities'!N123</f>
        <v>0</v>
      </c>
      <c r="N93" s="32">
        <f t="shared" si="80"/>
        <v>0</v>
      </c>
      <c r="O93" s="33">
        <f t="shared" si="81"/>
        <v>0</v>
      </c>
      <c r="P93" s="40">
        <f t="shared" si="82"/>
        <v>0</v>
      </c>
      <c r="Q93" s="33">
        <f t="shared" si="83"/>
        <v>0</v>
      </c>
      <c r="R93" s="40">
        <f t="shared" si="84"/>
        <v>0</v>
      </c>
      <c r="S93" s="41">
        <f t="shared" si="85"/>
        <v>0</v>
      </c>
      <c r="T93" s="40">
        <f t="shared" si="86"/>
        <v>0</v>
      </c>
      <c r="U93" s="41">
        <f t="shared" si="87"/>
        <v>0</v>
      </c>
      <c r="V93" s="53"/>
      <c r="W93" s="53"/>
      <c r="X93" t="s">
        <v>978</v>
      </c>
      <c r="Y93">
        <v>195948</v>
      </c>
      <c r="Z93">
        <v>152423</v>
      </c>
      <c r="AA93" s="51">
        <v>33288.58</v>
      </c>
      <c r="AB93" s="32">
        <f t="shared" si="71"/>
        <v>5073945229.3400002</v>
      </c>
      <c r="AC93">
        <v>9060</v>
      </c>
      <c r="AD93" s="37">
        <f t="shared" si="72"/>
        <v>4.6236756690550551E-2</v>
      </c>
      <c r="AE93">
        <v>4.5176000000000001E-3</v>
      </c>
      <c r="AF93" s="3">
        <f t="shared" si="73"/>
        <v>4.5176000000000003E-5</v>
      </c>
      <c r="AG93" s="11">
        <f>+'Seat capacity elasticities'!R123</f>
        <v>7.2668479624721219E-3</v>
      </c>
      <c r="AH93" s="11">
        <f>+'Seat capacity elasticities'!S123</f>
        <v>1.3772686974166124E-2</v>
      </c>
      <c r="AI93" s="11">
        <f>+'Seat capacity elasticities'!T123</f>
        <v>1.9937922207504739E-2</v>
      </c>
      <c r="AJ93" s="11">
        <f>+'Seat capacity elasticities'!U123</f>
        <v>1.6309760890459886E-2</v>
      </c>
      <c r="AK93" s="32">
        <f t="shared" si="88"/>
        <v>368715.88551524526</v>
      </c>
      <c r="AL93" s="33">
        <f t="shared" si="89"/>
        <v>7.2668479624721222E-5</v>
      </c>
      <c r="AM93" s="40">
        <f t="shared" si="90"/>
        <v>698818.59367763367</v>
      </c>
      <c r="AN93" s="33">
        <f t="shared" si="91"/>
        <v>1.3772686974166125E-4</v>
      </c>
      <c r="AO93" s="40">
        <f t="shared" si="92"/>
        <v>1806375.7519999291</v>
      </c>
      <c r="AP93" s="41">
        <f t="shared" si="93"/>
        <v>1.9937922207504736E-4</v>
      </c>
      <c r="AQ93" s="40">
        <f t="shared" si="94"/>
        <v>1477664.3366756656</v>
      </c>
      <c r="AR93" s="41">
        <f t="shared" si="95"/>
        <v>1.6309760890459885E-4</v>
      </c>
      <c r="AV93" t="s">
        <v>978</v>
      </c>
      <c r="AW93">
        <v>195948</v>
      </c>
      <c r="AX93">
        <v>152423</v>
      </c>
      <c r="AY93" s="51">
        <v>33288.58</v>
      </c>
      <c r="AZ93" s="32">
        <f t="shared" si="74"/>
        <v>5073945229.3400002</v>
      </c>
      <c r="BA93">
        <v>9060</v>
      </c>
      <c r="BB93" s="37">
        <f t="shared" si="75"/>
        <v>4.6236756690550551E-2</v>
      </c>
      <c r="BC93">
        <v>0</v>
      </c>
      <c r="BD93" s="3">
        <f t="shared" si="76"/>
        <v>0</v>
      </c>
      <c r="BE93" s="11">
        <f>+'Seat capacity elasticities'!Y123</f>
        <v>0</v>
      </c>
      <c r="BF93" s="11">
        <f>+'Seat capacity elasticities'!Z123</f>
        <v>0</v>
      </c>
      <c r="BG93" s="11">
        <f>+'Seat capacity elasticities'!AA123</f>
        <v>0</v>
      </c>
      <c r="BH93" s="11">
        <f>+'Seat capacity elasticities'!AB123</f>
        <v>0</v>
      </c>
      <c r="BI93" s="32">
        <f t="shared" si="96"/>
        <v>0</v>
      </c>
      <c r="BJ93" s="33">
        <f t="shared" si="97"/>
        <v>0</v>
      </c>
      <c r="BK93" s="40">
        <f t="shared" si="98"/>
        <v>0</v>
      </c>
      <c r="BL93" s="33">
        <f t="shared" si="99"/>
        <v>0</v>
      </c>
      <c r="BM93" s="40">
        <f t="shared" si="100"/>
        <v>0</v>
      </c>
      <c r="BN93" s="41">
        <f t="shared" si="101"/>
        <v>0</v>
      </c>
      <c r="BO93" s="40">
        <f t="shared" si="102"/>
        <v>0</v>
      </c>
      <c r="BP93" s="41">
        <f t="shared" si="103"/>
        <v>0</v>
      </c>
      <c r="BQ93" s="53"/>
      <c r="BR93" s="53"/>
      <c r="BS93" t="s">
        <v>978</v>
      </c>
      <c r="BT93">
        <v>195948</v>
      </c>
      <c r="BU93">
        <v>152423</v>
      </c>
      <c r="BV93" s="51">
        <v>33288.58</v>
      </c>
      <c r="BW93" s="32">
        <f t="shared" si="77"/>
        <v>5073945229.3400002</v>
      </c>
      <c r="BX93">
        <v>9060</v>
      </c>
      <c r="BY93" s="37">
        <f t="shared" si="78"/>
        <v>4.6236756690550551E-2</v>
      </c>
      <c r="BZ93">
        <v>4.5176000000000001E-3</v>
      </c>
      <c r="CA93" s="3">
        <f t="shared" si="79"/>
        <v>4.5176000000000003E-5</v>
      </c>
      <c r="CB93" s="11">
        <f>+'Seat capacity elasticities'!AF123</f>
        <v>4.8945530169653334E-2</v>
      </c>
      <c r="CC93" s="11">
        <f>+'Seat capacity elasticities'!AG123</f>
        <v>3.911154114164983E-2</v>
      </c>
      <c r="CD93" s="11">
        <f>+'Seat capacity elasticities'!AH123</f>
        <v>0.13429098530301997</v>
      </c>
      <c r="CE93" s="11">
        <f>+'Seat capacity elasticities'!AI123</f>
        <v>4.63162987203748E-2</v>
      </c>
      <c r="CF93" s="32">
        <f t="shared" si="104"/>
        <v>2483469.393018296</v>
      </c>
      <c r="CG93" s="33">
        <f t="shared" si="105"/>
        <v>4.8945530169653339E-4</v>
      </c>
      <c r="CH93" s="40">
        <f t="shared" si="106"/>
        <v>1984498.1758780931</v>
      </c>
      <c r="CI93" s="33">
        <f t="shared" si="107"/>
        <v>3.9111541141649835E-4</v>
      </c>
      <c r="CJ93" s="40">
        <f t="shared" si="108"/>
        <v>12166763.268453611</v>
      </c>
      <c r="CK93" s="41">
        <f t="shared" si="109"/>
        <v>1.3429098530301998E-3</v>
      </c>
      <c r="CL93" s="40">
        <f t="shared" si="110"/>
        <v>4196256.6640659571</v>
      </c>
      <c r="CM93" s="41">
        <f t="shared" si="111"/>
        <v>4.6316298720374798E-4</v>
      </c>
      <c r="CO93" s="70">
        <f t="shared" si="112"/>
        <v>0</v>
      </c>
      <c r="CP93" s="70">
        <f t="shared" si="113"/>
        <v>0</v>
      </c>
      <c r="CQ93" s="70">
        <f t="shared" si="114"/>
        <v>0</v>
      </c>
      <c r="CR93" s="70">
        <f t="shared" si="115"/>
        <v>0</v>
      </c>
      <c r="CS93" s="70">
        <f t="shared" si="116"/>
        <v>0</v>
      </c>
      <c r="CT93" s="70">
        <f t="shared" si="117"/>
        <v>0</v>
      </c>
      <c r="CU93" s="69">
        <f t="shared" si="118"/>
        <v>0</v>
      </c>
      <c r="CV93" s="69">
        <f t="shared" si="119"/>
        <v>0</v>
      </c>
      <c r="CW93" s="70">
        <f t="shared" si="120"/>
        <v>0</v>
      </c>
      <c r="CX93" s="69">
        <f t="shared" si="121"/>
        <v>0</v>
      </c>
      <c r="CY93" s="69">
        <f t="shared" si="122"/>
        <v>0</v>
      </c>
      <c r="CZ93" s="70">
        <f t="shared" si="123"/>
        <v>0</v>
      </c>
      <c r="DB93" s="70">
        <f t="shared" si="124"/>
        <v>2.4190304974659025</v>
      </c>
      <c r="DC93" s="70">
        <f t="shared" si="125"/>
        <v>16.293271966949188</v>
      </c>
      <c r="DD93" s="70">
        <f t="shared" si="126"/>
        <v>18.712302464415089</v>
      </c>
      <c r="DE93" s="70">
        <f t="shared" si="127"/>
        <v>4.5847319215448694</v>
      </c>
      <c r="DF93" s="70">
        <f t="shared" si="128"/>
        <v>13.019676662171019</v>
      </c>
      <c r="DG93" s="70">
        <f t="shared" si="129"/>
        <v>17.604408583715887</v>
      </c>
      <c r="DH93" s="69">
        <f t="shared" si="130"/>
        <v>11.851070717673377</v>
      </c>
      <c r="DI93" s="69">
        <f t="shared" si="131"/>
        <v>79.822357967325217</v>
      </c>
      <c r="DJ93" s="70">
        <f t="shared" si="132"/>
        <v>91.673428684998598</v>
      </c>
      <c r="DK93" s="69">
        <f t="shared" si="133"/>
        <v>9.6944971341311064</v>
      </c>
      <c r="DL93" s="69">
        <f t="shared" si="134"/>
        <v>27.530337705372268</v>
      </c>
      <c r="DM93" s="70">
        <f t="shared" si="135"/>
        <v>37.224834839503373</v>
      </c>
    </row>
    <row r="94" spans="1:117">
      <c r="A94" t="s">
        <v>979</v>
      </c>
      <c r="B94">
        <v>122407</v>
      </c>
      <c r="C94">
        <v>67574</v>
      </c>
      <c r="D94" s="51">
        <v>40577.93</v>
      </c>
      <c r="E94" s="32">
        <f t="shared" si="68"/>
        <v>2742013041.8200002</v>
      </c>
      <c r="F94">
        <v>6531</v>
      </c>
      <c r="G94" s="37">
        <f t="shared" si="69"/>
        <v>5.3354791801122486E-2</v>
      </c>
      <c r="H94">
        <v>0</v>
      </c>
      <c r="I94" s="3">
        <f t="shared" si="70"/>
        <v>0</v>
      </c>
      <c r="J94" s="11">
        <f>+'Seat capacity elasticities'!K124</f>
        <v>0</v>
      </c>
      <c r="K94" s="11">
        <f>+'Seat capacity elasticities'!L124</f>
        <v>0</v>
      </c>
      <c r="L94" s="11">
        <f>+'Seat capacity elasticities'!M124</f>
        <v>0</v>
      </c>
      <c r="M94" s="11">
        <f>+'Seat capacity elasticities'!N124</f>
        <v>0</v>
      </c>
      <c r="N94" s="32">
        <f t="shared" si="80"/>
        <v>0</v>
      </c>
      <c r="O94" s="33">
        <f t="shared" si="81"/>
        <v>0</v>
      </c>
      <c r="P94" s="40">
        <f t="shared" si="82"/>
        <v>0</v>
      </c>
      <c r="Q94" s="33">
        <f t="shared" si="83"/>
        <v>0</v>
      </c>
      <c r="R94" s="40">
        <f t="shared" si="84"/>
        <v>0</v>
      </c>
      <c r="S94" s="41">
        <f t="shared" si="85"/>
        <v>0</v>
      </c>
      <c r="T94" s="40">
        <f t="shared" si="86"/>
        <v>0</v>
      </c>
      <c r="U94" s="41">
        <f t="shared" si="87"/>
        <v>0</v>
      </c>
      <c r="V94" s="53"/>
      <c r="W94" s="53"/>
      <c r="X94" t="s">
        <v>979</v>
      </c>
      <c r="Y94">
        <v>122407</v>
      </c>
      <c r="Z94">
        <v>67574</v>
      </c>
      <c r="AA94" s="51">
        <v>40577.93</v>
      </c>
      <c r="AB94" s="32">
        <f t="shared" si="71"/>
        <v>2742013041.8200002</v>
      </c>
      <c r="AC94">
        <v>6531</v>
      </c>
      <c r="AD94" s="37">
        <f t="shared" si="72"/>
        <v>5.3354791801122486E-2</v>
      </c>
      <c r="AE94">
        <v>7.1960000000000004E-4</v>
      </c>
      <c r="AF94" s="3">
        <f t="shared" si="73"/>
        <v>7.1960000000000002E-6</v>
      </c>
      <c r="AG94" s="11">
        <f>+'Seat capacity elasticities'!R124</f>
        <v>1.831333635845214E-3</v>
      </c>
      <c r="AH94" s="11">
        <f>+'Seat capacity elasticities'!S124</f>
        <v>3.4708838057452927E-3</v>
      </c>
      <c r="AI94" s="11">
        <f>+'Seat capacity elasticities'!T124</f>
        <v>5.0245977012359664E-3</v>
      </c>
      <c r="AJ94" s="11">
        <f>+'Seat capacity elasticities'!U124</f>
        <v>4.1102571383825831E-3</v>
      </c>
      <c r="AK94" s="32">
        <f t="shared" si="88"/>
        <v>50215.40713411216</v>
      </c>
      <c r="AL94" s="33">
        <f t="shared" si="89"/>
        <v>1.8313336358452141E-5</v>
      </c>
      <c r="AM94" s="40">
        <f t="shared" si="90"/>
        <v>95172.08661995428</v>
      </c>
      <c r="AN94" s="33">
        <f t="shared" si="91"/>
        <v>3.4708838057452923E-5</v>
      </c>
      <c r="AO94" s="40">
        <f t="shared" si="92"/>
        <v>328156.47586772096</v>
      </c>
      <c r="AP94" s="41">
        <f t="shared" si="93"/>
        <v>5.0245977012359658E-5</v>
      </c>
      <c r="AQ94" s="40">
        <f t="shared" si="94"/>
        <v>268440.89370776655</v>
      </c>
      <c r="AR94" s="41">
        <f t="shared" si="95"/>
        <v>4.110257138382584E-5</v>
      </c>
      <c r="AV94" t="s">
        <v>979</v>
      </c>
      <c r="AW94">
        <v>122407</v>
      </c>
      <c r="AX94">
        <v>67574</v>
      </c>
      <c r="AY94" s="51">
        <v>40577.93</v>
      </c>
      <c r="AZ94" s="32">
        <f t="shared" si="74"/>
        <v>2742013041.8200002</v>
      </c>
      <c r="BA94">
        <v>6531</v>
      </c>
      <c r="BB94" s="37">
        <f t="shared" si="75"/>
        <v>5.3354791801122486E-2</v>
      </c>
      <c r="BC94">
        <v>0</v>
      </c>
      <c r="BD94" s="3">
        <f t="shared" si="76"/>
        <v>0</v>
      </c>
      <c r="BE94" s="11">
        <f>+'Seat capacity elasticities'!Y124</f>
        <v>0</v>
      </c>
      <c r="BF94" s="11">
        <f>+'Seat capacity elasticities'!Z124</f>
        <v>0</v>
      </c>
      <c r="BG94" s="11">
        <f>+'Seat capacity elasticities'!AA124</f>
        <v>0</v>
      </c>
      <c r="BH94" s="11">
        <f>+'Seat capacity elasticities'!AB124</f>
        <v>0</v>
      </c>
      <c r="BI94" s="32">
        <f t="shared" si="96"/>
        <v>0</v>
      </c>
      <c r="BJ94" s="33">
        <f t="shared" si="97"/>
        <v>0</v>
      </c>
      <c r="BK94" s="40">
        <f t="shared" si="98"/>
        <v>0</v>
      </c>
      <c r="BL94" s="33">
        <f t="shared" si="99"/>
        <v>0</v>
      </c>
      <c r="BM94" s="40">
        <f t="shared" si="100"/>
        <v>0</v>
      </c>
      <c r="BN94" s="41">
        <f t="shared" si="101"/>
        <v>0</v>
      </c>
      <c r="BO94" s="40">
        <f t="shared" si="102"/>
        <v>0</v>
      </c>
      <c r="BP94" s="41">
        <f t="shared" si="103"/>
        <v>0</v>
      </c>
      <c r="BQ94" s="53"/>
      <c r="BR94" s="53"/>
      <c r="BS94" t="s">
        <v>979</v>
      </c>
      <c r="BT94">
        <v>122407</v>
      </c>
      <c r="BU94">
        <v>67574</v>
      </c>
      <c r="BV94" s="51">
        <v>40577.93</v>
      </c>
      <c r="BW94" s="32">
        <f t="shared" si="77"/>
        <v>2742013041.8200002</v>
      </c>
      <c r="BX94">
        <v>6531</v>
      </c>
      <c r="BY94" s="37">
        <f t="shared" si="78"/>
        <v>5.3354791801122486E-2</v>
      </c>
      <c r="BZ94">
        <v>7.1960000000000004E-4</v>
      </c>
      <c r="CA94" s="3">
        <f t="shared" si="79"/>
        <v>7.1960000000000002E-6</v>
      </c>
      <c r="CB94" s="11">
        <f>+'Seat capacity elasticities'!AF124</f>
        <v>1.2480471644349359E-2</v>
      </c>
      <c r="CC94" s="11">
        <f>+'Seat capacity elasticities'!AG124</f>
        <v>9.9729327375395211E-3</v>
      </c>
      <c r="CD94" s="11">
        <f>+'Seat capacity elasticities'!AH124</f>
        <v>3.4242449276915207E-2</v>
      </c>
      <c r="CE94" s="11">
        <f>+'Seat capacity elasticities'!AI124</f>
        <v>1.1810051926033644E-2</v>
      </c>
      <c r="CF94" s="32">
        <f t="shared" si="104"/>
        <v>342216.16016870644</v>
      </c>
      <c r="CG94" s="33">
        <f t="shared" si="105"/>
        <v>1.2480471644349359E-4</v>
      </c>
      <c r="CH94" s="40">
        <f t="shared" si="106"/>
        <v>273459.11631527002</v>
      </c>
      <c r="CI94" s="33">
        <f t="shared" si="107"/>
        <v>9.9729327375395205E-5</v>
      </c>
      <c r="CJ94" s="40">
        <f t="shared" si="108"/>
        <v>2236374.3622753322</v>
      </c>
      <c r="CK94" s="41">
        <f t="shared" si="109"/>
        <v>3.4242449276915212E-4</v>
      </c>
      <c r="CL94" s="40">
        <f t="shared" si="110"/>
        <v>771314.49128925719</v>
      </c>
      <c r="CM94" s="41">
        <f t="shared" si="111"/>
        <v>1.1810051926033643E-4</v>
      </c>
      <c r="CO94" s="70">
        <f t="shared" si="112"/>
        <v>0</v>
      </c>
      <c r="CP94" s="70">
        <f t="shared" si="113"/>
        <v>0</v>
      </c>
      <c r="CQ94" s="70">
        <f t="shared" si="114"/>
        <v>0</v>
      </c>
      <c r="CR94" s="70">
        <f t="shared" si="115"/>
        <v>0</v>
      </c>
      <c r="CS94" s="70">
        <f t="shared" si="116"/>
        <v>0</v>
      </c>
      <c r="CT94" s="70">
        <f t="shared" si="117"/>
        <v>0</v>
      </c>
      <c r="CU94" s="69">
        <f t="shared" si="118"/>
        <v>0</v>
      </c>
      <c r="CV94" s="69">
        <f t="shared" si="119"/>
        <v>0</v>
      </c>
      <c r="CW94" s="70">
        <f t="shared" si="120"/>
        <v>0</v>
      </c>
      <c r="CX94" s="69">
        <f t="shared" si="121"/>
        <v>0</v>
      </c>
      <c r="CY94" s="69">
        <f t="shared" si="122"/>
        <v>0</v>
      </c>
      <c r="CZ94" s="70">
        <f t="shared" si="123"/>
        <v>0</v>
      </c>
      <c r="DB94" s="70">
        <f t="shared" si="124"/>
        <v>0.74311728081972594</v>
      </c>
      <c r="DC94" s="70">
        <f t="shared" si="125"/>
        <v>5.0643170475139323</v>
      </c>
      <c r="DD94" s="70">
        <f t="shared" si="126"/>
        <v>5.8074343283336578</v>
      </c>
      <c r="DE94" s="70">
        <f t="shared" si="127"/>
        <v>1.4084128010766608</v>
      </c>
      <c r="DF94" s="70">
        <f t="shared" si="128"/>
        <v>4.0468096651858705</v>
      </c>
      <c r="DG94" s="70">
        <f t="shared" si="129"/>
        <v>5.4552224662625317</v>
      </c>
      <c r="DH94" s="69">
        <f t="shared" si="130"/>
        <v>4.8562535275064516</v>
      </c>
      <c r="DI94" s="69">
        <f t="shared" si="131"/>
        <v>33.095189899596477</v>
      </c>
      <c r="DJ94" s="70">
        <f t="shared" si="132"/>
        <v>37.95144342710293</v>
      </c>
      <c r="DK94" s="69">
        <f t="shared" si="133"/>
        <v>3.9725470403966989</v>
      </c>
      <c r="DL94" s="69">
        <f t="shared" si="134"/>
        <v>11.414367823264232</v>
      </c>
      <c r="DM94" s="70">
        <f t="shared" si="135"/>
        <v>15.38691486366093</v>
      </c>
    </row>
    <row r="95" spans="1:117">
      <c r="A95" t="s">
        <v>381</v>
      </c>
      <c r="B95">
        <v>455408</v>
      </c>
      <c r="C95">
        <v>266751</v>
      </c>
      <c r="D95" s="51">
        <v>37201.99</v>
      </c>
      <c r="E95" s="32">
        <f t="shared" si="68"/>
        <v>9923668034.4899998</v>
      </c>
      <c r="F95">
        <v>15667</v>
      </c>
      <c r="G95" s="37">
        <f t="shared" si="69"/>
        <v>3.4402118539858764E-2</v>
      </c>
      <c r="H95">
        <v>0</v>
      </c>
      <c r="I95" s="3">
        <f t="shared" si="70"/>
        <v>0</v>
      </c>
      <c r="J95" s="11">
        <f>+'Seat capacity elasticities'!K125</f>
        <v>0</v>
      </c>
      <c r="K95" s="11">
        <f>+'Seat capacity elasticities'!L125</f>
        <v>0</v>
      </c>
      <c r="L95" s="11">
        <f>+'Seat capacity elasticities'!M125</f>
        <v>0</v>
      </c>
      <c r="M95" s="11">
        <f>+'Seat capacity elasticities'!N125</f>
        <v>0</v>
      </c>
      <c r="N95" s="32">
        <f t="shared" si="80"/>
        <v>0</v>
      </c>
      <c r="O95" s="33">
        <f t="shared" si="81"/>
        <v>0</v>
      </c>
      <c r="P95" s="40">
        <f t="shared" si="82"/>
        <v>0</v>
      </c>
      <c r="Q95" s="33">
        <f t="shared" si="83"/>
        <v>0</v>
      </c>
      <c r="R95" s="40">
        <f t="shared" si="84"/>
        <v>0</v>
      </c>
      <c r="S95" s="41">
        <f t="shared" si="85"/>
        <v>0</v>
      </c>
      <c r="T95" s="40">
        <f t="shared" si="86"/>
        <v>0</v>
      </c>
      <c r="U95" s="41">
        <f t="shared" si="87"/>
        <v>0</v>
      </c>
      <c r="V95" s="53"/>
      <c r="W95" s="53"/>
      <c r="X95" t="s">
        <v>381</v>
      </c>
      <c r="Y95">
        <v>455408</v>
      </c>
      <c r="Z95">
        <v>266751</v>
      </c>
      <c r="AA95" s="51">
        <v>37201.99</v>
      </c>
      <c r="AB95" s="32">
        <f t="shared" si="71"/>
        <v>9923668034.4899998</v>
      </c>
      <c r="AC95">
        <v>15667</v>
      </c>
      <c r="AD95" s="37">
        <f t="shared" si="72"/>
        <v>3.4402118539858764E-2</v>
      </c>
      <c r="AE95">
        <v>3.1814999999999999E-3</v>
      </c>
      <c r="AF95" s="3">
        <f t="shared" si="73"/>
        <v>3.1814999999999999E-5</v>
      </c>
      <c r="AG95" s="11">
        <f>+'Seat capacity elasticities'!R125</f>
        <v>9.5036624579794924E-3</v>
      </c>
      <c r="AH95" s="11">
        <f>+'Seat capacity elasticities'!S125</f>
        <v>1.8012069169169427E-2</v>
      </c>
      <c r="AI95" s="11">
        <f>+'Seat capacity elasticities'!T125</f>
        <v>2.6075030570629657E-2</v>
      </c>
      <c r="AJ95" s="11">
        <f>+'Seat capacity elasticities'!U125</f>
        <v>2.1330081910858532E-2</v>
      </c>
      <c r="AK95" s="32">
        <f t="shared" si="88"/>
        <v>943111.91344833747</v>
      </c>
      <c r="AL95" s="33">
        <f t="shared" si="89"/>
        <v>9.5036624579794923E-5</v>
      </c>
      <c r="AM95" s="40">
        <f t="shared" si="90"/>
        <v>1787457.950491095</v>
      </c>
      <c r="AN95" s="33">
        <f t="shared" si="91"/>
        <v>1.8012069169169427E-4</v>
      </c>
      <c r="AO95" s="40">
        <f t="shared" si="92"/>
        <v>4085175.039500548</v>
      </c>
      <c r="AP95" s="41">
        <f t="shared" si="93"/>
        <v>2.6075030570629656E-4</v>
      </c>
      <c r="AQ95" s="40">
        <f t="shared" si="94"/>
        <v>3341783.9329742058</v>
      </c>
      <c r="AR95" s="41">
        <f t="shared" si="95"/>
        <v>2.133008191085853E-4</v>
      </c>
      <c r="AV95" t="s">
        <v>381</v>
      </c>
      <c r="AW95">
        <v>455408</v>
      </c>
      <c r="AX95">
        <v>266751</v>
      </c>
      <c r="AY95" s="51">
        <v>37201.99</v>
      </c>
      <c r="AZ95" s="32">
        <f t="shared" si="74"/>
        <v>9923668034.4899998</v>
      </c>
      <c r="BA95">
        <v>15667</v>
      </c>
      <c r="BB95" s="37">
        <f t="shared" si="75"/>
        <v>3.4402118539858764E-2</v>
      </c>
      <c r="BC95">
        <v>0</v>
      </c>
      <c r="BD95" s="3">
        <f t="shared" si="76"/>
        <v>0</v>
      </c>
      <c r="BE95" s="11">
        <f>+'Seat capacity elasticities'!Y125</f>
        <v>0</v>
      </c>
      <c r="BF95" s="11">
        <f>+'Seat capacity elasticities'!Z125</f>
        <v>0</v>
      </c>
      <c r="BG95" s="11">
        <f>+'Seat capacity elasticities'!AA125</f>
        <v>0</v>
      </c>
      <c r="BH95" s="11">
        <f>+'Seat capacity elasticities'!AB125</f>
        <v>0</v>
      </c>
      <c r="BI95" s="32">
        <f t="shared" si="96"/>
        <v>0</v>
      </c>
      <c r="BJ95" s="33">
        <f t="shared" si="97"/>
        <v>0</v>
      </c>
      <c r="BK95" s="40">
        <f t="shared" si="98"/>
        <v>0</v>
      </c>
      <c r="BL95" s="33">
        <f t="shared" si="99"/>
        <v>0</v>
      </c>
      <c r="BM95" s="40">
        <f t="shared" si="100"/>
        <v>0</v>
      </c>
      <c r="BN95" s="41">
        <f t="shared" si="101"/>
        <v>0</v>
      </c>
      <c r="BO95" s="40">
        <f t="shared" si="102"/>
        <v>0</v>
      </c>
      <c r="BP95" s="41">
        <f t="shared" si="103"/>
        <v>0</v>
      </c>
      <c r="BQ95" s="53"/>
      <c r="BR95" s="53"/>
      <c r="BS95" t="s">
        <v>381</v>
      </c>
      <c r="BT95">
        <v>455408</v>
      </c>
      <c r="BU95">
        <v>266751</v>
      </c>
      <c r="BV95" s="51">
        <v>37201.99</v>
      </c>
      <c r="BW95" s="32">
        <f t="shared" si="77"/>
        <v>9923668034.4899998</v>
      </c>
      <c r="BX95">
        <v>15667</v>
      </c>
      <c r="BY95" s="37">
        <f t="shared" si="78"/>
        <v>3.4402118539858764E-2</v>
      </c>
      <c r="BZ95">
        <v>3.1814999999999999E-3</v>
      </c>
      <c r="CA95" s="3">
        <f t="shared" si="79"/>
        <v>3.1814999999999999E-5</v>
      </c>
      <c r="CB95" s="11">
        <f>+'Seat capacity elasticities'!AF125</f>
        <v>1.4831236817589017E-2</v>
      </c>
      <c r="CC95" s="11">
        <f>+'Seat capacity elasticities'!AG125</f>
        <v>1.1851389227209448E-2</v>
      </c>
      <c r="CD95" s="11">
        <f>+'Seat capacity elasticities'!AH125</f>
        <v>4.0692202098800194E-2</v>
      </c>
      <c r="CE95" s="11">
        <f>+'Seat capacity elasticities'!AI125</f>
        <v>1.4034539874326978E-2</v>
      </c>
      <c r="CF95" s="32">
        <f t="shared" si="104"/>
        <v>1471802.7071865932</v>
      </c>
      <c r="CG95" s="33">
        <f t="shared" si="105"/>
        <v>1.4831236817589016E-4</v>
      </c>
      <c r="CH95" s="40">
        <f t="shared" si="106"/>
        <v>1176092.5243835754</v>
      </c>
      <c r="CI95" s="33">
        <f t="shared" si="107"/>
        <v>1.1851389227209448E-4</v>
      </c>
      <c r="CJ95" s="40">
        <f t="shared" si="108"/>
        <v>6375247.3028190266</v>
      </c>
      <c r="CK95" s="41">
        <f t="shared" si="109"/>
        <v>4.0692202098800196E-4</v>
      </c>
      <c r="CL95" s="40">
        <f t="shared" si="110"/>
        <v>2198791.3621108076</v>
      </c>
      <c r="CM95" s="41">
        <f t="shared" si="111"/>
        <v>1.4034539874326979E-4</v>
      </c>
      <c r="CO95" s="70">
        <f t="shared" si="112"/>
        <v>0</v>
      </c>
      <c r="CP95" s="70">
        <f t="shared" si="113"/>
        <v>0</v>
      </c>
      <c r="CQ95" s="70">
        <f t="shared" si="114"/>
        <v>0</v>
      </c>
      <c r="CR95" s="70">
        <f t="shared" si="115"/>
        <v>0</v>
      </c>
      <c r="CS95" s="70">
        <f t="shared" si="116"/>
        <v>0</v>
      </c>
      <c r="CT95" s="70">
        <f t="shared" si="117"/>
        <v>0</v>
      </c>
      <c r="CU95" s="69">
        <f t="shared" si="118"/>
        <v>0</v>
      </c>
      <c r="CV95" s="69">
        <f t="shared" si="119"/>
        <v>0</v>
      </c>
      <c r="CW95" s="70">
        <f t="shared" si="120"/>
        <v>0</v>
      </c>
      <c r="CX95" s="69">
        <f t="shared" si="121"/>
        <v>0</v>
      </c>
      <c r="CY95" s="69">
        <f t="shared" si="122"/>
        <v>0</v>
      </c>
      <c r="CZ95" s="70">
        <f t="shared" si="123"/>
        <v>0</v>
      </c>
      <c r="DB95" s="70">
        <f t="shared" si="124"/>
        <v>3.5355515572512846</v>
      </c>
      <c r="DC95" s="70">
        <f t="shared" si="125"/>
        <v>5.5175152377557843</v>
      </c>
      <c r="DD95" s="70">
        <f t="shared" si="126"/>
        <v>9.0530667950070693</v>
      </c>
      <c r="DE95" s="70">
        <f t="shared" si="127"/>
        <v>6.7008481711074932</v>
      </c>
      <c r="DF95" s="70">
        <f t="shared" si="128"/>
        <v>4.4089526351675357</v>
      </c>
      <c r="DG95" s="70">
        <f t="shared" si="129"/>
        <v>11.109800806275029</v>
      </c>
      <c r="DH95" s="69">
        <f t="shared" si="130"/>
        <v>15.314563167525325</v>
      </c>
      <c r="DI95" s="69">
        <f t="shared" si="131"/>
        <v>23.899619131021165</v>
      </c>
      <c r="DJ95" s="70">
        <f t="shared" si="132"/>
        <v>39.21418229854649</v>
      </c>
      <c r="DK95" s="69">
        <f t="shared" si="133"/>
        <v>12.527727854719217</v>
      </c>
      <c r="DL95" s="69">
        <f t="shared" si="134"/>
        <v>8.2428608031865203</v>
      </c>
      <c r="DM95" s="70">
        <f t="shared" si="135"/>
        <v>20.770588657905737</v>
      </c>
    </row>
    <row r="96" spans="1:117">
      <c r="A96" t="s">
        <v>382</v>
      </c>
      <c r="B96">
        <v>128426</v>
      </c>
      <c r="C96">
        <v>86170</v>
      </c>
      <c r="D96" s="51">
        <v>31467.84</v>
      </c>
      <c r="E96" s="32">
        <f t="shared" si="68"/>
        <v>2711583772.8000002</v>
      </c>
      <c r="F96">
        <v>3339</v>
      </c>
      <c r="G96" s="37">
        <f t="shared" si="69"/>
        <v>2.5999408219519411E-2</v>
      </c>
      <c r="H96">
        <v>0</v>
      </c>
      <c r="I96" s="3">
        <f t="shared" si="70"/>
        <v>0</v>
      </c>
      <c r="J96" s="11">
        <f>+'Seat capacity elasticities'!K126</f>
        <v>0</v>
      </c>
      <c r="K96" s="11">
        <f>+'Seat capacity elasticities'!L126</f>
        <v>0</v>
      </c>
      <c r="L96" s="11">
        <f>+'Seat capacity elasticities'!M126</f>
        <v>0</v>
      </c>
      <c r="M96" s="11">
        <f>+'Seat capacity elasticities'!N126</f>
        <v>0</v>
      </c>
      <c r="N96" s="32">
        <f t="shared" si="80"/>
        <v>0</v>
      </c>
      <c r="O96" s="33">
        <f t="shared" si="81"/>
        <v>0</v>
      </c>
      <c r="P96" s="40">
        <f t="shared" si="82"/>
        <v>0</v>
      </c>
      <c r="Q96" s="33">
        <f t="shared" si="83"/>
        <v>0</v>
      </c>
      <c r="R96" s="40">
        <f t="shared" si="84"/>
        <v>0</v>
      </c>
      <c r="S96" s="41">
        <f t="shared" si="85"/>
        <v>0</v>
      </c>
      <c r="T96" s="40">
        <f t="shared" si="86"/>
        <v>0</v>
      </c>
      <c r="U96" s="41">
        <f t="shared" si="87"/>
        <v>0</v>
      </c>
      <c r="V96" s="53"/>
      <c r="W96" s="53"/>
      <c r="X96" t="s">
        <v>382</v>
      </c>
      <c r="Y96">
        <v>128426</v>
      </c>
      <c r="Z96">
        <v>86170</v>
      </c>
      <c r="AA96" s="51">
        <v>31467.84</v>
      </c>
      <c r="AB96" s="32">
        <f t="shared" si="71"/>
        <v>2711583772.8000002</v>
      </c>
      <c r="AC96">
        <v>3339</v>
      </c>
      <c r="AD96" s="37">
        <f t="shared" si="72"/>
        <v>2.5999408219519411E-2</v>
      </c>
      <c r="AE96">
        <v>2.5029000000000002E-3</v>
      </c>
      <c r="AF96" s="3">
        <f t="shared" si="73"/>
        <v>2.5029000000000004E-5</v>
      </c>
      <c r="AG96" s="11">
        <f>+'Seat capacity elasticities'!R126</f>
        <v>6.5462052556602267E-3</v>
      </c>
      <c r="AH96" s="11">
        <f>+'Seat capacity elasticities'!S126</f>
        <v>1.2406869707533847E-2</v>
      </c>
      <c r="AI96" s="11">
        <f>+'Seat capacity elasticities'!T126</f>
        <v>1.7960707560656219E-2</v>
      </c>
      <c r="AJ96" s="11">
        <f>+'Seat capacity elasticities'!U126</f>
        <v>1.4692345706290081E-2</v>
      </c>
      <c r="AK96" s="32">
        <f t="shared" si="88"/>
        <v>177505.83944666348</v>
      </c>
      <c r="AL96" s="33">
        <f t="shared" si="89"/>
        <v>6.5462052556602263E-5</v>
      </c>
      <c r="AM96" s="40">
        <f t="shared" si="90"/>
        <v>336422.66570192663</v>
      </c>
      <c r="AN96" s="33">
        <f t="shared" si="91"/>
        <v>1.2406869707533847E-4</v>
      </c>
      <c r="AO96" s="40">
        <f t="shared" si="92"/>
        <v>599708.02545031114</v>
      </c>
      <c r="AP96" s="41">
        <f t="shared" si="93"/>
        <v>1.7960707560656217E-4</v>
      </c>
      <c r="AQ96" s="40">
        <f t="shared" si="94"/>
        <v>490577.42313302582</v>
      </c>
      <c r="AR96" s="41">
        <f t="shared" si="95"/>
        <v>1.4692345706290082E-4</v>
      </c>
      <c r="AV96" t="s">
        <v>382</v>
      </c>
      <c r="AW96">
        <v>128426</v>
      </c>
      <c r="AX96">
        <v>86170</v>
      </c>
      <c r="AY96" s="51">
        <v>31467.84</v>
      </c>
      <c r="AZ96" s="32">
        <f t="shared" si="74"/>
        <v>2711583772.8000002</v>
      </c>
      <c r="BA96">
        <v>3339</v>
      </c>
      <c r="BB96" s="37">
        <f t="shared" si="75"/>
        <v>2.5999408219519411E-2</v>
      </c>
      <c r="BC96">
        <v>0</v>
      </c>
      <c r="BD96" s="3">
        <f t="shared" si="76"/>
        <v>0</v>
      </c>
      <c r="BE96" s="11">
        <f>+'Seat capacity elasticities'!Y126</f>
        <v>0</v>
      </c>
      <c r="BF96" s="11">
        <f>+'Seat capacity elasticities'!Z126</f>
        <v>0</v>
      </c>
      <c r="BG96" s="11">
        <f>+'Seat capacity elasticities'!AA126</f>
        <v>0</v>
      </c>
      <c r="BH96" s="11">
        <f>+'Seat capacity elasticities'!AB126</f>
        <v>0</v>
      </c>
      <c r="BI96" s="32">
        <f t="shared" si="96"/>
        <v>0</v>
      </c>
      <c r="BJ96" s="33">
        <f t="shared" si="97"/>
        <v>0</v>
      </c>
      <c r="BK96" s="40">
        <f t="shared" si="98"/>
        <v>0</v>
      </c>
      <c r="BL96" s="33">
        <f t="shared" si="99"/>
        <v>0</v>
      </c>
      <c r="BM96" s="40">
        <f t="shared" si="100"/>
        <v>0</v>
      </c>
      <c r="BN96" s="41">
        <f t="shared" si="101"/>
        <v>0</v>
      </c>
      <c r="BO96" s="40">
        <f t="shared" si="102"/>
        <v>0</v>
      </c>
      <c r="BP96" s="41">
        <f t="shared" si="103"/>
        <v>0</v>
      </c>
      <c r="BQ96" s="53"/>
      <c r="BR96" s="53"/>
      <c r="BS96" t="s">
        <v>382</v>
      </c>
      <c r="BT96">
        <v>128426</v>
      </c>
      <c r="BU96">
        <v>86170</v>
      </c>
      <c r="BV96" s="51">
        <v>31467.84</v>
      </c>
      <c r="BW96" s="32">
        <f t="shared" si="77"/>
        <v>2711583772.8000002</v>
      </c>
      <c r="BX96">
        <v>3339</v>
      </c>
      <c r="BY96" s="37">
        <f t="shared" si="78"/>
        <v>2.5999408219519411E-2</v>
      </c>
      <c r="BZ96">
        <v>2.5029000000000002E-3</v>
      </c>
      <c r="CA96" s="3">
        <f t="shared" si="79"/>
        <v>2.5029000000000004E-5</v>
      </c>
      <c r="CB96" s="11">
        <f>+'Seat capacity elasticities'!AF126</f>
        <v>4.1374869754246243E-2</v>
      </c>
      <c r="CC96" s="11">
        <f>+'Seat capacity elasticities'!AG126</f>
        <v>3.3061955096094255E-2</v>
      </c>
      <c r="CD96" s="11">
        <f>+'Seat capacity elasticities'!AH126</f>
        <v>0.11351949824269728</v>
      </c>
      <c r="CE96" s="11">
        <f>+'Seat capacity elasticities'!AI126</f>
        <v>3.9152315245374776E-2</v>
      </c>
      <c r="CF96" s="32">
        <f t="shared" si="104"/>
        <v>1121914.2542732765</v>
      </c>
      <c r="CG96" s="33">
        <f t="shared" si="105"/>
        <v>4.1374869754246245E-4</v>
      </c>
      <c r="CH96" s="40">
        <f t="shared" si="106"/>
        <v>896502.60935611452</v>
      </c>
      <c r="CI96" s="33">
        <f t="shared" si="107"/>
        <v>3.3061955096094255E-4</v>
      </c>
      <c r="CJ96" s="40">
        <f t="shared" si="108"/>
        <v>3790416.0463236622</v>
      </c>
      <c r="CK96" s="41">
        <f t="shared" si="109"/>
        <v>1.1351949824269726E-3</v>
      </c>
      <c r="CL96" s="40">
        <f t="shared" si="110"/>
        <v>1307295.8060430638</v>
      </c>
      <c r="CM96" s="41">
        <f t="shared" si="111"/>
        <v>3.9152315245374772E-4</v>
      </c>
      <c r="CO96" s="70">
        <f t="shared" si="112"/>
        <v>0</v>
      </c>
      <c r="CP96" s="70">
        <f t="shared" si="113"/>
        <v>0</v>
      </c>
      <c r="CQ96" s="70">
        <f t="shared" si="114"/>
        <v>0</v>
      </c>
      <c r="CR96" s="70">
        <f t="shared" si="115"/>
        <v>0</v>
      </c>
      <c r="CS96" s="70">
        <f t="shared" si="116"/>
        <v>0</v>
      </c>
      <c r="CT96" s="70">
        <f t="shared" si="117"/>
        <v>0</v>
      </c>
      <c r="CU96" s="69">
        <f t="shared" si="118"/>
        <v>0</v>
      </c>
      <c r="CV96" s="69">
        <f t="shared" si="119"/>
        <v>0</v>
      </c>
      <c r="CW96" s="70">
        <f t="shared" si="120"/>
        <v>0</v>
      </c>
      <c r="CX96" s="69">
        <f t="shared" si="121"/>
        <v>0</v>
      </c>
      <c r="CY96" s="69">
        <f t="shared" si="122"/>
        <v>0</v>
      </c>
      <c r="CZ96" s="70">
        <f t="shared" si="123"/>
        <v>0</v>
      </c>
      <c r="DB96" s="70">
        <f t="shared" si="124"/>
        <v>2.0599493959227515</v>
      </c>
      <c r="DC96" s="70">
        <f t="shared" si="125"/>
        <v>13.019777814474603</v>
      </c>
      <c r="DD96" s="70">
        <f t="shared" si="126"/>
        <v>15.079727210397355</v>
      </c>
      <c r="DE96" s="70">
        <f t="shared" si="127"/>
        <v>3.9041739085752192</v>
      </c>
      <c r="DF96" s="70">
        <f t="shared" si="128"/>
        <v>10.403883130510787</v>
      </c>
      <c r="DG96" s="70">
        <f t="shared" si="129"/>
        <v>14.308057039086005</v>
      </c>
      <c r="DH96" s="69">
        <f t="shared" si="130"/>
        <v>6.9595918005142297</v>
      </c>
      <c r="DI96" s="69">
        <f t="shared" si="131"/>
        <v>43.987652852775469</v>
      </c>
      <c r="DJ96" s="70">
        <f t="shared" si="132"/>
        <v>50.947244653289701</v>
      </c>
      <c r="DK96" s="69">
        <f t="shared" si="133"/>
        <v>5.6931347700246704</v>
      </c>
      <c r="DL96" s="69">
        <f t="shared" si="134"/>
        <v>15.17112459142467</v>
      </c>
      <c r="DM96" s="70">
        <f t="shared" si="135"/>
        <v>20.864259361449342</v>
      </c>
    </row>
    <row r="97" spans="1:117">
      <c r="A97" t="s">
        <v>383</v>
      </c>
      <c r="B97">
        <v>428859</v>
      </c>
      <c r="C97">
        <v>199443</v>
      </c>
      <c r="D97" s="51">
        <v>36288.06</v>
      </c>
      <c r="E97" s="32">
        <f t="shared" si="68"/>
        <v>7237399550.5799999</v>
      </c>
      <c r="F97">
        <v>9771</v>
      </c>
      <c r="G97" s="37">
        <f t="shared" si="69"/>
        <v>2.2783712129161332E-2</v>
      </c>
      <c r="H97">
        <v>0</v>
      </c>
      <c r="I97" s="3">
        <f t="shared" si="70"/>
        <v>0</v>
      </c>
      <c r="J97" s="11">
        <f>+'Seat capacity elasticities'!K127</f>
        <v>0</v>
      </c>
      <c r="K97" s="11">
        <f>+'Seat capacity elasticities'!L127</f>
        <v>0</v>
      </c>
      <c r="L97" s="11">
        <f>+'Seat capacity elasticities'!M127</f>
        <v>0</v>
      </c>
      <c r="M97" s="11">
        <f>+'Seat capacity elasticities'!N127</f>
        <v>0</v>
      </c>
      <c r="N97" s="32">
        <f t="shared" si="80"/>
        <v>0</v>
      </c>
      <c r="O97" s="33">
        <f t="shared" si="81"/>
        <v>0</v>
      </c>
      <c r="P97" s="40">
        <f t="shared" si="82"/>
        <v>0</v>
      </c>
      <c r="Q97" s="33">
        <f t="shared" si="83"/>
        <v>0</v>
      </c>
      <c r="R97" s="40">
        <f t="shared" si="84"/>
        <v>0</v>
      </c>
      <c r="S97" s="41">
        <f t="shared" si="85"/>
        <v>0</v>
      </c>
      <c r="T97" s="40">
        <f t="shared" si="86"/>
        <v>0</v>
      </c>
      <c r="U97" s="41">
        <f t="shared" si="87"/>
        <v>0</v>
      </c>
      <c r="V97" s="53"/>
      <c r="W97" s="53"/>
      <c r="X97" t="s">
        <v>383</v>
      </c>
      <c r="Y97">
        <v>428859</v>
      </c>
      <c r="Z97">
        <v>199443</v>
      </c>
      <c r="AA97" s="51">
        <v>36288.06</v>
      </c>
      <c r="AB97" s="32">
        <f t="shared" si="71"/>
        <v>7237399550.5799999</v>
      </c>
      <c r="AC97">
        <v>9771</v>
      </c>
      <c r="AD97" s="37">
        <f t="shared" si="72"/>
        <v>2.2783712129161332E-2</v>
      </c>
      <c r="AE97">
        <v>1.2562E-2</v>
      </c>
      <c r="AF97" s="3">
        <f t="shared" si="73"/>
        <v>1.2562000000000001E-4</v>
      </c>
      <c r="AG97" s="11">
        <f>+'Seat capacity elasticities'!R127</f>
        <v>3.1509020676114392E-2</v>
      </c>
      <c r="AH97" s="11">
        <f>+'Seat capacity elasticities'!S127</f>
        <v>5.9718309902140949E-2</v>
      </c>
      <c r="AI97" s="11">
        <f>+'Seat capacity elasticities'!T127</f>
        <v>8.6450742649266929E-2</v>
      </c>
      <c r="AJ97" s="11">
        <f>+'Seat capacity elasticities'!U127</f>
        <v>7.0719051199903765E-2</v>
      </c>
      <c r="AK97" s="32">
        <f t="shared" si="88"/>
        <v>2280433.7208052622</v>
      </c>
      <c r="AL97" s="33">
        <f t="shared" si="89"/>
        <v>3.1509020676114393E-4</v>
      </c>
      <c r="AM97" s="40">
        <f t="shared" si="90"/>
        <v>4322052.69247152</v>
      </c>
      <c r="AN97" s="33">
        <f t="shared" si="91"/>
        <v>5.9718309902140939E-4</v>
      </c>
      <c r="AO97" s="40">
        <f t="shared" si="92"/>
        <v>8447102.0642598718</v>
      </c>
      <c r="AP97" s="41">
        <f t="shared" si="93"/>
        <v>8.6450742649266934E-4</v>
      </c>
      <c r="AQ97" s="40">
        <f t="shared" si="94"/>
        <v>6909958.4927425962</v>
      </c>
      <c r="AR97" s="41">
        <f t="shared" si="95"/>
        <v>7.0719051199903758E-4</v>
      </c>
      <c r="AV97" t="s">
        <v>383</v>
      </c>
      <c r="AW97">
        <v>428859</v>
      </c>
      <c r="AX97">
        <v>199443</v>
      </c>
      <c r="AY97" s="51">
        <v>36288.06</v>
      </c>
      <c r="AZ97" s="32">
        <f t="shared" si="74"/>
        <v>7237399550.5799999</v>
      </c>
      <c r="BA97">
        <v>9771</v>
      </c>
      <c r="BB97" s="37">
        <f t="shared" si="75"/>
        <v>2.2783712129161332E-2</v>
      </c>
      <c r="BC97">
        <v>0</v>
      </c>
      <c r="BD97" s="3">
        <f t="shared" si="76"/>
        <v>0</v>
      </c>
      <c r="BE97" s="11">
        <f>+'Seat capacity elasticities'!Y127</f>
        <v>0</v>
      </c>
      <c r="BF97" s="11">
        <f>+'Seat capacity elasticities'!Z127</f>
        <v>0</v>
      </c>
      <c r="BG97" s="11">
        <f>+'Seat capacity elasticities'!AA127</f>
        <v>0</v>
      </c>
      <c r="BH97" s="11">
        <f>+'Seat capacity elasticities'!AB127</f>
        <v>0</v>
      </c>
      <c r="BI97" s="32">
        <f t="shared" si="96"/>
        <v>0</v>
      </c>
      <c r="BJ97" s="33">
        <f t="shared" si="97"/>
        <v>0</v>
      </c>
      <c r="BK97" s="40">
        <f t="shared" si="98"/>
        <v>0</v>
      </c>
      <c r="BL97" s="33">
        <f t="shared" si="99"/>
        <v>0</v>
      </c>
      <c r="BM97" s="40">
        <f t="shared" si="100"/>
        <v>0</v>
      </c>
      <c r="BN97" s="41">
        <f t="shared" si="101"/>
        <v>0</v>
      </c>
      <c r="BO97" s="40">
        <f t="shared" si="102"/>
        <v>0</v>
      </c>
      <c r="BP97" s="41">
        <f t="shared" si="103"/>
        <v>0</v>
      </c>
      <c r="BQ97" s="53"/>
      <c r="BR97" s="53"/>
      <c r="BS97" t="s">
        <v>383</v>
      </c>
      <c r="BT97">
        <v>428859</v>
      </c>
      <c r="BU97">
        <v>199443</v>
      </c>
      <c r="BV97" s="51">
        <v>36288.06</v>
      </c>
      <c r="BW97" s="32">
        <f t="shared" si="77"/>
        <v>7237399550.5799999</v>
      </c>
      <c r="BX97">
        <v>9771</v>
      </c>
      <c r="BY97" s="37">
        <f t="shared" si="78"/>
        <v>2.2783712129161332E-2</v>
      </c>
      <c r="BZ97">
        <v>1.2562E-2</v>
      </c>
      <c r="CA97" s="3">
        <f t="shared" si="79"/>
        <v>1.2562000000000001E-4</v>
      </c>
      <c r="CB97" s="11">
        <f>+'Seat capacity elasticities'!AF127</f>
        <v>6.218567573603874E-2</v>
      </c>
      <c r="CC97" s="11">
        <f>+'Seat capacity elasticities'!AG127</f>
        <v>4.9691516396717803E-2</v>
      </c>
      <c r="CD97" s="11">
        <f>+'Seat capacity elasticities'!AH127</f>
        <v>0.17061773848155032</v>
      </c>
      <c r="CE97" s="11">
        <f>+'Seat capacity elasticities'!AI127</f>
        <v>5.8845216785586879E-2</v>
      </c>
      <c r="CF97" s="32">
        <f t="shared" si="104"/>
        <v>4500625.8162452038</v>
      </c>
      <c r="CG97" s="33">
        <f t="shared" si="105"/>
        <v>6.2185675736038735E-4</v>
      </c>
      <c r="CH97" s="40">
        <f t="shared" si="106"/>
        <v>3596373.5843724408</v>
      </c>
      <c r="CI97" s="33">
        <f t="shared" si="107"/>
        <v>4.9691516396717795E-4</v>
      </c>
      <c r="CJ97" s="40">
        <f t="shared" si="108"/>
        <v>16671059.227032281</v>
      </c>
      <c r="CK97" s="41">
        <f t="shared" si="109"/>
        <v>1.7061773848155034E-3</v>
      </c>
      <c r="CL97" s="40">
        <f t="shared" si="110"/>
        <v>5749766.1321196938</v>
      </c>
      <c r="CM97" s="41">
        <f t="shared" si="111"/>
        <v>5.884521678558688E-4</v>
      </c>
      <c r="CO97" s="70">
        <f t="shared" si="112"/>
        <v>0</v>
      </c>
      <c r="CP97" s="70">
        <f t="shared" si="113"/>
        <v>0</v>
      </c>
      <c r="CQ97" s="70">
        <f t="shared" si="114"/>
        <v>0</v>
      </c>
      <c r="CR97" s="70">
        <f t="shared" si="115"/>
        <v>0</v>
      </c>
      <c r="CS97" s="70">
        <f t="shared" si="116"/>
        <v>0</v>
      </c>
      <c r="CT97" s="70">
        <f t="shared" si="117"/>
        <v>0</v>
      </c>
      <c r="CU97" s="69">
        <f t="shared" si="118"/>
        <v>0</v>
      </c>
      <c r="CV97" s="69">
        <f t="shared" si="119"/>
        <v>0</v>
      </c>
      <c r="CW97" s="70">
        <f t="shared" si="120"/>
        <v>0</v>
      </c>
      <c r="CX97" s="69">
        <f t="shared" si="121"/>
        <v>0</v>
      </c>
      <c r="CY97" s="69">
        <f t="shared" si="122"/>
        <v>0</v>
      </c>
      <c r="CZ97" s="70">
        <f t="shared" si="123"/>
        <v>0</v>
      </c>
      <c r="DB97" s="70">
        <f t="shared" si="124"/>
        <v>11.434012328360796</v>
      </c>
      <c r="DC97" s="70">
        <f t="shared" si="125"/>
        <v>22.565975322499181</v>
      </c>
      <c r="DD97" s="70">
        <f t="shared" si="126"/>
        <v>33.999987650859978</v>
      </c>
      <c r="DE97" s="70">
        <f t="shared" si="127"/>
        <v>21.670616128274844</v>
      </c>
      <c r="DF97" s="70">
        <f t="shared" si="128"/>
        <v>18.032087284950791</v>
      </c>
      <c r="DG97" s="70">
        <f t="shared" si="129"/>
        <v>39.702703413225635</v>
      </c>
      <c r="DH97" s="69">
        <f t="shared" si="130"/>
        <v>42.353464720546079</v>
      </c>
      <c r="DI97" s="69">
        <f t="shared" si="131"/>
        <v>83.588088962923152</v>
      </c>
      <c r="DJ97" s="70">
        <f t="shared" si="132"/>
        <v>125.94155368346924</v>
      </c>
      <c r="DK97" s="69">
        <f t="shared" si="133"/>
        <v>34.64628236008582</v>
      </c>
      <c r="DL97" s="69">
        <f t="shared" si="134"/>
        <v>28.829119759127639</v>
      </c>
      <c r="DM97" s="70">
        <f t="shared" si="135"/>
        <v>63.475402119213456</v>
      </c>
    </row>
    <row r="98" spans="1:117">
      <c r="A98" t="s">
        <v>384</v>
      </c>
      <c r="B98">
        <v>200231</v>
      </c>
      <c r="C98">
        <v>117854</v>
      </c>
      <c r="D98" s="51">
        <v>34081.699999999997</v>
      </c>
      <c r="E98" s="32">
        <f t="shared" si="68"/>
        <v>4016664671.7999997</v>
      </c>
      <c r="F98">
        <v>5727</v>
      </c>
      <c r="G98" s="37">
        <f t="shared" si="69"/>
        <v>2.8601964730736E-2</v>
      </c>
      <c r="H98">
        <v>0</v>
      </c>
      <c r="I98" s="3">
        <f t="shared" si="70"/>
        <v>0</v>
      </c>
      <c r="J98" s="11">
        <f>+'Seat capacity elasticities'!K128</f>
        <v>0</v>
      </c>
      <c r="K98" s="11">
        <f>+'Seat capacity elasticities'!L128</f>
        <v>0</v>
      </c>
      <c r="L98" s="11">
        <f>+'Seat capacity elasticities'!M128</f>
        <v>0</v>
      </c>
      <c r="M98" s="11">
        <f>+'Seat capacity elasticities'!N128</f>
        <v>0</v>
      </c>
      <c r="N98" s="32">
        <f t="shared" si="80"/>
        <v>0</v>
      </c>
      <c r="O98" s="33">
        <f t="shared" si="81"/>
        <v>0</v>
      </c>
      <c r="P98" s="40">
        <f t="shared" si="82"/>
        <v>0</v>
      </c>
      <c r="Q98" s="33">
        <f t="shared" si="83"/>
        <v>0</v>
      </c>
      <c r="R98" s="40">
        <f t="shared" si="84"/>
        <v>0</v>
      </c>
      <c r="S98" s="41">
        <f t="shared" si="85"/>
        <v>0</v>
      </c>
      <c r="T98" s="40">
        <f t="shared" si="86"/>
        <v>0</v>
      </c>
      <c r="U98" s="41">
        <f t="shared" si="87"/>
        <v>0</v>
      </c>
      <c r="V98" s="53"/>
      <c r="W98" s="53"/>
      <c r="X98" t="s">
        <v>384</v>
      </c>
      <c r="Y98">
        <v>200231</v>
      </c>
      <c r="Z98">
        <v>117854</v>
      </c>
      <c r="AA98" s="51">
        <v>34081.699999999997</v>
      </c>
      <c r="AB98" s="32">
        <f t="shared" si="71"/>
        <v>4016664671.7999997</v>
      </c>
      <c r="AC98">
        <v>5727</v>
      </c>
      <c r="AD98" s="37">
        <f t="shared" si="72"/>
        <v>2.8601964730736E-2</v>
      </c>
      <c r="AE98">
        <v>9.4959999999999999E-4</v>
      </c>
      <c r="AF98" s="3">
        <f t="shared" si="73"/>
        <v>9.4960000000000002E-6</v>
      </c>
      <c r="AG98" s="11">
        <f>+'Seat capacity elasticities'!R128</f>
        <v>3.2867392861254162E-3</v>
      </c>
      <c r="AH98" s="11">
        <f>+'Seat capacity elasticities'!S128</f>
        <v>6.2292800932772013E-3</v>
      </c>
      <c r="AI98" s="11">
        <f>+'Seat capacity elasticities'!T128</f>
        <v>9.0177684384668451E-3</v>
      </c>
      <c r="AJ98" s="11">
        <f>+'Seat capacity elasticities'!U128</f>
        <v>7.3767790578282656E-3</v>
      </c>
      <c r="AK98" s="32">
        <f t="shared" si="88"/>
        <v>132017.29575997111</v>
      </c>
      <c r="AL98" s="33">
        <f t="shared" si="89"/>
        <v>3.2867392861254164E-5</v>
      </c>
      <c r="AM98" s="40">
        <f t="shared" si="90"/>
        <v>250209.29281413541</v>
      </c>
      <c r="AN98" s="33">
        <f t="shared" si="91"/>
        <v>6.2292800932772015E-5</v>
      </c>
      <c r="AO98" s="40">
        <f t="shared" si="92"/>
        <v>516447.59847099631</v>
      </c>
      <c r="AP98" s="41">
        <f t="shared" si="93"/>
        <v>9.0177684384668471E-5</v>
      </c>
      <c r="AQ98" s="40">
        <f t="shared" si="94"/>
        <v>422468.13664182473</v>
      </c>
      <c r="AR98" s="41">
        <f t="shared" si="95"/>
        <v>7.3767790578282649E-5</v>
      </c>
      <c r="AV98" t="s">
        <v>384</v>
      </c>
      <c r="AW98">
        <v>200231</v>
      </c>
      <c r="AX98">
        <v>117854</v>
      </c>
      <c r="AY98" s="51">
        <v>34081.699999999997</v>
      </c>
      <c r="AZ98" s="32">
        <f t="shared" si="74"/>
        <v>4016664671.7999997</v>
      </c>
      <c r="BA98">
        <v>5727</v>
      </c>
      <c r="BB98" s="37">
        <f t="shared" si="75"/>
        <v>2.8601964730736E-2</v>
      </c>
      <c r="BC98">
        <v>0</v>
      </c>
      <c r="BD98" s="3">
        <f t="shared" si="76"/>
        <v>0</v>
      </c>
      <c r="BE98" s="11">
        <f>+'Seat capacity elasticities'!Y128</f>
        <v>0</v>
      </c>
      <c r="BF98" s="11">
        <f>+'Seat capacity elasticities'!Z128</f>
        <v>0</v>
      </c>
      <c r="BG98" s="11">
        <f>+'Seat capacity elasticities'!AA128</f>
        <v>0</v>
      </c>
      <c r="BH98" s="11">
        <f>+'Seat capacity elasticities'!AB128</f>
        <v>0</v>
      </c>
      <c r="BI98" s="32">
        <f t="shared" si="96"/>
        <v>0</v>
      </c>
      <c r="BJ98" s="33">
        <f t="shared" si="97"/>
        <v>0</v>
      </c>
      <c r="BK98" s="40">
        <f t="shared" si="98"/>
        <v>0</v>
      </c>
      <c r="BL98" s="33">
        <f t="shared" si="99"/>
        <v>0</v>
      </c>
      <c r="BM98" s="40">
        <f t="shared" si="100"/>
        <v>0</v>
      </c>
      <c r="BN98" s="41">
        <f t="shared" si="101"/>
        <v>0</v>
      </c>
      <c r="BO98" s="40">
        <f t="shared" si="102"/>
        <v>0</v>
      </c>
      <c r="BP98" s="41">
        <f t="shared" si="103"/>
        <v>0</v>
      </c>
      <c r="BQ98" s="53"/>
      <c r="BR98" s="53"/>
      <c r="BS98" t="s">
        <v>384</v>
      </c>
      <c r="BT98">
        <v>200231</v>
      </c>
      <c r="BU98">
        <v>117854</v>
      </c>
      <c r="BV98" s="51">
        <v>34081.699999999997</v>
      </c>
      <c r="BW98" s="32">
        <f t="shared" si="77"/>
        <v>4016664671.7999997</v>
      </c>
      <c r="BX98">
        <v>5727</v>
      </c>
      <c r="BY98" s="37">
        <f t="shared" si="78"/>
        <v>2.8601964730736E-2</v>
      </c>
      <c r="BZ98">
        <v>9.4959999999999999E-4</v>
      </c>
      <c r="CA98" s="3">
        <f t="shared" si="79"/>
        <v>9.4960000000000002E-6</v>
      </c>
      <c r="CB98" s="11">
        <f>+'Seat capacity elasticities'!AF128</f>
        <v>1.0068284688052657E-2</v>
      </c>
      <c r="CC98" s="11">
        <f>+'Seat capacity elasticities'!AG128</f>
        <v>8.0453951451273775E-3</v>
      </c>
      <c r="CD98" s="11">
        <f>+'Seat capacity elasticities'!AH128</f>
        <v>2.7624174595379133E-2</v>
      </c>
      <c r="CE98" s="11">
        <f>+'Seat capacity elasticities'!AI128</f>
        <v>9.52744161922979E-3</v>
      </c>
      <c r="CF98" s="32">
        <f t="shared" si="104"/>
        <v>404409.23412125983</v>
      </c>
      <c r="CG98" s="33">
        <f t="shared" si="105"/>
        <v>1.0068284688052656E-4</v>
      </c>
      <c r="CH98" s="40">
        <f t="shared" si="106"/>
        <v>323156.54450104368</v>
      </c>
      <c r="CI98" s="33">
        <f t="shared" si="107"/>
        <v>8.0453951451273776E-5</v>
      </c>
      <c r="CJ98" s="40">
        <f t="shared" si="108"/>
        <v>1582036.4790773632</v>
      </c>
      <c r="CK98" s="41">
        <f t="shared" si="109"/>
        <v>2.762417459537914E-4</v>
      </c>
      <c r="CL98" s="40">
        <f t="shared" si="110"/>
        <v>545636.58153328998</v>
      </c>
      <c r="CM98" s="41">
        <f t="shared" si="111"/>
        <v>9.5274416192297879E-5</v>
      </c>
      <c r="CO98" s="70">
        <f t="shared" si="112"/>
        <v>0</v>
      </c>
      <c r="CP98" s="70">
        <f t="shared" si="113"/>
        <v>0</v>
      </c>
      <c r="CQ98" s="70">
        <f t="shared" si="114"/>
        <v>0</v>
      </c>
      <c r="CR98" s="70">
        <f t="shared" si="115"/>
        <v>0</v>
      </c>
      <c r="CS98" s="70">
        <f t="shared" si="116"/>
        <v>0</v>
      </c>
      <c r="CT98" s="70">
        <f t="shared" si="117"/>
        <v>0</v>
      </c>
      <c r="CU98" s="69">
        <f t="shared" si="118"/>
        <v>0</v>
      </c>
      <c r="CV98" s="69">
        <f t="shared" si="119"/>
        <v>0</v>
      </c>
      <c r="CW98" s="70">
        <f t="shared" si="120"/>
        <v>0</v>
      </c>
      <c r="CX98" s="69">
        <f t="shared" si="121"/>
        <v>0</v>
      </c>
      <c r="CY98" s="69">
        <f t="shared" si="122"/>
        <v>0</v>
      </c>
      <c r="CZ98" s="70">
        <f t="shared" si="123"/>
        <v>0</v>
      </c>
      <c r="DB98" s="70">
        <f t="shared" si="124"/>
        <v>1.1201766232794059</v>
      </c>
      <c r="DC98" s="70">
        <f t="shared" si="125"/>
        <v>3.4314425825280419</v>
      </c>
      <c r="DD98" s="70">
        <f t="shared" si="126"/>
        <v>4.5516192058074481</v>
      </c>
      <c r="DE98" s="70">
        <f t="shared" si="127"/>
        <v>2.1230445535504558</v>
      </c>
      <c r="DF98" s="70">
        <f t="shared" si="128"/>
        <v>2.742007437176877</v>
      </c>
      <c r="DG98" s="70">
        <f t="shared" si="129"/>
        <v>4.8650519907273324</v>
      </c>
      <c r="DH98" s="69">
        <f t="shared" si="130"/>
        <v>4.3820964792963863</v>
      </c>
      <c r="DI98" s="69">
        <f t="shared" si="131"/>
        <v>13.423697787748937</v>
      </c>
      <c r="DJ98" s="70">
        <f t="shared" si="132"/>
        <v>17.805794267045322</v>
      </c>
      <c r="DK98" s="69">
        <f t="shared" si="133"/>
        <v>3.5846737203813595</v>
      </c>
      <c r="DL98" s="69">
        <f t="shared" si="134"/>
        <v>4.6297671825588438</v>
      </c>
      <c r="DM98" s="70">
        <f t="shared" si="135"/>
        <v>8.2144409029402041</v>
      </c>
    </row>
    <row r="99" spans="1:117">
      <c r="A99" t="s">
        <v>385</v>
      </c>
      <c r="B99">
        <v>99864</v>
      </c>
      <c r="C99">
        <v>60915</v>
      </c>
      <c r="D99" s="51">
        <v>33793.699999999997</v>
      </c>
      <c r="E99" s="32">
        <f t="shared" si="68"/>
        <v>2058543235.4999998</v>
      </c>
      <c r="F99">
        <v>3447</v>
      </c>
      <c r="G99" s="37">
        <f t="shared" si="69"/>
        <v>3.451694304253785E-2</v>
      </c>
      <c r="H99">
        <v>0</v>
      </c>
      <c r="I99" s="3">
        <f t="shared" si="70"/>
        <v>0</v>
      </c>
      <c r="J99" s="11">
        <f>+'Seat capacity elasticities'!K129</f>
        <v>0</v>
      </c>
      <c r="K99" s="11">
        <f>+'Seat capacity elasticities'!L129</f>
        <v>0</v>
      </c>
      <c r="L99" s="11">
        <f>+'Seat capacity elasticities'!M129</f>
        <v>0</v>
      </c>
      <c r="M99" s="11">
        <f>+'Seat capacity elasticities'!N129</f>
        <v>0</v>
      </c>
      <c r="N99" s="32">
        <f t="shared" si="80"/>
        <v>0</v>
      </c>
      <c r="O99" s="33">
        <f t="shared" si="81"/>
        <v>0</v>
      </c>
      <c r="P99" s="40">
        <f t="shared" si="82"/>
        <v>0</v>
      </c>
      <c r="Q99" s="33">
        <f t="shared" si="83"/>
        <v>0</v>
      </c>
      <c r="R99" s="40">
        <f t="shared" si="84"/>
        <v>0</v>
      </c>
      <c r="S99" s="41">
        <f t="shared" si="85"/>
        <v>0</v>
      </c>
      <c r="T99" s="40">
        <f t="shared" si="86"/>
        <v>0</v>
      </c>
      <c r="U99" s="41">
        <f t="shared" si="87"/>
        <v>0</v>
      </c>
      <c r="V99" s="53"/>
      <c r="W99" s="53"/>
      <c r="X99" t="s">
        <v>385</v>
      </c>
      <c r="Y99">
        <v>99864</v>
      </c>
      <c r="Z99">
        <v>60915</v>
      </c>
      <c r="AA99" s="51">
        <v>33793.699999999997</v>
      </c>
      <c r="AB99" s="32">
        <f t="shared" si="71"/>
        <v>2058543235.4999998</v>
      </c>
      <c r="AC99">
        <v>3447</v>
      </c>
      <c r="AD99" s="37">
        <f t="shared" si="72"/>
        <v>3.451694304253785E-2</v>
      </c>
      <c r="AE99">
        <v>2.4956000000000002E-3</v>
      </c>
      <c r="AF99" s="3">
        <f t="shared" si="73"/>
        <v>2.4956000000000003E-5</v>
      </c>
      <c r="AG99" s="11">
        <f>+'Seat capacity elasticities'!R129</f>
        <v>4.4315096235129948E-3</v>
      </c>
      <c r="AH99" s="11">
        <f>+'Seat capacity elasticities'!S129</f>
        <v>8.3989365379382522E-3</v>
      </c>
      <c r="AI99" s="11">
        <f>+'Seat capacity elasticities'!T129</f>
        <v>1.2158654562707134E-2</v>
      </c>
      <c r="AJ99" s="11">
        <f>+'Seat capacity elasticities'!U129</f>
        <v>9.946109058084773E-3</v>
      </c>
      <c r="AK99" s="32">
        <f t="shared" si="88"/>
        <v>91224.541585358253</v>
      </c>
      <c r="AL99" s="33">
        <f t="shared" si="89"/>
        <v>4.4315096235129944E-5</v>
      </c>
      <c r="AM99" s="40">
        <f t="shared" si="90"/>
        <v>172895.73995566575</v>
      </c>
      <c r="AN99" s="33">
        <f t="shared" si="91"/>
        <v>8.398936537938251E-5</v>
      </c>
      <c r="AO99" s="40">
        <f t="shared" si="92"/>
        <v>419108.82277651492</v>
      </c>
      <c r="AP99" s="41">
        <f t="shared" si="93"/>
        <v>1.2158654562707134E-4</v>
      </c>
      <c r="AQ99" s="40">
        <f t="shared" si="94"/>
        <v>342842.37923218211</v>
      </c>
      <c r="AR99" s="41">
        <f t="shared" si="95"/>
        <v>9.9461090580847729E-5</v>
      </c>
      <c r="AV99" t="s">
        <v>385</v>
      </c>
      <c r="AW99">
        <v>99864</v>
      </c>
      <c r="AX99">
        <v>60915</v>
      </c>
      <c r="AY99" s="51">
        <v>33793.699999999997</v>
      </c>
      <c r="AZ99" s="32">
        <f t="shared" si="74"/>
        <v>2058543235.4999998</v>
      </c>
      <c r="BA99">
        <v>3447</v>
      </c>
      <c r="BB99" s="37">
        <f t="shared" si="75"/>
        <v>3.451694304253785E-2</v>
      </c>
      <c r="BC99">
        <v>0</v>
      </c>
      <c r="BD99" s="3">
        <f t="shared" si="76"/>
        <v>0</v>
      </c>
      <c r="BE99" s="11">
        <f>+'Seat capacity elasticities'!Y129</f>
        <v>0</v>
      </c>
      <c r="BF99" s="11">
        <f>+'Seat capacity elasticities'!Z129</f>
        <v>0</v>
      </c>
      <c r="BG99" s="11">
        <f>+'Seat capacity elasticities'!AA129</f>
        <v>0</v>
      </c>
      <c r="BH99" s="11">
        <f>+'Seat capacity elasticities'!AB129</f>
        <v>0</v>
      </c>
      <c r="BI99" s="32">
        <f t="shared" si="96"/>
        <v>0</v>
      </c>
      <c r="BJ99" s="33">
        <f t="shared" si="97"/>
        <v>0</v>
      </c>
      <c r="BK99" s="40">
        <f t="shared" si="98"/>
        <v>0</v>
      </c>
      <c r="BL99" s="33">
        <f t="shared" si="99"/>
        <v>0</v>
      </c>
      <c r="BM99" s="40">
        <f t="shared" si="100"/>
        <v>0</v>
      </c>
      <c r="BN99" s="41">
        <f t="shared" si="101"/>
        <v>0</v>
      </c>
      <c r="BO99" s="40">
        <f t="shared" si="102"/>
        <v>0</v>
      </c>
      <c r="BP99" s="41">
        <f t="shared" si="103"/>
        <v>0</v>
      </c>
      <c r="BQ99" s="53"/>
      <c r="BR99" s="53"/>
      <c r="BS99" t="s">
        <v>385</v>
      </c>
      <c r="BT99">
        <v>99864</v>
      </c>
      <c r="BU99">
        <v>60915</v>
      </c>
      <c r="BV99" s="51">
        <v>33793.699999999997</v>
      </c>
      <c r="BW99" s="32">
        <f t="shared" si="77"/>
        <v>2058543235.4999998</v>
      </c>
      <c r="BX99">
        <v>3447</v>
      </c>
      <c r="BY99" s="37">
        <f t="shared" si="78"/>
        <v>3.451694304253785E-2</v>
      </c>
      <c r="BZ99">
        <v>2.4956000000000002E-3</v>
      </c>
      <c r="CA99" s="3">
        <f t="shared" si="79"/>
        <v>2.4956000000000003E-5</v>
      </c>
      <c r="CB99" s="11">
        <f>+'Seat capacity elasticities'!AF129</f>
        <v>5.3053265061625728E-2</v>
      </c>
      <c r="CC99" s="11">
        <f>+'Seat capacity elasticities'!AG129</f>
        <v>4.2393962267123296E-2</v>
      </c>
      <c r="CD99" s="11">
        <f>+'Seat capacity elasticities'!AH129</f>
        <v>0.14556130486222221</v>
      </c>
      <c r="CE99" s="11">
        <f>+'Seat capacity elasticities'!AI129</f>
        <v>5.0203376368961793E-2</v>
      </c>
      <c r="CF99" s="32">
        <f t="shared" si="104"/>
        <v>1092124.3991379812</v>
      </c>
      <c r="CG99" s="33">
        <f t="shared" si="105"/>
        <v>5.3053265061625728E-4</v>
      </c>
      <c r="CH99" s="40">
        <f t="shared" si="106"/>
        <v>872698.04251028888</v>
      </c>
      <c r="CI99" s="33">
        <f t="shared" si="107"/>
        <v>4.239396226712329E-4</v>
      </c>
      <c r="CJ99" s="40">
        <f t="shared" si="108"/>
        <v>5017498.1786007993</v>
      </c>
      <c r="CK99" s="41">
        <f t="shared" si="109"/>
        <v>1.455613048622222E-3</v>
      </c>
      <c r="CL99" s="40">
        <f t="shared" si="110"/>
        <v>1730510.3834381129</v>
      </c>
      <c r="CM99" s="41">
        <f t="shared" si="111"/>
        <v>5.0203376368961787E-4</v>
      </c>
      <c r="CO99" s="70">
        <f t="shared" si="112"/>
        <v>0</v>
      </c>
      <c r="CP99" s="70">
        <f t="shared" si="113"/>
        <v>0</v>
      </c>
      <c r="CQ99" s="70">
        <f t="shared" si="114"/>
        <v>0</v>
      </c>
      <c r="CR99" s="70">
        <f t="shared" si="115"/>
        <v>0</v>
      </c>
      <c r="CS99" s="70">
        <f t="shared" si="116"/>
        <v>0</v>
      </c>
      <c r="CT99" s="70">
        <f t="shared" si="117"/>
        <v>0</v>
      </c>
      <c r="CU99" s="69">
        <f t="shared" si="118"/>
        <v>0</v>
      </c>
      <c r="CV99" s="69">
        <f t="shared" si="119"/>
        <v>0</v>
      </c>
      <c r="CW99" s="70">
        <f t="shared" si="120"/>
        <v>0</v>
      </c>
      <c r="CX99" s="69">
        <f t="shared" si="121"/>
        <v>0</v>
      </c>
      <c r="CY99" s="69">
        <f t="shared" si="122"/>
        <v>0</v>
      </c>
      <c r="CZ99" s="70">
        <f t="shared" si="123"/>
        <v>0</v>
      </c>
      <c r="DB99" s="70">
        <f t="shared" si="124"/>
        <v>1.4975710676411107</v>
      </c>
      <c r="DC99" s="70">
        <f t="shared" si="125"/>
        <v>17.928661235130612</v>
      </c>
      <c r="DD99" s="70">
        <f t="shared" si="126"/>
        <v>19.426232302771723</v>
      </c>
      <c r="DE99" s="70">
        <f t="shared" si="127"/>
        <v>2.8383114168212384</v>
      </c>
      <c r="DF99" s="70">
        <f t="shared" si="128"/>
        <v>14.326488426664843</v>
      </c>
      <c r="DG99" s="70">
        <f t="shared" si="129"/>
        <v>17.164799843486083</v>
      </c>
      <c r="DH99" s="69">
        <f t="shared" si="130"/>
        <v>6.8802236358288589</v>
      </c>
      <c r="DI99" s="69">
        <f t="shared" si="131"/>
        <v>82.36884476074529</v>
      </c>
      <c r="DJ99" s="70">
        <f t="shared" si="132"/>
        <v>89.249068396574145</v>
      </c>
      <c r="DK99" s="69">
        <f t="shared" si="133"/>
        <v>5.6282094596106393</v>
      </c>
      <c r="DL99" s="69">
        <f t="shared" si="134"/>
        <v>28.40860844517956</v>
      </c>
      <c r="DM99" s="70">
        <f t="shared" si="135"/>
        <v>34.036817904790198</v>
      </c>
    </row>
    <row r="100" spans="1:117">
      <c r="A100" t="s">
        <v>386</v>
      </c>
      <c r="B100">
        <v>292889</v>
      </c>
      <c r="C100">
        <v>195684</v>
      </c>
      <c r="D100" s="51">
        <v>36290.74</v>
      </c>
      <c r="E100" s="32">
        <f t="shared" si="68"/>
        <v>7101517166.1599998</v>
      </c>
      <c r="F100">
        <v>9275</v>
      </c>
      <c r="G100" s="37">
        <f t="shared" si="69"/>
        <v>3.1667286924397978E-2</v>
      </c>
      <c r="H100">
        <v>0</v>
      </c>
      <c r="I100" s="3">
        <f t="shared" si="70"/>
        <v>0</v>
      </c>
      <c r="J100" s="11">
        <f>+'Seat capacity elasticities'!K130</f>
        <v>0</v>
      </c>
      <c r="K100" s="11">
        <f>+'Seat capacity elasticities'!L130</f>
        <v>0</v>
      </c>
      <c r="L100" s="11">
        <f>+'Seat capacity elasticities'!M130</f>
        <v>0</v>
      </c>
      <c r="M100" s="11">
        <f>+'Seat capacity elasticities'!N130</f>
        <v>0</v>
      </c>
      <c r="N100" s="32">
        <f t="shared" si="80"/>
        <v>0</v>
      </c>
      <c r="O100" s="33">
        <f t="shared" si="81"/>
        <v>0</v>
      </c>
      <c r="P100" s="40">
        <f t="shared" si="82"/>
        <v>0</v>
      </c>
      <c r="Q100" s="33">
        <f t="shared" si="83"/>
        <v>0</v>
      </c>
      <c r="R100" s="40">
        <f t="shared" si="84"/>
        <v>0</v>
      </c>
      <c r="S100" s="41">
        <f t="shared" si="85"/>
        <v>0</v>
      </c>
      <c r="T100" s="40">
        <f t="shared" si="86"/>
        <v>0</v>
      </c>
      <c r="U100" s="41">
        <f t="shared" si="87"/>
        <v>0</v>
      </c>
      <c r="V100" s="53"/>
      <c r="W100" s="53"/>
      <c r="X100" t="s">
        <v>386</v>
      </c>
      <c r="Y100">
        <v>292889</v>
      </c>
      <c r="Z100">
        <v>195684</v>
      </c>
      <c r="AA100" s="51">
        <v>36290.74</v>
      </c>
      <c r="AB100" s="32">
        <f t="shared" si="71"/>
        <v>7101517166.1599998</v>
      </c>
      <c r="AC100">
        <v>9275</v>
      </c>
      <c r="AD100" s="37">
        <f t="shared" si="72"/>
        <v>3.1667286924397978E-2</v>
      </c>
      <c r="AE100">
        <v>3.9627000000000004E-3</v>
      </c>
      <c r="AF100" s="3">
        <f t="shared" si="73"/>
        <v>3.9627000000000005E-5</v>
      </c>
      <c r="AG100" s="11">
        <f>+'Seat capacity elasticities'!R130</f>
        <v>1.0405823605731532E-2</v>
      </c>
      <c r="AH100" s="11">
        <f>+'Seat capacity elasticities'!S130</f>
        <v>1.9721914091260832E-2</v>
      </c>
      <c r="AI100" s="11">
        <f>+'Seat capacity elasticities'!T130</f>
        <v>2.8550274152909619E-2</v>
      </c>
      <c r="AJ100" s="11">
        <f>+'Seat capacity elasticities'!U130</f>
        <v>2.3354898265966779E-2</v>
      </c>
      <c r="AK100" s="32">
        <f t="shared" si="88"/>
        <v>738971.34964135417</v>
      </c>
      <c r="AL100" s="33">
        <f t="shared" si="89"/>
        <v>1.0405823605731531E-4</v>
      </c>
      <c r="AM100" s="40">
        <f t="shared" si="90"/>
        <v>1400555.1146862158</v>
      </c>
      <c r="AN100" s="33">
        <f t="shared" si="91"/>
        <v>1.9721914091260829E-4</v>
      </c>
      <c r="AO100" s="40">
        <f t="shared" si="92"/>
        <v>2648037.9276823667</v>
      </c>
      <c r="AP100" s="41">
        <f t="shared" si="93"/>
        <v>2.8550274152909613E-4</v>
      </c>
      <c r="AQ100" s="40">
        <f t="shared" si="94"/>
        <v>2166166.8141684183</v>
      </c>
      <c r="AR100" s="41">
        <f t="shared" si="95"/>
        <v>2.3354898265966773E-4</v>
      </c>
      <c r="AV100" t="s">
        <v>386</v>
      </c>
      <c r="AW100">
        <v>292889</v>
      </c>
      <c r="AX100">
        <v>195684</v>
      </c>
      <c r="AY100" s="51">
        <v>36290.74</v>
      </c>
      <c r="AZ100" s="32">
        <f t="shared" si="74"/>
        <v>7101517166.1599998</v>
      </c>
      <c r="BA100">
        <v>9275</v>
      </c>
      <c r="BB100" s="37">
        <f t="shared" si="75"/>
        <v>3.1667286924397978E-2</v>
      </c>
      <c r="BC100">
        <v>0</v>
      </c>
      <c r="BD100" s="3">
        <f t="shared" si="76"/>
        <v>0</v>
      </c>
      <c r="BE100" s="11">
        <f>+'Seat capacity elasticities'!Y130</f>
        <v>0</v>
      </c>
      <c r="BF100" s="11">
        <f>+'Seat capacity elasticities'!Z130</f>
        <v>0</v>
      </c>
      <c r="BG100" s="11">
        <f>+'Seat capacity elasticities'!AA130</f>
        <v>0</v>
      </c>
      <c r="BH100" s="11">
        <f>+'Seat capacity elasticities'!AB130</f>
        <v>0</v>
      </c>
      <c r="BI100" s="32">
        <f t="shared" si="96"/>
        <v>0</v>
      </c>
      <c r="BJ100" s="33">
        <f t="shared" si="97"/>
        <v>0</v>
      </c>
      <c r="BK100" s="40">
        <f t="shared" si="98"/>
        <v>0</v>
      </c>
      <c r="BL100" s="33">
        <f t="shared" si="99"/>
        <v>0</v>
      </c>
      <c r="BM100" s="40">
        <f t="shared" si="100"/>
        <v>0</v>
      </c>
      <c r="BN100" s="41">
        <f t="shared" si="101"/>
        <v>0</v>
      </c>
      <c r="BO100" s="40">
        <f t="shared" si="102"/>
        <v>0</v>
      </c>
      <c r="BP100" s="41">
        <f t="shared" si="103"/>
        <v>0</v>
      </c>
      <c r="BQ100" s="53"/>
      <c r="BR100" s="53"/>
      <c r="BS100" t="s">
        <v>386</v>
      </c>
      <c r="BT100">
        <v>292889</v>
      </c>
      <c r="BU100">
        <v>195684</v>
      </c>
      <c r="BV100" s="51">
        <v>36290.74</v>
      </c>
      <c r="BW100" s="32">
        <f t="shared" si="77"/>
        <v>7101517166.1599998</v>
      </c>
      <c r="BX100">
        <v>9275</v>
      </c>
      <c r="BY100" s="37">
        <f t="shared" si="78"/>
        <v>3.1667286924397978E-2</v>
      </c>
      <c r="BZ100">
        <v>3.9627000000000004E-3</v>
      </c>
      <c r="CA100" s="3">
        <f t="shared" si="79"/>
        <v>3.9627000000000005E-5</v>
      </c>
      <c r="CB100" s="11">
        <f>+'Seat capacity elasticities'!AF130</f>
        <v>2.8723293178630004E-2</v>
      </c>
      <c r="CC100" s="11">
        <f>+'Seat capacity elasticities'!AG130</f>
        <v>2.2952295316563617E-2</v>
      </c>
      <c r="CD100" s="11">
        <f>+'Seat capacity elasticities'!AH130</f>
        <v>7.8807591392631049E-2</v>
      </c>
      <c r="CE100" s="11">
        <f>+'Seat capacity elasticities'!AI130</f>
        <v>2.7180349716983233E-2</v>
      </c>
      <c r="CF100" s="32">
        <f t="shared" si="104"/>
        <v>2039789.5957668738</v>
      </c>
      <c r="CG100" s="33">
        <f t="shared" si="105"/>
        <v>2.8723293178630003E-4</v>
      </c>
      <c r="CH100" s="40">
        <f t="shared" si="106"/>
        <v>1629961.1919335029</v>
      </c>
      <c r="CI100" s="33">
        <f t="shared" si="107"/>
        <v>2.2952295316563617E-4</v>
      </c>
      <c r="CJ100" s="40">
        <f t="shared" si="108"/>
        <v>7309404.1016665297</v>
      </c>
      <c r="CK100" s="41">
        <f t="shared" si="109"/>
        <v>7.8807591392631045E-4</v>
      </c>
      <c r="CL100" s="40">
        <f t="shared" si="110"/>
        <v>2520977.4362501949</v>
      </c>
      <c r="CM100" s="41">
        <f t="shared" si="111"/>
        <v>2.7180349716983231E-4</v>
      </c>
      <c r="CO100" s="70">
        <f t="shared" si="112"/>
        <v>0</v>
      </c>
      <c r="CP100" s="70">
        <f t="shared" si="113"/>
        <v>0</v>
      </c>
      <c r="CQ100" s="70">
        <f t="shared" si="114"/>
        <v>0</v>
      </c>
      <c r="CR100" s="70">
        <f t="shared" si="115"/>
        <v>0</v>
      </c>
      <c r="CS100" s="70">
        <f t="shared" si="116"/>
        <v>0</v>
      </c>
      <c r="CT100" s="70">
        <f t="shared" si="117"/>
        <v>0</v>
      </c>
      <c r="CU100" s="69">
        <f t="shared" si="118"/>
        <v>0</v>
      </c>
      <c r="CV100" s="69">
        <f t="shared" si="119"/>
        <v>0</v>
      </c>
      <c r="CW100" s="70">
        <f t="shared" si="120"/>
        <v>0</v>
      </c>
      <c r="CX100" s="69">
        <f t="shared" si="121"/>
        <v>0</v>
      </c>
      <c r="CY100" s="69">
        <f t="shared" si="122"/>
        <v>0</v>
      </c>
      <c r="CZ100" s="70">
        <f t="shared" si="123"/>
        <v>0</v>
      </c>
      <c r="DB100" s="70">
        <f t="shared" si="124"/>
        <v>3.7763503896146551</v>
      </c>
      <c r="DC100" s="70">
        <f t="shared" si="125"/>
        <v>10.42389564689435</v>
      </c>
      <c r="DD100" s="70">
        <f t="shared" si="126"/>
        <v>14.200246036509004</v>
      </c>
      <c r="DE100" s="70">
        <f t="shared" si="127"/>
        <v>7.1572285658828303</v>
      </c>
      <c r="DF100" s="70">
        <f t="shared" si="128"/>
        <v>8.329557817366279</v>
      </c>
      <c r="DG100" s="70">
        <f t="shared" si="129"/>
        <v>15.486786383249109</v>
      </c>
      <c r="DH100" s="69">
        <f t="shared" si="130"/>
        <v>13.532214834541234</v>
      </c>
      <c r="DI100" s="69">
        <f t="shared" si="131"/>
        <v>37.353100415294705</v>
      </c>
      <c r="DJ100" s="70">
        <f t="shared" si="132"/>
        <v>50.885315249835941</v>
      </c>
      <c r="DK100" s="69">
        <f t="shared" si="133"/>
        <v>11.069718598191054</v>
      </c>
      <c r="DL100" s="69">
        <f t="shared" si="134"/>
        <v>12.882900166851632</v>
      </c>
      <c r="DM100" s="70">
        <f t="shared" si="135"/>
        <v>23.952618765042686</v>
      </c>
    </row>
    <row r="101" spans="1:117">
      <c r="A101" t="s">
        <v>387</v>
      </c>
      <c r="B101">
        <v>290977</v>
      </c>
      <c r="C101">
        <v>163979</v>
      </c>
      <c r="D101" s="51">
        <v>31221.63</v>
      </c>
      <c r="E101" s="32">
        <f t="shared" si="68"/>
        <v>5119691665.7700005</v>
      </c>
      <c r="F101">
        <v>8954</v>
      </c>
      <c r="G101" s="37">
        <f t="shared" si="69"/>
        <v>3.077219161651952E-2</v>
      </c>
      <c r="H101">
        <v>0</v>
      </c>
      <c r="I101" s="3">
        <f t="shared" si="70"/>
        <v>0</v>
      </c>
      <c r="J101" s="11">
        <f>+'Seat capacity elasticities'!K131</f>
        <v>0</v>
      </c>
      <c r="K101" s="11">
        <f>+'Seat capacity elasticities'!L131</f>
        <v>0</v>
      </c>
      <c r="L101" s="11">
        <f>+'Seat capacity elasticities'!M131</f>
        <v>0</v>
      </c>
      <c r="M101" s="11">
        <f>+'Seat capacity elasticities'!N131</f>
        <v>0</v>
      </c>
      <c r="N101" s="32">
        <f t="shared" si="80"/>
        <v>0</v>
      </c>
      <c r="O101" s="33">
        <f t="shared" si="81"/>
        <v>0</v>
      </c>
      <c r="P101" s="40">
        <f t="shared" si="82"/>
        <v>0</v>
      </c>
      <c r="Q101" s="33">
        <f t="shared" si="83"/>
        <v>0</v>
      </c>
      <c r="R101" s="40">
        <f t="shared" si="84"/>
        <v>0</v>
      </c>
      <c r="S101" s="41">
        <f t="shared" si="85"/>
        <v>0</v>
      </c>
      <c r="T101" s="40">
        <f t="shared" si="86"/>
        <v>0</v>
      </c>
      <c r="U101" s="41">
        <f t="shared" si="87"/>
        <v>0</v>
      </c>
      <c r="V101" s="53"/>
      <c r="W101" s="53"/>
      <c r="X101" t="s">
        <v>387</v>
      </c>
      <c r="Y101">
        <v>290977</v>
      </c>
      <c r="Z101">
        <v>163979</v>
      </c>
      <c r="AA101" s="51">
        <v>31221.63</v>
      </c>
      <c r="AB101" s="32">
        <f t="shared" si="71"/>
        <v>5119691665.7700005</v>
      </c>
      <c r="AC101">
        <v>8954</v>
      </c>
      <c r="AD101" s="37">
        <f t="shared" si="72"/>
        <v>3.077219161651952E-2</v>
      </c>
      <c r="AE101">
        <v>1.3852999999999999E-3</v>
      </c>
      <c r="AF101" s="3">
        <f t="shared" si="73"/>
        <v>1.3852999999999999E-5</v>
      </c>
      <c r="AG101" s="11">
        <f>+'Seat capacity elasticities'!R131</f>
        <v>3.3330996678815243E-3</v>
      </c>
      <c r="AH101" s="11">
        <f>+'Seat capacity elasticities'!S131</f>
        <v>6.3171458404659596E-3</v>
      </c>
      <c r="AI101" s="11">
        <f>+'Seat capacity elasticities'!T131</f>
        <v>9.1449665977976838E-3</v>
      </c>
      <c r="AJ101" s="11">
        <f>+'Seat capacity elasticities'!U131</f>
        <v>7.4808306005517949E-3</v>
      </c>
      <c r="AK101" s="32">
        <f t="shared" si="88"/>
        <v>170644.42590833796</v>
      </c>
      <c r="AL101" s="33">
        <f t="shared" si="89"/>
        <v>3.3330996678815239E-5</v>
      </c>
      <c r="AM101" s="40">
        <f t="shared" si="90"/>
        <v>323418.38910887198</v>
      </c>
      <c r="AN101" s="33">
        <f t="shared" si="91"/>
        <v>6.3171458404659591E-5</v>
      </c>
      <c r="AO101" s="40">
        <f t="shared" si="92"/>
        <v>818840.30916680465</v>
      </c>
      <c r="AP101" s="41">
        <f t="shared" si="93"/>
        <v>9.1449665977976852E-5</v>
      </c>
      <c r="AQ101" s="40">
        <f t="shared" si="94"/>
        <v>669833.57197340764</v>
      </c>
      <c r="AR101" s="41">
        <f t="shared" si="95"/>
        <v>7.4808306005517928E-5</v>
      </c>
      <c r="AV101" t="s">
        <v>387</v>
      </c>
      <c r="AW101">
        <v>290977</v>
      </c>
      <c r="AX101">
        <v>163979</v>
      </c>
      <c r="AY101" s="51">
        <v>31221.63</v>
      </c>
      <c r="AZ101" s="32">
        <f t="shared" si="74"/>
        <v>5119691665.7700005</v>
      </c>
      <c r="BA101">
        <v>8954</v>
      </c>
      <c r="BB101" s="37">
        <f t="shared" si="75"/>
        <v>3.077219161651952E-2</v>
      </c>
      <c r="BC101">
        <v>0</v>
      </c>
      <c r="BD101" s="3">
        <f t="shared" si="76"/>
        <v>0</v>
      </c>
      <c r="BE101" s="11">
        <f>+'Seat capacity elasticities'!Y131</f>
        <v>0</v>
      </c>
      <c r="BF101" s="11">
        <f>+'Seat capacity elasticities'!Z131</f>
        <v>0</v>
      </c>
      <c r="BG101" s="11">
        <f>+'Seat capacity elasticities'!AA131</f>
        <v>0</v>
      </c>
      <c r="BH101" s="11">
        <f>+'Seat capacity elasticities'!AB131</f>
        <v>0</v>
      </c>
      <c r="BI101" s="32">
        <f t="shared" si="96"/>
        <v>0</v>
      </c>
      <c r="BJ101" s="33">
        <f t="shared" si="97"/>
        <v>0</v>
      </c>
      <c r="BK101" s="40">
        <f t="shared" si="98"/>
        <v>0</v>
      </c>
      <c r="BL101" s="33">
        <f t="shared" si="99"/>
        <v>0</v>
      </c>
      <c r="BM101" s="40">
        <f t="shared" si="100"/>
        <v>0</v>
      </c>
      <c r="BN101" s="41">
        <f t="shared" si="101"/>
        <v>0</v>
      </c>
      <c r="BO101" s="40">
        <f t="shared" si="102"/>
        <v>0</v>
      </c>
      <c r="BP101" s="41">
        <f t="shared" si="103"/>
        <v>0</v>
      </c>
      <c r="BQ101" s="53"/>
      <c r="BR101" s="53"/>
      <c r="BS101" t="s">
        <v>387</v>
      </c>
      <c r="BT101">
        <v>290977</v>
      </c>
      <c r="BU101">
        <v>163979</v>
      </c>
      <c r="BV101" s="51">
        <v>31221.63</v>
      </c>
      <c r="BW101" s="32">
        <f t="shared" si="77"/>
        <v>5119691665.7700005</v>
      </c>
      <c r="BX101">
        <v>8954</v>
      </c>
      <c r="BY101" s="37">
        <f t="shared" si="78"/>
        <v>3.077219161651952E-2</v>
      </c>
      <c r="BZ101">
        <v>1.3852999999999999E-3</v>
      </c>
      <c r="CA101" s="3">
        <f t="shared" si="79"/>
        <v>1.3852999999999999E-5</v>
      </c>
      <c r="CB101" s="11">
        <f>+'Seat capacity elasticities'!AF131</f>
        <v>1.0107209545302878E-2</v>
      </c>
      <c r="CC101" s="11">
        <f>+'Seat capacity elasticities'!AG131</f>
        <v>8.076499336878859E-3</v>
      </c>
      <c r="CD101" s="11">
        <f>+'Seat capacity elasticities'!AH131</f>
        <v>2.7730972037654109E-2</v>
      </c>
      <c r="CE101" s="11">
        <f>+'Seat capacity elasticities'!AI131</f>
        <v>9.5642755305144385E-3</v>
      </c>
      <c r="CF101" s="32">
        <f t="shared" si="104"/>
        <v>517457.9647327814</v>
      </c>
      <c r="CG101" s="33">
        <f t="shared" si="105"/>
        <v>1.0107209545302878E-4</v>
      </c>
      <c r="CH101" s="40">
        <f t="shared" si="106"/>
        <v>413491.8634361563</v>
      </c>
      <c r="CI101" s="33">
        <f t="shared" si="107"/>
        <v>8.0764993368788595E-5</v>
      </c>
      <c r="CJ101" s="40">
        <f t="shared" si="108"/>
        <v>2483031.2362515489</v>
      </c>
      <c r="CK101" s="41">
        <f t="shared" si="109"/>
        <v>2.7730972037654108E-4</v>
      </c>
      <c r="CL101" s="40">
        <f t="shared" si="110"/>
        <v>856385.23100226279</v>
      </c>
      <c r="CM101" s="41">
        <f t="shared" si="111"/>
        <v>9.5642755305144374E-5</v>
      </c>
      <c r="CO101" s="70">
        <f t="shared" si="112"/>
        <v>0</v>
      </c>
      <c r="CP101" s="70">
        <f t="shared" si="113"/>
        <v>0</v>
      </c>
      <c r="CQ101" s="70">
        <f t="shared" si="114"/>
        <v>0</v>
      </c>
      <c r="CR101" s="70">
        <f t="shared" si="115"/>
        <v>0</v>
      </c>
      <c r="CS101" s="70">
        <f t="shared" si="116"/>
        <v>0</v>
      </c>
      <c r="CT101" s="70">
        <f t="shared" si="117"/>
        <v>0</v>
      </c>
      <c r="CU101" s="69">
        <f t="shared" si="118"/>
        <v>0</v>
      </c>
      <c r="CV101" s="69">
        <f t="shared" si="119"/>
        <v>0</v>
      </c>
      <c r="CW101" s="70">
        <f t="shared" si="120"/>
        <v>0</v>
      </c>
      <c r="CX101" s="69">
        <f t="shared" si="121"/>
        <v>0</v>
      </c>
      <c r="CY101" s="69">
        <f t="shared" si="122"/>
        <v>0</v>
      </c>
      <c r="CZ101" s="70">
        <f t="shared" si="123"/>
        <v>0</v>
      </c>
      <c r="DB101" s="70">
        <f t="shared" si="124"/>
        <v>1.0406480458371985</v>
      </c>
      <c r="DC101" s="70">
        <f t="shared" si="125"/>
        <v>3.1556355675591474</v>
      </c>
      <c r="DD101" s="70">
        <f t="shared" si="126"/>
        <v>4.1962836133963464</v>
      </c>
      <c r="DE101" s="70">
        <f t="shared" si="127"/>
        <v>1.9723159008706723</v>
      </c>
      <c r="DF101" s="70">
        <f t="shared" si="128"/>
        <v>2.5216147399127711</v>
      </c>
      <c r="DG101" s="70">
        <f t="shared" si="129"/>
        <v>4.493930640783443</v>
      </c>
      <c r="DH101" s="69">
        <f t="shared" si="130"/>
        <v>4.9935681347416718</v>
      </c>
      <c r="DI101" s="69">
        <f t="shared" si="131"/>
        <v>15.142373329826068</v>
      </c>
      <c r="DJ101" s="70">
        <f t="shared" si="132"/>
        <v>20.13594146456774</v>
      </c>
      <c r="DK101" s="69">
        <f t="shared" si="133"/>
        <v>4.0848741117667968</v>
      </c>
      <c r="DL101" s="69">
        <f t="shared" si="134"/>
        <v>5.2225299032331138</v>
      </c>
      <c r="DM101" s="70">
        <f t="shared" si="135"/>
        <v>9.3074040149999107</v>
      </c>
    </row>
    <row r="102" spans="1:117">
      <c r="A102" t="s">
        <v>388</v>
      </c>
      <c r="B102">
        <v>179529</v>
      </c>
      <c r="C102">
        <v>127514</v>
      </c>
      <c r="D102" s="51">
        <v>32113.91</v>
      </c>
      <c r="E102" s="32">
        <f t="shared" si="68"/>
        <v>4094973119.7399998</v>
      </c>
      <c r="F102">
        <v>6492</v>
      </c>
      <c r="G102" s="37">
        <f t="shared" si="69"/>
        <v>3.6161288705445917E-2</v>
      </c>
      <c r="H102">
        <v>0</v>
      </c>
      <c r="I102" s="3">
        <f t="shared" si="70"/>
        <v>0</v>
      </c>
      <c r="J102" s="11">
        <f>+'Seat capacity elasticities'!K132</f>
        <v>0</v>
      </c>
      <c r="K102" s="11">
        <f>+'Seat capacity elasticities'!L132</f>
        <v>0</v>
      </c>
      <c r="L102" s="11">
        <f>+'Seat capacity elasticities'!M132</f>
        <v>0</v>
      </c>
      <c r="M102" s="11">
        <f>+'Seat capacity elasticities'!N132</f>
        <v>0</v>
      </c>
      <c r="N102" s="32">
        <f t="shared" si="80"/>
        <v>0</v>
      </c>
      <c r="O102" s="33">
        <f t="shared" si="81"/>
        <v>0</v>
      </c>
      <c r="P102" s="40">
        <f t="shared" si="82"/>
        <v>0</v>
      </c>
      <c r="Q102" s="33">
        <f t="shared" si="83"/>
        <v>0</v>
      </c>
      <c r="R102" s="40">
        <f t="shared" si="84"/>
        <v>0</v>
      </c>
      <c r="S102" s="41">
        <f t="shared" si="85"/>
        <v>0</v>
      </c>
      <c r="T102" s="40">
        <f t="shared" si="86"/>
        <v>0</v>
      </c>
      <c r="U102" s="41">
        <f t="shared" si="87"/>
        <v>0</v>
      </c>
      <c r="V102" s="53"/>
      <c r="W102" s="53"/>
      <c r="X102" t="s">
        <v>388</v>
      </c>
      <c r="Y102">
        <v>179529</v>
      </c>
      <c r="Z102">
        <v>127514</v>
      </c>
      <c r="AA102" s="51">
        <v>32113.91</v>
      </c>
      <c r="AB102" s="32">
        <f t="shared" si="71"/>
        <v>4094973119.7399998</v>
      </c>
      <c r="AC102">
        <v>6492</v>
      </c>
      <c r="AD102" s="37">
        <f t="shared" si="72"/>
        <v>3.6161288705445917E-2</v>
      </c>
      <c r="AE102">
        <v>1.5919E-3</v>
      </c>
      <c r="AF102" s="3">
        <f t="shared" si="73"/>
        <v>1.5919000000000001E-5</v>
      </c>
      <c r="AG102" s="11">
        <f>+'Seat capacity elasticities'!R132</f>
        <v>3.6638052495307225E-3</v>
      </c>
      <c r="AH102" s="11">
        <f>+'Seat capacity elasticities'!S132</f>
        <v>6.9439243942743803E-3</v>
      </c>
      <c r="AI102" s="11">
        <f>+'Seat capacity elasticities'!T132</f>
        <v>1.0052317652142054E-2</v>
      </c>
      <c r="AJ102" s="11">
        <f>+'Seat capacity elasticities'!U132</f>
        <v>8.2230683616407139E-3</v>
      </c>
      <c r="AK102" s="32">
        <f t="shared" si="88"/>
        <v>150031.84012790609</v>
      </c>
      <c r="AL102" s="33">
        <f t="shared" si="89"/>
        <v>3.6638052495307218E-5</v>
      </c>
      <c r="AM102" s="40">
        <f t="shared" si="90"/>
        <v>284351.83740060445</v>
      </c>
      <c r="AN102" s="33">
        <f t="shared" si="91"/>
        <v>6.9439243942743796E-5</v>
      </c>
      <c r="AO102" s="40">
        <f t="shared" si="92"/>
        <v>652596.46197706216</v>
      </c>
      <c r="AP102" s="41">
        <f t="shared" si="93"/>
        <v>1.0052317652142054E-4</v>
      </c>
      <c r="AQ102" s="40">
        <f t="shared" si="94"/>
        <v>533841.59803771519</v>
      </c>
      <c r="AR102" s="41">
        <f t="shared" si="95"/>
        <v>8.2230683616407152E-5</v>
      </c>
      <c r="AV102" t="s">
        <v>388</v>
      </c>
      <c r="AW102">
        <v>179529</v>
      </c>
      <c r="AX102">
        <v>127514</v>
      </c>
      <c r="AY102" s="51">
        <v>32113.91</v>
      </c>
      <c r="AZ102" s="32">
        <f t="shared" si="74"/>
        <v>4094973119.7399998</v>
      </c>
      <c r="BA102">
        <v>6492</v>
      </c>
      <c r="BB102" s="37">
        <f t="shared" si="75"/>
        <v>3.6161288705445917E-2</v>
      </c>
      <c r="BC102">
        <v>0</v>
      </c>
      <c r="BD102" s="3">
        <f t="shared" si="76"/>
        <v>0</v>
      </c>
      <c r="BE102" s="11">
        <f>+'Seat capacity elasticities'!Y132</f>
        <v>0</v>
      </c>
      <c r="BF102" s="11">
        <f>+'Seat capacity elasticities'!Z132</f>
        <v>0</v>
      </c>
      <c r="BG102" s="11">
        <f>+'Seat capacity elasticities'!AA132</f>
        <v>0</v>
      </c>
      <c r="BH102" s="11">
        <f>+'Seat capacity elasticities'!AB132</f>
        <v>0</v>
      </c>
      <c r="BI102" s="32">
        <f t="shared" si="96"/>
        <v>0</v>
      </c>
      <c r="BJ102" s="33">
        <f t="shared" si="97"/>
        <v>0</v>
      </c>
      <c r="BK102" s="40">
        <f t="shared" si="98"/>
        <v>0</v>
      </c>
      <c r="BL102" s="33">
        <f t="shared" si="99"/>
        <v>0</v>
      </c>
      <c r="BM102" s="40">
        <f t="shared" si="100"/>
        <v>0</v>
      </c>
      <c r="BN102" s="41">
        <f t="shared" si="101"/>
        <v>0</v>
      </c>
      <c r="BO102" s="40">
        <f t="shared" si="102"/>
        <v>0</v>
      </c>
      <c r="BP102" s="41">
        <f t="shared" si="103"/>
        <v>0</v>
      </c>
      <c r="BQ102" s="53"/>
      <c r="BR102" s="53"/>
      <c r="BS102" t="s">
        <v>388</v>
      </c>
      <c r="BT102">
        <v>179529</v>
      </c>
      <c r="BU102">
        <v>127514</v>
      </c>
      <c r="BV102" s="51">
        <v>32113.91</v>
      </c>
      <c r="BW102" s="32">
        <f t="shared" si="77"/>
        <v>4094973119.7399998</v>
      </c>
      <c r="BX102">
        <v>6492</v>
      </c>
      <c r="BY102" s="37">
        <f t="shared" si="78"/>
        <v>3.6161288705445917E-2</v>
      </c>
      <c r="BZ102">
        <v>1.5919E-3</v>
      </c>
      <c r="CA102" s="3">
        <f t="shared" si="79"/>
        <v>1.5919000000000001E-5</v>
      </c>
      <c r="CB102" s="11">
        <f>+'Seat capacity elasticities'!AF132</f>
        <v>1.8824665521482924E-2</v>
      </c>
      <c r="CC102" s="11">
        <f>+'Seat capacity elasticities'!AG132</f>
        <v>1.5042470220861255E-2</v>
      </c>
      <c r="CD102" s="11">
        <f>+'Seat capacity elasticities'!AH132</f>
        <v>5.1648901791794308E-2</v>
      </c>
      <c r="CE102" s="11">
        <f>+'Seat capacity elasticities'!AI132</f>
        <v>1.7813451577335698E-2</v>
      </c>
      <c r="CF102" s="32">
        <f t="shared" si="104"/>
        <v>770864.99298568931</v>
      </c>
      <c r="CG102" s="33">
        <f t="shared" si="105"/>
        <v>1.8824665521482921E-4</v>
      </c>
      <c r="CH102" s="40">
        <f t="shared" si="106"/>
        <v>615985.11208916258</v>
      </c>
      <c r="CI102" s="33">
        <f t="shared" si="107"/>
        <v>1.5042470220861254E-4</v>
      </c>
      <c r="CJ102" s="40">
        <f t="shared" si="108"/>
        <v>3353046.7043232867</v>
      </c>
      <c r="CK102" s="41">
        <f t="shared" si="109"/>
        <v>5.1648901791794314E-4</v>
      </c>
      <c r="CL102" s="40">
        <f t="shared" si="110"/>
        <v>1156449.2764006336</v>
      </c>
      <c r="CM102" s="41">
        <f t="shared" si="111"/>
        <v>1.7813451577335701E-4</v>
      </c>
      <c r="CO102" s="70">
        <f t="shared" si="112"/>
        <v>0</v>
      </c>
      <c r="CP102" s="70">
        <f t="shared" si="113"/>
        <v>0</v>
      </c>
      <c r="CQ102" s="70">
        <f t="shared" si="114"/>
        <v>0</v>
      </c>
      <c r="CR102" s="70">
        <f t="shared" si="115"/>
        <v>0</v>
      </c>
      <c r="CS102" s="70">
        <f t="shared" si="116"/>
        <v>0</v>
      </c>
      <c r="CT102" s="70">
        <f t="shared" si="117"/>
        <v>0</v>
      </c>
      <c r="CU102" s="69">
        <f t="shared" si="118"/>
        <v>0</v>
      </c>
      <c r="CV102" s="69">
        <f t="shared" si="119"/>
        <v>0</v>
      </c>
      <c r="CW102" s="70">
        <f t="shared" si="120"/>
        <v>0</v>
      </c>
      <c r="CX102" s="69">
        <f t="shared" si="121"/>
        <v>0</v>
      </c>
      <c r="CY102" s="69">
        <f t="shared" si="122"/>
        <v>0</v>
      </c>
      <c r="CZ102" s="70">
        <f t="shared" si="123"/>
        <v>0</v>
      </c>
      <c r="DB102" s="70">
        <f t="shared" si="124"/>
        <v>1.1765911204095714</v>
      </c>
      <c r="DC102" s="70">
        <f t="shared" si="125"/>
        <v>6.0453361433700561</v>
      </c>
      <c r="DD102" s="70">
        <f t="shared" si="126"/>
        <v>7.2219272637796275</v>
      </c>
      <c r="DE102" s="70">
        <f t="shared" si="127"/>
        <v>2.2299656304453195</v>
      </c>
      <c r="DF102" s="70">
        <f t="shared" si="128"/>
        <v>4.8307253485041848</v>
      </c>
      <c r="DG102" s="70">
        <f t="shared" si="129"/>
        <v>7.0606909789495038</v>
      </c>
      <c r="DH102" s="69">
        <f t="shared" si="130"/>
        <v>5.1178416642648035</v>
      </c>
      <c r="DI102" s="69">
        <f t="shared" si="131"/>
        <v>26.295518173089125</v>
      </c>
      <c r="DJ102" s="70">
        <f t="shared" si="132"/>
        <v>31.41335983735393</v>
      </c>
      <c r="DK102" s="69">
        <f t="shared" si="133"/>
        <v>4.1865332280197878</v>
      </c>
      <c r="DL102" s="69">
        <f t="shared" si="134"/>
        <v>9.0691945700129679</v>
      </c>
      <c r="DM102" s="70">
        <f t="shared" si="135"/>
        <v>13.255727798032755</v>
      </c>
    </row>
    <row r="103" spans="1:117">
      <c r="A103" t="s">
        <v>389</v>
      </c>
      <c r="B103">
        <v>411625</v>
      </c>
      <c r="C103">
        <v>261525</v>
      </c>
      <c r="D103" s="51">
        <v>35456.449999999997</v>
      </c>
      <c r="E103" s="32">
        <f t="shared" si="68"/>
        <v>9272748086.25</v>
      </c>
      <c r="F103">
        <v>15459</v>
      </c>
      <c r="G103" s="37">
        <f t="shared" si="69"/>
        <v>3.7556027938050407E-2</v>
      </c>
      <c r="H103">
        <v>0</v>
      </c>
      <c r="I103" s="3">
        <f t="shared" si="70"/>
        <v>0</v>
      </c>
      <c r="J103" s="11">
        <f>+'Seat capacity elasticities'!K133</f>
        <v>0</v>
      </c>
      <c r="K103" s="11">
        <f>+'Seat capacity elasticities'!L133</f>
        <v>0</v>
      </c>
      <c r="L103" s="11">
        <f>+'Seat capacity elasticities'!M133</f>
        <v>0</v>
      </c>
      <c r="M103" s="11">
        <f>+'Seat capacity elasticities'!N133</f>
        <v>0</v>
      </c>
      <c r="N103" s="32">
        <f t="shared" si="80"/>
        <v>0</v>
      </c>
      <c r="O103" s="33">
        <f t="shared" si="81"/>
        <v>0</v>
      </c>
      <c r="P103" s="40">
        <f t="shared" si="82"/>
        <v>0</v>
      </c>
      <c r="Q103" s="33">
        <f t="shared" si="83"/>
        <v>0</v>
      </c>
      <c r="R103" s="40">
        <f t="shared" si="84"/>
        <v>0</v>
      </c>
      <c r="S103" s="41">
        <f t="shared" si="85"/>
        <v>0</v>
      </c>
      <c r="T103" s="40">
        <f t="shared" si="86"/>
        <v>0</v>
      </c>
      <c r="U103" s="41">
        <f t="shared" si="87"/>
        <v>0</v>
      </c>
      <c r="V103" s="53"/>
      <c r="W103" s="53"/>
      <c r="X103" t="s">
        <v>389</v>
      </c>
      <c r="Y103">
        <v>411625</v>
      </c>
      <c r="Z103">
        <v>261525</v>
      </c>
      <c r="AA103" s="51">
        <v>35456.449999999997</v>
      </c>
      <c r="AB103" s="32">
        <f t="shared" si="71"/>
        <v>9272748086.25</v>
      </c>
      <c r="AC103">
        <v>15459</v>
      </c>
      <c r="AD103" s="37">
        <f t="shared" si="72"/>
        <v>3.7556027938050407E-2</v>
      </c>
      <c r="AE103">
        <v>2.6705000000000001E-3</v>
      </c>
      <c r="AF103" s="3">
        <f t="shared" si="73"/>
        <v>2.6705000000000003E-5</v>
      </c>
      <c r="AG103" s="11">
        <f>+'Seat capacity elasticities'!R133</f>
        <v>7.9927833803473351E-3</v>
      </c>
      <c r="AH103" s="11">
        <f>+'Seat capacity elasticities'!S133</f>
        <v>1.5148535392281989E-2</v>
      </c>
      <c r="AI103" s="11">
        <f>+'Seat capacity elasticities'!T133</f>
        <v>2.1929658372072114E-2</v>
      </c>
      <c r="AJ103" s="11">
        <f>+'Seat capacity elasticities'!U133</f>
        <v>1.793905506980762E-2</v>
      </c>
      <c r="AK103" s="32">
        <f t="shared" si="88"/>
        <v>741150.66793926549</v>
      </c>
      <c r="AL103" s="33">
        <f t="shared" si="89"/>
        <v>7.9927833803473337E-5</v>
      </c>
      <c r="AM103" s="40">
        <f t="shared" si="90"/>
        <v>1404685.525682732</v>
      </c>
      <c r="AN103" s="33">
        <f t="shared" si="91"/>
        <v>1.5148535392281987E-4</v>
      </c>
      <c r="AO103" s="40">
        <f t="shared" si="92"/>
        <v>3390105.8877386283</v>
      </c>
      <c r="AP103" s="41">
        <f t="shared" si="93"/>
        <v>2.1929658372072116E-4</v>
      </c>
      <c r="AQ103" s="40">
        <f t="shared" si="94"/>
        <v>2773198.52324156</v>
      </c>
      <c r="AR103" s="41">
        <f t="shared" si="95"/>
        <v>1.793905506980762E-4</v>
      </c>
      <c r="AV103" t="s">
        <v>389</v>
      </c>
      <c r="AW103">
        <v>411625</v>
      </c>
      <c r="AX103">
        <v>261525</v>
      </c>
      <c r="AY103" s="51">
        <v>35456.449999999997</v>
      </c>
      <c r="AZ103" s="32">
        <f t="shared" si="74"/>
        <v>9272748086.25</v>
      </c>
      <c r="BA103">
        <v>15459</v>
      </c>
      <c r="BB103" s="37">
        <f t="shared" si="75"/>
        <v>3.7556027938050407E-2</v>
      </c>
      <c r="BC103">
        <v>0</v>
      </c>
      <c r="BD103" s="3">
        <f t="shared" si="76"/>
        <v>0</v>
      </c>
      <c r="BE103" s="11">
        <f>+'Seat capacity elasticities'!Y133</f>
        <v>0</v>
      </c>
      <c r="BF103" s="11">
        <f>+'Seat capacity elasticities'!Z133</f>
        <v>0</v>
      </c>
      <c r="BG103" s="11">
        <f>+'Seat capacity elasticities'!AA133</f>
        <v>0</v>
      </c>
      <c r="BH103" s="11">
        <f>+'Seat capacity elasticities'!AB133</f>
        <v>0</v>
      </c>
      <c r="BI103" s="32">
        <f t="shared" si="96"/>
        <v>0</v>
      </c>
      <c r="BJ103" s="33">
        <f t="shared" si="97"/>
        <v>0</v>
      </c>
      <c r="BK103" s="40">
        <f t="shared" si="98"/>
        <v>0</v>
      </c>
      <c r="BL103" s="33">
        <f t="shared" si="99"/>
        <v>0</v>
      </c>
      <c r="BM103" s="40">
        <f t="shared" si="100"/>
        <v>0</v>
      </c>
      <c r="BN103" s="41">
        <f t="shared" si="101"/>
        <v>0</v>
      </c>
      <c r="BO103" s="40">
        <f t="shared" si="102"/>
        <v>0</v>
      </c>
      <c r="BP103" s="41">
        <f t="shared" si="103"/>
        <v>0</v>
      </c>
      <c r="BQ103" s="53"/>
      <c r="BR103" s="53"/>
      <c r="BS103" t="s">
        <v>389</v>
      </c>
      <c r="BT103">
        <v>411625</v>
      </c>
      <c r="BU103">
        <v>261525</v>
      </c>
      <c r="BV103" s="51">
        <v>35456.449999999997</v>
      </c>
      <c r="BW103" s="32">
        <f t="shared" si="77"/>
        <v>9272748086.25</v>
      </c>
      <c r="BX103">
        <v>15459</v>
      </c>
      <c r="BY103" s="37">
        <f t="shared" si="78"/>
        <v>3.7556027938050407E-2</v>
      </c>
      <c r="BZ103">
        <v>2.6705000000000001E-3</v>
      </c>
      <c r="CA103" s="3">
        <f t="shared" si="79"/>
        <v>2.6705000000000003E-5</v>
      </c>
      <c r="CB103" s="11">
        <f>+'Seat capacity elasticities'!AF133</f>
        <v>1.3773266032189637E-2</v>
      </c>
      <c r="CC103" s="11">
        <f>+'Seat capacity elasticities'!AG133</f>
        <v>1.1005982756866081E-2</v>
      </c>
      <c r="CD103" s="11">
        <f>+'Seat capacity elasticities'!AH133</f>
        <v>3.7789466369906585E-2</v>
      </c>
      <c r="CE103" s="11">
        <f>+'Seat capacity elasticities'!AI133</f>
        <v>1.3033400633130885E-2</v>
      </c>
      <c r="CF103" s="32">
        <f t="shared" si="104"/>
        <v>1277160.2624139858</v>
      </c>
      <c r="CG103" s="33">
        <f t="shared" si="105"/>
        <v>1.3773266032189637E-4</v>
      </c>
      <c r="CH103" s="40">
        <f t="shared" si="106"/>
        <v>1020557.0554603045</v>
      </c>
      <c r="CI103" s="33">
        <f t="shared" si="107"/>
        <v>1.100598275686608E-4</v>
      </c>
      <c r="CJ103" s="40">
        <f t="shared" si="108"/>
        <v>5841873.6061238581</v>
      </c>
      <c r="CK103" s="41">
        <f t="shared" si="109"/>
        <v>3.778946636990658E-4</v>
      </c>
      <c r="CL103" s="40">
        <f t="shared" si="110"/>
        <v>2014833.4038757035</v>
      </c>
      <c r="CM103" s="41">
        <f t="shared" si="111"/>
        <v>1.3033400633130884E-4</v>
      </c>
      <c r="CO103" s="70">
        <f t="shared" si="112"/>
        <v>0</v>
      </c>
      <c r="CP103" s="70">
        <f t="shared" si="113"/>
        <v>0</v>
      </c>
      <c r="CQ103" s="70">
        <f t="shared" si="114"/>
        <v>0</v>
      </c>
      <c r="CR103" s="70">
        <f t="shared" si="115"/>
        <v>0</v>
      </c>
      <c r="CS103" s="70">
        <f t="shared" si="116"/>
        <v>0</v>
      </c>
      <c r="CT103" s="70">
        <f t="shared" si="117"/>
        <v>0</v>
      </c>
      <c r="CU103" s="69">
        <f t="shared" si="118"/>
        <v>0</v>
      </c>
      <c r="CV103" s="69">
        <f t="shared" si="119"/>
        <v>0</v>
      </c>
      <c r="CW103" s="70">
        <f t="shared" si="120"/>
        <v>0</v>
      </c>
      <c r="CX103" s="69">
        <f t="shared" si="121"/>
        <v>0</v>
      </c>
      <c r="CY103" s="69">
        <f t="shared" si="122"/>
        <v>0</v>
      </c>
      <c r="CZ103" s="70">
        <f t="shared" si="123"/>
        <v>0</v>
      </c>
      <c r="DB103" s="70">
        <f t="shared" si="124"/>
        <v>2.8339572428611626</v>
      </c>
      <c r="DC103" s="70">
        <f t="shared" si="125"/>
        <v>4.8835111840703025</v>
      </c>
      <c r="DD103" s="70">
        <f t="shared" si="126"/>
        <v>7.7174684269314646</v>
      </c>
      <c r="DE103" s="70">
        <f t="shared" si="127"/>
        <v>5.371132877096767</v>
      </c>
      <c r="DF103" s="70">
        <f t="shared" si="128"/>
        <v>3.9023307731968435</v>
      </c>
      <c r="DG103" s="70">
        <f t="shared" si="129"/>
        <v>9.2734636502936105</v>
      </c>
      <c r="DH103" s="69">
        <f t="shared" si="130"/>
        <v>12.962836775599381</v>
      </c>
      <c r="DI103" s="69">
        <f t="shared" si="131"/>
        <v>22.337725288686965</v>
      </c>
      <c r="DJ103" s="70">
        <f t="shared" si="132"/>
        <v>35.300562064286346</v>
      </c>
      <c r="DK103" s="69">
        <f t="shared" si="133"/>
        <v>10.603951909918974</v>
      </c>
      <c r="DL103" s="69">
        <f t="shared" si="134"/>
        <v>7.7041713177543389</v>
      </c>
      <c r="DM103" s="70">
        <f t="shared" si="135"/>
        <v>18.308123227673313</v>
      </c>
    </row>
    <row r="104" spans="1:117">
      <c r="A104" t="s">
        <v>390</v>
      </c>
      <c r="B104">
        <v>903133</v>
      </c>
      <c r="C104">
        <v>450031</v>
      </c>
      <c r="D104" s="51">
        <v>35214.410000000003</v>
      </c>
      <c r="E104" s="32">
        <f t="shared" si="68"/>
        <v>15847576146.710001</v>
      </c>
      <c r="F104">
        <v>24094</v>
      </c>
      <c r="G104" s="37">
        <f t="shared" si="69"/>
        <v>2.6678241189282199E-2</v>
      </c>
      <c r="H104">
        <v>0</v>
      </c>
      <c r="I104" s="3">
        <f t="shared" si="70"/>
        <v>0</v>
      </c>
      <c r="J104" s="11">
        <f>+'Seat capacity elasticities'!K134</f>
        <v>0</v>
      </c>
      <c r="K104" s="11">
        <f>+'Seat capacity elasticities'!L134</f>
        <v>0</v>
      </c>
      <c r="L104" s="11">
        <f>+'Seat capacity elasticities'!M134</f>
        <v>0</v>
      </c>
      <c r="M104" s="11">
        <f>+'Seat capacity elasticities'!N134</f>
        <v>0</v>
      </c>
      <c r="N104" s="32">
        <f t="shared" si="80"/>
        <v>0</v>
      </c>
      <c r="O104" s="33">
        <f t="shared" si="81"/>
        <v>0</v>
      </c>
      <c r="P104" s="40">
        <f t="shared" si="82"/>
        <v>0</v>
      </c>
      <c r="Q104" s="33">
        <f t="shared" si="83"/>
        <v>0</v>
      </c>
      <c r="R104" s="40">
        <f t="shared" si="84"/>
        <v>0</v>
      </c>
      <c r="S104" s="41">
        <f t="shared" si="85"/>
        <v>0</v>
      </c>
      <c r="T104" s="40">
        <f t="shared" si="86"/>
        <v>0</v>
      </c>
      <c r="U104" s="41">
        <f t="shared" si="87"/>
        <v>0</v>
      </c>
      <c r="V104" s="53"/>
      <c r="W104" s="53"/>
      <c r="X104" t="s">
        <v>390</v>
      </c>
      <c r="Y104">
        <v>903133</v>
      </c>
      <c r="Z104">
        <v>450031</v>
      </c>
      <c r="AA104" s="51">
        <v>35214.410000000003</v>
      </c>
      <c r="AB104" s="32">
        <f t="shared" si="71"/>
        <v>15847576146.710001</v>
      </c>
      <c r="AC104">
        <v>24094</v>
      </c>
      <c r="AD104" s="37">
        <f t="shared" si="72"/>
        <v>2.6678241189282199E-2</v>
      </c>
      <c r="AE104">
        <v>5.7321999999999998E-3</v>
      </c>
      <c r="AF104" s="3">
        <f t="shared" si="73"/>
        <v>5.7321999999999998E-5</v>
      </c>
      <c r="AG104" s="11">
        <f>+'Seat capacity elasticities'!R134</f>
        <v>1.1144875864285067E-2</v>
      </c>
      <c r="AH104" s="11">
        <f>+'Seat capacity elasticities'!S134</f>
        <v>2.112262255071588E-2</v>
      </c>
      <c r="AI104" s="11">
        <f>+'Seat capacity elasticities'!T134</f>
        <v>3.057799876121535E-2</v>
      </c>
      <c r="AJ104" s="11">
        <f>+'Seat capacity elasticities'!U134</f>
        <v>2.5013631967953014E-2</v>
      </c>
      <c r="AK104" s="32">
        <f t="shared" si="88"/>
        <v>1766192.6890488805</v>
      </c>
      <c r="AL104" s="33">
        <f t="shared" si="89"/>
        <v>1.1144875864285068E-4</v>
      </c>
      <c r="AM104" s="40">
        <f t="shared" si="90"/>
        <v>3347423.6929068374</v>
      </c>
      <c r="AN104" s="33">
        <f t="shared" si="91"/>
        <v>2.112262255071588E-4</v>
      </c>
      <c r="AO104" s="40">
        <f t="shared" si="92"/>
        <v>7367463.021527227</v>
      </c>
      <c r="AP104" s="41">
        <f t="shared" si="93"/>
        <v>3.0577998761215357E-4</v>
      </c>
      <c r="AQ104" s="40">
        <f t="shared" si="94"/>
        <v>6026784.4863585997</v>
      </c>
      <c r="AR104" s="41">
        <f t="shared" si="95"/>
        <v>2.5013631967953017E-4</v>
      </c>
      <c r="AV104" t="s">
        <v>390</v>
      </c>
      <c r="AW104">
        <v>903133</v>
      </c>
      <c r="AX104">
        <v>450031</v>
      </c>
      <c r="AY104" s="51">
        <v>35214.410000000003</v>
      </c>
      <c r="AZ104" s="32">
        <f t="shared" si="74"/>
        <v>15847576146.710001</v>
      </c>
      <c r="BA104">
        <v>24094</v>
      </c>
      <c r="BB104" s="37">
        <f t="shared" si="75"/>
        <v>2.6678241189282199E-2</v>
      </c>
      <c r="BC104">
        <v>0</v>
      </c>
      <c r="BD104" s="3">
        <f t="shared" si="76"/>
        <v>0</v>
      </c>
      <c r="BE104" s="11">
        <f>+'Seat capacity elasticities'!Y134</f>
        <v>0</v>
      </c>
      <c r="BF104" s="11">
        <f>+'Seat capacity elasticities'!Z134</f>
        <v>0</v>
      </c>
      <c r="BG104" s="11">
        <f>+'Seat capacity elasticities'!AA134</f>
        <v>0</v>
      </c>
      <c r="BH104" s="11">
        <f>+'Seat capacity elasticities'!AB134</f>
        <v>0</v>
      </c>
      <c r="BI104" s="32">
        <f t="shared" si="96"/>
        <v>0</v>
      </c>
      <c r="BJ104" s="33">
        <f t="shared" si="97"/>
        <v>0</v>
      </c>
      <c r="BK104" s="40">
        <f t="shared" si="98"/>
        <v>0</v>
      </c>
      <c r="BL104" s="33">
        <f t="shared" si="99"/>
        <v>0</v>
      </c>
      <c r="BM104" s="40">
        <f t="shared" si="100"/>
        <v>0</v>
      </c>
      <c r="BN104" s="41">
        <f t="shared" si="101"/>
        <v>0</v>
      </c>
      <c r="BO104" s="40">
        <f t="shared" si="102"/>
        <v>0</v>
      </c>
      <c r="BP104" s="41">
        <f t="shared" si="103"/>
        <v>0</v>
      </c>
      <c r="BQ104" s="53"/>
      <c r="BR104" s="53"/>
      <c r="BS104" t="s">
        <v>390</v>
      </c>
      <c r="BT104">
        <v>903133</v>
      </c>
      <c r="BU104">
        <v>450031</v>
      </c>
      <c r="BV104" s="51">
        <v>35214.410000000003</v>
      </c>
      <c r="BW104" s="32">
        <f t="shared" si="77"/>
        <v>15847576146.710001</v>
      </c>
      <c r="BX104">
        <v>24094</v>
      </c>
      <c r="BY104" s="37">
        <f t="shared" si="78"/>
        <v>2.6678241189282199E-2</v>
      </c>
      <c r="BZ104">
        <v>5.7321999999999998E-3</v>
      </c>
      <c r="CA104" s="3">
        <f t="shared" si="79"/>
        <v>5.7321999999999998E-5</v>
      </c>
      <c r="CB104" s="11">
        <f>+'Seat capacity elasticities'!AF134</f>
        <v>1.3474595003345578E-2</v>
      </c>
      <c r="CC104" s="11">
        <f>+'Seat capacity elasticities'!AG134</f>
        <v>1.0767319814775897E-2</v>
      </c>
      <c r="CD104" s="11">
        <f>+'Seat capacity elasticities'!AH134</f>
        <v>3.6970007951417472E-2</v>
      </c>
      <c r="CE104" s="11">
        <f>+'Seat capacity elasticities'!AI134</f>
        <v>1.2750773464866194E-2</v>
      </c>
      <c r="CF104" s="32">
        <f t="shared" si="104"/>
        <v>2135396.7036159718</v>
      </c>
      <c r="CG104" s="33">
        <f t="shared" si="105"/>
        <v>1.3474595003345579E-4</v>
      </c>
      <c r="CH104" s="40">
        <f t="shared" si="106"/>
        <v>1706359.2066064046</v>
      </c>
      <c r="CI104" s="33">
        <f t="shared" si="107"/>
        <v>1.0767319814775898E-4</v>
      </c>
      <c r="CJ104" s="40">
        <f t="shared" si="108"/>
        <v>8907553.7158145253</v>
      </c>
      <c r="CK104" s="41">
        <f t="shared" si="109"/>
        <v>3.6970007951417469E-4</v>
      </c>
      <c r="CL104" s="40">
        <f t="shared" si="110"/>
        <v>3072171.3586248611</v>
      </c>
      <c r="CM104" s="41">
        <f t="shared" si="111"/>
        <v>1.2750773464866196E-4</v>
      </c>
      <c r="CO104" s="70">
        <f t="shared" si="112"/>
        <v>0</v>
      </c>
      <c r="CP104" s="70">
        <f t="shared" si="113"/>
        <v>0</v>
      </c>
      <c r="CQ104" s="70">
        <f t="shared" si="114"/>
        <v>0</v>
      </c>
      <c r="CR104" s="70">
        <f t="shared" si="115"/>
        <v>0</v>
      </c>
      <c r="CS104" s="70">
        <f t="shared" si="116"/>
        <v>0</v>
      </c>
      <c r="CT104" s="70">
        <f t="shared" si="117"/>
        <v>0</v>
      </c>
      <c r="CU104" s="69">
        <f t="shared" si="118"/>
        <v>0</v>
      </c>
      <c r="CV104" s="69">
        <f t="shared" si="119"/>
        <v>0</v>
      </c>
      <c r="CW104" s="70">
        <f t="shared" si="120"/>
        <v>0</v>
      </c>
      <c r="CX104" s="69">
        <f t="shared" si="121"/>
        <v>0</v>
      </c>
      <c r="CY104" s="69">
        <f t="shared" si="122"/>
        <v>0</v>
      </c>
      <c r="CZ104" s="70">
        <f t="shared" si="123"/>
        <v>0</v>
      </c>
      <c r="DB104" s="70">
        <f t="shared" si="124"/>
        <v>3.9246022808403875</v>
      </c>
      <c r="DC104" s="70">
        <f t="shared" si="125"/>
        <v>4.7449991303176269</v>
      </c>
      <c r="DD104" s="70">
        <f t="shared" si="126"/>
        <v>8.6696014111580144</v>
      </c>
      <c r="DE104" s="70">
        <f t="shared" si="127"/>
        <v>7.4382069077615487</v>
      </c>
      <c r="DF104" s="70">
        <f t="shared" si="128"/>
        <v>3.7916481455864255</v>
      </c>
      <c r="DG104" s="70">
        <f t="shared" si="129"/>
        <v>11.229855053347974</v>
      </c>
      <c r="DH104" s="69">
        <f t="shared" si="130"/>
        <v>16.371012266993223</v>
      </c>
      <c r="DI104" s="69">
        <f t="shared" si="131"/>
        <v>19.79320028134623</v>
      </c>
      <c r="DJ104" s="70">
        <f t="shared" si="132"/>
        <v>36.164212548339449</v>
      </c>
      <c r="DK104" s="69">
        <f t="shared" si="133"/>
        <v>13.391931858824391</v>
      </c>
      <c r="DL104" s="69">
        <f t="shared" si="134"/>
        <v>6.8265771882933866</v>
      </c>
      <c r="DM104" s="70">
        <f t="shared" si="135"/>
        <v>20.218509047117777</v>
      </c>
    </row>
    <row r="105" spans="1:117">
      <c r="A105" t="s">
        <v>980</v>
      </c>
      <c r="B105">
        <v>103435</v>
      </c>
      <c r="C105">
        <v>50551</v>
      </c>
      <c r="D105" s="51">
        <v>28045.11</v>
      </c>
      <c r="E105" s="32">
        <f t="shared" si="68"/>
        <v>1417708355.6100001</v>
      </c>
      <c r="F105">
        <v>2267</v>
      </c>
      <c r="G105" s="37">
        <f t="shared" si="69"/>
        <v>2.1917146033740998E-2</v>
      </c>
      <c r="H105">
        <v>0</v>
      </c>
      <c r="I105" s="3">
        <f t="shared" si="70"/>
        <v>0</v>
      </c>
      <c r="J105" s="11">
        <f>+'Seat capacity elasticities'!K135</f>
        <v>0</v>
      </c>
      <c r="K105" s="11">
        <f>+'Seat capacity elasticities'!L135</f>
        <v>0</v>
      </c>
      <c r="L105" s="11">
        <f>+'Seat capacity elasticities'!M135</f>
        <v>0</v>
      </c>
      <c r="M105" s="11">
        <f>+'Seat capacity elasticities'!N135</f>
        <v>0</v>
      </c>
      <c r="N105" s="32">
        <f t="shared" si="80"/>
        <v>0</v>
      </c>
      <c r="O105" s="33">
        <f t="shared" si="81"/>
        <v>0</v>
      </c>
      <c r="P105" s="40">
        <f t="shared" si="82"/>
        <v>0</v>
      </c>
      <c r="Q105" s="33">
        <f t="shared" si="83"/>
        <v>0</v>
      </c>
      <c r="R105" s="40">
        <f t="shared" si="84"/>
        <v>0</v>
      </c>
      <c r="S105" s="41">
        <f t="shared" si="85"/>
        <v>0</v>
      </c>
      <c r="T105" s="40">
        <f t="shared" si="86"/>
        <v>0</v>
      </c>
      <c r="U105" s="41">
        <f t="shared" si="87"/>
        <v>0</v>
      </c>
      <c r="V105" s="53"/>
      <c r="W105" s="53"/>
      <c r="X105" t="s">
        <v>980</v>
      </c>
      <c r="Y105">
        <v>103435</v>
      </c>
      <c r="Z105">
        <v>50551</v>
      </c>
      <c r="AA105" s="51">
        <v>28045.11</v>
      </c>
      <c r="AB105" s="32">
        <f t="shared" si="71"/>
        <v>1417708355.6100001</v>
      </c>
      <c r="AC105">
        <v>2267</v>
      </c>
      <c r="AD105" s="37">
        <f t="shared" si="72"/>
        <v>2.1917146033740998E-2</v>
      </c>
      <c r="AE105">
        <v>1.5694999999999999E-3</v>
      </c>
      <c r="AF105" s="3">
        <f t="shared" si="73"/>
        <v>1.5694999999999998E-5</v>
      </c>
      <c r="AG105" s="11">
        <f>+'Seat capacity elasticities'!R135</f>
        <v>8.5164637135709802E-3</v>
      </c>
      <c r="AH105" s="11">
        <f>+'Seat capacity elasticities'!S135</f>
        <v>1.6141054479135525E-2</v>
      </c>
      <c r="AI105" s="11">
        <f>+'Seat capacity elasticities'!T135</f>
        <v>2.3366470838678502E-2</v>
      </c>
      <c r="AJ105" s="11">
        <f>+'Seat capacity elasticities'!U135</f>
        <v>1.9114406620028911E-2</v>
      </c>
      <c r="AK105" s="32">
        <f t="shared" si="88"/>
        <v>120738.6176697895</v>
      </c>
      <c r="AL105" s="33">
        <f t="shared" si="89"/>
        <v>8.5164637135709805E-5</v>
      </c>
      <c r="AM105" s="40">
        <f t="shared" si="90"/>
        <v>228833.07803426654</v>
      </c>
      <c r="AN105" s="33">
        <f t="shared" si="91"/>
        <v>1.6141054479135527E-4</v>
      </c>
      <c r="AO105" s="40">
        <f t="shared" si="92"/>
        <v>529717.89391284168</v>
      </c>
      <c r="AP105" s="41">
        <f t="shared" si="93"/>
        <v>2.3366470838678504E-4</v>
      </c>
      <c r="AQ105" s="40">
        <f t="shared" si="94"/>
        <v>433323.59807605541</v>
      </c>
      <c r="AR105" s="41">
        <f t="shared" si="95"/>
        <v>1.9114406620028909E-4</v>
      </c>
      <c r="AV105" t="s">
        <v>980</v>
      </c>
      <c r="AW105">
        <v>103435</v>
      </c>
      <c r="AX105">
        <v>50551</v>
      </c>
      <c r="AY105" s="51">
        <v>28045.11</v>
      </c>
      <c r="AZ105" s="32">
        <f t="shared" si="74"/>
        <v>1417708355.6100001</v>
      </c>
      <c r="BA105">
        <v>2267</v>
      </c>
      <c r="BB105" s="37">
        <f t="shared" si="75"/>
        <v>2.1917146033740998E-2</v>
      </c>
      <c r="BC105">
        <v>0</v>
      </c>
      <c r="BD105" s="3">
        <f t="shared" si="76"/>
        <v>0</v>
      </c>
      <c r="BE105" s="11">
        <f>+'Seat capacity elasticities'!Y135</f>
        <v>0</v>
      </c>
      <c r="BF105" s="11">
        <f>+'Seat capacity elasticities'!Z135</f>
        <v>0</v>
      </c>
      <c r="BG105" s="11">
        <f>+'Seat capacity elasticities'!AA135</f>
        <v>0</v>
      </c>
      <c r="BH105" s="11">
        <f>+'Seat capacity elasticities'!AB135</f>
        <v>0</v>
      </c>
      <c r="BI105" s="32">
        <f t="shared" si="96"/>
        <v>0</v>
      </c>
      <c r="BJ105" s="33">
        <f t="shared" si="97"/>
        <v>0</v>
      </c>
      <c r="BK105" s="40">
        <f t="shared" si="98"/>
        <v>0</v>
      </c>
      <c r="BL105" s="33">
        <f t="shared" si="99"/>
        <v>0</v>
      </c>
      <c r="BM105" s="40">
        <f t="shared" si="100"/>
        <v>0</v>
      </c>
      <c r="BN105" s="41">
        <f t="shared" si="101"/>
        <v>0</v>
      </c>
      <c r="BO105" s="40">
        <f t="shared" si="102"/>
        <v>0</v>
      </c>
      <c r="BP105" s="41">
        <f t="shared" si="103"/>
        <v>0</v>
      </c>
      <c r="BQ105" s="53"/>
      <c r="BR105" s="53"/>
      <c r="BS105" t="s">
        <v>980</v>
      </c>
      <c r="BT105">
        <v>103435</v>
      </c>
      <c r="BU105">
        <v>50551</v>
      </c>
      <c r="BV105" s="51">
        <v>28045.11</v>
      </c>
      <c r="BW105" s="32">
        <f t="shared" si="77"/>
        <v>1417708355.6100001</v>
      </c>
      <c r="BX105">
        <v>2267</v>
      </c>
      <c r="BY105" s="37">
        <f t="shared" si="78"/>
        <v>2.1917146033740998E-2</v>
      </c>
      <c r="BZ105">
        <v>1.5694999999999999E-3</v>
      </c>
      <c r="CA105" s="3">
        <f t="shared" si="79"/>
        <v>1.5694999999999998E-5</v>
      </c>
      <c r="CB105" s="11">
        <f>+'Seat capacity elasticities'!AF135</f>
        <v>3.221364724799864E-2</v>
      </c>
      <c r="CC105" s="11">
        <f>+'Seat capacity elasticities'!AG135</f>
        <v>2.574137792144825E-2</v>
      </c>
      <c r="CD105" s="11">
        <f>+'Seat capacity elasticities'!AH135</f>
        <v>8.8384014110032383E-2</v>
      </c>
      <c r="CE105" s="11">
        <f>+'Seat capacity elasticities'!AI135</f>
        <v>3.0483210696451879E-2</v>
      </c>
      <c r="CF105" s="32">
        <f t="shared" si="104"/>
        <v>456695.5686816076</v>
      </c>
      <c r="CG105" s="33">
        <f t="shared" si="105"/>
        <v>3.2213647247998644E-4</v>
      </c>
      <c r="CH105" s="40">
        <f t="shared" si="106"/>
        <v>364937.66564151965</v>
      </c>
      <c r="CI105" s="33">
        <f t="shared" si="107"/>
        <v>2.574137792144825E-4</v>
      </c>
      <c r="CJ105" s="40">
        <f t="shared" si="108"/>
        <v>2003665.5998744338</v>
      </c>
      <c r="CK105" s="41">
        <f t="shared" si="109"/>
        <v>8.8384014110032369E-4</v>
      </c>
      <c r="CL105" s="40">
        <f t="shared" si="110"/>
        <v>691054.3864885642</v>
      </c>
      <c r="CM105" s="41">
        <f t="shared" si="111"/>
        <v>3.0483210696451884E-4</v>
      </c>
      <c r="CO105" s="70">
        <f t="shared" si="112"/>
        <v>0</v>
      </c>
      <c r="CP105" s="70">
        <f t="shared" si="113"/>
        <v>0</v>
      </c>
      <c r="CQ105" s="70">
        <f t="shared" si="114"/>
        <v>0</v>
      </c>
      <c r="CR105" s="70">
        <f t="shared" si="115"/>
        <v>0</v>
      </c>
      <c r="CS105" s="70">
        <f t="shared" si="116"/>
        <v>0</v>
      </c>
      <c r="CT105" s="70">
        <f t="shared" si="117"/>
        <v>0</v>
      </c>
      <c r="CU105" s="69">
        <f t="shared" si="118"/>
        <v>0</v>
      </c>
      <c r="CV105" s="69">
        <f t="shared" si="119"/>
        <v>0</v>
      </c>
      <c r="CW105" s="70">
        <f t="shared" si="120"/>
        <v>0</v>
      </c>
      <c r="CX105" s="69">
        <f t="shared" si="121"/>
        <v>0</v>
      </c>
      <c r="CY105" s="69">
        <f t="shared" si="122"/>
        <v>0</v>
      </c>
      <c r="CZ105" s="70">
        <f t="shared" si="123"/>
        <v>0</v>
      </c>
      <c r="DB105" s="70">
        <f t="shared" si="124"/>
        <v>2.3884516165810665</v>
      </c>
      <c r="DC105" s="70">
        <f t="shared" si="125"/>
        <v>9.0343528057131923</v>
      </c>
      <c r="DD105" s="70">
        <f t="shared" si="126"/>
        <v>11.422804422294259</v>
      </c>
      <c r="DE105" s="70">
        <f t="shared" si="127"/>
        <v>4.5267764838334861</v>
      </c>
      <c r="DF105" s="70">
        <f t="shared" si="128"/>
        <v>7.2191977535858767</v>
      </c>
      <c r="DG105" s="70">
        <f t="shared" si="129"/>
        <v>11.745974237419363</v>
      </c>
      <c r="DH105" s="69">
        <f t="shared" si="130"/>
        <v>10.478880613891747</v>
      </c>
      <c r="DI105" s="69">
        <f t="shared" si="131"/>
        <v>39.636517573825124</v>
      </c>
      <c r="DJ105" s="70">
        <f t="shared" si="132"/>
        <v>50.11539818771687</v>
      </c>
      <c r="DK105" s="69">
        <f t="shared" si="133"/>
        <v>8.5720084286375222</v>
      </c>
      <c r="DL105" s="69">
        <f t="shared" si="134"/>
        <v>13.670439486628636</v>
      </c>
      <c r="DM105" s="70">
        <f t="shared" si="135"/>
        <v>22.242447915266158</v>
      </c>
    </row>
    <row r="106" spans="1:117">
      <c r="A106" t="s">
        <v>391</v>
      </c>
      <c r="B106">
        <v>259179</v>
      </c>
      <c r="C106">
        <v>165907</v>
      </c>
      <c r="D106" s="51">
        <v>32927.599999999999</v>
      </c>
      <c r="E106" s="32">
        <f t="shared" si="68"/>
        <v>5462919333.1999998</v>
      </c>
      <c r="F106">
        <v>6590</v>
      </c>
      <c r="G106" s="37">
        <f t="shared" si="69"/>
        <v>2.5426442728770465E-2</v>
      </c>
      <c r="H106">
        <v>0</v>
      </c>
      <c r="I106" s="3">
        <f t="shared" si="70"/>
        <v>0</v>
      </c>
      <c r="J106" s="11">
        <f>+'Seat capacity elasticities'!K136</f>
        <v>0</v>
      </c>
      <c r="K106" s="11">
        <f>+'Seat capacity elasticities'!L136</f>
        <v>0</v>
      </c>
      <c r="L106" s="11">
        <f>+'Seat capacity elasticities'!M136</f>
        <v>0</v>
      </c>
      <c r="M106" s="11">
        <f>+'Seat capacity elasticities'!N136</f>
        <v>0</v>
      </c>
      <c r="N106" s="32">
        <f t="shared" si="80"/>
        <v>0</v>
      </c>
      <c r="O106" s="33">
        <f t="shared" si="81"/>
        <v>0</v>
      </c>
      <c r="P106" s="40">
        <f t="shared" si="82"/>
        <v>0</v>
      </c>
      <c r="Q106" s="33">
        <f t="shared" si="83"/>
        <v>0</v>
      </c>
      <c r="R106" s="40">
        <f t="shared" si="84"/>
        <v>0</v>
      </c>
      <c r="S106" s="41">
        <f t="shared" si="85"/>
        <v>0</v>
      </c>
      <c r="T106" s="40">
        <f t="shared" si="86"/>
        <v>0</v>
      </c>
      <c r="U106" s="41">
        <f t="shared" si="87"/>
        <v>0</v>
      </c>
      <c r="V106" s="53"/>
      <c r="W106" s="53"/>
      <c r="X106" t="s">
        <v>391</v>
      </c>
      <c r="Y106">
        <v>259179</v>
      </c>
      <c r="Z106">
        <v>165907</v>
      </c>
      <c r="AA106" s="51">
        <v>32927.599999999999</v>
      </c>
      <c r="AB106" s="32">
        <f t="shared" si="71"/>
        <v>5462919333.1999998</v>
      </c>
      <c r="AC106">
        <v>6590</v>
      </c>
      <c r="AD106" s="37">
        <f t="shared" si="72"/>
        <v>2.5426442728770465E-2</v>
      </c>
      <c r="AE106">
        <v>1.7116900000000001E-2</v>
      </c>
      <c r="AF106" s="3">
        <f t="shared" si="73"/>
        <v>1.7116900000000001E-4</v>
      </c>
      <c r="AG106" s="11">
        <f>+'Seat capacity elasticities'!R136</f>
        <v>5.0904783098360724E-2</v>
      </c>
      <c r="AH106" s="11">
        <f>+'Seat capacity elasticities'!S136</f>
        <v>9.6478644760724805E-2</v>
      </c>
      <c r="AI106" s="11">
        <f>+'Seat capacity elasticities'!T136</f>
        <v>0.13966655290524965</v>
      </c>
      <c r="AJ106" s="11">
        <f>+'Seat capacity elasticities'!U136</f>
        <v>0.11425102669033201</v>
      </c>
      <c r="AK106" s="32">
        <f t="shared" si="88"/>
        <v>2780887.2374038743</v>
      </c>
      <c r="AL106" s="33">
        <f t="shared" si="89"/>
        <v>5.0904783098360733E-4</v>
      </c>
      <c r="AM106" s="40">
        <f t="shared" si="90"/>
        <v>5270550.5370429847</v>
      </c>
      <c r="AN106" s="33">
        <f t="shared" si="91"/>
        <v>9.6478644760724817E-4</v>
      </c>
      <c r="AO106" s="40">
        <f t="shared" si="92"/>
        <v>9204025.8364559505</v>
      </c>
      <c r="AP106" s="41">
        <f t="shared" si="93"/>
        <v>1.3966655290524963E-3</v>
      </c>
      <c r="AQ106" s="40">
        <f t="shared" si="94"/>
        <v>7529142.6588928802</v>
      </c>
      <c r="AR106" s="41">
        <f t="shared" si="95"/>
        <v>1.1425102669033202E-3</v>
      </c>
      <c r="AV106" t="s">
        <v>391</v>
      </c>
      <c r="AW106">
        <v>259179</v>
      </c>
      <c r="AX106">
        <v>165907</v>
      </c>
      <c r="AY106" s="51">
        <v>32927.599999999999</v>
      </c>
      <c r="AZ106" s="32">
        <f t="shared" si="74"/>
        <v>5462919333.1999998</v>
      </c>
      <c r="BA106">
        <v>6590</v>
      </c>
      <c r="BB106" s="37">
        <f t="shared" si="75"/>
        <v>2.5426442728770465E-2</v>
      </c>
      <c r="BC106">
        <v>0</v>
      </c>
      <c r="BD106" s="3">
        <f t="shared" si="76"/>
        <v>0</v>
      </c>
      <c r="BE106" s="11">
        <f>+'Seat capacity elasticities'!Y136</f>
        <v>0</v>
      </c>
      <c r="BF106" s="11">
        <f>+'Seat capacity elasticities'!Z136</f>
        <v>0</v>
      </c>
      <c r="BG106" s="11">
        <f>+'Seat capacity elasticities'!AA136</f>
        <v>0</v>
      </c>
      <c r="BH106" s="11">
        <f>+'Seat capacity elasticities'!AB136</f>
        <v>0</v>
      </c>
      <c r="BI106" s="32">
        <f t="shared" si="96"/>
        <v>0</v>
      </c>
      <c r="BJ106" s="33">
        <f t="shared" si="97"/>
        <v>0</v>
      </c>
      <c r="BK106" s="40">
        <f t="shared" si="98"/>
        <v>0</v>
      </c>
      <c r="BL106" s="33">
        <f t="shared" si="99"/>
        <v>0</v>
      </c>
      <c r="BM106" s="40">
        <f t="shared" si="100"/>
        <v>0</v>
      </c>
      <c r="BN106" s="41">
        <f t="shared" si="101"/>
        <v>0</v>
      </c>
      <c r="BO106" s="40">
        <f t="shared" si="102"/>
        <v>0</v>
      </c>
      <c r="BP106" s="41">
        <f t="shared" si="103"/>
        <v>0</v>
      </c>
      <c r="BQ106" s="53"/>
      <c r="BR106" s="53"/>
      <c r="BS106" t="s">
        <v>391</v>
      </c>
      <c r="BT106">
        <v>259179</v>
      </c>
      <c r="BU106">
        <v>165907</v>
      </c>
      <c r="BV106" s="51">
        <v>32927.599999999999</v>
      </c>
      <c r="BW106" s="32">
        <f t="shared" si="77"/>
        <v>5462919333.1999998</v>
      </c>
      <c r="BX106">
        <v>6590</v>
      </c>
      <c r="BY106" s="37">
        <f t="shared" si="78"/>
        <v>2.5426442728770465E-2</v>
      </c>
      <c r="BZ106">
        <v>1.7116900000000001E-2</v>
      </c>
      <c r="CA106" s="3">
        <f t="shared" si="79"/>
        <v>1.7116900000000001E-4</v>
      </c>
      <c r="CB106" s="11">
        <f>+'Seat capacity elasticities'!AF136</f>
        <v>0.14020755017053582</v>
      </c>
      <c r="CC106" s="11">
        <f>+'Seat capacity elasticities'!AG136</f>
        <v>0.11203746997646802</v>
      </c>
      <c r="CD106" s="11">
        <f>+'Seat capacity elasticities'!AH136</f>
        <v>0.38468497519713801</v>
      </c>
      <c r="CE106" s="11">
        <f>+'Seat capacity elasticities'!AI136</f>
        <v>0.13267595128792267</v>
      </c>
      <c r="CF106" s="32">
        <f t="shared" si="104"/>
        <v>7659425.3648722917</v>
      </c>
      <c r="CG106" s="33">
        <f t="shared" si="105"/>
        <v>1.4020755017053585E-3</v>
      </c>
      <c r="CH106" s="40">
        <f t="shared" si="106"/>
        <v>6120516.6077726167</v>
      </c>
      <c r="CI106" s="33">
        <f t="shared" si="107"/>
        <v>1.1203746997646802E-3</v>
      </c>
      <c r="CJ106" s="40">
        <f t="shared" si="108"/>
        <v>25350739.865491398</v>
      </c>
      <c r="CK106" s="41">
        <f t="shared" si="109"/>
        <v>3.8468497519713804E-3</v>
      </c>
      <c r="CL106" s="40">
        <f t="shared" si="110"/>
        <v>8743345.1898741033</v>
      </c>
      <c r="CM106" s="41">
        <f t="shared" si="111"/>
        <v>1.3267595128792266E-3</v>
      </c>
      <c r="CO106" s="70">
        <f t="shared" si="112"/>
        <v>0</v>
      </c>
      <c r="CP106" s="70">
        <f t="shared" si="113"/>
        <v>0</v>
      </c>
      <c r="CQ106" s="70">
        <f t="shared" si="114"/>
        <v>0</v>
      </c>
      <c r="CR106" s="70">
        <f t="shared" si="115"/>
        <v>0</v>
      </c>
      <c r="CS106" s="70">
        <f t="shared" si="116"/>
        <v>0</v>
      </c>
      <c r="CT106" s="70">
        <f t="shared" si="117"/>
        <v>0</v>
      </c>
      <c r="CU106" s="69">
        <f t="shared" si="118"/>
        <v>0</v>
      </c>
      <c r="CV106" s="69">
        <f t="shared" si="119"/>
        <v>0</v>
      </c>
      <c r="CW106" s="70">
        <f t="shared" si="120"/>
        <v>0</v>
      </c>
      <c r="CX106" s="69">
        <f t="shared" si="121"/>
        <v>0</v>
      </c>
      <c r="CY106" s="69">
        <f t="shared" si="122"/>
        <v>0</v>
      </c>
      <c r="CZ106" s="70">
        <f t="shared" si="123"/>
        <v>0</v>
      </c>
      <c r="DB106" s="70">
        <f t="shared" si="124"/>
        <v>16.761723359495829</v>
      </c>
      <c r="DC106" s="70">
        <f t="shared" si="125"/>
        <v>46.166981289953355</v>
      </c>
      <c r="DD106" s="70">
        <f t="shared" si="126"/>
        <v>62.928704649449188</v>
      </c>
      <c r="DE106" s="70">
        <f t="shared" si="127"/>
        <v>31.768102232232422</v>
      </c>
      <c r="DF106" s="70">
        <f t="shared" si="128"/>
        <v>36.891249963971482</v>
      </c>
      <c r="DG106" s="70">
        <f t="shared" si="129"/>
        <v>68.659352196203912</v>
      </c>
      <c r="DH106" s="69">
        <f t="shared" si="130"/>
        <v>55.477019272580122</v>
      </c>
      <c r="DI106" s="69">
        <f t="shared" si="131"/>
        <v>152.80090572122575</v>
      </c>
      <c r="DJ106" s="70">
        <f t="shared" si="132"/>
        <v>208.27792499380587</v>
      </c>
      <c r="DK106" s="69">
        <f t="shared" si="133"/>
        <v>45.381705768248963</v>
      </c>
      <c r="DL106" s="69">
        <f t="shared" si="134"/>
        <v>52.700279010976651</v>
      </c>
      <c r="DM106" s="70">
        <f t="shared" si="135"/>
        <v>98.081984779225621</v>
      </c>
    </row>
    <row r="107" spans="1:117">
      <c r="A107" t="s">
        <v>981</v>
      </c>
      <c r="B107">
        <v>184731</v>
      </c>
      <c r="C107">
        <v>101042</v>
      </c>
      <c r="D107" s="51">
        <v>35749.160000000003</v>
      </c>
      <c r="E107" s="32">
        <f t="shared" si="68"/>
        <v>3612166624.7200003</v>
      </c>
      <c r="F107">
        <v>5744</v>
      </c>
      <c r="G107" s="37">
        <f t="shared" si="69"/>
        <v>3.1093860803005451E-2</v>
      </c>
      <c r="H107">
        <v>0</v>
      </c>
      <c r="I107" s="3">
        <f t="shared" si="70"/>
        <v>0</v>
      </c>
      <c r="J107" s="11">
        <f>+'Seat capacity elasticities'!K137</f>
        <v>0</v>
      </c>
      <c r="K107" s="11">
        <f>+'Seat capacity elasticities'!L137</f>
        <v>0</v>
      </c>
      <c r="L107" s="11">
        <f>+'Seat capacity elasticities'!M137</f>
        <v>0</v>
      </c>
      <c r="M107" s="11">
        <f>+'Seat capacity elasticities'!N137</f>
        <v>0</v>
      </c>
      <c r="N107" s="32">
        <f t="shared" si="80"/>
        <v>0</v>
      </c>
      <c r="O107" s="33">
        <f t="shared" si="81"/>
        <v>0</v>
      </c>
      <c r="P107" s="40">
        <f t="shared" si="82"/>
        <v>0</v>
      </c>
      <c r="Q107" s="33">
        <f t="shared" si="83"/>
        <v>0</v>
      </c>
      <c r="R107" s="40">
        <f t="shared" si="84"/>
        <v>0</v>
      </c>
      <c r="S107" s="41">
        <f t="shared" si="85"/>
        <v>0</v>
      </c>
      <c r="T107" s="40">
        <f t="shared" si="86"/>
        <v>0</v>
      </c>
      <c r="U107" s="41">
        <f t="shared" si="87"/>
        <v>0</v>
      </c>
      <c r="V107" s="53"/>
      <c r="W107" s="53"/>
      <c r="X107" t="s">
        <v>981</v>
      </c>
      <c r="Y107">
        <v>184731</v>
      </c>
      <c r="Z107">
        <v>101042</v>
      </c>
      <c r="AA107" s="51">
        <v>35749.160000000003</v>
      </c>
      <c r="AB107" s="32">
        <f t="shared" si="71"/>
        <v>3612166624.7200003</v>
      </c>
      <c r="AC107">
        <v>5744</v>
      </c>
      <c r="AD107" s="37">
        <f t="shared" si="72"/>
        <v>3.1093860803005451E-2</v>
      </c>
      <c r="AE107">
        <v>5.0319999999999998E-4</v>
      </c>
      <c r="AF107" s="3">
        <f t="shared" si="73"/>
        <v>5.0320000000000003E-6</v>
      </c>
      <c r="AG107" s="11">
        <f>+'Seat capacity elasticities'!R137</f>
        <v>1.389356459687815E-3</v>
      </c>
      <c r="AH107" s="11">
        <f>+'Seat capacity elasticities'!S137</f>
        <v>2.6332148014703064E-3</v>
      </c>
      <c r="AI107" s="11">
        <f>+'Seat capacity elasticities'!T137</f>
        <v>3.8119527413817307E-3</v>
      </c>
      <c r="AJ107" s="11">
        <f>+'Seat capacity elasticities'!U137</f>
        <v>3.1182806859516789E-3</v>
      </c>
      <c r="AK107" s="32">
        <f t="shared" si="88"/>
        <v>50185.870335234642</v>
      </c>
      <c r="AL107" s="33">
        <f t="shared" si="89"/>
        <v>1.3893564596878151E-5</v>
      </c>
      <c r="AM107" s="40">
        <f t="shared" si="90"/>
        <v>95116.106215897424</v>
      </c>
      <c r="AN107" s="33">
        <f t="shared" si="91"/>
        <v>2.6332148014703065E-5</v>
      </c>
      <c r="AO107" s="40">
        <f t="shared" si="92"/>
        <v>218958.56546496664</v>
      </c>
      <c r="AP107" s="41">
        <f t="shared" si="93"/>
        <v>3.811952741381731E-5</v>
      </c>
      <c r="AQ107" s="40">
        <f t="shared" si="94"/>
        <v>179114.04260106446</v>
      </c>
      <c r="AR107" s="41">
        <f t="shared" si="95"/>
        <v>3.1182806859516789E-5</v>
      </c>
      <c r="AV107" t="s">
        <v>981</v>
      </c>
      <c r="AW107">
        <v>184731</v>
      </c>
      <c r="AX107">
        <v>101042</v>
      </c>
      <c r="AY107" s="51">
        <v>35749.160000000003</v>
      </c>
      <c r="AZ107" s="32">
        <f t="shared" si="74"/>
        <v>3612166624.7200003</v>
      </c>
      <c r="BA107">
        <v>5744</v>
      </c>
      <c r="BB107" s="37">
        <f t="shared" si="75"/>
        <v>3.1093860803005451E-2</v>
      </c>
      <c r="BC107">
        <v>0</v>
      </c>
      <c r="BD107" s="3">
        <f t="shared" si="76"/>
        <v>0</v>
      </c>
      <c r="BE107" s="11">
        <f>+'Seat capacity elasticities'!Y137</f>
        <v>0</v>
      </c>
      <c r="BF107" s="11">
        <f>+'Seat capacity elasticities'!Z137</f>
        <v>0</v>
      </c>
      <c r="BG107" s="11">
        <f>+'Seat capacity elasticities'!AA137</f>
        <v>0</v>
      </c>
      <c r="BH107" s="11">
        <f>+'Seat capacity elasticities'!AB137</f>
        <v>0</v>
      </c>
      <c r="BI107" s="32">
        <f t="shared" si="96"/>
        <v>0</v>
      </c>
      <c r="BJ107" s="33">
        <f t="shared" si="97"/>
        <v>0</v>
      </c>
      <c r="BK107" s="40">
        <f t="shared" si="98"/>
        <v>0</v>
      </c>
      <c r="BL107" s="33">
        <f t="shared" si="99"/>
        <v>0</v>
      </c>
      <c r="BM107" s="40">
        <f t="shared" si="100"/>
        <v>0</v>
      </c>
      <c r="BN107" s="41">
        <f t="shared" si="101"/>
        <v>0</v>
      </c>
      <c r="BO107" s="40">
        <f t="shared" si="102"/>
        <v>0</v>
      </c>
      <c r="BP107" s="41">
        <f t="shared" si="103"/>
        <v>0</v>
      </c>
      <c r="BQ107" s="53"/>
      <c r="BR107" s="53"/>
      <c r="BS107" t="s">
        <v>981</v>
      </c>
      <c r="BT107">
        <v>184731</v>
      </c>
      <c r="BU107">
        <v>101042</v>
      </c>
      <c r="BV107" s="51">
        <v>35749.160000000003</v>
      </c>
      <c r="BW107" s="32">
        <f t="shared" si="77"/>
        <v>3612166624.7200003</v>
      </c>
      <c r="BX107">
        <v>5744</v>
      </c>
      <c r="BY107" s="37">
        <f t="shared" si="78"/>
        <v>3.1093860803005451E-2</v>
      </c>
      <c r="BZ107">
        <v>5.0319999999999998E-4</v>
      </c>
      <c r="CA107" s="3">
        <f t="shared" si="79"/>
        <v>5.0320000000000003E-6</v>
      </c>
      <c r="CB107" s="11">
        <f>+'Seat capacity elasticities'!AF137</f>
        <v>5.7829168612968255E-3</v>
      </c>
      <c r="CC107" s="11">
        <f>+'Seat capacity elasticities'!AG137</f>
        <v>4.6210305610211609E-3</v>
      </c>
      <c r="CD107" s="11">
        <f>+'Seat capacity elasticities'!AH137</f>
        <v>1.5866486695254828E-2</v>
      </c>
      <c r="CE107" s="11">
        <f>+'Seat capacity elasticities'!AI137</f>
        <v>5.4722730327882172E-3</v>
      </c>
      <c r="CF107" s="32">
        <f t="shared" si="104"/>
        <v>208888.59279906933</v>
      </c>
      <c r="CG107" s="33">
        <f t="shared" si="105"/>
        <v>5.7829168612968258E-5</v>
      </c>
      <c r="CH107" s="40">
        <f t="shared" si="106"/>
        <v>166919.32364331777</v>
      </c>
      <c r="CI107" s="33">
        <f t="shared" si="107"/>
        <v>4.6210305610211609E-5</v>
      </c>
      <c r="CJ107" s="40">
        <f t="shared" si="108"/>
        <v>911370.99577543733</v>
      </c>
      <c r="CK107" s="41">
        <f t="shared" si="109"/>
        <v>1.5866486695254828E-4</v>
      </c>
      <c r="CL107" s="40">
        <f t="shared" si="110"/>
        <v>314327.36300335516</v>
      </c>
      <c r="CM107" s="41">
        <f t="shared" si="111"/>
        <v>5.472273032788217E-5</v>
      </c>
      <c r="CO107" s="70">
        <f t="shared" si="112"/>
        <v>0</v>
      </c>
      <c r="CP107" s="70">
        <f t="shared" si="113"/>
        <v>0</v>
      </c>
      <c r="CQ107" s="70">
        <f t="shared" si="114"/>
        <v>0</v>
      </c>
      <c r="CR107" s="70">
        <f t="shared" si="115"/>
        <v>0</v>
      </c>
      <c r="CS107" s="70">
        <f t="shared" si="116"/>
        <v>0</v>
      </c>
      <c r="CT107" s="70">
        <f t="shared" si="117"/>
        <v>0</v>
      </c>
      <c r="CU107" s="69">
        <f t="shared" si="118"/>
        <v>0</v>
      </c>
      <c r="CV107" s="69">
        <f t="shared" si="119"/>
        <v>0</v>
      </c>
      <c r="CW107" s="70">
        <f t="shared" si="120"/>
        <v>0</v>
      </c>
      <c r="CX107" s="69">
        <f t="shared" si="121"/>
        <v>0</v>
      </c>
      <c r="CY107" s="69">
        <f t="shared" si="122"/>
        <v>0</v>
      </c>
      <c r="CZ107" s="70">
        <f t="shared" si="123"/>
        <v>0</v>
      </c>
      <c r="DB107" s="70">
        <f t="shared" si="124"/>
        <v>0.49668326374413257</v>
      </c>
      <c r="DC107" s="70">
        <f t="shared" si="125"/>
        <v>2.0673442014119803</v>
      </c>
      <c r="DD107" s="70">
        <f t="shared" si="126"/>
        <v>2.564027465156113</v>
      </c>
      <c r="DE107" s="70">
        <f t="shared" si="127"/>
        <v>0.94135217252130232</v>
      </c>
      <c r="DF107" s="70">
        <f t="shared" si="128"/>
        <v>1.6519796089083527</v>
      </c>
      <c r="DG107" s="70">
        <f t="shared" si="129"/>
        <v>2.5933317814296553</v>
      </c>
      <c r="DH107" s="69">
        <f t="shared" si="130"/>
        <v>2.1670054577796027</v>
      </c>
      <c r="DI107" s="69">
        <f t="shared" si="131"/>
        <v>9.0197244292020873</v>
      </c>
      <c r="DJ107" s="70">
        <f t="shared" si="132"/>
        <v>11.18672988698169</v>
      </c>
      <c r="DK107" s="69">
        <f t="shared" si="133"/>
        <v>1.7726692128131318</v>
      </c>
      <c r="DL107" s="69">
        <f t="shared" si="134"/>
        <v>3.1108584846237717</v>
      </c>
      <c r="DM107" s="70">
        <f t="shared" si="135"/>
        <v>4.8835276974369037</v>
      </c>
    </row>
    <row r="108" spans="1:117">
      <c r="A108" t="s">
        <v>392</v>
      </c>
      <c r="B108">
        <v>128653</v>
      </c>
      <c r="C108">
        <v>70059</v>
      </c>
      <c r="D108" s="51">
        <v>33199.949999999997</v>
      </c>
      <c r="E108" s="32">
        <f t="shared" si="68"/>
        <v>2325955297.0499997</v>
      </c>
      <c r="F108">
        <v>3083</v>
      </c>
      <c r="G108" s="37">
        <f t="shared" si="69"/>
        <v>2.3963685261906058E-2</v>
      </c>
      <c r="H108">
        <v>0</v>
      </c>
      <c r="I108" s="3">
        <f t="shared" si="70"/>
        <v>0</v>
      </c>
      <c r="J108" s="11">
        <f>+'Seat capacity elasticities'!K138</f>
        <v>0</v>
      </c>
      <c r="K108" s="11">
        <f>+'Seat capacity elasticities'!L138</f>
        <v>0</v>
      </c>
      <c r="L108" s="11">
        <f>+'Seat capacity elasticities'!M138</f>
        <v>0</v>
      </c>
      <c r="M108" s="11">
        <f>+'Seat capacity elasticities'!N138</f>
        <v>0</v>
      </c>
      <c r="N108" s="32">
        <f t="shared" si="80"/>
        <v>0</v>
      </c>
      <c r="O108" s="33">
        <f t="shared" si="81"/>
        <v>0</v>
      </c>
      <c r="P108" s="40">
        <f t="shared" si="82"/>
        <v>0</v>
      </c>
      <c r="Q108" s="33">
        <f t="shared" si="83"/>
        <v>0</v>
      </c>
      <c r="R108" s="40">
        <f t="shared" si="84"/>
        <v>0</v>
      </c>
      <c r="S108" s="41">
        <f t="shared" si="85"/>
        <v>0</v>
      </c>
      <c r="T108" s="40">
        <f t="shared" si="86"/>
        <v>0</v>
      </c>
      <c r="U108" s="41">
        <f t="shared" si="87"/>
        <v>0</v>
      </c>
      <c r="V108" s="53"/>
      <c r="W108" s="53"/>
      <c r="X108" t="s">
        <v>392</v>
      </c>
      <c r="Y108">
        <v>128653</v>
      </c>
      <c r="Z108">
        <v>70059</v>
      </c>
      <c r="AA108" s="51">
        <v>33199.949999999997</v>
      </c>
      <c r="AB108" s="32">
        <f t="shared" si="71"/>
        <v>2325955297.0499997</v>
      </c>
      <c r="AC108">
        <v>3083</v>
      </c>
      <c r="AD108" s="37">
        <f t="shared" si="72"/>
        <v>2.3963685261906058E-2</v>
      </c>
      <c r="AE108">
        <v>3.3649999999999999E-3</v>
      </c>
      <c r="AF108" s="3">
        <f t="shared" si="73"/>
        <v>3.3649999999999998E-5</v>
      </c>
      <c r="AG108" s="11">
        <f>+'Seat capacity elasticities'!R138</f>
        <v>3.5187612344212463E-3</v>
      </c>
      <c r="AH108" s="11">
        <f>+'Seat capacity elasticities'!S138</f>
        <v>6.6690258649676724E-3</v>
      </c>
      <c r="AI108" s="11">
        <f>+'Seat capacity elasticities'!T138</f>
        <v>9.6543629536467411E-3</v>
      </c>
      <c r="AJ108" s="11">
        <f>+'Seat capacity elasticities'!U138</f>
        <v>7.8975306295669817E-3</v>
      </c>
      <c r="AK108" s="32">
        <f t="shared" si="88"/>
        <v>81844.813322562928</v>
      </c>
      <c r="AL108" s="33">
        <f t="shared" si="89"/>
        <v>3.5187612344212459E-5</v>
      </c>
      <c r="AM108" s="40">
        <f t="shared" si="90"/>
        <v>155118.56036785012</v>
      </c>
      <c r="AN108" s="33">
        <f t="shared" si="91"/>
        <v>6.6690258649676723E-5</v>
      </c>
      <c r="AO108" s="40">
        <f t="shared" si="92"/>
        <v>297644.00986092904</v>
      </c>
      <c r="AP108" s="41">
        <f t="shared" si="93"/>
        <v>9.6543629536467417E-5</v>
      </c>
      <c r="AQ108" s="40">
        <f t="shared" si="94"/>
        <v>243480.86930955003</v>
      </c>
      <c r="AR108" s="41">
        <f t="shared" si="95"/>
        <v>7.8975306295669812E-5</v>
      </c>
      <c r="AV108" t="s">
        <v>392</v>
      </c>
      <c r="AW108">
        <v>128653</v>
      </c>
      <c r="AX108">
        <v>70059</v>
      </c>
      <c r="AY108" s="51">
        <v>33199.949999999997</v>
      </c>
      <c r="AZ108" s="32">
        <f t="shared" si="74"/>
        <v>2325955297.0499997</v>
      </c>
      <c r="BA108">
        <v>3083</v>
      </c>
      <c r="BB108" s="37">
        <f t="shared" si="75"/>
        <v>2.3963685261906058E-2</v>
      </c>
      <c r="BC108">
        <v>0</v>
      </c>
      <c r="BD108" s="3">
        <f t="shared" si="76"/>
        <v>0</v>
      </c>
      <c r="BE108" s="11">
        <f>+'Seat capacity elasticities'!Y138</f>
        <v>0</v>
      </c>
      <c r="BF108" s="11">
        <f>+'Seat capacity elasticities'!Z138</f>
        <v>0</v>
      </c>
      <c r="BG108" s="11">
        <f>+'Seat capacity elasticities'!AA138</f>
        <v>0</v>
      </c>
      <c r="BH108" s="11">
        <f>+'Seat capacity elasticities'!AB138</f>
        <v>0</v>
      </c>
      <c r="BI108" s="32">
        <f t="shared" si="96"/>
        <v>0</v>
      </c>
      <c r="BJ108" s="33">
        <f t="shared" si="97"/>
        <v>0</v>
      </c>
      <c r="BK108" s="40">
        <f t="shared" si="98"/>
        <v>0</v>
      </c>
      <c r="BL108" s="33">
        <f t="shared" si="99"/>
        <v>0</v>
      </c>
      <c r="BM108" s="40">
        <f t="shared" si="100"/>
        <v>0</v>
      </c>
      <c r="BN108" s="41">
        <f t="shared" si="101"/>
        <v>0</v>
      </c>
      <c r="BO108" s="40">
        <f t="shared" si="102"/>
        <v>0</v>
      </c>
      <c r="BP108" s="41">
        <f t="shared" si="103"/>
        <v>0</v>
      </c>
      <c r="BQ108" s="53"/>
      <c r="BR108" s="53"/>
      <c r="BS108" t="s">
        <v>392</v>
      </c>
      <c r="BT108">
        <v>128653</v>
      </c>
      <c r="BU108">
        <v>70059</v>
      </c>
      <c r="BV108" s="51">
        <v>33199.949999999997</v>
      </c>
      <c r="BW108" s="32">
        <f t="shared" si="77"/>
        <v>2325955297.0499997</v>
      </c>
      <c r="BX108">
        <v>3083</v>
      </c>
      <c r="BY108" s="37">
        <f t="shared" si="78"/>
        <v>2.3963685261906058E-2</v>
      </c>
      <c r="BZ108">
        <v>3.3649999999999999E-3</v>
      </c>
      <c r="CA108" s="3">
        <f t="shared" si="79"/>
        <v>3.3649999999999998E-5</v>
      </c>
      <c r="CB108" s="11">
        <f>+'Seat capacity elasticities'!AF138</f>
        <v>5.5527899863911448E-2</v>
      </c>
      <c r="CC108" s="11">
        <f>+'Seat capacity elasticities'!AG138</f>
        <v>4.4371400871724719E-2</v>
      </c>
      <c r="CD108" s="11">
        <f>+'Seat capacity elasticities'!AH138</f>
        <v>0.15235091659412528</v>
      </c>
      <c r="CE108" s="11">
        <f>+'Seat capacity elasticities'!AI138</f>
        <v>5.254507997967401E-2</v>
      </c>
      <c r="CF108" s="32">
        <f t="shared" si="104"/>
        <v>1291554.1282252679</v>
      </c>
      <c r="CG108" s="33">
        <f t="shared" si="105"/>
        <v>5.5527899863911441E-4</v>
      </c>
      <c r="CH108" s="40">
        <f t="shared" si="106"/>
        <v>1032058.9489511708</v>
      </c>
      <c r="CI108" s="33">
        <f t="shared" si="107"/>
        <v>4.4371400871724714E-4</v>
      </c>
      <c r="CJ108" s="40">
        <f t="shared" si="108"/>
        <v>4696978.7585968832</v>
      </c>
      <c r="CK108" s="41">
        <f t="shared" si="109"/>
        <v>1.5235091659412531E-3</v>
      </c>
      <c r="CL108" s="40">
        <f t="shared" si="110"/>
        <v>1619964.8157733497</v>
      </c>
      <c r="CM108" s="41">
        <f t="shared" si="111"/>
        <v>5.2545079979674002E-4</v>
      </c>
      <c r="CO108" s="70">
        <f t="shared" si="112"/>
        <v>0</v>
      </c>
      <c r="CP108" s="70">
        <f t="shared" si="113"/>
        <v>0</v>
      </c>
      <c r="CQ108" s="70">
        <f t="shared" si="114"/>
        <v>0</v>
      </c>
      <c r="CR108" s="70">
        <f t="shared" si="115"/>
        <v>0</v>
      </c>
      <c r="CS108" s="70">
        <f t="shared" si="116"/>
        <v>0</v>
      </c>
      <c r="CT108" s="70">
        <f t="shared" si="117"/>
        <v>0</v>
      </c>
      <c r="CU108" s="69">
        <f t="shared" si="118"/>
        <v>0</v>
      </c>
      <c r="CV108" s="69">
        <f t="shared" si="119"/>
        <v>0</v>
      </c>
      <c r="CW108" s="70">
        <f t="shared" si="120"/>
        <v>0</v>
      </c>
      <c r="CX108" s="69">
        <f t="shared" si="121"/>
        <v>0</v>
      </c>
      <c r="CY108" s="69">
        <f t="shared" si="122"/>
        <v>0</v>
      </c>
      <c r="CZ108" s="70">
        <f t="shared" si="123"/>
        <v>0</v>
      </c>
      <c r="DB108" s="70">
        <f t="shared" si="124"/>
        <v>1.1682269704472363</v>
      </c>
      <c r="DC108" s="70">
        <f t="shared" si="125"/>
        <v>18.435234990868665</v>
      </c>
      <c r="DD108" s="70">
        <f t="shared" si="126"/>
        <v>19.603461961315901</v>
      </c>
      <c r="DE108" s="70">
        <f t="shared" si="127"/>
        <v>2.2141132526563343</v>
      </c>
      <c r="DF108" s="70">
        <f t="shared" si="128"/>
        <v>14.731282903712168</v>
      </c>
      <c r="DG108" s="70">
        <f t="shared" si="129"/>
        <v>16.945396156368503</v>
      </c>
      <c r="DH108" s="69">
        <f t="shared" si="130"/>
        <v>4.2484764250264639</v>
      </c>
      <c r="DI108" s="69">
        <f t="shared" si="131"/>
        <v>67.043188720890726</v>
      </c>
      <c r="DJ108" s="70">
        <f t="shared" si="132"/>
        <v>71.291665145917193</v>
      </c>
      <c r="DK108" s="69">
        <f t="shared" si="133"/>
        <v>3.4753688934976239</v>
      </c>
      <c r="DL108" s="69">
        <f t="shared" si="134"/>
        <v>23.122865238917907</v>
      </c>
      <c r="DM108" s="70">
        <f t="shared" si="135"/>
        <v>26.598234132415531</v>
      </c>
    </row>
    <row r="109" spans="1:117">
      <c r="A109" t="s">
        <v>393</v>
      </c>
      <c r="B109">
        <v>97261</v>
      </c>
      <c r="C109">
        <v>70785</v>
      </c>
      <c r="D109" s="51">
        <v>30227.14</v>
      </c>
      <c r="E109" s="32">
        <f t="shared" si="68"/>
        <v>2139628104.8999999</v>
      </c>
      <c r="F109">
        <v>2846</v>
      </c>
      <c r="G109" s="37">
        <f t="shared" si="69"/>
        <v>2.9261471710140756E-2</v>
      </c>
      <c r="H109">
        <v>0</v>
      </c>
      <c r="I109" s="3">
        <f t="shared" si="70"/>
        <v>0</v>
      </c>
      <c r="J109" s="11">
        <f>+'Seat capacity elasticities'!K139</f>
        <v>0</v>
      </c>
      <c r="K109" s="11">
        <f>+'Seat capacity elasticities'!L139</f>
        <v>0</v>
      </c>
      <c r="L109" s="11">
        <f>+'Seat capacity elasticities'!M139</f>
        <v>0</v>
      </c>
      <c r="M109" s="11">
        <f>+'Seat capacity elasticities'!N139</f>
        <v>0</v>
      </c>
      <c r="N109" s="32">
        <f t="shared" si="80"/>
        <v>0</v>
      </c>
      <c r="O109" s="33">
        <f t="shared" si="81"/>
        <v>0</v>
      </c>
      <c r="P109" s="40">
        <f t="shared" si="82"/>
        <v>0</v>
      </c>
      <c r="Q109" s="33">
        <f t="shared" si="83"/>
        <v>0</v>
      </c>
      <c r="R109" s="40">
        <f t="shared" si="84"/>
        <v>0</v>
      </c>
      <c r="S109" s="41">
        <f t="shared" si="85"/>
        <v>0</v>
      </c>
      <c r="T109" s="40">
        <f t="shared" si="86"/>
        <v>0</v>
      </c>
      <c r="U109" s="41">
        <f t="shared" si="87"/>
        <v>0</v>
      </c>
      <c r="V109" s="53"/>
      <c r="W109" s="53"/>
      <c r="X109" t="s">
        <v>393</v>
      </c>
      <c r="Y109">
        <v>97261</v>
      </c>
      <c r="Z109">
        <v>70785</v>
      </c>
      <c r="AA109" s="51">
        <v>30227.14</v>
      </c>
      <c r="AB109" s="32">
        <f t="shared" si="71"/>
        <v>2139628104.8999999</v>
      </c>
      <c r="AC109">
        <v>2846</v>
      </c>
      <c r="AD109" s="37">
        <f t="shared" si="72"/>
        <v>2.9261471710140756E-2</v>
      </c>
      <c r="AE109">
        <v>2.9239000000000001E-3</v>
      </c>
      <c r="AF109" s="3">
        <f t="shared" si="73"/>
        <v>2.9239000000000002E-5</v>
      </c>
      <c r="AG109" s="11">
        <f>+'Seat capacity elasticities'!R139</f>
        <v>6.4544837819822147E-3</v>
      </c>
      <c r="AH109" s="11">
        <f>+'Seat capacity elasticities'!S139</f>
        <v>1.2233032143806048E-2</v>
      </c>
      <c r="AI109" s="11">
        <f>+'Seat capacity elasticities'!T139</f>
        <v>1.7709052975835679E-2</v>
      </c>
      <c r="AJ109" s="11">
        <f>+'Seat capacity elasticities'!U139</f>
        <v>1.4486485433454531E-2</v>
      </c>
      <c r="AK109" s="32">
        <f t="shared" si="88"/>
        <v>138101.94902550391</v>
      </c>
      <c r="AL109" s="33">
        <f t="shared" si="89"/>
        <v>6.4544837819822156E-5</v>
      </c>
      <c r="AM109" s="40">
        <f t="shared" si="90"/>
        <v>261741.39383032516</v>
      </c>
      <c r="AN109" s="33">
        <f t="shared" si="91"/>
        <v>1.2233032143806047E-4</v>
      </c>
      <c r="AO109" s="40">
        <f t="shared" si="92"/>
        <v>503999.64769228332</v>
      </c>
      <c r="AP109" s="41">
        <f t="shared" si="93"/>
        <v>1.7709052975835676E-4</v>
      </c>
      <c r="AQ109" s="40">
        <f t="shared" si="94"/>
        <v>412285.37543611595</v>
      </c>
      <c r="AR109" s="41">
        <f t="shared" si="95"/>
        <v>1.448648543345453E-4</v>
      </c>
      <c r="AV109" t="s">
        <v>393</v>
      </c>
      <c r="AW109">
        <v>97261</v>
      </c>
      <c r="AX109">
        <v>70785</v>
      </c>
      <c r="AY109" s="51">
        <v>30227.14</v>
      </c>
      <c r="AZ109" s="32">
        <f t="shared" si="74"/>
        <v>2139628104.8999999</v>
      </c>
      <c r="BA109">
        <v>2846</v>
      </c>
      <c r="BB109" s="37">
        <f t="shared" si="75"/>
        <v>2.9261471710140756E-2</v>
      </c>
      <c r="BC109">
        <v>0</v>
      </c>
      <c r="BD109" s="3">
        <f t="shared" si="76"/>
        <v>0</v>
      </c>
      <c r="BE109" s="11">
        <f>+'Seat capacity elasticities'!Y139</f>
        <v>0</v>
      </c>
      <c r="BF109" s="11">
        <f>+'Seat capacity elasticities'!Z139</f>
        <v>0</v>
      </c>
      <c r="BG109" s="11">
        <f>+'Seat capacity elasticities'!AA139</f>
        <v>0</v>
      </c>
      <c r="BH109" s="11">
        <f>+'Seat capacity elasticities'!AB139</f>
        <v>0</v>
      </c>
      <c r="BI109" s="32">
        <f t="shared" si="96"/>
        <v>0</v>
      </c>
      <c r="BJ109" s="33">
        <f t="shared" si="97"/>
        <v>0</v>
      </c>
      <c r="BK109" s="40">
        <f t="shared" si="98"/>
        <v>0</v>
      </c>
      <c r="BL109" s="33">
        <f t="shared" si="99"/>
        <v>0</v>
      </c>
      <c r="BM109" s="40">
        <f t="shared" si="100"/>
        <v>0</v>
      </c>
      <c r="BN109" s="41">
        <f t="shared" si="101"/>
        <v>0</v>
      </c>
      <c r="BO109" s="40">
        <f t="shared" si="102"/>
        <v>0</v>
      </c>
      <c r="BP109" s="41">
        <f t="shared" si="103"/>
        <v>0</v>
      </c>
      <c r="BQ109" s="53"/>
      <c r="BR109" s="53"/>
      <c r="BS109" t="s">
        <v>393</v>
      </c>
      <c r="BT109">
        <v>97261</v>
      </c>
      <c r="BU109">
        <v>70785</v>
      </c>
      <c r="BV109" s="51">
        <v>30227.14</v>
      </c>
      <c r="BW109" s="32">
        <f t="shared" si="77"/>
        <v>2139628104.8999999</v>
      </c>
      <c r="BX109">
        <v>2846</v>
      </c>
      <c r="BY109" s="37">
        <f t="shared" si="78"/>
        <v>2.9261471710140756E-2</v>
      </c>
      <c r="BZ109">
        <v>2.9239000000000001E-3</v>
      </c>
      <c r="CA109" s="3">
        <f t="shared" si="79"/>
        <v>2.9239000000000002E-5</v>
      </c>
      <c r="CB109" s="11">
        <f>+'Seat capacity elasticities'!AF139</f>
        <v>6.3821922492721103E-2</v>
      </c>
      <c r="CC109" s="11">
        <f>+'Seat capacity elasticities'!AG139</f>
        <v>5.099901336569642E-2</v>
      </c>
      <c r="CD109" s="11">
        <f>+'Seat capacity elasticities'!AH139</f>
        <v>0.17510707976342255</v>
      </c>
      <c r="CE109" s="11">
        <f>+'Seat capacity elasticities'!AI139</f>
        <v>6.0393568459377343E-2</v>
      </c>
      <c r="CF109" s="32">
        <f t="shared" si="104"/>
        <v>1365551.7907417554</v>
      </c>
      <c r="CG109" s="33">
        <f t="shared" si="105"/>
        <v>6.3821922492721106E-4</v>
      </c>
      <c r="CH109" s="40">
        <f t="shared" si="106"/>
        <v>1091189.2231941479</v>
      </c>
      <c r="CI109" s="33">
        <f t="shared" si="107"/>
        <v>5.0999013365696417E-4</v>
      </c>
      <c r="CJ109" s="40">
        <f t="shared" si="108"/>
        <v>4983547.4900670061</v>
      </c>
      <c r="CK109" s="41">
        <f t="shared" si="109"/>
        <v>1.7510707976342256E-3</v>
      </c>
      <c r="CL109" s="40">
        <f t="shared" si="110"/>
        <v>1718800.9583538792</v>
      </c>
      <c r="CM109" s="41">
        <f t="shared" si="111"/>
        <v>6.0393568459377338E-4</v>
      </c>
      <c r="CO109" s="70">
        <f t="shared" si="112"/>
        <v>0</v>
      </c>
      <c r="CP109" s="70">
        <f t="shared" si="113"/>
        <v>0</v>
      </c>
      <c r="CQ109" s="70">
        <f t="shared" si="114"/>
        <v>0</v>
      </c>
      <c r="CR109" s="70">
        <f t="shared" si="115"/>
        <v>0</v>
      </c>
      <c r="CS109" s="70">
        <f t="shared" si="116"/>
        <v>0</v>
      </c>
      <c r="CT109" s="70">
        <f t="shared" si="117"/>
        <v>0</v>
      </c>
      <c r="CU109" s="69">
        <f t="shared" si="118"/>
        <v>0</v>
      </c>
      <c r="CV109" s="69">
        <f t="shared" si="119"/>
        <v>0</v>
      </c>
      <c r="CW109" s="70">
        <f t="shared" si="120"/>
        <v>0</v>
      </c>
      <c r="CX109" s="69">
        <f t="shared" si="121"/>
        <v>0</v>
      </c>
      <c r="CY109" s="69">
        <f t="shared" si="122"/>
        <v>0</v>
      </c>
      <c r="CZ109" s="70">
        <f t="shared" si="123"/>
        <v>0</v>
      </c>
      <c r="DB109" s="70">
        <f t="shared" si="124"/>
        <v>1.951005849057059</v>
      </c>
      <c r="DC109" s="70">
        <f t="shared" si="125"/>
        <v>19.291541862566298</v>
      </c>
      <c r="DD109" s="70">
        <f t="shared" si="126"/>
        <v>21.242547711623356</v>
      </c>
      <c r="DE109" s="70">
        <f t="shared" si="127"/>
        <v>3.6976957523532552</v>
      </c>
      <c r="DF109" s="70">
        <f t="shared" si="128"/>
        <v>15.415543168667767</v>
      </c>
      <c r="DG109" s="70">
        <f t="shared" si="129"/>
        <v>19.113238921021022</v>
      </c>
      <c r="DH109" s="69">
        <f t="shared" si="130"/>
        <v>7.1201475975458548</v>
      </c>
      <c r="DI109" s="69">
        <f t="shared" si="131"/>
        <v>70.404004945497007</v>
      </c>
      <c r="DJ109" s="70">
        <f t="shared" si="132"/>
        <v>77.52415254304286</v>
      </c>
      <c r="DK109" s="69">
        <f t="shared" si="133"/>
        <v>5.8244737647258029</v>
      </c>
      <c r="DL109" s="69">
        <f t="shared" si="134"/>
        <v>24.281994184557167</v>
      </c>
      <c r="DM109" s="70">
        <f t="shared" si="135"/>
        <v>30.106467949282969</v>
      </c>
    </row>
    <row r="110" spans="1:117">
      <c r="A110" t="s">
        <v>394</v>
      </c>
      <c r="B110">
        <v>141905</v>
      </c>
      <c r="C110">
        <v>91728</v>
      </c>
      <c r="D110" s="51">
        <v>35538.07</v>
      </c>
      <c r="E110" s="32">
        <f t="shared" si="68"/>
        <v>3259836084.96</v>
      </c>
      <c r="F110">
        <v>4575</v>
      </c>
      <c r="G110" s="37">
        <f t="shared" si="69"/>
        <v>3.2239878792149679E-2</v>
      </c>
      <c r="H110">
        <v>0</v>
      </c>
      <c r="I110" s="3">
        <f t="shared" si="70"/>
        <v>0</v>
      </c>
      <c r="J110" s="11">
        <f>+'Seat capacity elasticities'!K140</f>
        <v>0</v>
      </c>
      <c r="K110" s="11">
        <f>+'Seat capacity elasticities'!L140</f>
        <v>0</v>
      </c>
      <c r="L110" s="11">
        <f>+'Seat capacity elasticities'!M140</f>
        <v>0</v>
      </c>
      <c r="M110" s="11">
        <f>+'Seat capacity elasticities'!N140</f>
        <v>0</v>
      </c>
      <c r="N110" s="32">
        <f t="shared" si="80"/>
        <v>0</v>
      </c>
      <c r="O110" s="33">
        <f t="shared" si="81"/>
        <v>0</v>
      </c>
      <c r="P110" s="40">
        <f t="shared" si="82"/>
        <v>0</v>
      </c>
      <c r="Q110" s="33">
        <f t="shared" si="83"/>
        <v>0</v>
      </c>
      <c r="R110" s="40">
        <f t="shared" si="84"/>
        <v>0</v>
      </c>
      <c r="S110" s="41">
        <f t="shared" si="85"/>
        <v>0</v>
      </c>
      <c r="T110" s="40">
        <f t="shared" si="86"/>
        <v>0</v>
      </c>
      <c r="U110" s="41">
        <f t="shared" si="87"/>
        <v>0</v>
      </c>
      <c r="V110" s="53"/>
      <c r="W110" s="53"/>
      <c r="X110" t="s">
        <v>394</v>
      </c>
      <c r="Y110">
        <v>141905</v>
      </c>
      <c r="Z110">
        <v>91728</v>
      </c>
      <c r="AA110" s="51">
        <v>35538.07</v>
      </c>
      <c r="AB110" s="32">
        <f t="shared" si="71"/>
        <v>3259836084.96</v>
      </c>
      <c r="AC110">
        <v>4575</v>
      </c>
      <c r="AD110" s="37">
        <f t="shared" si="72"/>
        <v>3.2239878792149679E-2</v>
      </c>
      <c r="AE110">
        <v>3.3119E-3</v>
      </c>
      <c r="AF110" s="3">
        <f t="shared" si="73"/>
        <v>3.3118999999999999E-5</v>
      </c>
      <c r="AG110" s="11">
        <f>+'Seat capacity elasticities'!R140</f>
        <v>1.0884985646955491E-2</v>
      </c>
      <c r="AH110" s="11">
        <f>+'Seat capacity elasticities'!S140</f>
        <v>2.06300587005551E-2</v>
      </c>
      <c r="AI110" s="11">
        <f>+'Seat capacity elasticities'!T140</f>
        <v>2.9864942569264166E-2</v>
      </c>
      <c r="AJ110" s="11">
        <f>+'Seat capacity elasticities'!U140</f>
        <v>2.4430332671709989E-2</v>
      </c>
      <c r="AK110" s="32">
        <f t="shared" si="88"/>
        <v>354832.68996217183</v>
      </c>
      <c r="AL110" s="33">
        <f t="shared" si="89"/>
        <v>1.0884985646955492E-4</v>
      </c>
      <c r="AM110" s="40">
        <f t="shared" si="90"/>
        <v>672506.09786912531</v>
      </c>
      <c r="AN110" s="33">
        <f t="shared" si="91"/>
        <v>2.0630058700555102E-4</v>
      </c>
      <c r="AO110" s="40">
        <f t="shared" si="92"/>
        <v>1366321.1225438355</v>
      </c>
      <c r="AP110" s="41">
        <f t="shared" si="93"/>
        <v>2.9864942569264168E-4</v>
      </c>
      <c r="AQ110" s="40">
        <f t="shared" si="94"/>
        <v>1117687.7197307323</v>
      </c>
      <c r="AR110" s="41">
        <f t="shared" si="95"/>
        <v>2.4430332671709996E-4</v>
      </c>
      <c r="AV110" t="s">
        <v>394</v>
      </c>
      <c r="AW110">
        <v>141905</v>
      </c>
      <c r="AX110">
        <v>91728</v>
      </c>
      <c r="AY110" s="51">
        <v>35538.07</v>
      </c>
      <c r="AZ110" s="32">
        <f t="shared" si="74"/>
        <v>3259836084.96</v>
      </c>
      <c r="BA110">
        <v>4575</v>
      </c>
      <c r="BB110" s="37">
        <f t="shared" si="75"/>
        <v>3.2239878792149679E-2</v>
      </c>
      <c r="BC110">
        <v>0</v>
      </c>
      <c r="BD110" s="3">
        <f t="shared" si="76"/>
        <v>0</v>
      </c>
      <c r="BE110" s="11">
        <f>+'Seat capacity elasticities'!Y140</f>
        <v>0</v>
      </c>
      <c r="BF110" s="11">
        <f>+'Seat capacity elasticities'!Z140</f>
        <v>0</v>
      </c>
      <c r="BG110" s="11">
        <f>+'Seat capacity elasticities'!AA140</f>
        <v>0</v>
      </c>
      <c r="BH110" s="11">
        <f>+'Seat capacity elasticities'!AB140</f>
        <v>0</v>
      </c>
      <c r="BI110" s="32">
        <f t="shared" si="96"/>
        <v>0</v>
      </c>
      <c r="BJ110" s="33">
        <f t="shared" si="97"/>
        <v>0</v>
      </c>
      <c r="BK110" s="40">
        <f t="shared" si="98"/>
        <v>0</v>
      </c>
      <c r="BL110" s="33">
        <f t="shared" si="99"/>
        <v>0</v>
      </c>
      <c r="BM110" s="40">
        <f t="shared" si="100"/>
        <v>0</v>
      </c>
      <c r="BN110" s="41">
        <f t="shared" si="101"/>
        <v>0</v>
      </c>
      <c r="BO110" s="40">
        <f t="shared" si="102"/>
        <v>0</v>
      </c>
      <c r="BP110" s="41">
        <f t="shared" si="103"/>
        <v>0</v>
      </c>
      <c r="BQ110" s="53"/>
      <c r="BR110" s="53"/>
      <c r="BS110" t="s">
        <v>394</v>
      </c>
      <c r="BT110">
        <v>141905</v>
      </c>
      <c r="BU110">
        <v>91728</v>
      </c>
      <c r="BV110" s="51">
        <v>35538.07</v>
      </c>
      <c r="BW110" s="32">
        <f t="shared" si="77"/>
        <v>3259836084.96</v>
      </c>
      <c r="BX110">
        <v>4575</v>
      </c>
      <c r="BY110" s="37">
        <f t="shared" si="78"/>
        <v>3.2239878792149679E-2</v>
      </c>
      <c r="BZ110">
        <v>3.3119E-3</v>
      </c>
      <c r="CA110" s="3">
        <f t="shared" si="79"/>
        <v>3.3118999999999999E-5</v>
      </c>
      <c r="CB110" s="11">
        <f>+'Seat capacity elasticities'!AF140</f>
        <v>4.9547941317618874E-2</v>
      </c>
      <c r="CC110" s="11">
        <f>+'Seat capacity elasticities'!AG140</f>
        <v>3.9592917649702269E-2</v>
      </c>
      <c r="CD110" s="11">
        <f>+'Seat capacity elasticities'!AH140</f>
        <v>0.13594381011332254</v>
      </c>
      <c r="CE110" s="11">
        <f>+'Seat capacity elasticities'!AI140</f>
        <v>4.6886349848331635E-2</v>
      </c>
      <c r="CF110" s="32">
        <f t="shared" si="104"/>
        <v>1615181.6704265454</v>
      </c>
      <c r="CG110" s="33">
        <f t="shared" si="105"/>
        <v>4.9547941317618874E-4</v>
      </c>
      <c r="CH110" s="40">
        <f t="shared" si="106"/>
        <v>1290664.2166334915</v>
      </c>
      <c r="CI110" s="33">
        <f t="shared" si="107"/>
        <v>3.9592917649702272E-4</v>
      </c>
      <c r="CJ110" s="40">
        <f t="shared" si="108"/>
        <v>6219429.3126845062</v>
      </c>
      <c r="CK110" s="41">
        <f t="shared" si="109"/>
        <v>1.3594381011332254E-3</v>
      </c>
      <c r="CL110" s="40">
        <f t="shared" si="110"/>
        <v>2145050.5055611725</v>
      </c>
      <c r="CM110" s="41">
        <f t="shared" si="111"/>
        <v>4.6886349848331639E-4</v>
      </c>
      <c r="CO110" s="70">
        <f t="shared" si="112"/>
        <v>0</v>
      </c>
      <c r="CP110" s="70">
        <f t="shared" si="113"/>
        <v>0</v>
      </c>
      <c r="CQ110" s="70">
        <f t="shared" si="114"/>
        <v>0</v>
      </c>
      <c r="CR110" s="70">
        <f t="shared" si="115"/>
        <v>0</v>
      </c>
      <c r="CS110" s="70">
        <f t="shared" si="116"/>
        <v>0</v>
      </c>
      <c r="CT110" s="70">
        <f t="shared" si="117"/>
        <v>0</v>
      </c>
      <c r="CU110" s="69">
        <f t="shared" si="118"/>
        <v>0</v>
      </c>
      <c r="CV110" s="69">
        <f t="shared" si="119"/>
        <v>0</v>
      </c>
      <c r="CW110" s="70">
        <f t="shared" si="120"/>
        <v>0</v>
      </c>
      <c r="CX110" s="69">
        <f t="shared" si="121"/>
        <v>0</v>
      </c>
      <c r="CY110" s="69">
        <f t="shared" si="122"/>
        <v>0</v>
      </c>
      <c r="CZ110" s="70">
        <f t="shared" si="123"/>
        <v>0</v>
      </c>
      <c r="DB110" s="70">
        <f t="shared" si="124"/>
        <v>3.8683138187049955</v>
      </c>
      <c r="DC110" s="70">
        <f t="shared" si="125"/>
        <v>17.608382069014318</v>
      </c>
      <c r="DD110" s="70">
        <f t="shared" si="126"/>
        <v>21.476695887719313</v>
      </c>
      <c r="DE110" s="70">
        <f t="shared" si="127"/>
        <v>7.331524702044363</v>
      </c>
      <c r="DF110" s="70">
        <f t="shared" si="128"/>
        <v>14.07055878939355</v>
      </c>
      <c r="DG110" s="70">
        <f t="shared" si="129"/>
        <v>21.402083491437914</v>
      </c>
      <c r="DH110" s="69">
        <f t="shared" si="130"/>
        <v>14.895354990230198</v>
      </c>
      <c r="DI110" s="69">
        <f t="shared" si="131"/>
        <v>67.802953434987202</v>
      </c>
      <c r="DJ110" s="70">
        <f t="shared" si="132"/>
        <v>82.698308425217405</v>
      </c>
      <c r="DK110" s="69">
        <f t="shared" si="133"/>
        <v>12.184804200797274</v>
      </c>
      <c r="DL110" s="69">
        <f t="shared" si="134"/>
        <v>23.384904342852483</v>
      </c>
      <c r="DM110" s="70">
        <f t="shared" si="135"/>
        <v>35.569708543649753</v>
      </c>
    </row>
    <row r="111" spans="1:117">
      <c r="A111" t="s">
        <v>395</v>
      </c>
      <c r="B111">
        <v>776505</v>
      </c>
      <c r="C111">
        <v>487530</v>
      </c>
      <c r="D111" s="51">
        <v>37932.39</v>
      </c>
      <c r="E111" s="32">
        <f t="shared" si="68"/>
        <v>18493178096.700001</v>
      </c>
      <c r="F111">
        <v>30669</v>
      </c>
      <c r="G111" s="37">
        <f t="shared" si="69"/>
        <v>3.94962041454981E-2</v>
      </c>
      <c r="H111">
        <v>0</v>
      </c>
      <c r="I111" s="3">
        <f t="shared" si="70"/>
        <v>0</v>
      </c>
      <c r="J111" s="11">
        <f>+'Seat capacity elasticities'!K141</f>
        <v>0</v>
      </c>
      <c r="K111" s="11">
        <f>+'Seat capacity elasticities'!L141</f>
        <v>0</v>
      </c>
      <c r="L111" s="11">
        <f>+'Seat capacity elasticities'!M141</f>
        <v>0</v>
      </c>
      <c r="M111" s="11">
        <f>+'Seat capacity elasticities'!N141</f>
        <v>0</v>
      </c>
      <c r="N111" s="32">
        <f t="shared" si="80"/>
        <v>0</v>
      </c>
      <c r="O111" s="33">
        <f t="shared" si="81"/>
        <v>0</v>
      </c>
      <c r="P111" s="40">
        <f t="shared" si="82"/>
        <v>0</v>
      </c>
      <c r="Q111" s="33">
        <f t="shared" si="83"/>
        <v>0</v>
      </c>
      <c r="R111" s="40">
        <f t="shared" si="84"/>
        <v>0</v>
      </c>
      <c r="S111" s="41">
        <f t="shared" si="85"/>
        <v>0</v>
      </c>
      <c r="T111" s="40">
        <f t="shared" si="86"/>
        <v>0</v>
      </c>
      <c r="U111" s="41">
        <f t="shared" si="87"/>
        <v>0</v>
      </c>
      <c r="V111" s="53"/>
      <c r="W111" s="53"/>
      <c r="X111" t="s">
        <v>395</v>
      </c>
      <c r="Y111">
        <v>776505</v>
      </c>
      <c r="Z111">
        <v>487530</v>
      </c>
      <c r="AA111" s="51">
        <v>37932.39</v>
      </c>
      <c r="AB111" s="32">
        <f t="shared" si="71"/>
        <v>18493178096.700001</v>
      </c>
      <c r="AC111">
        <v>30669</v>
      </c>
      <c r="AD111" s="37">
        <f t="shared" si="72"/>
        <v>3.94962041454981E-2</v>
      </c>
      <c r="AE111">
        <v>5.5916000000000004E-3</v>
      </c>
      <c r="AF111" s="3">
        <f t="shared" si="73"/>
        <v>5.5916000000000005E-5</v>
      </c>
      <c r="AG111" s="11">
        <f>+'Seat capacity elasticities'!R141</f>
        <v>8.244831119440613E-3</v>
      </c>
      <c r="AH111" s="11">
        <f>+'Seat capacity elasticities'!S141</f>
        <v>1.5626235576874418E-2</v>
      </c>
      <c r="AI111" s="11">
        <f>+'Seat capacity elasticities'!T141</f>
        <v>2.2621197295216122E-2</v>
      </c>
      <c r="AJ111" s="11">
        <f>+'Seat capacity elasticities'!U141</f>
        <v>1.8504752656824969E-2</v>
      </c>
      <c r="AK111" s="32">
        <f t="shared" si="88"/>
        <v>1524731.3026902969</v>
      </c>
      <c r="AL111" s="33">
        <f t="shared" si="89"/>
        <v>8.2448311194406135E-5</v>
      </c>
      <c r="AM111" s="40">
        <f t="shared" si="90"/>
        <v>2889787.5750412829</v>
      </c>
      <c r="AN111" s="33">
        <f t="shared" si="91"/>
        <v>1.5626235576874419E-4</v>
      </c>
      <c r="AO111" s="40">
        <f t="shared" si="92"/>
        <v>6937694.9984698324</v>
      </c>
      <c r="AP111" s="41">
        <f t="shared" si="93"/>
        <v>2.262119729521612E-4</v>
      </c>
      <c r="AQ111" s="40">
        <f t="shared" si="94"/>
        <v>5675222.5923216501</v>
      </c>
      <c r="AR111" s="41">
        <f t="shared" si="95"/>
        <v>1.850475265682497E-4</v>
      </c>
      <c r="AV111" t="s">
        <v>395</v>
      </c>
      <c r="AW111">
        <v>776505</v>
      </c>
      <c r="AX111">
        <v>487530</v>
      </c>
      <c r="AY111" s="51">
        <v>37932.39</v>
      </c>
      <c r="AZ111" s="32">
        <f t="shared" si="74"/>
        <v>18493178096.700001</v>
      </c>
      <c r="BA111">
        <v>30669</v>
      </c>
      <c r="BB111" s="37">
        <f t="shared" si="75"/>
        <v>3.94962041454981E-2</v>
      </c>
      <c r="BC111">
        <v>0</v>
      </c>
      <c r="BD111" s="3">
        <f t="shared" si="76"/>
        <v>0</v>
      </c>
      <c r="BE111" s="11">
        <f>+'Seat capacity elasticities'!Y141</f>
        <v>0</v>
      </c>
      <c r="BF111" s="11">
        <f>+'Seat capacity elasticities'!Z141</f>
        <v>0</v>
      </c>
      <c r="BG111" s="11">
        <f>+'Seat capacity elasticities'!AA141</f>
        <v>0</v>
      </c>
      <c r="BH111" s="11">
        <f>+'Seat capacity elasticities'!AB141</f>
        <v>0</v>
      </c>
      <c r="BI111" s="32">
        <f t="shared" si="96"/>
        <v>0</v>
      </c>
      <c r="BJ111" s="33">
        <f t="shared" si="97"/>
        <v>0</v>
      </c>
      <c r="BK111" s="40">
        <f t="shared" si="98"/>
        <v>0</v>
      </c>
      <c r="BL111" s="33">
        <f t="shared" si="99"/>
        <v>0</v>
      </c>
      <c r="BM111" s="40">
        <f t="shared" si="100"/>
        <v>0</v>
      </c>
      <c r="BN111" s="41">
        <f t="shared" si="101"/>
        <v>0</v>
      </c>
      <c r="BO111" s="40">
        <f t="shared" si="102"/>
        <v>0</v>
      </c>
      <c r="BP111" s="41">
        <f t="shared" si="103"/>
        <v>0</v>
      </c>
      <c r="BQ111" s="53"/>
      <c r="BR111" s="53"/>
      <c r="BS111" t="s">
        <v>395</v>
      </c>
      <c r="BT111">
        <v>776505</v>
      </c>
      <c r="BU111">
        <v>487530</v>
      </c>
      <c r="BV111" s="51">
        <v>37932.39</v>
      </c>
      <c r="BW111" s="32">
        <f t="shared" si="77"/>
        <v>18493178096.700001</v>
      </c>
      <c r="BX111">
        <v>30669</v>
      </c>
      <c r="BY111" s="37">
        <f t="shared" si="78"/>
        <v>3.94962041454981E-2</v>
      </c>
      <c r="BZ111">
        <v>5.5916000000000004E-3</v>
      </c>
      <c r="CA111" s="3">
        <f t="shared" si="79"/>
        <v>5.5916000000000005E-5</v>
      </c>
      <c r="CB111" s="11">
        <f>+'Seat capacity elasticities'!AF141</f>
        <v>1.5287551641523119E-2</v>
      </c>
      <c r="CC111" s="11">
        <f>+'Seat capacity elasticities'!AG141</f>
        <v>1.2216022646195453E-2</v>
      </c>
      <c r="CD111" s="11">
        <f>+'Seat capacity elasticities'!AH141</f>
        <v>4.1944185009233109E-2</v>
      </c>
      <c r="CE111" s="11">
        <f>+'Seat capacity elasticities'!AI141</f>
        <v>1.4466342607336721E-2</v>
      </c>
      <c r="CF111" s="32">
        <f t="shared" si="104"/>
        <v>2827154.1516918549</v>
      </c>
      <c r="CG111" s="33">
        <f t="shared" si="105"/>
        <v>1.528755164152312E-4</v>
      </c>
      <c r="CH111" s="40">
        <f t="shared" si="106"/>
        <v>2259130.8242941294</v>
      </c>
      <c r="CI111" s="33">
        <f t="shared" si="107"/>
        <v>1.2216022646195453E-4</v>
      </c>
      <c r="CJ111" s="40">
        <f t="shared" si="108"/>
        <v>12863862.100481704</v>
      </c>
      <c r="CK111" s="41">
        <f t="shared" si="109"/>
        <v>4.1944185009233116E-4</v>
      </c>
      <c r="CL111" s="40">
        <f t="shared" si="110"/>
        <v>4436682.6142440988</v>
      </c>
      <c r="CM111" s="41">
        <f t="shared" si="111"/>
        <v>1.4466342607336719E-4</v>
      </c>
      <c r="CO111" s="70">
        <f t="shared" si="112"/>
        <v>0</v>
      </c>
      <c r="CP111" s="70">
        <f t="shared" si="113"/>
        <v>0</v>
      </c>
      <c r="CQ111" s="70">
        <f t="shared" si="114"/>
        <v>0</v>
      </c>
      <c r="CR111" s="70">
        <f t="shared" si="115"/>
        <v>0</v>
      </c>
      <c r="CS111" s="70">
        <f t="shared" si="116"/>
        <v>0</v>
      </c>
      <c r="CT111" s="70">
        <f t="shared" si="117"/>
        <v>0</v>
      </c>
      <c r="CU111" s="69">
        <f t="shared" si="118"/>
        <v>0</v>
      </c>
      <c r="CV111" s="69">
        <f t="shared" si="119"/>
        <v>0</v>
      </c>
      <c r="CW111" s="70">
        <f t="shared" si="120"/>
        <v>0</v>
      </c>
      <c r="CX111" s="69">
        <f t="shared" si="121"/>
        <v>0</v>
      </c>
      <c r="CY111" s="69">
        <f t="shared" si="122"/>
        <v>0</v>
      </c>
      <c r="CZ111" s="70">
        <f t="shared" si="123"/>
        <v>0</v>
      </c>
      <c r="DB111" s="70">
        <f t="shared" si="124"/>
        <v>3.1274614950675792</v>
      </c>
      <c r="DC111" s="70">
        <f t="shared" si="125"/>
        <v>5.7989337101139515</v>
      </c>
      <c r="DD111" s="70">
        <f t="shared" si="126"/>
        <v>8.9263952051815316</v>
      </c>
      <c r="DE111" s="70">
        <f t="shared" si="127"/>
        <v>5.9274046213387548</v>
      </c>
      <c r="DF111" s="70">
        <f t="shared" si="128"/>
        <v>4.63382935264318</v>
      </c>
      <c r="DG111" s="70">
        <f t="shared" si="129"/>
        <v>10.561233973981935</v>
      </c>
      <c r="DH111" s="69">
        <f t="shared" si="130"/>
        <v>14.230293517260133</v>
      </c>
      <c r="DI111" s="69">
        <f t="shared" si="131"/>
        <v>26.385785696227316</v>
      </c>
      <c r="DJ111" s="70">
        <f t="shared" si="132"/>
        <v>40.616079213487453</v>
      </c>
      <c r="DK111" s="69">
        <f t="shared" si="133"/>
        <v>11.640765885836052</v>
      </c>
      <c r="DL111" s="69">
        <f t="shared" si="134"/>
        <v>9.1003273936867455</v>
      </c>
      <c r="DM111" s="70">
        <f t="shared" si="135"/>
        <v>20.741093279522797</v>
      </c>
    </row>
    <row r="112" spans="1:117">
      <c r="A112" t="s">
        <v>396</v>
      </c>
      <c r="B112">
        <v>82022</v>
      </c>
      <c r="C112">
        <v>52296</v>
      </c>
      <c r="D112" s="51">
        <v>28743.83</v>
      </c>
      <c r="E112" s="32">
        <f t="shared" si="68"/>
        <v>1503187333.6800001</v>
      </c>
      <c r="F112">
        <v>2100</v>
      </c>
      <c r="G112" s="37">
        <f t="shared" si="69"/>
        <v>2.5602887030308941E-2</v>
      </c>
      <c r="H112">
        <v>0</v>
      </c>
      <c r="I112" s="3">
        <f t="shared" si="70"/>
        <v>0</v>
      </c>
      <c r="J112" s="11">
        <f>+'Seat capacity elasticities'!K142</f>
        <v>0</v>
      </c>
      <c r="K112" s="11">
        <f>+'Seat capacity elasticities'!L142</f>
        <v>0</v>
      </c>
      <c r="L112" s="11">
        <f>+'Seat capacity elasticities'!M142</f>
        <v>0</v>
      </c>
      <c r="M112" s="11">
        <f>+'Seat capacity elasticities'!N142</f>
        <v>0</v>
      </c>
      <c r="N112" s="32">
        <f t="shared" si="80"/>
        <v>0</v>
      </c>
      <c r="O112" s="33">
        <f t="shared" si="81"/>
        <v>0</v>
      </c>
      <c r="P112" s="40">
        <f t="shared" si="82"/>
        <v>0</v>
      </c>
      <c r="Q112" s="33">
        <f t="shared" si="83"/>
        <v>0</v>
      </c>
      <c r="R112" s="40">
        <f t="shared" si="84"/>
        <v>0</v>
      </c>
      <c r="S112" s="41">
        <f t="shared" si="85"/>
        <v>0</v>
      </c>
      <c r="T112" s="40">
        <f t="shared" si="86"/>
        <v>0</v>
      </c>
      <c r="U112" s="41">
        <f t="shared" si="87"/>
        <v>0</v>
      </c>
      <c r="V112" s="53"/>
      <c r="W112" s="53"/>
      <c r="X112" t="s">
        <v>396</v>
      </c>
      <c r="Y112">
        <v>82022</v>
      </c>
      <c r="Z112">
        <v>52296</v>
      </c>
      <c r="AA112" s="51">
        <v>28743.83</v>
      </c>
      <c r="AB112" s="32">
        <f t="shared" si="71"/>
        <v>1503187333.6800001</v>
      </c>
      <c r="AC112">
        <v>2100</v>
      </c>
      <c r="AD112" s="37">
        <f t="shared" si="72"/>
        <v>2.5602887030308941E-2</v>
      </c>
      <c r="AE112">
        <v>7.9725999999999998E-3</v>
      </c>
      <c r="AF112" s="3">
        <f t="shared" si="73"/>
        <v>7.9726000000000002E-5</v>
      </c>
      <c r="AG112" s="11">
        <f>+'Seat capacity elasticities'!R142</f>
        <v>2.1116217755790503E-2</v>
      </c>
      <c r="AH112" s="11">
        <f>+'Seat capacity elasticities'!S142</f>
        <v>4.0021073611383816E-2</v>
      </c>
      <c r="AI112" s="11">
        <f>+'Seat capacity elasticities'!T142</f>
        <v>5.7936193120580445E-2</v>
      </c>
      <c r="AJ112" s="11">
        <f>+'Seat capacity elasticities'!U142</f>
        <v>4.7393376645059784E-2</v>
      </c>
      <c r="AK112" s="32">
        <f t="shared" si="88"/>
        <v>317416.31065733003</v>
      </c>
      <c r="AL112" s="33">
        <f t="shared" si="89"/>
        <v>2.1116217755790505E-4</v>
      </c>
      <c r="AM112" s="40">
        <f t="shared" si="90"/>
        <v>601591.70932907052</v>
      </c>
      <c r="AN112" s="33">
        <f t="shared" si="91"/>
        <v>4.002107361138382E-4</v>
      </c>
      <c r="AO112" s="40">
        <f t="shared" si="92"/>
        <v>1216660.0555321891</v>
      </c>
      <c r="AP112" s="41">
        <f t="shared" si="93"/>
        <v>5.7936193120580433E-4</v>
      </c>
      <c r="AQ112" s="40">
        <f t="shared" si="94"/>
        <v>995260.90954625548</v>
      </c>
      <c r="AR112" s="41">
        <f t="shared" si="95"/>
        <v>4.7393376645059782E-4</v>
      </c>
      <c r="AV112" t="s">
        <v>396</v>
      </c>
      <c r="AW112">
        <v>82022</v>
      </c>
      <c r="AX112">
        <v>52296</v>
      </c>
      <c r="AY112" s="51">
        <v>28743.83</v>
      </c>
      <c r="AZ112" s="32">
        <f t="shared" si="74"/>
        <v>1503187333.6800001</v>
      </c>
      <c r="BA112">
        <v>2100</v>
      </c>
      <c r="BB112" s="37">
        <f t="shared" si="75"/>
        <v>2.5602887030308941E-2</v>
      </c>
      <c r="BC112">
        <v>0</v>
      </c>
      <c r="BD112" s="3">
        <f t="shared" si="76"/>
        <v>0</v>
      </c>
      <c r="BE112" s="11">
        <f>+'Seat capacity elasticities'!Y142</f>
        <v>0</v>
      </c>
      <c r="BF112" s="11">
        <f>+'Seat capacity elasticities'!Z142</f>
        <v>0</v>
      </c>
      <c r="BG112" s="11">
        <f>+'Seat capacity elasticities'!AA142</f>
        <v>0</v>
      </c>
      <c r="BH112" s="11">
        <f>+'Seat capacity elasticities'!AB142</f>
        <v>0</v>
      </c>
      <c r="BI112" s="32">
        <f t="shared" si="96"/>
        <v>0</v>
      </c>
      <c r="BJ112" s="33">
        <f t="shared" si="97"/>
        <v>0</v>
      </c>
      <c r="BK112" s="40">
        <f t="shared" si="98"/>
        <v>0</v>
      </c>
      <c r="BL112" s="33">
        <f t="shared" si="99"/>
        <v>0</v>
      </c>
      <c r="BM112" s="40">
        <f t="shared" si="100"/>
        <v>0</v>
      </c>
      <c r="BN112" s="41">
        <f t="shared" si="101"/>
        <v>0</v>
      </c>
      <c r="BO112" s="40">
        <f t="shared" si="102"/>
        <v>0</v>
      </c>
      <c r="BP112" s="41">
        <f t="shared" si="103"/>
        <v>0</v>
      </c>
      <c r="BQ112" s="53"/>
      <c r="BR112" s="53"/>
      <c r="BS112" t="s">
        <v>396</v>
      </c>
      <c r="BT112">
        <v>82022</v>
      </c>
      <c r="BU112">
        <v>52296</v>
      </c>
      <c r="BV112" s="51">
        <v>28743.83</v>
      </c>
      <c r="BW112" s="32">
        <f t="shared" si="77"/>
        <v>1503187333.6800001</v>
      </c>
      <c r="BX112">
        <v>2100</v>
      </c>
      <c r="BY112" s="37">
        <f t="shared" si="78"/>
        <v>2.5602887030308941E-2</v>
      </c>
      <c r="BZ112">
        <v>7.9725999999999998E-3</v>
      </c>
      <c r="CA112" s="3">
        <f t="shared" si="79"/>
        <v>7.9726000000000002E-5</v>
      </c>
      <c r="CB112" s="11">
        <f>+'Seat capacity elasticities'!AF142</f>
        <v>0.20635534286525356</v>
      </c>
      <c r="CC112" s="11">
        <f>+'Seat capacity elasticities'!AG142</f>
        <v>0.16489504668349955</v>
      </c>
      <c r="CD112" s="11">
        <f>+'Seat capacity elasticities'!AH142</f>
        <v>0.56617350389022636</v>
      </c>
      <c r="CE112" s="11">
        <f>+'Seat capacity elasticities'!AI142</f>
        <v>0.19527045001993368</v>
      </c>
      <c r="CF112" s="32">
        <f t="shared" si="104"/>
        <v>3101907.3763224273</v>
      </c>
      <c r="CG112" s="33">
        <f t="shared" si="105"/>
        <v>2.0635534286525354E-3</v>
      </c>
      <c r="CH112" s="40">
        <f t="shared" si="106"/>
        <v>2478681.4556120886</v>
      </c>
      <c r="CI112" s="33">
        <f t="shared" si="107"/>
        <v>1.6489504668349957E-3</v>
      </c>
      <c r="CJ112" s="40">
        <f t="shared" si="108"/>
        <v>11889643.581694752</v>
      </c>
      <c r="CK112" s="41">
        <f t="shared" si="109"/>
        <v>5.6617350389022627E-3</v>
      </c>
      <c r="CL112" s="40">
        <f t="shared" si="110"/>
        <v>4100679.4504186069</v>
      </c>
      <c r="CM112" s="41">
        <f t="shared" si="111"/>
        <v>1.9527045001993366E-3</v>
      </c>
      <c r="CO112" s="70">
        <f t="shared" si="112"/>
        <v>0</v>
      </c>
      <c r="CP112" s="70">
        <f t="shared" si="113"/>
        <v>0</v>
      </c>
      <c r="CQ112" s="70">
        <f t="shared" si="114"/>
        <v>0</v>
      </c>
      <c r="CR112" s="70">
        <f t="shared" si="115"/>
        <v>0</v>
      </c>
      <c r="CS112" s="70">
        <f t="shared" si="116"/>
        <v>0</v>
      </c>
      <c r="CT112" s="70">
        <f t="shared" si="117"/>
        <v>0</v>
      </c>
      <c r="CU112" s="69">
        <f t="shared" si="118"/>
        <v>0</v>
      </c>
      <c r="CV112" s="69">
        <f t="shared" si="119"/>
        <v>0</v>
      </c>
      <c r="CW112" s="70">
        <f t="shared" si="120"/>
        <v>0</v>
      </c>
      <c r="CX112" s="69">
        <f t="shared" si="121"/>
        <v>0</v>
      </c>
      <c r="CY112" s="69">
        <f t="shared" si="122"/>
        <v>0</v>
      </c>
      <c r="CZ112" s="70">
        <f t="shared" si="123"/>
        <v>0</v>
      </c>
      <c r="DB112" s="70">
        <f t="shared" si="124"/>
        <v>6.0696097341542377</v>
      </c>
      <c r="DC112" s="70">
        <f t="shared" si="125"/>
        <v>59.314428949105618</v>
      </c>
      <c r="DD112" s="70">
        <f t="shared" si="126"/>
        <v>65.38403868325986</v>
      </c>
      <c r="DE112" s="70">
        <f t="shared" si="127"/>
        <v>11.503589363031026</v>
      </c>
      <c r="DF112" s="70">
        <f t="shared" si="128"/>
        <v>47.397151897125759</v>
      </c>
      <c r="DG112" s="70">
        <f t="shared" si="129"/>
        <v>58.900741260156785</v>
      </c>
      <c r="DH112" s="69">
        <f t="shared" si="130"/>
        <v>23.264877916708524</v>
      </c>
      <c r="DI112" s="69">
        <f t="shared" si="131"/>
        <v>227.35282969433135</v>
      </c>
      <c r="DJ112" s="70">
        <f t="shared" si="132"/>
        <v>250.61770761103986</v>
      </c>
      <c r="DK112" s="69">
        <f t="shared" si="133"/>
        <v>19.031300855634377</v>
      </c>
      <c r="DL112" s="69">
        <f t="shared" si="134"/>
        <v>78.412870017183096</v>
      </c>
      <c r="DM112" s="70">
        <f t="shared" si="135"/>
        <v>97.444170872817466</v>
      </c>
    </row>
    <row r="113" spans="1:117">
      <c r="A113" t="s">
        <v>397</v>
      </c>
      <c r="B113">
        <v>248852</v>
      </c>
      <c r="C113">
        <v>120420</v>
      </c>
      <c r="D113" s="51">
        <v>37881.33</v>
      </c>
      <c r="E113" s="32">
        <f t="shared" si="68"/>
        <v>4561669758.6000004</v>
      </c>
      <c r="F113">
        <v>6356</v>
      </c>
      <c r="G113" s="37">
        <f t="shared" si="69"/>
        <v>2.5541285583398968E-2</v>
      </c>
      <c r="H113">
        <v>0</v>
      </c>
      <c r="I113" s="3">
        <f t="shared" si="70"/>
        <v>0</v>
      </c>
      <c r="J113" s="11">
        <f>+'Seat capacity elasticities'!K143</f>
        <v>0</v>
      </c>
      <c r="K113" s="11">
        <f>+'Seat capacity elasticities'!L143</f>
        <v>0</v>
      </c>
      <c r="L113" s="11">
        <f>+'Seat capacity elasticities'!M143</f>
        <v>0</v>
      </c>
      <c r="M113" s="11">
        <f>+'Seat capacity elasticities'!N143</f>
        <v>0</v>
      </c>
      <c r="N113" s="32">
        <f t="shared" si="80"/>
        <v>0</v>
      </c>
      <c r="O113" s="33">
        <f t="shared" si="81"/>
        <v>0</v>
      </c>
      <c r="P113" s="40">
        <f t="shared" si="82"/>
        <v>0</v>
      </c>
      <c r="Q113" s="33">
        <f t="shared" si="83"/>
        <v>0</v>
      </c>
      <c r="R113" s="40">
        <f t="shared" si="84"/>
        <v>0</v>
      </c>
      <c r="S113" s="41">
        <f t="shared" si="85"/>
        <v>0</v>
      </c>
      <c r="T113" s="40">
        <f t="shared" si="86"/>
        <v>0</v>
      </c>
      <c r="U113" s="41">
        <f t="shared" si="87"/>
        <v>0</v>
      </c>
      <c r="V113" s="53"/>
      <c r="W113" s="53"/>
      <c r="X113" t="s">
        <v>397</v>
      </c>
      <c r="Y113">
        <v>248852</v>
      </c>
      <c r="Z113">
        <v>120420</v>
      </c>
      <c r="AA113" s="51">
        <v>37881.33</v>
      </c>
      <c r="AB113" s="32">
        <f t="shared" si="71"/>
        <v>4561669758.6000004</v>
      </c>
      <c r="AC113">
        <v>6356</v>
      </c>
      <c r="AD113" s="37">
        <f t="shared" si="72"/>
        <v>2.5541285583398968E-2</v>
      </c>
      <c r="AE113">
        <v>1.5479999999999999E-3</v>
      </c>
      <c r="AF113" s="3">
        <f t="shared" si="73"/>
        <v>1.5480000000000001E-5</v>
      </c>
      <c r="AG113" s="11">
        <f>+'Seat capacity elasticities'!R143</f>
        <v>3.4661792475296199E-3</v>
      </c>
      <c r="AH113" s="11">
        <f>+'Seat capacity elasticities'!S143</f>
        <v>6.569368455086798E-3</v>
      </c>
      <c r="AI113" s="11">
        <f>+'Seat capacity elasticities'!T143</f>
        <v>9.5100946863628556E-3</v>
      </c>
      <c r="AJ113" s="11">
        <f>+'Seat capacity elasticities'!U143</f>
        <v>7.7795152757606815E-3</v>
      </c>
      <c r="AK113" s="32">
        <f t="shared" si="88"/>
        <v>158115.65051342771</v>
      </c>
      <c r="AL113" s="33">
        <f t="shared" si="89"/>
        <v>3.46617924752962E-5</v>
      </c>
      <c r="AM113" s="40">
        <f t="shared" si="90"/>
        <v>299672.89414670249</v>
      </c>
      <c r="AN113" s="33">
        <f t="shared" si="91"/>
        <v>6.5693684550867973E-5</v>
      </c>
      <c r="AO113" s="40">
        <f t="shared" si="92"/>
        <v>604461.61826522299</v>
      </c>
      <c r="AP113" s="41">
        <f t="shared" si="93"/>
        <v>9.5100946863628541E-5</v>
      </c>
      <c r="AQ113" s="40">
        <f t="shared" si="94"/>
        <v>494465.99092734896</v>
      </c>
      <c r="AR113" s="41">
        <f t="shared" si="95"/>
        <v>7.7795152757606826E-5</v>
      </c>
      <c r="AV113" t="s">
        <v>397</v>
      </c>
      <c r="AW113">
        <v>248852</v>
      </c>
      <c r="AX113">
        <v>120420</v>
      </c>
      <c r="AY113" s="51">
        <v>37881.33</v>
      </c>
      <c r="AZ113" s="32">
        <f t="shared" si="74"/>
        <v>4561669758.6000004</v>
      </c>
      <c r="BA113">
        <v>6356</v>
      </c>
      <c r="BB113" s="37">
        <f t="shared" si="75"/>
        <v>2.5541285583398968E-2</v>
      </c>
      <c r="BC113">
        <v>0</v>
      </c>
      <c r="BD113" s="3">
        <f t="shared" si="76"/>
        <v>0</v>
      </c>
      <c r="BE113" s="11">
        <f>+'Seat capacity elasticities'!Y143</f>
        <v>0</v>
      </c>
      <c r="BF113" s="11">
        <f>+'Seat capacity elasticities'!Z143</f>
        <v>0</v>
      </c>
      <c r="BG113" s="11">
        <f>+'Seat capacity elasticities'!AA143</f>
        <v>0</v>
      </c>
      <c r="BH113" s="11">
        <f>+'Seat capacity elasticities'!AB143</f>
        <v>0</v>
      </c>
      <c r="BI113" s="32">
        <f t="shared" si="96"/>
        <v>0</v>
      </c>
      <c r="BJ113" s="33">
        <f t="shared" si="97"/>
        <v>0</v>
      </c>
      <c r="BK113" s="40">
        <f t="shared" si="98"/>
        <v>0</v>
      </c>
      <c r="BL113" s="33">
        <f t="shared" si="99"/>
        <v>0</v>
      </c>
      <c r="BM113" s="40">
        <f t="shared" si="100"/>
        <v>0</v>
      </c>
      <c r="BN113" s="41">
        <f t="shared" si="101"/>
        <v>0</v>
      </c>
      <c r="BO113" s="40">
        <f t="shared" si="102"/>
        <v>0</v>
      </c>
      <c r="BP113" s="41">
        <f t="shared" si="103"/>
        <v>0</v>
      </c>
      <c r="BQ113" s="53"/>
      <c r="BR113" s="53"/>
      <c r="BS113" t="s">
        <v>397</v>
      </c>
      <c r="BT113">
        <v>248852</v>
      </c>
      <c r="BU113">
        <v>120420</v>
      </c>
      <c r="BV113" s="51">
        <v>37881.33</v>
      </c>
      <c r="BW113" s="32">
        <f t="shared" si="77"/>
        <v>4561669758.6000004</v>
      </c>
      <c r="BX113">
        <v>6356</v>
      </c>
      <c r="BY113" s="37">
        <f t="shared" si="78"/>
        <v>2.5541285583398968E-2</v>
      </c>
      <c r="BZ113">
        <v>1.5479999999999999E-3</v>
      </c>
      <c r="CA113" s="3">
        <f t="shared" si="79"/>
        <v>1.5480000000000001E-5</v>
      </c>
      <c r="CB113" s="11">
        <f>+'Seat capacity elasticities'!AF143</f>
        <v>1.3206140648431034E-2</v>
      </c>
      <c r="CC113" s="11">
        <f>+'Seat capacity elasticities'!AG143</f>
        <v>1.0552802503174577E-2</v>
      </c>
      <c r="CD113" s="11">
        <f>+'Seat capacity elasticities'!AH143</f>
        <v>3.6233454486669987E-2</v>
      </c>
      <c r="CE113" s="11">
        <f>+'Seat capacity elasticities'!AI143</f>
        <v>1.2496739806390947E-2</v>
      </c>
      <c r="CF113" s="32">
        <f t="shared" si="104"/>
        <v>602420.52423766046</v>
      </c>
      <c r="CG113" s="33">
        <f t="shared" si="105"/>
        <v>1.3206140648431034E-4</v>
      </c>
      <c r="CH113" s="40">
        <f t="shared" si="106"/>
        <v>481384.00047209847</v>
      </c>
      <c r="CI113" s="33">
        <f t="shared" si="107"/>
        <v>1.0552802503174576E-4</v>
      </c>
      <c r="CJ113" s="40">
        <f t="shared" si="108"/>
        <v>2302998.3671727446</v>
      </c>
      <c r="CK113" s="41">
        <f t="shared" si="109"/>
        <v>3.623345448666999E-4</v>
      </c>
      <c r="CL113" s="40">
        <f t="shared" si="110"/>
        <v>794292.78209420864</v>
      </c>
      <c r="CM113" s="41">
        <f t="shared" si="111"/>
        <v>1.2496739806390947E-4</v>
      </c>
      <c r="CO113" s="70">
        <f t="shared" si="112"/>
        <v>0</v>
      </c>
      <c r="CP113" s="70">
        <f t="shared" si="113"/>
        <v>0</v>
      </c>
      <c r="CQ113" s="70">
        <f t="shared" si="114"/>
        <v>0</v>
      </c>
      <c r="CR113" s="70">
        <f t="shared" si="115"/>
        <v>0</v>
      </c>
      <c r="CS113" s="70">
        <f t="shared" si="116"/>
        <v>0</v>
      </c>
      <c r="CT113" s="70">
        <f t="shared" si="117"/>
        <v>0</v>
      </c>
      <c r="CU113" s="69">
        <f t="shared" si="118"/>
        <v>0</v>
      </c>
      <c r="CV113" s="69">
        <f t="shared" si="119"/>
        <v>0</v>
      </c>
      <c r="CW113" s="70">
        <f t="shared" si="120"/>
        <v>0</v>
      </c>
      <c r="CX113" s="69">
        <f t="shared" si="121"/>
        <v>0</v>
      </c>
      <c r="CY113" s="69">
        <f t="shared" si="122"/>
        <v>0</v>
      </c>
      <c r="CZ113" s="70">
        <f t="shared" si="123"/>
        <v>0</v>
      </c>
      <c r="DB113" s="70">
        <f t="shared" si="124"/>
        <v>1.3130347991482121</v>
      </c>
      <c r="DC113" s="70">
        <f t="shared" si="125"/>
        <v>5.0026617192963005</v>
      </c>
      <c r="DD113" s="70">
        <f t="shared" si="126"/>
        <v>6.3156965184445131</v>
      </c>
      <c r="DE113" s="70">
        <f t="shared" si="127"/>
        <v>2.4885641433873316</v>
      </c>
      <c r="DF113" s="70">
        <f t="shared" si="128"/>
        <v>3.9975419404758217</v>
      </c>
      <c r="DG113" s="70">
        <f t="shared" si="129"/>
        <v>6.4861060838631532</v>
      </c>
      <c r="DH113" s="69">
        <f t="shared" si="130"/>
        <v>5.0196115119184768</v>
      </c>
      <c r="DI113" s="69">
        <f t="shared" si="131"/>
        <v>19.124716551841427</v>
      </c>
      <c r="DJ113" s="70">
        <f t="shared" si="132"/>
        <v>24.144328063759904</v>
      </c>
      <c r="DK113" s="69">
        <f t="shared" si="133"/>
        <v>4.1061783003433732</v>
      </c>
      <c r="DL113" s="69">
        <f t="shared" si="134"/>
        <v>6.5960204458911198</v>
      </c>
      <c r="DM113" s="70">
        <f t="shared" si="135"/>
        <v>10.702198746234494</v>
      </c>
    </row>
    <row r="114" spans="1:117">
      <c r="A114" t="s">
        <v>398</v>
      </c>
      <c r="B114">
        <v>302322</v>
      </c>
      <c r="C114">
        <v>209142</v>
      </c>
      <c r="D114" s="51">
        <v>38983.25</v>
      </c>
      <c r="E114" s="32">
        <f t="shared" si="68"/>
        <v>8153034871.5</v>
      </c>
      <c r="F114">
        <v>13143</v>
      </c>
      <c r="G114" s="37">
        <f t="shared" si="69"/>
        <v>4.3473514993946853E-2</v>
      </c>
      <c r="H114">
        <v>0</v>
      </c>
      <c r="I114" s="3">
        <f t="shared" si="70"/>
        <v>0</v>
      </c>
      <c r="J114" s="11">
        <f>+'Seat capacity elasticities'!K144</f>
        <v>0</v>
      </c>
      <c r="K114" s="11">
        <f>+'Seat capacity elasticities'!L144</f>
        <v>0</v>
      </c>
      <c r="L114" s="11">
        <f>+'Seat capacity elasticities'!M144</f>
        <v>0</v>
      </c>
      <c r="M114" s="11">
        <f>+'Seat capacity elasticities'!N144</f>
        <v>0</v>
      </c>
      <c r="N114" s="32">
        <f t="shared" si="80"/>
        <v>0</v>
      </c>
      <c r="O114" s="33">
        <f t="shared" si="81"/>
        <v>0</v>
      </c>
      <c r="P114" s="40">
        <f t="shared" si="82"/>
        <v>0</v>
      </c>
      <c r="Q114" s="33">
        <f t="shared" si="83"/>
        <v>0</v>
      </c>
      <c r="R114" s="40">
        <f t="shared" si="84"/>
        <v>0</v>
      </c>
      <c r="S114" s="41">
        <f t="shared" si="85"/>
        <v>0</v>
      </c>
      <c r="T114" s="40">
        <f t="shared" si="86"/>
        <v>0</v>
      </c>
      <c r="U114" s="41">
        <f t="shared" si="87"/>
        <v>0</v>
      </c>
      <c r="V114" s="53"/>
      <c r="W114" s="53"/>
      <c r="X114" t="s">
        <v>398</v>
      </c>
      <c r="Y114">
        <v>302322</v>
      </c>
      <c r="Z114">
        <v>209142</v>
      </c>
      <c r="AA114" s="51">
        <v>38983.25</v>
      </c>
      <c r="AB114" s="32">
        <f t="shared" si="71"/>
        <v>8153034871.5</v>
      </c>
      <c r="AC114">
        <v>13143</v>
      </c>
      <c r="AD114" s="37">
        <f t="shared" si="72"/>
        <v>4.3473514993946853E-2</v>
      </c>
      <c r="AE114">
        <v>4.6359000000000001E-3</v>
      </c>
      <c r="AF114" s="3">
        <f t="shared" si="73"/>
        <v>4.6359000000000001E-5</v>
      </c>
      <c r="AG114" s="11">
        <f>+'Seat capacity elasticities'!R144</f>
        <v>1.1394831691257904E-2</v>
      </c>
      <c r="AH114" s="11">
        <f>+'Seat capacity elasticities'!S144</f>
        <v>2.1596357983195542E-2</v>
      </c>
      <c r="AI114" s="11">
        <f>+'Seat capacity elasticities'!T144</f>
        <v>3.1263798142079448E-2</v>
      </c>
      <c r="AJ114" s="11">
        <f>+'Seat capacity elasticities'!U144</f>
        <v>2.5574634453784197E-2</v>
      </c>
      <c r="AK114" s="32">
        <f t="shared" si="88"/>
        <v>929024.60133699025</v>
      </c>
      <c r="AL114" s="33">
        <f t="shared" si="89"/>
        <v>1.1394831691257905E-4</v>
      </c>
      <c r="AM114" s="40">
        <f t="shared" si="90"/>
        <v>1760758.5973439068</v>
      </c>
      <c r="AN114" s="33">
        <f t="shared" si="91"/>
        <v>2.1596357983195543E-4</v>
      </c>
      <c r="AO114" s="40">
        <f t="shared" si="92"/>
        <v>4109000.9898135024</v>
      </c>
      <c r="AP114" s="41">
        <f t="shared" si="93"/>
        <v>3.1263798142079451E-4</v>
      </c>
      <c r="AQ114" s="40">
        <f t="shared" si="94"/>
        <v>3361274.2062608572</v>
      </c>
      <c r="AR114" s="41">
        <f t="shared" si="95"/>
        <v>2.55746344537842E-4</v>
      </c>
      <c r="AV114" t="s">
        <v>398</v>
      </c>
      <c r="AW114">
        <v>302322</v>
      </c>
      <c r="AX114">
        <v>209142</v>
      </c>
      <c r="AY114" s="51">
        <v>38983.25</v>
      </c>
      <c r="AZ114" s="32">
        <f t="shared" si="74"/>
        <v>8153034871.5</v>
      </c>
      <c r="BA114">
        <v>13143</v>
      </c>
      <c r="BB114" s="37">
        <f t="shared" si="75"/>
        <v>4.3473514993946853E-2</v>
      </c>
      <c r="BC114">
        <v>0</v>
      </c>
      <c r="BD114" s="3">
        <f t="shared" si="76"/>
        <v>0</v>
      </c>
      <c r="BE114" s="11">
        <f>+'Seat capacity elasticities'!Y144</f>
        <v>0</v>
      </c>
      <c r="BF114" s="11">
        <f>+'Seat capacity elasticities'!Z144</f>
        <v>0</v>
      </c>
      <c r="BG114" s="11">
        <f>+'Seat capacity elasticities'!AA144</f>
        <v>0</v>
      </c>
      <c r="BH114" s="11">
        <f>+'Seat capacity elasticities'!AB144</f>
        <v>0</v>
      </c>
      <c r="BI114" s="32">
        <f t="shared" si="96"/>
        <v>0</v>
      </c>
      <c r="BJ114" s="33">
        <f t="shared" si="97"/>
        <v>0</v>
      </c>
      <c r="BK114" s="40">
        <f t="shared" si="98"/>
        <v>0</v>
      </c>
      <c r="BL114" s="33">
        <f t="shared" si="99"/>
        <v>0</v>
      </c>
      <c r="BM114" s="40">
        <f t="shared" si="100"/>
        <v>0</v>
      </c>
      <c r="BN114" s="41">
        <f t="shared" si="101"/>
        <v>0</v>
      </c>
      <c r="BO114" s="40">
        <f t="shared" si="102"/>
        <v>0</v>
      </c>
      <c r="BP114" s="41">
        <f t="shared" si="103"/>
        <v>0</v>
      </c>
      <c r="BQ114" s="53"/>
      <c r="BR114" s="53"/>
      <c r="BS114" t="s">
        <v>398</v>
      </c>
      <c r="BT114">
        <v>302322</v>
      </c>
      <c r="BU114">
        <v>209142</v>
      </c>
      <c r="BV114" s="51">
        <v>38983.25</v>
      </c>
      <c r="BW114" s="32">
        <f t="shared" si="77"/>
        <v>8153034871.5</v>
      </c>
      <c r="BX114">
        <v>13143</v>
      </c>
      <c r="BY114" s="37">
        <f t="shared" si="78"/>
        <v>4.3473514993946853E-2</v>
      </c>
      <c r="BZ114">
        <v>4.6359000000000001E-3</v>
      </c>
      <c r="CA114" s="3">
        <f t="shared" si="79"/>
        <v>4.6359000000000001E-5</v>
      </c>
      <c r="CB114" s="11">
        <f>+'Seat capacity elasticities'!AF144</f>
        <v>3.2554453173187482E-2</v>
      </c>
      <c r="CC114" s="11">
        <f>+'Seat capacity elasticities'!AG144</f>
        <v>2.6013710142963466E-2</v>
      </c>
      <c r="CD114" s="11">
        <f>+'Seat capacity elasticities'!AH144</f>
        <v>8.9319077298276137E-2</v>
      </c>
      <c r="CE114" s="11">
        <f>+'Seat capacity elasticities'!AI144</f>
        <v>3.0805709379825158E-2</v>
      </c>
      <c r="CF114" s="32">
        <f t="shared" si="104"/>
        <v>2654175.9194361139</v>
      </c>
      <c r="CG114" s="33">
        <f t="shared" si="105"/>
        <v>3.2554453173187482E-4</v>
      </c>
      <c r="CH114" s="40">
        <f t="shared" si="106"/>
        <v>2120906.859326744</v>
      </c>
      <c r="CI114" s="33">
        <f t="shared" si="107"/>
        <v>2.6013710142963468E-4</v>
      </c>
      <c r="CJ114" s="40">
        <f t="shared" si="108"/>
        <v>11739206.329312434</v>
      </c>
      <c r="CK114" s="41">
        <f t="shared" si="109"/>
        <v>8.9319077298276144E-4</v>
      </c>
      <c r="CL114" s="40">
        <f t="shared" si="110"/>
        <v>4048794.3837904208</v>
      </c>
      <c r="CM114" s="41">
        <f t="shared" si="111"/>
        <v>3.0805709379825165E-4</v>
      </c>
      <c r="CO114" s="70">
        <f t="shared" si="112"/>
        <v>0</v>
      </c>
      <c r="CP114" s="70">
        <f t="shared" si="113"/>
        <v>0</v>
      </c>
      <c r="CQ114" s="70">
        <f t="shared" si="114"/>
        <v>0</v>
      </c>
      <c r="CR114" s="70">
        <f t="shared" si="115"/>
        <v>0</v>
      </c>
      <c r="CS114" s="70">
        <f t="shared" si="116"/>
        <v>0</v>
      </c>
      <c r="CT114" s="70">
        <f t="shared" si="117"/>
        <v>0</v>
      </c>
      <c r="CU114" s="69">
        <f t="shared" si="118"/>
        <v>0</v>
      </c>
      <c r="CV114" s="69">
        <f t="shared" si="119"/>
        <v>0</v>
      </c>
      <c r="CW114" s="70">
        <f t="shared" si="120"/>
        <v>0</v>
      </c>
      <c r="CX114" s="69">
        <f t="shared" si="121"/>
        <v>0</v>
      </c>
      <c r="CY114" s="69">
        <f t="shared" si="122"/>
        <v>0</v>
      </c>
      <c r="CZ114" s="70">
        <f t="shared" si="123"/>
        <v>0</v>
      </c>
      <c r="DB114" s="70">
        <f t="shared" si="124"/>
        <v>4.4420757252822973</v>
      </c>
      <c r="DC114" s="70">
        <f t="shared" si="125"/>
        <v>12.690783866636609</v>
      </c>
      <c r="DD114" s="70">
        <f t="shared" si="126"/>
        <v>17.132859591918908</v>
      </c>
      <c r="DE114" s="70">
        <f t="shared" si="127"/>
        <v>8.4189622234840762</v>
      </c>
      <c r="DF114" s="70">
        <f t="shared" si="128"/>
        <v>10.140989659306806</v>
      </c>
      <c r="DG114" s="70">
        <f t="shared" si="129"/>
        <v>18.559951882790884</v>
      </c>
      <c r="DH114" s="69">
        <f t="shared" si="130"/>
        <v>19.646943176471023</v>
      </c>
      <c r="DI114" s="69">
        <f t="shared" si="131"/>
        <v>56.130314950189032</v>
      </c>
      <c r="DJ114" s="70">
        <f t="shared" si="132"/>
        <v>75.777258126660058</v>
      </c>
      <c r="DK114" s="69">
        <f t="shared" si="133"/>
        <v>16.071732154521126</v>
      </c>
      <c r="DL114" s="69">
        <f t="shared" si="134"/>
        <v>19.359068880427753</v>
      </c>
      <c r="DM114" s="70">
        <f t="shared" si="135"/>
        <v>35.430801034948878</v>
      </c>
    </row>
    <row r="115" spans="1:117">
      <c r="A115" t="s">
        <v>399</v>
      </c>
      <c r="B115">
        <v>630098</v>
      </c>
      <c r="C115">
        <v>401269</v>
      </c>
      <c r="D115" s="51">
        <v>35794.89</v>
      </c>
      <c r="E115" s="32">
        <f t="shared" si="68"/>
        <v>14363379715.41</v>
      </c>
      <c r="F115">
        <v>21737</v>
      </c>
      <c r="G115" s="37">
        <f t="shared" si="69"/>
        <v>3.449780827744256E-2</v>
      </c>
      <c r="H115">
        <v>0</v>
      </c>
      <c r="I115" s="3">
        <f t="shared" si="70"/>
        <v>0</v>
      </c>
      <c r="J115" s="11">
        <f>+'Seat capacity elasticities'!K145</f>
        <v>0</v>
      </c>
      <c r="K115" s="11">
        <f>+'Seat capacity elasticities'!L145</f>
        <v>0</v>
      </c>
      <c r="L115" s="11">
        <f>+'Seat capacity elasticities'!M145</f>
        <v>0</v>
      </c>
      <c r="M115" s="11">
        <f>+'Seat capacity elasticities'!N145</f>
        <v>0</v>
      </c>
      <c r="N115" s="32">
        <f t="shared" si="80"/>
        <v>0</v>
      </c>
      <c r="O115" s="33">
        <f t="shared" si="81"/>
        <v>0</v>
      </c>
      <c r="P115" s="40">
        <f t="shared" si="82"/>
        <v>0</v>
      </c>
      <c r="Q115" s="33">
        <f t="shared" si="83"/>
        <v>0</v>
      </c>
      <c r="R115" s="40">
        <f t="shared" si="84"/>
        <v>0</v>
      </c>
      <c r="S115" s="41">
        <f t="shared" si="85"/>
        <v>0</v>
      </c>
      <c r="T115" s="40">
        <f t="shared" si="86"/>
        <v>0</v>
      </c>
      <c r="U115" s="41">
        <f t="shared" si="87"/>
        <v>0</v>
      </c>
      <c r="V115" s="53"/>
      <c r="W115" s="53"/>
      <c r="X115" t="s">
        <v>399</v>
      </c>
      <c r="Y115">
        <v>630098</v>
      </c>
      <c r="Z115">
        <v>401269</v>
      </c>
      <c r="AA115" s="51">
        <v>35794.89</v>
      </c>
      <c r="AB115" s="32">
        <f t="shared" si="71"/>
        <v>14363379715.41</v>
      </c>
      <c r="AC115">
        <v>21737</v>
      </c>
      <c r="AD115" s="37">
        <f t="shared" si="72"/>
        <v>3.449780827744256E-2</v>
      </c>
      <c r="AE115">
        <v>8.7529999999999997E-4</v>
      </c>
      <c r="AF115" s="3">
        <f t="shared" si="73"/>
        <v>8.7530000000000007E-6</v>
      </c>
      <c r="AG115" s="11">
        <f>+'Seat capacity elasticities'!R145</f>
        <v>1.6210532789151973E-3</v>
      </c>
      <c r="AH115" s="11">
        <f>+'Seat capacity elasticities'!S145</f>
        <v>3.0723443636420057E-3</v>
      </c>
      <c r="AI115" s="11">
        <f>+'Seat capacity elasticities'!T145</f>
        <v>4.447655205687906E-3</v>
      </c>
      <c r="AJ115" s="11">
        <f>+'Seat capacity elasticities'!U145</f>
        <v>3.6383025358918491E-3</v>
      </c>
      <c r="AK115" s="32">
        <f t="shared" si="88"/>
        <v>232838.03783969412</v>
      </c>
      <c r="AL115" s="33">
        <f t="shared" si="89"/>
        <v>1.6210532789151972E-5</v>
      </c>
      <c r="AM115" s="40">
        <f t="shared" si="90"/>
        <v>441292.48711489828</v>
      </c>
      <c r="AN115" s="33">
        <f t="shared" si="91"/>
        <v>3.0723443636420057E-5</v>
      </c>
      <c r="AO115" s="40">
        <f t="shared" si="92"/>
        <v>966786.81206038012</v>
      </c>
      <c r="AP115" s="41">
        <f t="shared" si="93"/>
        <v>4.4476552056879058E-5</v>
      </c>
      <c r="AQ115" s="40">
        <f t="shared" si="94"/>
        <v>790857.82222681132</v>
      </c>
      <c r="AR115" s="41">
        <f t="shared" si="95"/>
        <v>3.6383025358918497E-5</v>
      </c>
      <c r="AV115" t="s">
        <v>399</v>
      </c>
      <c r="AW115">
        <v>630098</v>
      </c>
      <c r="AX115">
        <v>401269</v>
      </c>
      <c r="AY115" s="51">
        <v>35794.89</v>
      </c>
      <c r="AZ115" s="32">
        <f t="shared" si="74"/>
        <v>14363379715.41</v>
      </c>
      <c r="BA115">
        <v>21737</v>
      </c>
      <c r="BB115" s="37">
        <f t="shared" si="75"/>
        <v>3.449780827744256E-2</v>
      </c>
      <c r="BC115">
        <v>0</v>
      </c>
      <c r="BD115" s="3">
        <f t="shared" si="76"/>
        <v>0</v>
      </c>
      <c r="BE115" s="11">
        <f>+'Seat capacity elasticities'!Y145</f>
        <v>0</v>
      </c>
      <c r="BF115" s="11">
        <f>+'Seat capacity elasticities'!Z145</f>
        <v>0</v>
      </c>
      <c r="BG115" s="11">
        <f>+'Seat capacity elasticities'!AA145</f>
        <v>0</v>
      </c>
      <c r="BH115" s="11">
        <f>+'Seat capacity elasticities'!AB145</f>
        <v>0</v>
      </c>
      <c r="BI115" s="32">
        <f t="shared" si="96"/>
        <v>0</v>
      </c>
      <c r="BJ115" s="33">
        <f t="shared" si="97"/>
        <v>0</v>
      </c>
      <c r="BK115" s="40">
        <f t="shared" si="98"/>
        <v>0</v>
      </c>
      <c r="BL115" s="33">
        <f t="shared" si="99"/>
        <v>0</v>
      </c>
      <c r="BM115" s="40">
        <f t="shared" si="100"/>
        <v>0</v>
      </c>
      <c r="BN115" s="41">
        <f t="shared" si="101"/>
        <v>0</v>
      </c>
      <c r="BO115" s="40">
        <f t="shared" si="102"/>
        <v>0</v>
      </c>
      <c r="BP115" s="41">
        <f t="shared" si="103"/>
        <v>0</v>
      </c>
      <c r="BQ115" s="53"/>
      <c r="BR115" s="53"/>
      <c r="BS115" t="s">
        <v>399</v>
      </c>
      <c r="BT115">
        <v>630098</v>
      </c>
      <c r="BU115">
        <v>401269</v>
      </c>
      <c r="BV115" s="51">
        <v>35794.89</v>
      </c>
      <c r="BW115" s="32">
        <f t="shared" si="77"/>
        <v>14363379715.41</v>
      </c>
      <c r="BX115">
        <v>21737</v>
      </c>
      <c r="BY115" s="37">
        <f t="shared" si="78"/>
        <v>3.449780827744256E-2</v>
      </c>
      <c r="BZ115">
        <v>8.7529999999999997E-4</v>
      </c>
      <c r="CA115" s="3">
        <f t="shared" si="79"/>
        <v>8.7530000000000007E-6</v>
      </c>
      <c r="CB115" s="11">
        <f>+'Seat capacity elasticities'!AF145</f>
        <v>2.9491368433011943E-3</v>
      </c>
      <c r="CC115" s="11">
        <f>+'Seat capacity elasticities'!AG145</f>
        <v>2.3566051195956818E-3</v>
      </c>
      <c r="CD115" s="11">
        <f>+'Seat capacity elasticities'!AH145</f>
        <v>8.0914945881188013E-3</v>
      </c>
      <c r="CE115" s="11">
        <f>+'Seat capacity elasticities'!AI145</f>
        <v>2.7907165889948867E-3</v>
      </c>
      <c r="CF115" s="32">
        <f t="shared" si="104"/>
        <v>423595.72313040652</v>
      </c>
      <c r="CG115" s="33">
        <f t="shared" si="105"/>
        <v>2.9491368433011943E-5</v>
      </c>
      <c r="CH115" s="40">
        <f t="shared" si="106"/>
        <v>338488.14172031975</v>
      </c>
      <c r="CI115" s="33">
        <f t="shared" si="107"/>
        <v>2.3566051195956821E-5</v>
      </c>
      <c r="CJ115" s="40">
        <f t="shared" si="108"/>
        <v>1758848.1786193838</v>
      </c>
      <c r="CK115" s="41">
        <f t="shared" si="109"/>
        <v>8.0914945881188023E-5</v>
      </c>
      <c r="CL115" s="40">
        <f t="shared" si="110"/>
        <v>606618.06494981854</v>
      </c>
      <c r="CM115" s="41">
        <f t="shared" si="111"/>
        <v>2.7907165889948868E-5</v>
      </c>
      <c r="CO115" s="70">
        <f t="shared" si="112"/>
        <v>0</v>
      </c>
      <c r="CP115" s="70">
        <f t="shared" si="113"/>
        <v>0</v>
      </c>
      <c r="CQ115" s="70">
        <f t="shared" si="114"/>
        <v>0</v>
      </c>
      <c r="CR115" s="70">
        <f t="shared" si="115"/>
        <v>0</v>
      </c>
      <c r="CS115" s="70">
        <f t="shared" si="116"/>
        <v>0</v>
      </c>
      <c r="CT115" s="70">
        <f t="shared" si="117"/>
        <v>0</v>
      </c>
      <c r="CU115" s="69">
        <f t="shared" si="118"/>
        <v>0</v>
      </c>
      <c r="CV115" s="69">
        <f t="shared" si="119"/>
        <v>0</v>
      </c>
      <c r="CW115" s="70">
        <f t="shared" si="120"/>
        <v>0</v>
      </c>
      <c r="CX115" s="69">
        <f t="shared" si="121"/>
        <v>0</v>
      </c>
      <c r="CY115" s="69">
        <f t="shared" si="122"/>
        <v>0</v>
      </c>
      <c r="CZ115" s="70">
        <f t="shared" si="123"/>
        <v>0</v>
      </c>
      <c r="DB115" s="70">
        <f t="shared" si="124"/>
        <v>0.58025423802908804</v>
      </c>
      <c r="DC115" s="70">
        <f t="shared" si="125"/>
        <v>1.0556402890091348</v>
      </c>
      <c r="DD115" s="70">
        <f t="shared" si="126"/>
        <v>1.6358945270382228</v>
      </c>
      <c r="DE115" s="70">
        <f t="shared" si="127"/>
        <v>1.0997422853868559</v>
      </c>
      <c r="DF115" s="70">
        <f t="shared" si="128"/>
        <v>0.84354421029364279</v>
      </c>
      <c r="DG115" s="70">
        <f t="shared" si="129"/>
        <v>1.9432864956804987</v>
      </c>
      <c r="DH115" s="69">
        <f t="shared" si="130"/>
        <v>2.4093234515010633</v>
      </c>
      <c r="DI115" s="69">
        <f t="shared" si="131"/>
        <v>4.3832146979193105</v>
      </c>
      <c r="DJ115" s="70">
        <f t="shared" si="132"/>
        <v>6.7925381494203734</v>
      </c>
      <c r="DK115" s="69">
        <f t="shared" si="133"/>
        <v>1.9708919010110706</v>
      </c>
      <c r="DL115" s="69">
        <f t="shared" si="134"/>
        <v>1.5117491382335007</v>
      </c>
      <c r="DM115" s="70">
        <f t="shared" si="135"/>
        <v>3.4826410392445712</v>
      </c>
    </row>
    <row r="116" spans="1:117">
      <c r="A116" t="s">
        <v>982</v>
      </c>
      <c r="B116">
        <v>236155</v>
      </c>
      <c r="C116">
        <v>152117</v>
      </c>
      <c r="D116" s="51">
        <v>33200.01</v>
      </c>
      <c r="E116" s="32">
        <f t="shared" si="68"/>
        <v>5050285921.1700001</v>
      </c>
      <c r="F116">
        <v>7081</v>
      </c>
      <c r="G116" s="37">
        <f t="shared" si="69"/>
        <v>2.9984544049459043E-2</v>
      </c>
      <c r="H116">
        <v>0</v>
      </c>
      <c r="I116" s="3">
        <f t="shared" si="70"/>
        <v>0</v>
      </c>
      <c r="J116" s="11">
        <f>+'Seat capacity elasticities'!K146</f>
        <v>0</v>
      </c>
      <c r="K116" s="11">
        <f>+'Seat capacity elasticities'!L146</f>
        <v>0</v>
      </c>
      <c r="L116" s="11">
        <f>+'Seat capacity elasticities'!M146</f>
        <v>0</v>
      </c>
      <c r="M116" s="11">
        <f>+'Seat capacity elasticities'!N146</f>
        <v>0</v>
      </c>
      <c r="N116" s="32">
        <f t="shared" si="80"/>
        <v>0</v>
      </c>
      <c r="O116" s="33">
        <f t="shared" si="81"/>
        <v>0</v>
      </c>
      <c r="P116" s="40">
        <f t="shared" si="82"/>
        <v>0</v>
      </c>
      <c r="Q116" s="33">
        <f t="shared" si="83"/>
        <v>0</v>
      </c>
      <c r="R116" s="40">
        <f t="shared" si="84"/>
        <v>0</v>
      </c>
      <c r="S116" s="41">
        <f t="shared" si="85"/>
        <v>0</v>
      </c>
      <c r="T116" s="40">
        <f t="shared" si="86"/>
        <v>0</v>
      </c>
      <c r="U116" s="41">
        <f t="shared" si="87"/>
        <v>0</v>
      </c>
      <c r="V116" s="53"/>
      <c r="W116" s="53"/>
      <c r="X116" t="s">
        <v>982</v>
      </c>
      <c r="Y116">
        <v>236155</v>
      </c>
      <c r="Z116">
        <v>152117</v>
      </c>
      <c r="AA116" s="51">
        <v>33200.01</v>
      </c>
      <c r="AB116" s="32">
        <f t="shared" si="71"/>
        <v>5050285921.1700001</v>
      </c>
      <c r="AC116">
        <v>7081</v>
      </c>
      <c r="AD116" s="37">
        <f t="shared" si="72"/>
        <v>2.9984544049459043E-2</v>
      </c>
      <c r="AE116">
        <v>2.0684000000000002E-3</v>
      </c>
      <c r="AF116" s="3">
        <f t="shared" si="73"/>
        <v>2.0684000000000004E-5</v>
      </c>
      <c r="AG116" s="11">
        <f>+'Seat capacity elasticities'!R146</f>
        <v>7.753576666613961E-3</v>
      </c>
      <c r="AH116" s="11">
        <f>+'Seat capacity elasticities'!S146</f>
        <v>1.4695172502706969E-2</v>
      </c>
      <c r="AI116" s="11">
        <f>+'Seat capacity elasticities'!T146</f>
        <v>2.1273351143056354E-2</v>
      </c>
      <c r="AJ116" s="11">
        <f>+'Seat capacity elasticities'!U146</f>
        <v>1.7402177963731936E-2</v>
      </c>
      <c r="AK116" s="32">
        <f t="shared" si="88"/>
        <v>391577.79078112706</v>
      </c>
      <c r="AL116" s="33">
        <f t="shared" si="89"/>
        <v>7.7535766666139613E-5</v>
      </c>
      <c r="AM116" s="40">
        <f t="shared" si="90"/>
        <v>742148.22799585515</v>
      </c>
      <c r="AN116" s="33">
        <f t="shared" si="91"/>
        <v>1.4695172502706967E-4</v>
      </c>
      <c r="AO116" s="40">
        <f t="shared" si="92"/>
        <v>1506365.9944398208</v>
      </c>
      <c r="AP116" s="41">
        <f t="shared" si="93"/>
        <v>2.1273351143056359E-4</v>
      </c>
      <c r="AQ116" s="40">
        <f t="shared" si="94"/>
        <v>1232248.2216118583</v>
      </c>
      <c r="AR116" s="41">
        <f t="shared" si="95"/>
        <v>1.7402177963731936E-4</v>
      </c>
      <c r="AV116" t="s">
        <v>982</v>
      </c>
      <c r="AW116">
        <v>236155</v>
      </c>
      <c r="AX116">
        <v>152117</v>
      </c>
      <c r="AY116" s="51">
        <v>33200.01</v>
      </c>
      <c r="AZ116" s="32">
        <f t="shared" si="74"/>
        <v>5050285921.1700001</v>
      </c>
      <c r="BA116">
        <v>7081</v>
      </c>
      <c r="BB116" s="37">
        <f t="shared" si="75"/>
        <v>2.9984544049459043E-2</v>
      </c>
      <c r="BC116">
        <v>0</v>
      </c>
      <c r="BD116" s="3">
        <f t="shared" si="76"/>
        <v>0</v>
      </c>
      <c r="BE116" s="11">
        <f>+'Seat capacity elasticities'!Y146</f>
        <v>0</v>
      </c>
      <c r="BF116" s="11">
        <f>+'Seat capacity elasticities'!Z146</f>
        <v>0</v>
      </c>
      <c r="BG116" s="11">
        <f>+'Seat capacity elasticities'!AA146</f>
        <v>0</v>
      </c>
      <c r="BH116" s="11">
        <f>+'Seat capacity elasticities'!AB146</f>
        <v>0</v>
      </c>
      <c r="BI116" s="32">
        <f t="shared" si="96"/>
        <v>0</v>
      </c>
      <c r="BJ116" s="33">
        <f t="shared" si="97"/>
        <v>0</v>
      </c>
      <c r="BK116" s="40">
        <f t="shared" si="98"/>
        <v>0</v>
      </c>
      <c r="BL116" s="33">
        <f t="shared" si="99"/>
        <v>0</v>
      </c>
      <c r="BM116" s="40">
        <f t="shared" si="100"/>
        <v>0</v>
      </c>
      <c r="BN116" s="41">
        <f t="shared" si="101"/>
        <v>0</v>
      </c>
      <c r="BO116" s="40">
        <f t="shared" si="102"/>
        <v>0</v>
      </c>
      <c r="BP116" s="41">
        <f t="shared" si="103"/>
        <v>0</v>
      </c>
      <c r="BQ116" s="53"/>
      <c r="BR116" s="53"/>
      <c r="BS116" t="s">
        <v>982</v>
      </c>
      <c r="BT116">
        <v>236155</v>
      </c>
      <c r="BU116">
        <v>152117</v>
      </c>
      <c r="BV116" s="51">
        <v>33200.01</v>
      </c>
      <c r="BW116" s="32">
        <f t="shared" si="77"/>
        <v>5050285921.1700001</v>
      </c>
      <c r="BX116">
        <v>7081</v>
      </c>
      <c r="BY116" s="37">
        <f t="shared" si="78"/>
        <v>2.9984544049459043E-2</v>
      </c>
      <c r="BZ116">
        <v>2.0684000000000002E-3</v>
      </c>
      <c r="CA116" s="3">
        <f t="shared" si="79"/>
        <v>2.0684000000000004E-5</v>
      </c>
      <c r="CB116" s="11">
        <f>+'Seat capacity elasticities'!AF146</f>
        <v>1.8594456182212053E-2</v>
      </c>
      <c r="CC116" s="11">
        <f>+'Seat capacity elasticities'!AG146</f>
        <v>1.4858513851140143E-2</v>
      </c>
      <c r="CD116" s="11">
        <f>+'Seat capacity elasticities'!AH146</f>
        <v>5.101728049993199E-2</v>
      </c>
      <c r="CE116" s="11">
        <f>+'Seat capacity elasticities'!AI146</f>
        <v>1.7595608507929118E-2</v>
      </c>
      <c r="CF116" s="32">
        <f t="shared" si="104"/>
        <v>939073.20268838003</v>
      </c>
      <c r="CG116" s="33">
        <f t="shared" si="105"/>
        <v>1.8594456182212054E-4</v>
      </c>
      <c r="CH116" s="40">
        <f t="shared" si="106"/>
        <v>750397.43311922497</v>
      </c>
      <c r="CI116" s="33">
        <f t="shared" si="107"/>
        <v>1.4858513851140142E-4</v>
      </c>
      <c r="CJ116" s="40">
        <f t="shared" si="108"/>
        <v>3612533.6322001843</v>
      </c>
      <c r="CK116" s="41">
        <f t="shared" si="109"/>
        <v>5.1017280499931995E-4</v>
      </c>
      <c r="CL116" s="40">
        <f t="shared" si="110"/>
        <v>1245945.0384464609</v>
      </c>
      <c r="CM116" s="41">
        <f t="shared" si="111"/>
        <v>1.7595608507929117E-4</v>
      </c>
      <c r="CO116" s="70">
        <f t="shared" si="112"/>
        <v>0</v>
      </c>
      <c r="CP116" s="70">
        <f t="shared" si="113"/>
        <v>0</v>
      </c>
      <c r="CQ116" s="70">
        <f t="shared" si="114"/>
        <v>0</v>
      </c>
      <c r="CR116" s="70">
        <f t="shared" si="115"/>
        <v>0</v>
      </c>
      <c r="CS116" s="70">
        <f t="shared" si="116"/>
        <v>0</v>
      </c>
      <c r="CT116" s="70">
        <f t="shared" si="117"/>
        <v>0</v>
      </c>
      <c r="CU116" s="69">
        <f t="shared" si="118"/>
        <v>0</v>
      </c>
      <c r="CV116" s="69">
        <f t="shared" si="119"/>
        <v>0</v>
      </c>
      <c r="CW116" s="70">
        <f t="shared" si="120"/>
        <v>0</v>
      </c>
      <c r="CX116" s="69">
        <f t="shared" si="121"/>
        <v>0</v>
      </c>
      <c r="CY116" s="69">
        <f t="shared" si="122"/>
        <v>0</v>
      </c>
      <c r="CZ116" s="70">
        <f t="shared" si="123"/>
        <v>0</v>
      </c>
      <c r="DB116" s="70">
        <f t="shared" si="124"/>
        <v>2.5741882286735018</v>
      </c>
      <c r="DC116" s="70">
        <f t="shared" si="125"/>
        <v>6.1733613119400204</v>
      </c>
      <c r="DD116" s="70">
        <f t="shared" si="126"/>
        <v>8.7475495406135231</v>
      </c>
      <c r="DE116" s="70">
        <f t="shared" si="127"/>
        <v>4.8787987404159638</v>
      </c>
      <c r="DF116" s="70">
        <f t="shared" si="128"/>
        <v>4.9330280844299121</v>
      </c>
      <c r="DG116" s="70">
        <f t="shared" si="129"/>
        <v>9.8118268248458769</v>
      </c>
      <c r="DH116" s="69">
        <f t="shared" si="130"/>
        <v>9.9026801372615871</v>
      </c>
      <c r="DI116" s="69">
        <f t="shared" si="131"/>
        <v>23.748388623232014</v>
      </c>
      <c r="DJ116" s="70">
        <f t="shared" si="132"/>
        <v>33.651068760493601</v>
      </c>
      <c r="DK116" s="69">
        <f t="shared" si="133"/>
        <v>8.1006608177380457</v>
      </c>
      <c r="DL116" s="69">
        <f t="shared" si="134"/>
        <v>8.1907021466796017</v>
      </c>
      <c r="DM116" s="70">
        <f t="shared" si="135"/>
        <v>16.291362964417647</v>
      </c>
    </row>
    <row r="117" spans="1:117">
      <c r="A117" t="s">
        <v>400</v>
      </c>
      <c r="B117">
        <v>264278</v>
      </c>
      <c r="C117">
        <v>126897</v>
      </c>
      <c r="D117" s="51">
        <v>32463.68</v>
      </c>
      <c r="E117" s="32">
        <f t="shared" si="68"/>
        <v>4119543600.96</v>
      </c>
      <c r="F117">
        <v>6335</v>
      </c>
      <c r="G117" s="37">
        <f t="shared" si="69"/>
        <v>2.397096996344758E-2</v>
      </c>
      <c r="H117">
        <v>0</v>
      </c>
      <c r="I117" s="3">
        <f t="shared" si="70"/>
        <v>0</v>
      </c>
      <c r="J117" s="11">
        <f>+'Seat capacity elasticities'!K147</f>
        <v>0</v>
      </c>
      <c r="K117" s="11">
        <f>+'Seat capacity elasticities'!L147</f>
        <v>0</v>
      </c>
      <c r="L117" s="11">
        <f>+'Seat capacity elasticities'!M147</f>
        <v>0</v>
      </c>
      <c r="M117" s="11">
        <f>+'Seat capacity elasticities'!N147</f>
        <v>0</v>
      </c>
      <c r="N117" s="32">
        <f t="shared" si="80"/>
        <v>0</v>
      </c>
      <c r="O117" s="33">
        <f t="shared" si="81"/>
        <v>0</v>
      </c>
      <c r="P117" s="40">
        <f t="shared" si="82"/>
        <v>0</v>
      </c>
      <c r="Q117" s="33">
        <f t="shared" si="83"/>
        <v>0</v>
      </c>
      <c r="R117" s="40">
        <f t="shared" si="84"/>
        <v>0</v>
      </c>
      <c r="S117" s="41">
        <f t="shared" si="85"/>
        <v>0</v>
      </c>
      <c r="T117" s="40">
        <f t="shared" si="86"/>
        <v>0</v>
      </c>
      <c r="U117" s="41">
        <f t="shared" si="87"/>
        <v>0</v>
      </c>
      <c r="V117" s="53"/>
      <c r="W117" s="53"/>
      <c r="X117" t="s">
        <v>400</v>
      </c>
      <c r="Y117">
        <v>264278</v>
      </c>
      <c r="Z117">
        <v>126897</v>
      </c>
      <c r="AA117" s="51">
        <v>32463.68</v>
      </c>
      <c r="AB117" s="32">
        <f t="shared" si="71"/>
        <v>4119543600.96</v>
      </c>
      <c r="AC117">
        <v>6335</v>
      </c>
      <c r="AD117" s="37">
        <f t="shared" si="72"/>
        <v>2.397096996344758E-2</v>
      </c>
      <c r="AE117">
        <v>2.2810999999999999E-3</v>
      </c>
      <c r="AF117" s="3">
        <f t="shared" si="73"/>
        <v>2.2810999999999999E-5</v>
      </c>
      <c r="AG117" s="11">
        <f>+'Seat capacity elasticities'!R147</f>
        <v>4.0238946299157464E-3</v>
      </c>
      <c r="AH117" s="11">
        <f>+'Seat capacity elasticities'!S147</f>
        <v>7.626393374549731E-3</v>
      </c>
      <c r="AI117" s="11">
        <f>+'Seat capacity elasticities'!T147</f>
        <v>1.1040288515292301E-2</v>
      </c>
      <c r="AJ117" s="11">
        <f>+'Seat capacity elasticities'!U147</f>
        <v>9.0312553119667877E-3</v>
      </c>
      <c r="AK117" s="32">
        <f t="shared" si="88"/>
        <v>165766.09373606721</v>
      </c>
      <c r="AL117" s="33">
        <f t="shared" si="89"/>
        <v>4.0238946299157466E-5</v>
      </c>
      <c r="AM117" s="40">
        <f t="shared" si="90"/>
        <v>314172.60024530086</v>
      </c>
      <c r="AN117" s="33">
        <f t="shared" si="91"/>
        <v>7.6263933745497316E-5</v>
      </c>
      <c r="AO117" s="40">
        <f t="shared" si="92"/>
        <v>699402.27744376729</v>
      </c>
      <c r="AP117" s="41">
        <f t="shared" si="93"/>
        <v>1.1040288515292302E-4</v>
      </c>
      <c r="AQ117" s="40">
        <f t="shared" si="94"/>
        <v>572130.024013096</v>
      </c>
      <c r="AR117" s="41">
        <f t="shared" si="95"/>
        <v>9.0312553119667878E-5</v>
      </c>
      <c r="AV117" t="s">
        <v>400</v>
      </c>
      <c r="AW117">
        <v>264278</v>
      </c>
      <c r="AX117">
        <v>126897</v>
      </c>
      <c r="AY117" s="51">
        <v>32463.68</v>
      </c>
      <c r="AZ117" s="32">
        <f t="shared" si="74"/>
        <v>4119543600.96</v>
      </c>
      <c r="BA117">
        <v>6335</v>
      </c>
      <c r="BB117" s="37">
        <f t="shared" si="75"/>
        <v>2.397096996344758E-2</v>
      </c>
      <c r="BC117">
        <v>0</v>
      </c>
      <c r="BD117" s="3">
        <f t="shared" si="76"/>
        <v>0</v>
      </c>
      <c r="BE117" s="11">
        <f>+'Seat capacity elasticities'!Y147</f>
        <v>0</v>
      </c>
      <c r="BF117" s="11">
        <f>+'Seat capacity elasticities'!Z147</f>
        <v>0</v>
      </c>
      <c r="BG117" s="11">
        <f>+'Seat capacity elasticities'!AA147</f>
        <v>0</v>
      </c>
      <c r="BH117" s="11">
        <f>+'Seat capacity elasticities'!AB147</f>
        <v>0</v>
      </c>
      <c r="BI117" s="32">
        <f t="shared" si="96"/>
        <v>0</v>
      </c>
      <c r="BJ117" s="33">
        <f t="shared" si="97"/>
        <v>0</v>
      </c>
      <c r="BK117" s="40">
        <f t="shared" si="98"/>
        <v>0</v>
      </c>
      <c r="BL117" s="33">
        <f t="shared" si="99"/>
        <v>0</v>
      </c>
      <c r="BM117" s="40">
        <f t="shared" si="100"/>
        <v>0</v>
      </c>
      <c r="BN117" s="41">
        <f t="shared" si="101"/>
        <v>0</v>
      </c>
      <c r="BO117" s="40">
        <f t="shared" si="102"/>
        <v>0</v>
      </c>
      <c r="BP117" s="41">
        <f t="shared" si="103"/>
        <v>0</v>
      </c>
      <c r="BQ117" s="53"/>
      <c r="BR117" s="53"/>
      <c r="BS117" t="s">
        <v>400</v>
      </c>
      <c r="BT117">
        <v>264278</v>
      </c>
      <c r="BU117">
        <v>126897</v>
      </c>
      <c r="BV117" s="51">
        <v>32463.68</v>
      </c>
      <c r="BW117" s="32">
        <f t="shared" si="77"/>
        <v>4119543600.96</v>
      </c>
      <c r="BX117">
        <v>6335</v>
      </c>
      <c r="BY117" s="37">
        <f t="shared" si="78"/>
        <v>2.397096996344758E-2</v>
      </c>
      <c r="BZ117">
        <v>2.2810999999999999E-3</v>
      </c>
      <c r="CA117" s="3">
        <f t="shared" si="79"/>
        <v>2.2810999999999999E-5</v>
      </c>
      <c r="CB117" s="11">
        <f>+'Seat capacity elasticities'!AF147</f>
        <v>1.8324385109831507E-2</v>
      </c>
      <c r="CC117" s="11">
        <f>+'Seat capacity elasticities'!AG147</f>
        <v>1.464270464809405E-2</v>
      </c>
      <c r="CD117" s="11">
        <f>+'Seat capacity elasticities'!AH147</f>
        <v>5.0276291276072006E-2</v>
      </c>
      <c r="CE117" s="11">
        <f>+'Seat capacity elasticities'!AI147</f>
        <v>1.7340044978006112E-2</v>
      </c>
      <c r="CF117" s="32">
        <f t="shared" si="104"/>
        <v>754881.0342073309</v>
      </c>
      <c r="CG117" s="33">
        <f t="shared" si="105"/>
        <v>1.8324385109831507E-4</v>
      </c>
      <c r="CH117" s="40">
        <f t="shared" si="106"/>
        <v>603212.60233803093</v>
      </c>
      <c r="CI117" s="33">
        <f t="shared" si="107"/>
        <v>1.4642704648094049E-4</v>
      </c>
      <c r="CJ117" s="40">
        <f t="shared" si="108"/>
        <v>3185003.0523391617</v>
      </c>
      <c r="CK117" s="41">
        <f t="shared" si="109"/>
        <v>5.0276291276072011E-4</v>
      </c>
      <c r="CL117" s="40">
        <f t="shared" si="110"/>
        <v>1098491.8493566872</v>
      </c>
      <c r="CM117" s="41">
        <f t="shared" si="111"/>
        <v>1.7340044978006111E-4</v>
      </c>
      <c r="CO117" s="70">
        <f t="shared" si="112"/>
        <v>0</v>
      </c>
      <c r="CP117" s="70">
        <f t="shared" si="113"/>
        <v>0</v>
      </c>
      <c r="CQ117" s="70">
        <f t="shared" si="114"/>
        <v>0</v>
      </c>
      <c r="CR117" s="70">
        <f t="shared" si="115"/>
        <v>0</v>
      </c>
      <c r="CS117" s="70">
        <f t="shared" si="116"/>
        <v>0</v>
      </c>
      <c r="CT117" s="70">
        <f t="shared" si="117"/>
        <v>0</v>
      </c>
      <c r="CU117" s="69">
        <f t="shared" si="118"/>
        <v>0</v>
      </c>
      <c r="CV117" s="69">
        <f t="shared" si="119"/>
        <v>0</v>
      </c>
      <c r="CW117" s="70">
        <f t="shared" si="120"/>
        <v>0</v>
      </c>
      <c r="CX117" s="69">
        <f t="shared" si="121"/>
        <v>0</v>
      </c>
      <c r="CY117" s="69">
        <f t="shared" si="122"/>
        <v>0</v>
      </c>
      <c r="CZ117" s="70">
        <f t="shared" si="123"/>
        <v>0</v>
      </c>
      <c r="DB117" s="70">
        <f t="shared" si="124"/>
        <v>1.3063042761930321</v>
      </c>
      <c r="DC117" s="70">
        <f t="shared" si="125"/>
        <v>5.9487697440233491</v>
      </c>
      <c r="DD117" s="70">
        <f t="shared" si="126"/>
        <v>7.255074020216381</v>
      </c>
      <c r="DE117" s="70">
        <f t="shared" si="127"/>
        <v>2.475807940655026</v>
      </c>
      <c r="DF117" s="70">
        <f t="shared" si="128"/>
        <v>4.7535607803023785</v>
      </c>
      <c r="DG117" s="70">
        <f t="shared" si="129"/>
        <v>7.2293687209574049</v>
      </c>
      <c r="DH117" s="69">
        <f t="shared" si="130"/>
        <v>5.5115745639673692</v>
      </c>
      <c r="DI117" s="69">
        <f t="shared" si="131"/>
        <v>25.099120170998226</v>
      </c>
      <c r="DJ117" s="70">
        <f t="shared" si="132"/>
        <v>30.610694734965595</v>
      </c>
      <c r="DK117" s="69">
        <f t="shared" si="133"/>
        <v>4.5086174142264674</v>
      </c>
      <c r="DL117" s="69">
        <f t="shared" si="134"/>
        <v>8.6565627978335744</v>
      </c>
      <c r="DM117" s="70">
        <f t="shared" si="135"/>
        <v>13.165180212060042</v>
      </c>
    </row>
    <row r="118" spans="1:117">
      <c r="A118" t="s">
        <v>401</v>
      </c>
      <c r="B118">
        <v>148746</v>
      </c>
      <c r="C118">
        <v>57973</v>
      </c>
      <c r="D118" s="51">
        <v>32879.68</v>
      </c>
      <c r="E118" s="32">
        <f t="shared" si="68"/>
        <v>1906133688.6400001</v>
      </c>
      <c r="F118">
        <v>2460</v>
      </c>
      <c r="G118" s="37">
        <f t="shared" si="69"/>
        <v>1.6538259852365778E-2</v>
      </c>
      <c r="H118">
        <v>0</v>
      </c>
      <c r="I118" s="3">
        <f t="shared" si="70"/>
        <v>0</v>
      </c>
      <c r="J118" s="11">
        <f>+'Seat capacity elasticities'!K148</f>
        <v>0</v>
      </c>
      <c r="K118" s="11">
        <f>+'Seat capacity elasticities'!L148</f>
        <v>0</v>
      </c>
      <c r="L118" s="11">
        <f>+'Seat capacity elasticities'!M148</f>
        <v>0</v>
      </c>
      <c r="M118" s="11">
        <f>+'Seat capacity elasticities'!N148</f>
        <v>0</v>
      </c>
      <c r="N118" s="32">
        <f t="shared" si="80"/>
        <v>0</v>
      </c>
      <c r="O118" s="33">
        <f t="shared" si="81"/>
        <v>0</v>
      </c>
      <c r="P118" s="40">
        <f t="shared" si="82"/>
        <v>0</v>
      </c>
      <c r="Q118" s="33">
        <f t="shared" si="83"/>
        <v>0</v>
      </c>
      <c r="R118" s="40">
        <f t="shared" si="84"/>
        <v>0</v>
      </c>
      <c r="S118" s="41">
        <f t="shared" si="85"/>
        <v>0</v>
      </c>
      <c r="T118" s="40">
        <f t="shared" si="86"/>
        <v>0</v>
      </c>
      <c r="U118" s="41">
        <f t="shared" si="87"/>
        <v>0</v>
      </c>
      <c r="V118" s="53"/>
      <c r="W118" s="53"/>
      <c r="X118" t="s">
        <v>401</v>
      </c>
      <c r="Y118">
        <v>148746</v>
      </c>
      <c r="Z118">
        <v>57973</v>
      </c>
      <c r="AA118" s="51">
        <v>32879.68</v>
      </c>
      <c r="AB118" s="32">
        <f t="shared" si="71"/>
        <v>1906133688.6400001</v>
      </c>
      <c r="AC118">
        <v>2460</v>
      </c>
      <c r="AD118" s="37">
        <f t="shared" si="72"/>
        <v>1.6538259852365778E-2</v>
      </c>
      <c r="AE118">
        <v>4.078E-3</v>
      </c>
      <c r="AF118" s="3">
        <f t="shared" si="73"/>
        <v>4.0779999999999999E-5</v>
      </c>
      <c r="AG118" s="11">
        <f>+'Seat capacity elasticities'!R148</f>
        <v>1.4471388304414568E-2</v>
      </c>
      <c r="AH118" s="11">
        <f>+'Seat capacity elasticities'!S148</f>
        <v>2.7427283772496449E-2</v>
      </c>
      <c r="AI118" s="11">
        <f>+'Seat capacity elasticities'!T148</f>
        <v>3.9704892098754774E-2</v>
      </c>
      <c r="AJ118" s="11">
        <f>+'Seat capacity elasticities'!U148</f>
        <v>3.2479678151640531E-2</v>
      </c>
      <c r="AK118" s="32">
        <f t="shared" si="88"/>
        <v>275844.00768435502</v>
      </c>
      <c r="AL118" s="33">
        <f t="shared" si="89"/>
        <v>1.4471388304414571E-4</v>
      </c>
      <c r="AM118" s="40">
        <f t="shared" si="90"/>
        <v>522800.69586644677</v>
      </c>
      <c r="AN118" s="33">
        <f t="shared" si="91"/>
        <v>2.7427283772496453E-4</v>
      </c>
      <c r="AO118" s="40">
        <f t="shared" si="92"/>
        <v>976740.34562936751</v>
      </c>
      <c r="AP118" s="41">
        <f t="shared" si="93"/>
        <v>3.9704892098754778E-4</v>
      </c>
      <c r="AQ118" s="40">
        <f t="shared" si="94"/>
        <v>799000.08253035718</v>
      </c>
      <c r="AR118" s="41">
        <f t="shared" si="95"/>
        <v>3.2479678151640538E-4</v>
      </c>
      <c r="AV118" t="s">
        <v>401</v>
      </c>
      <c r="AW118">
        <v>148746</v>
      </c>
      <c r="AX118">
        <v>57973</v>
      </c>
      <c r="AY118" s="51">
        <v>32879.68</v>
      </c>
      <c r="AZ118" s="32">
        <f t="shared" si="74"/>
        <v>1906133688.6400001</v>
      </c>
      <c r="BA118">
        <v>2460</v>
      </c>
      <c r="BB118" s="37">
        <f t="shared" si="75"/>
        <v>1.6538259852365778E-2</v>
      </c>
      <c r="BC118">
        <v>0</v>
      </c>
      <c r="BD118" s="3">
        <f t="shared" si="76"/>
        <v>0</v>
      </c>
      <c r="BE118" s="11">
        <f>+'Seat capacity elasticities'!Y148</f>
        <v>0</v>
      </c>
      <c r="BF118" s="11">
        <f>+'Seat capacity elasticities'!Z148</f>
        <v>0</v>
      </c>
      <c r="BG118" s="11">
        <f>+'Seat capacity elasticities'!AA148</f>
        <v>0</v>
      </c>
      <c r="BH118" s="11">
        <f>+'Seat capacity elasticities'!AB148</f>
        <v>0</v>
      </c>
      <c r="BI118" s="32">
        <f t="shared" si="96"/>
        <v>0</v>
      </c>
      <c r="BJ118" s="33">
        <f t="shared" si="97"/>
        <v>0</v>
      </c>
      <c r="BK118" s="40">
        <f t="shared" si="98"/>
        <v>0</v>
      </c>
      <c r="BL118" s="33">
        <f t="shared" si="99"/>
        <v>0</v>
      </c>
      <c r="BM118" s="40">
        <f t="shared" si="100"/>
        <v>0</v>
      </c>
      <c r="BN118" s="41">
        <f t="shared" si="101"/>
        <v>0</v>
      </c>
      <c r="BO118" s="40">
        <f t="shared" si="102"/>
        <v>0</v>
      </c>
      <c r="BP118" s="41">
        <f t="shared" si="103"/>
        <v>0</v>
      </c>
      <c r="BQ118" s="53"/>
      <c r="BR118" s="53"/>
      <c r="BS118" t="s">
        <v>401</v>
      </c>
      <c r="BT118">
        <v>148746</v>
      </c>
      <c r="BU118">
        <v>57973</v>
      </c>
      <c r="BV118" s="51">
        <v>32879.68</v>
      </c>
      <c r="BW118" s="32">
        <f t="shared" si="77"/>
        <v>1906133688.6400001</v>
      </c>
      <c r="BX118">
        <v>2460</v>
      </c>
      <c r="BY118" s="37">
        <f t="shared" si="78"/>
        <v>1.6538259852365778E-2</v>
      </c>
      <c r="BZ118">
        <v>4.078E-3</v>
      </c>
      <c r="CA118" s="3">
        <f t="shared" si="79"/>
        <v>4.0779999999999999E-5</v>
      </c>
      <c r="CB118" s="11">
        <f>+'Seat capacity elasticities'!AF148</f>
        <v>5.8203355515327869E-2</v>
      </c>
      <c r="CC118" s="11">
        <f>+'Seat capacity elasticities'!AG148</f>
        <v>4.6509312003146307E-2</v>
      </c>
      <c r="CD118" s="11">
        <f>+'Seat capacity elasticities'!AH148</f>
        <v>0.15969151693736167</v>
      </c>
      <c r="CE118" s="11">
        <f>+'Seat capacity elasticities'!AI148</f>
        <v>5.5076816845831156E-2</v>
      </c>
      <c r="CF118" s="32">
        <f t="shared" si="104"/>
        <v>1109433.7673965723</v>
      </c>
      <c r="CG118" s="33">
        <f t="shared" si="105"/>
        <v>5.8203355515327885E-4</v>
      </c>
      <c r="CH118" s="40">
        <f t="shared" si="106"/>
        <v>886529.66444665915</v>
      </c>
      <c r="CI118" s="33">
        <f t="shared" si="107"/>
        <v>4.6509312003146315E-4</v>
      </c>
      <c r="CJ118" s="40">
        <f t="shared" si="108"/>
        <v>3928411.3166590966</v>
      </c>
      <c r="CK118" s="41">
        <f t="shared" si="109"/>
        <v>1.5969151693736164E-3</v>
      </c>
      <c r="CL118" s="40">
        <f t="shared" si="110"/>
        <v>1354889.6944074468</v>
      </c>
      <c r="CM118" s="41">
        <f t="shared" si="111"/>
        <v>5.5076816845831174E-4</v>
      </c>
      <c r="CO118" s="70">
        <f t="shared" si="112"/>
        <v>0</v>
      </c>
      <c r="CP118" s="70">
        <f t="shared" si="113"/>
        <v>0</v>
      </c>
      <c r="CQ118" s="70">
        <f t="shared" si="114"/>
        <v>0</v>
      </c>
      <c r="CR118" s="70">
        <f t="shared" si="115"/>
        <v>0</v>
      </c>
      <c r="CS118" s="70">
        <f t="shared" si="116"/>
        <v>0</v>
      </c>
      <c r="CT118" s="70">
        <f t="shared" si="117"/>
        <v>0</v>
      </c>
      <c r="CU118" s="69">
        <f t="shared" si="118"/>
        <v>0</v>
      </c>
      <c r="CV118" s="69">
        <f t="shared" si="119"/>
        <v>0</v>
      </c>
      <c r="CW118" s="70">
        <f t="shared" si="120"/>
        <v>0</v>
      </c>
      <c r="CX118" s="69">
        <f t="shared" si="121"/>
        <v>0</v>
      </c>
      <c r="CY118" s="69">
        <f t="shared" si="122"/>
        <v>0</v>
      </c>
      <c r="CZ118" s="70">
        <f t="shared" si="123"/>
        <v>0</v>
      </c>
      <c r="DB118" s="70">
        <f t="shared" si="124"/>
        <v>4.7581461660489373</v>
      </c>
      <c r="DC118" s="70">
        <f t="shared" si="125"/>
        <v>19.13707704270216</v>
      </c>
      <c r="DD118" s="70">
        <f t="shared" si="126"/>
        <v>23.895223208751098</v>
      </c>
      <c r="DE118" s="70">
        <f t="shared" si="127"/>
        <v>9.0180031370887619</v>
      </c>
      <c r="DF118" s="70">
        <f t="shared" si="128"/>
        <v>15.2921129568361</v>
      </c>
      <c r="DG118" s="70">
        <f t="shared" si="129"/>
        <v>24.310116093924862</v>
      </c>
      <c r="DH118" s="69">
        <f t="shared" si="130"/>
        <v>16.84819391146512</v>
      </c>
      <c r="DI118" s="69">
        <f t="shared" si="131"/>
        <v>67.762774337348361</v>
      </c>
      <c r="DJ118" s="70">
        <f t="shared" si="132"/>
        <v>84.610968248813478</v>
      </c>
      <c r="DK118" s="69">
        <f t="shared" si="133"/>
        <v>13.782279380579876</v>
      </c>
      <c r="DL118" s="69">
        <f t="shared" si="134"/>
        <v>23.37104677017658</v>
      </c>
      <c r="DM118" s="70">
        <f t="shared" si="135"/>
        <v>37.153326150756456</v>
      </c>
    </row>
    <row r="119" spans="1:117">
      <c r="A119" t="s">
        <v>402</v>
      </c>
      <c r="B119">
        <v>533802</v>
      </c>
      <c r="C119">
        <v>402933</v>
      </c>
      <c r="D119" s="51">
        <v>39059.410000000003</v>
      </c>
      <c r="E119" s="32">
        <f t="shared" si="68"/>
        <v>15738325249.530001</v>
      </c>
      <c r="F119">
        <v>23255</v>
      </c>
      <c r="G119" s="37">
        <f t="shared" si="69"/>
        <v>4.3564842394745618E-2</v>
      </c>
      <c r="H119">
        <v>0</v>
      </c>
      <c r="I119" s="3">
        <f t="shared" si="70"/>
        <v>0</v>
      </c>
      <c r="J119" s="11">
        <f>+'Seat capacity elasticities'!K149</f>
        <v>0</v>
      </c>
      <c r="K119" s="11">
        <f>+'Seat capacity elasticities'!L149</f>
        <v>0</v>
      </c>
      <c r="L119" s="11">
        <f>+'Seat capacity elasticities'!M149</f>
        <v>0</v>
      </c>
      <c r="M119" s="11">
        <f>+'Seat capacity elasticities'!N149</f>
        <v>0</v>
      </c>
      <c r="N119" s="32">
        <f t="shared" si="80"/>
        <v>0</v>
      </c>
      <c r="O119" s="33">
        <f t="shared" si="81"/>
        <v>0</v>
      </c>
      <c r="P119" s="40">
        <f t="shared" si="82"/>
        <v>0</v>
      </c>
      <c r="Q119" s="33">
        <f t="shared" si="83"/>
        <v>0</v>
      </c>
      <c r="R119" s="40">
        <f t="shared" si="84"/>
        <v>0</v>
      </c>
      <c r="S119" s="41">
        <f t="shared" si="85"/>
        <v>0</v>
      </c>
      <c r="T119" s="40">
        <f t="shared" si="86"/>
        <v>0</v>
      </c>
      <c r="U119" s="41">
        <f t="shared" si="87"/>
        <v>0</v>
      </c>
      <c r="V119" s="53"/>
      <c r="W119" s="53"/>
      <c r="X119" t="s">
        <v>402</v>
      </c>
      <c r="Y119">
        <v>533802</v>
      </c>
      <c r="Z119">
        <v>402933</v>
      </c>
      <c r="AA119" s="51">
        <v>39059.410000000003</v>
      </c>
      <c r="AB119" s="32">
        <f t="shared" si="71"/>
        <v>15738325249.530001</v>
      </c>
      <c r="AC119">
        <v>23255</v>
      </c>
      <c r="AD119" s="37">
        <f t="shared" si="72"/>
        <v>4.3564842394745618E-2</v>
      </c>
      <c r="AE119">
        <v>5.0039000000000004E-3</v>
      </c>
      <c r="AF119" s="3">
        <f t="shared" si="73"/>
        <v>5.0039000000000007E-5</v>
      </c>
      <c r="AG119" s="11">
        <f>+'Seat capacity elasticities'!R149</f>
        <v>2.9932997383593542E-3</v>
      </c>
      <c r="AH119" s="11">
        <f>+'Seat capacity elasticities'!S149</f>
        <v>5.6731309818476051E-3</v>
      </c>
      <c r="AI119" s="11">
        <f>+'Seat capacity elasticities'!T149</f>
        <v>8.2126635420689854E-3</v>
      </c>
      <c r="AJ119" s="11">
        <f>+'Seat capacity elasticities'!U149</f>
        <v>6.7181814258721641E-3</v>
      </c>
      <c r="AK119" s="32">
        <f t="shared" si="88"/>
        <v>471095.24851632572</v>
      </c>
      <c r="AL119" s="33">
        <f t="shared" si="89"/>
        <v>2.9932997383593546E-5</v>
      </c>
      <c r="AM119" s="40">
        <f t="shared" si="90"/>
        <v>892855.80575503095</v>
      </c>
      <c r="AN119" s="33">
        <f t="shared" si="91"/>
        <v>5.6731309818476053E-5</v>
      </c>
      <c r="AO119" s="40">
        <f t="shared" si="92"/>
        <v>1909854.9067081425</v>
      </c>
      <c r="AP119" s="41">
        <f t="shared" si="93"/>
        <v>8.2126635420689853E-5</v>
      </c>
      <c r="AQ119" s="40">
        <f t="shared" si="94"/>
        <v>1562313.090586572</v>
      </c>
      <c r="AR119" s="41">
        <f t="shared" si="95"/>
        <v>6.7181814258721639E-5</v>
      </c>
      <c r="AV119" t="s">
        <v>402</v>
      </c>
      <c r="AW119">
        <v>533802</v>
      </c>
      <c r="AX119">
        <v>402933</v>
      </c>
      <c r="AY119" s="51">
        <v>39059.410000000003</v>
      </c>
      <c r="AZ119" s="32">
        <f t="shared" si="74"/>
        <v>15738325249.530001</v>
      </c>
      <c r="BA119">
        <v>23255</v>
      </c>
      <c r="BB119" s="37">
        <f t="shared" si="75"/>
        <v>4.3564842394745618E-2</v>
      </c>
      <c r="BC119">
        <v>0</v>
      </c>
      <c r="BD119" s="3">
        <f t="shared" si="76"/>
        <v>0</v>
      </c>
      <c r="BE119" s="11">
        <f>+'Seat capacity elasticities'!Y149</f>
        <v>0</v>
      </c>
      <c r="BF119" s="11">
        <f>+'Seat capacity elasticities'!Z149</f>
        <v>0</v>
      </c>
      <c r="BG119" s="11">
        <f>+'Seat capacity elasticities'!AA149</f>
        <v>0</v>
      </c>
      <c r="BH119" s="11">
        <f>+'Seat capacity elasticities'!AB149</f>
        <v>0</v>
      </c>
      <c r="BI119" s="32">
        <f t="shared" si="96"/>
        <v>0</v>
      </c>
      <c r="BJ119" s="33">
        <f t="shared" si="97"/>
        <v>0</v>
      </c>
      <c r="BK119" s="40">
        <f t="shared" si="98"/>
        <v>0</v>
      </c>
      <c r="BL119" s="33">
        <f t="shared" si="99"/>
        <v>0</v>
      </c>
      <c r="BM119" s="40">
        <f t="shared" si="100"/>
        <v>0</v>
      </c>
      <c r="BN119" s="41">
        <f t="shared" si="101"/>
        <v>0</v>
      </c>
      <c r="BO119" s="40">
        <f t="shared" si="102"/>
        <v>0</v>
      </c>
      <c r="BP119" s="41">
        <f t="shared" si="103"/>
        <v>0</v>
      </c>
      <c r="BQ119" s="53"/>
      <c r="BR119" s="53"/>
      <c r="BS119" t="s">
        <v>402</v>
      </c>
      <c r="BT119">
        <v>533802</v>
      </c>
      <c r="BU119">
        <v>402933</v>
      </c>
      <c r="BV119" s="51">
        <v>39059.410000000003</v>
      </c>
      <c r="BW119" s="32">
        <f t="shared" si="77"/>
        <v>15738325249.530001</v>
      </c>
      <c r="BX119">
        <v>23255</v>
      </c>
      <c r="BY119" s="37">
        <f t="shared" si="78"/>
        <v>4.3564842394745618E-2</v>
      </c>
      <c r="BZ119">
        <v>5.0039000000000004E-3</v>
      </c>
      <c r="CA119" s="3">
        <f t="shared" si="79"/>
        <v>5.0039000000000007E-5</v>
      </c>
      <c r="CB119" s="11">
        <f>+'Seat capacity elasticities'!AF149</f>
        <v>1.9900982728259065E-2</v>
      </c>
      <c r="CC119" s="11">
        <f>+'Seat capacity elasticities'!AG149</f>
        <v>1.5902537004659031E-2</v>
      </c>
      <c r="CD119" s="11">
        <f>+'Seat capacity elasticities'!AH149</f>
        <v>5.4601974272479752E-2</v>
      </c>
      <c r="CE119" s="11">
        <f>+'Seat capacity elasticities'!AI149</f>
        <v>1.8831951716043592E-2</v>
      </c>
      <c r="CF119" s="32">
        <f t="shared" si="104"/>
        <v>3132081.3896262012</v>
      </c>
      <c r="CG119" s="33">
        <f t="shared" si="105"/>
        <v>1.9900982728259068E-4</v>
      </c>
      <c r="CH119" s="40">
        <f t="shared" si="106"/>
        <v>2502792.9967201045</v>
      </c>
      <c r="CI119" s="33">
        <f t="shared" si="107"/>
        <v>1.5902537004659032E-4</v>
      </c>
      <c r="CJ119" s="40">
        <f t="shared" si="108"/>
        <v>12697689.117065165</v>
      </c>
      <c r="CK119" s="41">
        <f t="shared" si="109"/>
        <v>5.4601974272479737E-4</v>
      </c>
      <c r="CL119" s="40">
        <f t="shared" si="110"/>
        <v>4379370.3715659371</v>
      </c>
      <c r="CM119" s="41">
        <f t="shared" si="111"/>
        <v>1.8831951716043592E-4</v>
      </c>
      <c r="CO119" s="70">
        <f t="shared" si="112"/>
        <v>0</v>
      </c>
      <c r="CP119" s="70">
        <f t="shared" si="113"/>
        <v>0</v>
      </c>
      <c r="CQ119" s="70">
        <f t="shared" si="114"/>
        <v>0</v>
      </c>
      <c r="CR119" s="70">
        <f t="shared" si="115"/>
        <v>0</v>
      </c>
      <c r="CS119" s="70">
        <f t="shared" si="116"/>
        <v>0</v>
      </c>
      <c r="CT119" s="70">
        <f t="shared" si="117"/>
        <v>0</v>
      </c>
      <c r="CU119" s="69">
        <f t="shared" si="118"/>
        <v>0</v>
      </c>
      <c r="CV119" s="69">
        <f t="shared" si="119"/>
        <v>0</v>
      </c>
      <c r="CW119" s="70">
        <f t="shared" si="120"/>
        <v>0</v>
      </c>
      <c r="CX119" s="69">
        <f t="shared" si="121"/>
        <v>0</v>
      </c>
      <c r="CY119" s="69">
        <f t="shared" si="122"/>
        <v>0</v>
      </c>
      <c r="CZ119" s="70">
        <f t="shared" si="123"/>
        <v>0</v>
      </c>
      <c r="DB119" s="70">
        <f t="shared" si="124"/>
        <v>1.1691652173347076</v>
      </c>
      <c r="DC119" s="70">
        <f t="shared" si="125"/>
        <v>7.7732064378598951</v>
      </c>
      <c r="DD119" s="70">
        <f t="shared" si="126"/>
        <v>8.9423716551946022</v>
      </c>
      <c r="DE119" s="70">
        <f t="shared" si="127"/>
        <v>2.2158914900368818</v>
      </c>
      <c r="DF119" s="70">
        <f t="shared" si="128"/>
        <v>6.2114371290514914</v>
      </c>
      <c r="DG119" s="70">
        <f t="shared" si="129"/>
        <v>8.4273286190883727</v>
      </c>
      <c r="DH119" s="69">
        <f t="shared" si="130"/>
        <v>4.739882081408429</v>
      </c>
      <c r="DI119" s="69">
        <f t="shared" si="131"/>
        <v>31.513152601214507</v>
      </c>
      <c r="DJ119" s="70">
        <f t="shared" si="132"/>
        <v>36.253034682622939</v>
      </c>
      <c r="DK119" s="69">
        <f t="shared" si="133"/>
        <v>3.8773520426139632</v>
      </c>
      <c r="DL119" s="69">
        <f t="shared" si="134"/>
        <v>10.868730959156824</v>
      </c>
      <c r="DM119" s="70">
        <f t="shared" si="135"/>
        <v>14.746083001770788</v>
      </c>
    </row>
    <row r="120" spans="1:117">
      <c r="A120" t="s">
        <v>983</v>
      </c>
      <c r="B120">
        <v>141000</v>
      </c>
      <c r="C120">
        <v>81755</v>
      </c>
      <c r="D120" s="51">
        <v>28902.27</v>
      </c>
      <c r="E120" s="32">
        <f t="shared" si="68"/>
        <v>2362905083.8499999</v>
      </c>
      <c r="F120">
        <v>3599</v>
      </c>
      <c r="G120" s="37">
        <f t="shared" si="69"/>
        <v>2.5524822695035462E-2</v>
      </c>
      <c r="H120">
        <v>0</v>
      </c>
      <c r="I120" s="3">
        <f t="shared" si="70"/>
        <v>0</v>
      </c>
      <c r="J120" s="11">
        <f>+'Seat capacity elasticities'!K150</f>
        <v>0</v>
      </c>
      <c r="K120" s="11">
        <f>+'Seat capacity elasticities'!L150</f>
        <v>0</v>
      </c>
      <c r="L120" s="11">
        <f>+'Seat capacity elasticities'!M150</f>
        <v>0</v>
      </c>
      <c r="M120" s="11">
        <f>+'Seat capacity elasticities'!N150</f>
        <v>0</v>
      </c>
      <c r="N120" s="32">
        <f t="shared" si="80"/>
        <v>0</v>
      </c>
      <c r="O120" s="33">
        <f t="shared" si="81"/>
        <v>0</v>
      </c>
      <c r="P120" s="40">
        <f t="shared" si="82"/>
        <v>0</v>
      </c>
      <c r="Q120" s="33">
        <f t="shared" si="83"/>
        <v>0</v>
      </c>
      <c r="R120" s="40">
        <f t="shared" si="84"/>
        <v>0</v>
      </c>
      <c r="S120" s="41">
        <f t="shared" si="85"/>
        <v>0</v>
      </c>
      <c r="T120" s="40">
        <f t="shared" si="86"/>
        <v>0</v>
      </c>
      <c r="U120" s="41">
        <f t="shared" si="87"/>
        <v>0</v>
      </c>
      <c r="V120" s="53"/>
      <c r="W120" s="53"/>
      <c r="X120" t="s">
        <v>983</v>
      </c>
      <c r="Y120">
        <v>141000</v>
      </c>
      <c r="Z120">
        <v>81755</v>
      </c>
      <c r="AA120" s="51">
        <v>28902.27</v>
      </c>
      <c r="AB120" s="32">
        <f t="shared" si="71"/>
        <v>2362905083.8499999</v>
      </c>
      <c r="AC120">
        <v>3599</v>
      </c>
      <c r="AD120" s="37">
        <f t="shared" si="72"/>
        <v>2.5524822695035462E-2</v>
      </c>
      <c r="AE120">
        <v>9.7930000000000001E-4</v>
      </c>
      <c r="AF120" s="3">
        <f t="shared" si="73"/>
        <v>9.7930000000000009E-6</v>
      </c>
      <c r="AG120" s="11">
        <f>+'Seat capacity elasticities'!R150</f>
        <v>2.4965829285333919E-3</v>
      </c>
      <c r="AH120" s="11">
        <f>+'Seat capacity elasticities'!S150</f>
        <v>4.7317152302220429E-3</v>
      </c>
      <c r="AI120" s="11">
        <f>+'Seat capacity elasticities'!T150</f>
        <v>6.8498304176367432E-3</v>
      </c>
      <c r="AJ120" s="11">
        <f>+'Seat capacity elasticities'!U150</f>
        <v>5.6033469831576824E-3</v>
      </c>
      <c r="AK120" s="32">
        <f t="shared" si="88"/>
        <v>58991.884940846729</v>
      </c>
      <c r="AL120" s="33">
        <f t="shared" si="89"/>
        <v>2.4965829285333921E-5</v>
      </c>
      <c r="AM120" s="40">
        <f t="shared" si="90"/>
        <v>111805.93972822139</v>
      </c>
      <c r="AN120" s="33">
        <f t="shared" si="91"/>
        <v>4.7317152302220431E-5</v>
      </c>
      <c r="AO120" s="40">
        <f t="shared" si="92"/>
        <v>246525.3967307464</v>
      </c>
      <c r="AP120" s="41">
        <f t="shared" si="93"/>
        <v>6.8498304176367437E-5</v>
      </c>
      <c r="AQ120" s="40">
        <f t="shared" si="94"/>
        <v>201664.45792384501</v>
      </c>
      <c r="AR120" s="41">
        <f t="shared" si="95"/>
        <v>5.6033469831576832E-5</v>
      </c>
      <c r="AV120" t="s">
        <v>983</v>
      </c>
      <c r="AW120">
        <v>141000</v>
      </c>
      <c r="AX120">
        <v>81755</v>
      </c>
      <c r="AY120" s="51">
        <v>28902.27</v>
      </c>
      <c r="AZ120" s="32">
        <f t="shared" si="74"/>
        <v>2362905083.8499999</v>
      </c>
      <c r="BA120">
        <v>3599</v>
      </c>
      <c r="BB120" s="37">
        <f t="shared" si="75"/>
        <v>2.5524822695035462E-2</v>
      </c>
      <c r="BC120">
        <v>0</v>
      </c>
      <c r="BD120" s="3">
        <f t="shared" si="76"/>
        <v>0</v>
      </c>
      <c r="BE120" s="11">
        <f>+'Seat capacity elasticities'!Y150</f>
        <v>0</v>
      </c>
      <c r="BF120" s="11">
        <f>+'Seat capacity elasticities'!Z150</f>
        <v>0</v>
      </c>
      <c r="BG120" s="11">
        <f>+'Seat capacity elasticities'!AA150</f>
        <v>0</v>
      </c>
      <c r="BH120" s="11">
        <f>+'Seat capacity elasticities'!AB150</f>
        <v>0</v>
      </c>
      <c r="BI120" s="32">
        <f t="shared" si="96"/>
        <v>0</v>
      </c>
      <c r="BJ120" s="33">
        <f t="shared" si="97"/>
        <v>0</v>
      </c>
      <c r="BK120" s="40">
        <f t="shared" si="98"/>
        <v>0</v>
      </c>
      <c r="BL120" s="33">
        <f t="shared" si="99"/>
        <v>0</v>
      </c>
      <c r="BM120" s="40">
        <f t="shared" si="100"/>
        <v>0</v>
      </c>
      <c r="BN120" s="41">
        <f t="shared" si="101"/>
        <v>0</v>
      </c>
      <c r="BO120" s="40">
        <f t="shared" si="102"/>
        <v>0</v>
      </c>
      <c r="BP120" s="41">
        <f t="shared" si="103"/>
        <v>0</v>
      </c>
      <c r="BQ120" s="53"/>
      <c r="BR120" s="53"/>
      <c r="BS120" t="s">
        <v>983</v>
      </c>
      <c r="BT120">
        <v>141000</v>
      </c>
      <c r="BU120">
        <v>81755</v>
      </c>
      <c r="BV120" s="51">
        <v>28902.27</v>
      </c>
      <c r="BW120" s="32">
        <f t="shared" si="77"/>
        <v>2362905083.8499999</v>
      </c>
      <c r="BX120">
        <v>3599</v>
      </c>
      <c r="BY120" s="37">
        <f t="shared" si="78"/>
        <v>2.5524822695035462E-2</v>
      </c>
      <c r="BZ120">
        <v>9.7930000000000001E-4</v>
      </c>
      <c r="CA120" s="3">
        <f t="shared" si="79"/>
        <v>9.7930000000000009E-6</v>
      </c>
      <c r="CB120" s="11">
        <f>+'Seat capacity elasticities'!AF150</f>
        <v>1.4744930820054441E-2</v>
      </c>
      <c r="CC120" s="11">
        <f>+'Seat capacity elasticities'!AG150</f>
        <v>1.1782423571680852E-2</v>
      </c>
      <c r="CD120" s="11">
        <f>+'Seat capacity elasticities'!AH150</f>
        <v>4.0455405860077169E-2</v>
      </c>
      <c r="CE120" s="11">
        <f>+'Seat capacity elasticities'!AI150</f>
        <v>1.3952870019095747E-2</v>
      </c>
      <c r="CF120" s="32">
        <f t="shared" si="104"/>
        <v>348408.71995723189</v>
      </c>
      <c r="CG120" s="33">
        <f t="shared" si="105"/>
        <v>1.4744930820054442E-4</v>
      </c>
      <c r="CH120" s="40">
        <f t="shared" si="106"/>
        <v>278407.48557598761</v>
      </c>
      <c r="CI120" s="33">
        <f t="shared" si="107"/>
        <v>1.1782423571680853E-4</v>
      </c>
      <c r="CJ120" s="40">
        <f t="shared" si="108"/>
        <v>1455990.0569041772</v>
      </c>
      <c r="CK120" s="41">
        <f t="shared" si="109"/>
        <v>4.0455405860077164E-4</v>
      </c>
      <c r="CL120" s="40">
        <f t="shared" si="110"/>
        <v>502163.79198725603</v>
      </c>
      <c r="CM120" s="41">
        <f t="shared" si="111"/>
        <v>1.395287001909575E-4</v>
      </c>
      <c r="CO120" s="70">
        <f t="shared" si="112"/>
        <v>0</v>
      </c>
      <c r="CP120" s="70">
        <f t="shared" si="113"/>
        <v>0</v>
      </c>
      <c r="CQ120" s="70">
        <f t="shared" si="114"/>
        <v>0</v>
      </c>
      <c r="CR120" s="70">
        <f t="shared" si="115"/>
        <v>0</v>
      </c>
      <c r="CS120" s="70">
        <f t="shared" si="116"/>
        <v>0</v>
      </c>
      <c r="CT120" s="70">
        <f t="shared" si="117"/>
        <v>0</v>
      </c>
      <c r="CU120" s="69">
        <f t="shared" si="118"/>
        <v>0</v>
      </c>
      <c r="CV120" s="69">
        <f t="shared" si="119"/>
        <v>0</v>
      </c>
      <c r="CW120" s="70">
        <f t="shared" si="120"/>
        <v>0</v>
      </c>
      <c r="CX120" s="69">
        <f t="shared" si="121"/>
        <v>0</v>
      </c>
      <c r="CY120" s="69">
        <f t="shared" si="122"/>
        <v>0</v>
      </c>
      <c r="CZ120" s="70">
        <f t="shared" si="123"/>
        <v>0</v>
      </c>
      <c r="DB120" s="70">
        <f t="shared" si="124"/>
        <v>0.72156913877862794</v>
      </c>
      <c r="DC120" s="70">
        <f t="shared" si="125"/>
        <v>4.2616197169253489</v>
      </c>
      <c r="DD120" s="70">
        <f t="shared" si="126"/>
        <v>4.9831888557039772</v>
      </c>
      <c r="DE120" s="70">
        <f t="shared" si="127"/>
        <v>1.3675731114698966</v>
      </c>
      <c r="DF120" s="70">
        <f t="shared" si="128"/>
        <v>3.4053878732308434</v>
      </c>
      <c r="DG120" s="70">
        <f t="shared" si="129"/>
        <v>4.7729609847007399</v>
      </c>
      <c r="DH120" s="69">
        <f t="shared" si="130"/>
        <v>3.0154167540914489</v>
      </c>
      <c r="DI120" s="69">
        <f t="shared" si="131"/>
        <v>17.809186678541707</v>
      </c>
      <c r="DJ120" s="70">
        <f t="shared" si="132"/>
        <v>20.824603432633154</v>
      </c>
      <c r="DK120" s="69">
        <f t="shared" si="133"/>
        <v>2.4666926539519909</v>
      </c>
      <c r="DL120" s="69">
        <f t="shared" si="134"/>
        <v>6.1423006787016821</v>
      </c>
      <c r="DM120" s="70">
        <f t="shared" si="135"/>
        <v>8.6089933326536734</v>
      </c>
    </row>
    <row r="121" spans="1:117">
      <c r="A121" t="s">
        <v>403</v>
      </c>
      <c r="B121">
        <v>260891</v>
      </c>
      <c r="C121">
        <v>139364</v>
      </c>
      <c r="D121" s="51">
        <v>34475</v>
      </c>
      <c r="E121" s="32">
        <f t="shared" si="68"/>
        <v>4804573900</v>
      </c>
      <c r="F121">
        <v>8380</v>
      </c>
      <c r="G121" s="37">
        <f t="shared" si="69"/>
        <v>3.2120694082969518E-2</v>
      </c>
      <c r="H121">
        <v>0</v>
      </c>
      <c r="I121" s="3">
        <f t="shared" si="70"/>
        <v>0</v>
      </c>
      <c r="J121" s="11">
        <f>+'Seat capacity elasticities'!K151</f>
        <v>0</v>
      </c>
      <c r="K121" s="11">
        <f>+'Seat capacity elasticities'!L151</f>
        <v>0</v>
      </c>
      <c r="L121" s="11">
        <f>+'Seat capacity elasticities'!M151</f>
        <v>0</v>
      </c>
      <c r="M121" s="11">
        <f>+'Seat capacity elasticities'!N151</f>
        <v>0</v>
      </c>
      <c r="N121" s="32">
        <f t="shared" si="80"/>
        <v>0</v>
      </c>
      <c r="O121" s="33">
        <f t="shared" si="81"/>
        <v>0</v>
      </c>
      <c r="P121" s="40">
        <f t="shared" si="82"/>
        <v>0</v>
      </c>
      <c r="Q121" s="33">
        <f t="shared" si="83"/>
        <v>0</v>
      </c>
      <c r="R121" s="40">
        <f t="shared" si="84"/>
        <v>0</v>
      </c>
      <c r="S121" s="41">
        <f t="shared" si="85"/>
        <v>0</v>
      </c>
      <c r="T121" s="40">
        <f t="shared" si="86"/>
        <v>0</v>
      </c>
      <c r="U121" s="41">
        <f t="shared" si="87"/>
        <v>0</v>
      </c>
      <c r="V121" s="53"/>
      <c r="W121" s="53"/>
      <c r="X121" t="s">
        <v>403</v>
      </c>
      <c r="Y121">
        <v>260891</v>
      </c>
      <c r="Z121">
        <v>139364</v>
      </c>
      <c r="AA121" s="51">
        <v>34475</v>
      </c>
      <c r="AB121" s="32">
        <f t="shared" si="71"/>
        <v>4804573900</v>
      </c>
      <c r="AC121">
        <v>8380</v>
      </c>
      <c r="AD121" s="37">
        <f t="shared" si="72"/>
        <v>3.2120694082969518E-2</v>
      </c>
      <c r="AE121">
        <v>1.9009999999999999E-3</v>
      </c>
      <c r="AF121" s="3">
        <f t="shared" si="73"/>
        <v>1.9009999999999999E-5</v>
      </c>
      <c r="AG121" s="11">
        <f>+'Seat capacity elasticities'!R151</f>
        <v>3.8344418754651072E-3</v>
      </c>
      <c r="AH121" s="11">
        <f>+'Seat capacity elasticities'!S151</f>
        <v>7.2673280002750577E-3</v>
      </c>
      <c r="AI121" s="11">
        <f>+'Seat capacity elasticities'!T151</f>
        <v>1.0520490344236395E-2</v>
      </c>
      <c r="AJ121" s="11">
        <f>+'Seat capacity elasticities'!U151</f>
        <v>8.6060463161151991E-3</v>
      </c>
      <c r="AK121" s="32">
        <f t="shared" si="88"/>
        <v>184228.59355926703</v>
      </c>
      <c r="AL121" s="33">
        <f t="shared" si="89"/>
        <v>3.8344418754651069E-5</v>
      </c>
      <c r="AM121" s="40">
        <f t="shared" si="90"/>
        <v>349164.14432860736</v>
      </c>
      <c r="AN121" s="33">
        <f t="shared" si="91"/>
        <v>7.2673280002750573E-5</v>
      </c>
      <c r="AO121" s="40">
        <f t="shared" si="92"/>
        <v>881617.09084701003</v>
      </c>
      <c r="AP121" s="41">
        <f t="shared" si="93"/>
        <v>1.0520490344236397E-4</v>
      </c>
      <c r="AQ121" s="40">
        <f t="shared" si="94"/>
        <v>721186.68129045377</v>
      </c>
      <c r="AR121" s="41">
        <f t="shared" si="95"/>
        <v>8.6060463161151995E-5</v>
      </c>
      <c r="AV121" t="s">
        <v>403</v>
      </c>
      <c r="AW121">
        <v>260891</v>
      </c>
      <c r="AX121">
        <v>139364</v>
      </c>
      <c r="AY121" s="51">
        <v>34475</v>
      </c>
      <c r="AZ121" s="32">
        <f t="shared" si="74"/>
        <v>4804573900</v>
      </c>
      <c r="BA121">
        <v>8380</v>
      </c>
      <c r="BB121" s="37">
        <f t="shared" si="75"/>
        <v>3.2120694082969518E-2</v>
      </c>
      <c r="BC121">
        <v>0</v>
      </c>
      <c r="BD121" s="3">
        <f t="shared" si="76"/>
        <v>0</v>
      </c>
      <c r="BE121" s="11">
        <f>+'Seat capacity elasticities'!Y151</f>
        <v>0</v>
      </c>
      <c r="BF121" s="11">
        <f>+'Seat capacity elasticities'!Z151</f>
        <v>0</v>
      </c>
      <c r="BG121" s="11">
        <f>+'Seat capacity elasticities'!AA151</f>
        <v>0</v>
      </c>
      <c r="BH121" s="11">
        <f>+'Seat capacity elasticities'!AB151</f>
        <v>0</v>
      </c>
      <c r="BI121" s="32">
        <f t="shared" si="96"/>
        <v>0</v>
      </c>
      <c r="BJ121" s="33">
        <f t="shared" si="97"/>
        <v>0</v>
      </c>
      <c r="BK121" s="40">
        <f t="shared" si="98"/>
        <v>0</v>
      </c>
      <c r="BL121" s="33">
        <f t="shared" si="99"/>
        <v>0</v>
      </c>
      <c r="BM121" s="40">
        <f t="shared" si="100"/>
        <v>0</v>
      </c>
      <c r="BN121" s="41">
        <f t="shared" si="101"/>
        <v>0</v>
      </c>
      <c r="BO121" s="40">
        <f t="shared" si="102"/>
        <v>0</v>
      </c>
      <c r="BP121" s="41">
        <f t="shared" si="103"/>
        <v>0</v>
      </c>
      <c r="BQ121" s="53"/>
      <c r="BR121" s="53"/>
      <c r="BS121" t="s">
        <v>403</v>
      </c>
      <c r="BT121">
        <v>260891</v>
      </c>
      <c r="BU121">
        <v>139364</v>
      </c>
      <c r="BV121" s="51">
        <v>34475</v>
      </c>
      <c r="BW121" s="32">
        <f t="shared" si="77"/>
        <v>4804573900</v>
      </c>
      <c r="BX121">
        <v>8380</v>
      </c>
      <c r="BY121" s="37">
        <f t="shared" si="78"/>
        <v>3.2120694082969518E-2</v>
      </c>
      <c r="BZ121">
        <v>1.9009999999999999E-3</v>
      </c>
      <c r="CA121" s="3">
        <f t="shared" si="79"/>
        <v>1.9009999999999999E-5</v>
      </c>
      <c r="CB121" s="11">
        <f>+'Seat capacity elasticities'!AF151</f>
        <v>1.5469244966132674E-2</v>
      </c>
      <c r="CC121" s="11">
        <f>+'Seat capacity elasticities'!AG151</f>
        <v>1.2361210693316367E-2</v>
      </c>
      <c r="CD121" s="11">
        <f>+'Seat capacity elasticities'!AH151</f>
        <v>4.24426937698947E-2</v>
      </c>
      <c r="CE121" s="11">
        <f>+'Seat capacity elasticities'!AI151</f>
        <v>1.463827582103254E-2</v>
      </c>
      <c r="CF121" s="32">
        <f t="shared" si="104"/>
        <v>743231.30616987427</v>
      </c>
      <c r="CG121" s="33">
        <f t="shared" si="105"/>
        <v>1.5469244966132673E-4</v>
      </c>
      <c r="CH121" s="40">
        <f t="shared" si="106"/>
        <v>593903.50269508723</v>
      </c>
      <c r="CI121" s="33">
        <f t="shared" si="107"/>
        <v>1.2361210693316368E-4</v>
      </c>
      <c r="CJ121" s="40">
        <f t="shared" si="108"/>
        <v>3556697.7379171764</v>
      </c>
      <c r="CK121" s="41">
        <f t="shared" si="109"/>
        <v>4.2442693769894707E-4</v>
      </c>
      <c r="CL121" s="40">
        <f t="shared" si="110"/>
        <v>1226687.5138025268</v>
      </c>
      <c r="CM121" s="41">
        <f t="shared" si="111"/>
        <v>1.4638275821032538E-4</v>
      </c>
      <c r="CO121" s="70">
        <f t="shared" si="112"/>
        <v>0</v>
      </c>
      <c r="CP121" s="70">
        <f t="shared" si="113"/>
        <v>0</v>
      </c>
      <c r="CQ121" s="70">
        <f t="shared" si="114"/>
        <v>0</v>
      </c>
      <c r="CR121" s="70">
        <f t="shared" si="115"/>
        <v>0</v>
      </c>
      <c r="CS121" s="70">
        <f t="shared" si="116"/>
        <v>0</v>
      </c>
      <c r="CT121" s="70">
        <f t="shared" si="117"/>
        <v>0</v>
      </c>
      <c r="CU121" s="69">
        <f t="shared" si="118"/>
        <v>0</v>
      </c>
      <c r="CV121" s="69">
        <f t="shared" si="119"/>
        <v>0</v>
      </c>
      <c r="CW121" s="70">
        <f t="shared" si="120"/>
        <v>0</v>
      </c>
      <c r="CX121" s="69">
        <f t="shared" si="121"/>
        <v>0</v>
      </c>
      <c r="CY121" s="69">
        <f t="shared" si="122"/>
        <v>0</v>
      </c>
      <c r="CZ121" s="70">
        <f t="shared" si="123"/>
        <v>0</v>
      </c>
      <c r="DB121" s="70">
        <f t="shared" si="124"/>
        <v>1.3219238365665955</v>
      </c>
      <c r="DC121" s="70">
        <f t="shared" si="125"/>
        <v>5.3330222020742388</v>
      </c>
      <c r="DD121" s="70">
        <f t="shared" si="126"/>
        <v>6.6549460386408343</v>
      </c>
      <c r="DE121" s="70">
        <f t="shared" si="127"/>
        <v>2.505411328094826</v>
      </c>
      <c r="DF121" s="70">
        <f t="shared" si="128"/>
        <v>4.2615273865208172</v>
      </c>
      <c r="DG121" s="70">
        <f t="shared" si="129"/>
        <v>6.7669387146156428</v>
      </c>
      <c r="DH121" s="69">
        <f t="shared" si="130"/>
        <v>6.3260030628211732</v>
      </c>
      <c r="DI121" s="69">
        <f t="shared" si="131"/>
        <v>25.520921743902129</v>
      </c>
      <c r="DJ121" s="70">
        <f t="shared" si="132"/>
        <v>31.846924806723301</v>
      </c>
      <c r="DK121" s="69">
        <f t="shared" si="133"/>
        <v>5.17484200575797</v>
      </c>
      <c r="DL121" s="69">
        <f t="shared" si="134"/>
        <v>8.8020400806702366</v>
      </c>
      <c r="DM121" s="70">
        <f t="shared" si="135"/>
        <v>13.976882086428207</v>
      </c>
    </row>
    <row r="122" spans="1:117">
      <c r="A122" t="s">
        <v>404</v>
      </c>
      <c r="B122">
        <v>902745</v>
      </c>
      <c r="C122">
        <v>626137</v>
      </c>
      <c r="D122" s="51">
        <v>37387.129999999997</v>
      </c>
      <c r="E122" s="32">
        <f t="shared" si="68"/>
        <v>23409465416.809998</v>
      </c>
      <c r="F122">
        <v>35107</v>
      </c>
      <c r="G122" s="37">
        <f t="shared" si="69"/>
        <v>3.8889165822020615E-2</v>
      </c>
      <c r="H122">
        <v>0</v>
      </c>
      <c r="I122" s="3">
        <f t="shared" si="70"/>
        <v>0</v>
      </c>
      <c r="J122" s="11">
        <f>+'Seat capacity elasticities'!K152</f>
        <v>0</v>
      </c>
      <c r="K122" s="11">
        <f>+'Seat capacity elasticities'!L152</f>
        <v>0</v>
      </c>
      <c r="L122" s="11">
        <f>+'Seat capacity elasticities'!M152</f>
        <v>0</v>
      </c>
      <c r="M122" s="11">
        <f>+'Seat capacity elasticities'!N152</f>
        <v>0</v>
      </c>
      <c r="N122" s="32">
        <f t="shared" si="80"/>
        <v>0</v>
      </c>
      <c r="O122" s="33">
        <f t="shared" si="81"/>
        <v>0</v>
      </c>
      <c r="P122" s="40">
        <f t="shared" si="82"/>
        <v>0</v>
      </c>
      <c r="Q122" s="33">
        <f t="shared" si="83"/>
        <v>0</v>
      </c>
      <c r="R122" s="40">
        <f t="shared" si="84"/>
        <v>0</v>
      </c>
      <c r="S122" s="41">
        <f t="shared" si="85"/>
        <v>0</v>
      </c>
      <c r="T122" s="40">
        <f t="shared" si="86"/>
        <v>0</v>
      </c>
      <c r="U122" s="41">
        <f t="shared" si="87"/>
        <v>0</v>
      </c>
      <c r="V122" s="53"/>
      <c r="W122" s="53"/>
      <c r="X122" t="s">
        <v>404</v>
      </c>
      <c r="Y122">
        <v>902745</v>
      </c>
      <c r="Z122">
        <v>626137</v>
      </c>
      <c r="AA122" s="51">
        <v>37387.129999999997</v>
      </c>
      <c r="AB122" s="32">
        <f t="shared" si="71"/>
        <v>23409465416.809998</v>
      </c>
      <c r="AC122">
        <v>35107</v>
      </c>
      <c r="AD122" s="37">
        <f t="shared" si="72"/>
        <v>3.8889165822020615E-2</v>
      </c>
      <c r="AE122">
        <v>2.58608E-2</v>
      </c>
      <c r="AF122" s="3">
        <f t="shared" si="73"/>
        <v>2.5860800000000001E-4</v>
      </c>
      <c r="AG122" s="11">
        <f>+'Seat capacity elasticities'!R152</f>
        <v>2.662731021385701E-2</v>
      </c>
      <c r="AH122" s="11">
        <f>+'Seat capacity elasticities'!S152</f>
        <v>5.0466118244575281E-2</v>
      </c>
      <c r="AI122" s="11">
        <f>+'Seat capacity elasticities'!T152</f>
        <v>7.3056880009138375E-2</v>
      </c>
      <c r="AJ122" s="11">
        <f>+'Seat capacity elasticities'!U152</f>
        <v>5.9762508447523364E-2</v>
      </c>
      <c r="AK122" s="32">
        <f t="shared" si="88"/>
        <v>6233310.9759395728</v>
      </c>
      <c r="AL122" s="33">
        <f t="shared" si="89"/>
        <v>2.6627310213857009E-4</v>
      </c>
      <c r="AM122" s="40">
        <f t="shared" si="90"/>
        <v>11813848.497670291</v>
      </c>
      <c r="AN122" s="33">
        <f t="shared" si="91"/>
        <v>5.0466118244575284E-4</v>
      </c>
      <c r="AO122" s="40">
        <f t="shared" si="92"/>
        <v>25648078.864808213</v>
      </c>
      <c r="AP122" s="41">
        <f t="shared" si="93"/>
        <v>7.305688000913839E-4</v>
      </c>
      <c r="AQ122" s="40">
        <f t="shared" si="94"/>
        <v>20980823.840672027</v>
      </c>
      <c r="AR122" s="41">
        <f t="shared" si="95"/>
        <v>5.9762508447523362E-4</v>
      </c>
      <c r="AV122" t="s">
        <v>404</v>
      </c>
      <c r="AW122">
        <v>902745</v>
      </c>
      <c r="AX122">
        <v>626137</v>
      </c>
      <c r="AY122" s="51">
        <v>37387.129999999997</v>
      </c>
      <c r="AZ122" s="32">
        <f t="shared" si="74"/>
        <v>23409465416.809998</v>
      </c>
      <c r="BA122">
        <v>35107</v>
      </c>
      <c r="BB122" s="37">
        <f t="shared" si="75"/>
        <v>3.8889165822020615E-2</v>
      </c>
      <c r="BC122">
        <v>0</v>
      </c>
      <c r="BD122" s="3">
        <f t="shared" si="76"/>
        <v>0</v>
      </c>
      <c r="BE122" s="11">
        <f>+'Seat capacity elasticities'!Y152</f>
        <v>0</v>
      </c>
      <c r="BF122" s="11">
        <f>+'Seat capacity elasticities'!Z152</f>
        <v>0</v>
      </c>
      <c r="BG122" s="11">
        <f>+'Seat capacity elasticities'!AA152</f>
        <v>0</v>
      </c>
      <c r="BH122" s="11">
        <f>+'Seat capacity elasticities'!AB152</f>
        <v>0</v>
      </c>
      <c r="BI122" s="32">
        <f t="shared" si="96"/>
        <v>0</v>
      </c>
      <c r="BJ122" s="33">
        <f t="shared" si="97"/>
        <v>0</v>
      </c>
      <c r="BK122" s="40">
        <f t="shared" si="98"/>
        <v>0</v>
      </c>
      <c r="BL122" s="33">
        <f t="shared" si="99"/>
        <v>0</v>
      </c>
      <c r="BM122" s="40">
        <f t="shared" si="100"/>
        <v>0</v>
      </c>
      <c r="BN122" s="41">
        <f t="shared" si="101"/>
        <v>0</v>
      </c>
      <c r="BO122" s="40">
        <f t="shared" si="102"/>
        <v>0</v>
      </c>
      <c r="BP122" s="41">
        <f t="shared" si="103"/>
        <v>0</v>
      </c>
      <c r="BQ122" s="53"/>
      <c r="BR122" s="53"/>
      <c r="BS122" t="s">
        <v>404</v>
      </c>
      <c r="BT122">
        <v>902745</v>
      </c>
      <c r="BU122">
        <v>626137</v>
      </c>
      <c r="BV122" s="51">
        <v>37387.129999999997</v>
      </c>
      <c r="BW122" s="32">
        <f t="shared" si="77"/>
        <v>23409465416.809998</v>
      </c>
      <c r="BX122">
        <v>35107</v>
      </c>
      <c r="BY122" s="37">
        <f t="shared" si="78"/>
        <v>3.8889165822020615E-2</v>
      </c>
      <c r="BZ122">
        <v>2.58608E-2</v>
      </c>
      <c r="CA122" s="3">
        <f t="shared" si="79"/>
        <v>2.5860800000000001E-4</v>
      </c>
      <c r="CB122" s="11">
        <f>+'Seat capacity elasticities'!AF152</f>
        <v>6.0816715446661292E-2</v>
      </c>
      <c r="CC122" s="11">
        <f>+'Seat capacity elasticities'!AG152</f>
        <v>4.8597603500204381E-2</v>
      </c>
      <c r="CD122" s="11">
        <f>+'Seat capacity elasticities'!AH152</f>
        <v>0.16686174635185047</v>
      </c>
      <c r="CE122" s="11">
        <f>+'Seat capacity elasticities'!AI152</f>
        <v>5.7549793618663081E-2</v>
      </c>
      <c r="CF122" s="32">
        <f t="shared" si="104"/>
        <v>14236867.970125919</v>
      </c>
      <c r="CG122" s="33">
        <f t="shared" si="105"/>
        <v>6.0816715446661296E-4</v>
      </c>
      <c r="CH122" s="40">
        <f t="shared" si="106"/>
        <v>11376439.184778789</v>
      </c>
      <c r="CI122" s="33">
        <f t="shared" si="107"/>
        <v>4.859760350020438E-4</v>
      </c>
      <c r="CJ122" s="40">
        <f t="shared" si="108"/>
        <v>58580153.291744143</v>
      </c>
      <c r="CK122" s="41">
        <f t="shared" si="109"/>
        <v>1.6686174635185047E-3</v>
      </c>
      <c r="CL122" s="40">
        <f t="shared" si="110"/>
        <v>20204006.045704044</v>
      </c>
      <c r="CM122" s="41">
        <f t="shared" si="111"/>
        <v>5.7549793618663072E-4</v>
      </c>
      <c r="CO122" s="70">
        <f t="shared" si="112"/>
        <v>0</v>
      </c>
      <c r="CP122" s="70">
        <f t="shared" si="113"/>
        <v>0</v>
      </c>
      <c r="CQ122" s="70">
        <f t="shared" si="114"/>
        <v>0</v>
      </c>
      <c r="CR122" s="70">
        <f t="shared" si="115"/>
        <v>0</v>
      </c>
      <c r="CS122" s="70">
        <f t="shared" si="116"/>
        <v>0</v>
      </c>
      <c r="CT122" s="70">
        <f t="shared" si="117"/>
        <v>0</v>
      </c>
      <c r="CU122" s="69">
        <f t="shared" si="118"/>
        <v>0</v>
      </c>
      <c r="CV122" s="69">
        <f t="shared" si="119"/>
        <v>0</v>
      </c>
      <c r="CW122" s="70">
        <f t="shared" si="120"/>
        <v>0</v>
      </c>
      <c r="CX122" s="69">
        <f t="shared" si="121"/>
        <v>0</v>
      </c>
      <c r="CY122" s="69">
        <f t="shared" si="122"/>
        <v>0</v>
      </c>
      <c r="CZ122" s="70">
        <f t="shared" si="123"/>
        <v>0</v>
      </c>
      <c r="DB122" s="70">
        <f t="shared" si="124"/>
        <v>9.9551870851579967</v>
      </c>
      <c r="DC122" s="70">
        <f t="shared" si="125"/>
        <v>22.737624465773337</v>
      </c>
      <c r="DD122" s="70">
        <f t="shared" si="126"/>
        <v>32.692811550931332</v>
      </c>
      <c r="DE122" s="70">
        <f t="shared" si="127"/>
        <v>18.867833234053077</v>
      </c>
      <c r="DF122" s="70">
        <f t="shared" si="128"/>
        <v>18.169249197505959</v>
      </c>
      <c r="DG122" s="70">
        <f t="shared" si="129"/>
        <v>37.037082431559035</v>
      </c>
      <c r="DH122" s="69">
        <f t="shared" si="130"/>
        <v>40.962407372201632</v>
      </c>
      <c r="DI122" s="69">
        <f t="shared" si="131"/>
        <v>93.558044472286639</v>
      </c>
      <c r="DJ122" s="70">
        <f t="shared" si="132"/>
        <v>134.52045184448826</v>
      </c>
      <c r="DK122" s="69">
        <f t="shared" si="133"/>
        <v>33.508359737041616</v>
      </c>
      <c r="DL122" s="69">
        <f t="shared" si="134"/>
        <v>32.267708258263042</v>
      </c>
      <c r="DM122" s="70">
        <f t="shared" si="135"/>
        <v>65.776067995304658</v>
      </c>
    </row>
    <row r="123" spans="1:117">
      <c r="A123" t="s">
        <v>984</v>
      </c>
      <c r="B123">
        <v>97700</v>
      </c>
      <c r="C123">
        <v>54194</v>
      </c>
      <c r="D123" s="51">
        <v>26672.66</v>
      </c>
      <c r="E123" s="32">
        <f t="shared" si="68"/>
        <v>1445498136.04</v>
      </c>
      <c r="F123">
        <v>2291</v>
      </c>
      <c r="G123" s="37">
        <f t="shared" si="69"/>
        <v>2.3449334698055272E-2</v>
      </c>
      <c r="H123">
        <v>0</v>
      </c>
      <c r="I123" s="3">
        <f t="shared" si="70"/>
        <v>0</v>
      </c>
      <c r="J123" s="11">
        <f>+'Seat capacity elasticities'!K153</f>
        <v>0</v>
      </c>
      <c r="K123" s="11">
        <f>+'Seat capacity elasticities'!L153</f>
        <v>0</v>
      </c>
      <c r="L123" s="11">
        <f>+'Seat capacity elasticities'!M153</f>
        <v>0</v>
      </c>
      <c r="M123" s="11">
        <f>+'Seat capacity elasticities'!N153</f>
        <v>0</v>
      </c>
      <c r="N123" s="32">
        <f t="shared" si="80"/>
        <v>0</v>
      </c>
      <c r="O123" s="33">
        <f t="shared" si="81"/>
        <v>0</v>
      </c>
      <c r="P123" s="40">
        <f t="shared" si="82"/>
        <v>0</v>
      </c>
      <c r="Q123" s="33">
        <f t="shared" si="83"/>
        <v>0</v>
      </c>
      <c r="R123" s="40">
        <f t="shared" si="84"/>
        <v>0</v>
      </c>
      <c r="S123" s="41">
        <f t="shared" si="85"/>
        <v>0</v>
      </c>
      <c r="T123" s="40">
        <f t="shared" si="86"/>
        <v>0</v>
      </c>
      <c r="U123" s="41">
        <f t="shared" si="87"/>
        <v>0</v>
      </c>
      <c r="V123" s="53"/>
      <c r="W123" s="53"/>
      <c r="X123" t="s">
        <v>984</v>
      </c>
      <c r="Y123">
        <v>97700</v>
      </c>
      <c r="Z123">
        <v>54194</v>
      </c>
      <c r="AA123" s="51">
        <v>26672.66</v>
      </c>
      <c r="AB123" s="32">
        <f t="shared" si="71"/>
        <v>1445498136.04</v>
      </c>
      <c r="AC123">
        <v>2291</v>
      </c>
      <c r="AD123" s="37">
        <f t="shared" si="72"/>
        <v>2.3449334698055272E-2</v>
      </c>
      <c r="AE123">
        <v>1.9275E-3</v>
      </c>
      <c r="AF123" s="3">
        <f t="shared" si="73"/>
        <v>1.9275000000000001E-5</v>
      </c>
      <c r="AG123" s="11">
        <f>+'Seat capacity elasticities'!R153</f>
        <v>8.1700880700917786E-3</v>
      </c>
      <c r="AH123" s="11">
        <f>+'Seat capacity elasticities'!S153</f>
        <v>1.5484576823658123E-2</v>
      </c>
      <c r="AI123" s="11">
        <f>+'Seat capacity elasticities'!T153</f>
        <v>2.2416126112887191E-2</v>
      </c>
      <c r="AJ123" s="11">
        <f>+'Seat capacity elasticities'!U153</f>
        <v>1.8336998870121461E-2</v>
      </c>
      <c r="AK123" s="32">
        <f t="shared" si="88"/>
        <v>118098.47076600307</v>
      </c>
      <c r="AL123" s="33">
        <f t="shared" si="89"/>
        <v>8.1700880700917786E-5</v>
      </c>
      <c r="AM123" s="40">
        <f t="shared" si="90"/>
        <v>223829.26935966001</v>
      </c>
      <c r="AN123" s="33">
        <f t="shared" si="91"/>
        <v>1.5484576823658123E-4</v>
      </c>
      <c r="AO123" s="40">
        <f t="shared" si="92"/>
        <v>513553.44924624555</v>
      </c>
      <c r="AP123" s="41">
        <f t="shared" si="93"/>
        <v>2.241612611288719E-4</v>
      </c>
      <c r="AQ123" s="40">
        <f t="shared" si="94"/>
        <v>420100.64411448274</v>
      </c>
      <c r="AR123" s="41">
        <f t="shared" si="95"/>
        <v>1.8336998870121466E-4</v>
      </c>
      <c r="AV123" t="s">
        <v>984</v>
      </c>
      <c r="AW123">
        <v>97700</v>
      </c>
      <c r="AX123">
        <v>54194</v>
      </c>
      <c r="AY123" s="51">
        <v>26672.66</v>
      </c>
      <c r="AZ123" s="32">
        <f t="shared" si="74"/>
        <v>1445498136.04</v>
      </c>
      <c r="BA123">
        <v>2291</v>
      </c>
      <c r="BB123" s="37">
        <f t="shared" si="75"/>
        <v>2.3449334698055272E-2</v>
      </c>
      <c r="BC123">
        <v>0</v>
      </c>
      <c r="BD123" s="3">
        <f t="shared" si="76"/>
        <v>0</v>
      </c>
      <c r="BE123" s="11">
        <f>+'Seat capacity elasticities'!Y153</f>
        <v>0</v>
      </c>
      <c r="BF123" s="11">
        <f>+'Seat capacity elasticities'!Z153</f>
        <v>0</v>
      </c>
      <c r="BG123" s="11">
        <f>+'Seat capacity elasticities'!AA153</f>
        <v>0</v>
      </c>
      <c r="BH123" s="11">
        <f>+'Seat capacity elasticities'!AB153</f>
        <v>0</v>
      </c>
      <c r="BI123" s="32">
        <f t="shared" si="96"/>
        <v>0</v>
      </c>
      <c r="BJ123" s="33">
        <f t="shared" si="97"/>
        <v>0</v>
      </c>
      <c r="BK123" s="40">
        <f t="shared" si="98"/>
        <v>0</v>
      </c>
      <c r="BL123" s="33">
        <f t="shared" si="99"/>
        <v>0</v>
      </c>
      <c r="BM123" s="40">
        <f t="shared" si="100"/>
        <v>0</v>
      </c>
      <c r="BN123" s="41">
        <f t="shared" si="101"/>
        <v>0</v>
      </c>
      <c r="BO123" s="40">
        <f t="shared" si="102"/>
        <v>0</v>
      </c>
      <c r="BP123" s="41">
        <f t="shared" si="103"/>
        <v>0</v>
      </c>
      <c r="BQ123" s="53"/>
      <c r="BR123" s="53"/>
      <c r="BS123" t="s">
        <v>984</v>
      </c>
      <c r="BT123">
        <v>97700</v>
      </c>
      <c r="BU123">
        <v>54194</v>
      </c>
      <c r="BV123" s="51">
        <v>26672.66</v>
      </c>
      <c r="BW123" s="32">
        <f t="shared" si="77"/>
        <v>1445498136.04</v>
      </c>
      <c r="BX123">
        <v>2291</v>
      </c>
      <c r="BY123" s="37">
        <f t="shared" si="78"/>
        <v>2.3449334698055272E-2</v>
      </c>
      <c r="BZ123">
        <v>1.9275E-3</v>
      </c>
      <c r="CA123" s="3">
        <f t="shared" si="79"/>
        <v>1.9275000000000001E-5</v>
      </c>
      <c r="CB123" s="11">
        <f>+'Seat capacity elasticities'!AF153</f>
        <v>4.1883784889143287E-2</v>
      </c>
      <c r="CC123" s="11">
        <f>+'Seat capacity elasticities'!AG153</f>
        <v>3.3468620529426819E-2</v>
      </c>
      <c r="CD123" s="11">
        <f>+'Seat capacity elasticities'!AH153</f>
        <v>0.11491579969584441</v>
      </c>
      <c r="CE123" s="11">
        <f>+'Seat capacity elasticities'!AI153</f>
        <v>3.9633892732215965E-2</v>
      </c>
      <c r="CF123" s="32">
        <f t="shared" si="104"/>
        <v>605429.32987556944</v>
      </c>
      <c r="CG123" s="33">
        <f t="shared" si="105"/>
        <v>4.1883784889143292E-4</v>
      </c>
      <c r="CH123" s="40">
        <f t="shared" si="106"/>
        <v>483788.28591116547</v>
      </c>
      <c r="CI123" s="33">
        <f t="shared" si="107"/>
        <v>3.3468620529426824E-4</v>
      </c>
      <c r="CJ123" s="40">
        <f t="shared" si="108"/>
        <v>2632720.9710317953</v>
      </c>
      <c r="CK123" s="41">
        <f t="shared" si="109"/>
        <v>1.149157996958444E-3</v>
      </c>
      <c r="CL123" s="40">
        <f t="shared" si="110"/>
        <v>908012.48249506776</v>
      </c>
      <c r="CM123" s="41">
        <f t="shared" si="111"/>
        <v>3.9633892732215964E-4</v>
      </c>
      <c r="CO123" s="70">
        <f t="shared" si="112"/>
        <v>0</v>
      </c>
      <c r="CP123" s="70">
        <f t="shared" si="113"/>
        <v>0</v>
      </c>
      <c r="CQ123" s="70">
        <f t="shared" si="114"/>
        <v>0</v>
      </c>
      <c r="CR123" s="70">
        <f t="shared" si="115"/>
        <v>0</v>
      </c>
      <c r="CS123" s="70">
        <f t="shared" si="116"/>
        <v>0</v>
      </c>
      <c r="CT123" s="70">
        <f t="shared" si="117"/>
        <v>0</v>
      </c>
      <c r="CU123" s="69">
        <f t="shared" si="118"/>
        <v>0</v>
      </c>
      <c r="CV123" s="69">
        <f t="shared" si="119"/>
        <v>0</v>
      </c>
      <c r="CW123" s="70">
        <f t="shared" si="120"/>
        <v>0</v>
      </c>
      <c r="CX123" s="69">
        <f t="shared" si="121"/>
        <v>0</v>
      </c>
      <c r="CY123" s="69">
        <f t="shared" si="122"/>
        <v>0</v>
      </c>
      <c r="CZ123" s="70">
        <f t="shared" si="123"/>
        <v>0</v>
      </c>
      <c r="DB123" s="70">
        <f t="shared" si="124"/>
        <v>2.1791798126361419</v>
      </c>
      <c r="DC123" s="70">
        <f t="shared" si="125"/>
        <v>11.171519538612566</v>
      </c>
      <c r="DD123" s="70">
        <f t="shared" si="126"/>
        <v>13.350699351248707</v>
      </c>
      <c r="DE123" s="70">
        <f t="shared" si="127"/>
        <v>4.1301485286131312</v>
      </c>
      <c r="DF123" s="70">
        <f t="shared" si="128"/>
        <v>8.9269713605042149</v>
      </c>
      <c r="DG123" s="70">
        <f t="shared" si="129"/>
        <v>13.057119889117345</v>
      </c>
      <c r="DH123" s="69">
        <f t="shared" si="130"/>
        <v>9.4762049165266546</v>
      </c>
      <c r="DI123" s="69">
        <f t="shared" si="131"/>
        <v>48.579565469088742</v>
      </c>
      <c r="DJ123" s="70">
        <f t="shared" si="132"/>
        <v>58.055770385615396</v>
      </c>
      <c r="DK123" s="69">
        <f t="shared" si="133"/>
        <v>7.7517925252700071</v>
      </c>
      <c r="DL123" s="69">
        <f t="shared" si="134"/>
        <v>16.754852612744358</v>
      </c>
      <c r="DM123" s="70">
        <f t="shared" si="135"/>
        <v>24.506645138014363</v>
      </c>
    </row>
    <row r="124" spans="1:117">
      <c r="A124" t="s">
        <v>295</v>
      </c>
      <c r="B124">
        <v>5726705</v>
      </c>
      <c r="C124">
        <v>3487033</v>
      </c>
      <c r="D124" s="51">
        <v>52427.95</v>
      </c>
      <c r="E124" s="32">
        <f t="shared" si="68"/>
        <v>182817991772.34998</v>
      </c>
      <c r="F124">
        <v>377223</v>
      </c>
      <c r="G124" s="37">
        <f t="shared" si="69"/>
        <v>6.5870862913315772E-2</v>
      </c>
      <c r="H124">
        <v>2.6009999999999998E-4</v>
      </c>
      <c r="I124" s="3">
        <f t="shared" si="70"/>
        <v>2.6009999999999997E-6</v>
      </c>
      <c r="J124" s="11">
        <f>+'Seat capacity elasticities'!K154</f>
        <v>4.0247593369387375E-4</v>
      </c>
      <c r="K124" s="11">
        <f>+'Seat capacity elasticities'!L154</f>
        <v>1.9970345531951966E-3</v>
      </c>
      <c r="L124" s="11">
        <f>+'Seat capacity elasticities'!M154</f>
        <v>1.104266099665502E-3</v>
      </c>
      <c r="M124" s="11">
        <f>+'Seat capacity elasticities'!N154</f>
        <v>2.3649093393101014E-3</v>
      </c>
      <c r="N124" s="32">
        <f t="shared" si="80"/>
        <v>735798.4193461549</v>
      </c>
      <c r="O124" s="33">
        <f t="shared" si="81"/>
        <v>4.0247593369387377E-6</v>
      </c>
      <c r="P124" s="40">
        <f t="shared" si="82"/>
        <v>3650938.4651513807</v>
      </c>
      <c r="Q124" s="33">
        <f t="shared" si="83"/>
        <v>1.9970345531951965E-5</v>
      </c>
      <c r="R124" s="40">
        <f t="shared" si="84"/>
        <v>4165545.7091411962</v>
      </c>
      <c r="S124" s="41">
        <f t="shared" si="85"/>
        <v>1.104266099665502E-5</v>
      </c>
      <c r="T124" s="40">
        <f t="shared" si="86"/>
        <v>8920981.957025744</v>
      </c>
      <c r="U124" s="41">
        <f t="shared" si="87"/>
        <v>2.3649093393101016E-5</v>
      </c>
      <c r="V124" s="53"/>
      <c r="W124" s="53"/>
      <c r="X124" t="s">
        <v>295</v>
      </c>
      <c r="Y124">
        <v>5726705</v>
      </c>
      <c r="Z124">
        <v>3487033</v>
      </c>
      <c r="AA124" s="51">
        <v>52427.95</v>
      </c>
      <c r="AB124" s="32">
        <f t="shared" si="71"/>
        <v>182817991772.34998</v>
      </c>
      <c r="AC124">
        <v>377223</v>
      </c>
      <c r="AD124" s="37">
        <f t="shared" si="72"/>
        <v>6.5870862913315772E-2</v>
      </c>
      <c r="AE124">
        <v>9.9033999999999997E-3</v>
      </c>
      <c r="AF124" s="3">
        <f t="shared" si="73"/>
        <v>9.9034000000000001E-5</v>
      </c>
      <c r="AG124" s="11">
        <f>+'Seat capacity elasticities'!R154</f>
        <v>1.4087835438415023E-2</v>
      </c>
      <c r="AH124" s="11">
        <f>+'Seat capacity elasticities'!S154</f>
        <v>2.6700344996738856E-2</v>
      </c>
      <c r="AI124" s="11">
        <f>+'Seat capacity elasticities'!T154</f>
        <v>3.8652544885182015E-2</v>
      </c>
      <c r="AJ124" s="11">
        <f>+'Seat capacity elasticities'!U154</f>
        <v>3.1618829601401277E-2</v>
      </c>
      <c r="AK124" s="32">
        <f t="shared" si="88"/>
        <v>25755097.83270378</v>
      </c>
      <c r="AL124" s="33">
        <f t="shared" si="89"/>
        <v>1.4087835438415021E-4</v>
      </c>
      <c r="AM124" s="40">
        <f t="shared" si="90"/>
        <v>48813034.519327097</v>
      </c>
      <c r="AN124" s="33">
        <f t="shared" si="91"/>
        <v>2.6700344996738852E-4</v>
      </c>
      <c r="AO124" s="40">
        <f t="shared" si="92"/>
        <v>145806289.39223015</v>
      </c>
      <c r="AP124" s="41">
        <f t="shared" si="93"/>
        <v>3.8652544885182016E-4</v>
      </c>
      <c r="AQ124" s="40">
        <f t="shared" si="94"/>
        <v>119273497.58729395</v>
      </c>
      <c r="AR124" s="41">
        <f t="shared" si="95"/>
        <v>3.161882960140128E-4</v>
      </c>
      <c r="AV124" t="s">
        <v>295</v>
      </c>
      <c r="AW124">
        <v>5726705</v>
      </c>
      <c r="AX124">
        <v>3487033</v>
      </c>
      <c r="AY124" s="51">
        <v>52427.95</v>
      </c>
      <c r="AZ124" s="32">
        <f t="shared" si="74"/>
        <v>182817991772.34998</v>
      </c>
      <c r="BA124">
        <v>377223</v>
      </c>
      <c r="BB124" s="37">
        <f t="shared" si="75"/>
        <v>6.5870862913315772E-2</v>
      </c>
      <c r="BC124">
        <v>2.6009999999999998E-4</v>
      </c>
      <c r="BD124" s="3">
        <f t="shared" si="76"/>
        <v>2.6009999999999997E-6</v>
      </c>
      <c r="BE124" s="11">
        <f>+'Seat capacity elasticities'!Y154</f>
        <v>9.1864195386414738E-4</v>
      </c>
      <c r="BF124" s="11">
        <f>+'Seat capacity elasticities'!Z154</f>
        <v>2.5059109010297296E-3</v>
      </c>
      <c r="BG124" s="11">
        <f>+'Seat capacity elasticities'!AA154</f>
        <v>2.5204616784720289E-3</v>
      </c>
      <c r="BH124" s="11">
        <f>+'Seat capacity elasticities'!AB154</f>
        <v>2.9675260670088905E-3</v>
      </c>
      <c r="BI124" s="32">
        <f t="shared" si="96"/>
        <v>1679442.7716327121</v>
      </c>
      <c r="BJ124" s="33">
        <f t="shared" si="97"/>
        <v>9.1864195386414743E-6</v>
      </c>
      <c r="BK124" s="40">
        <f t="shared" si="98"/>
        <v>4581255.9848669525</v>
      </c>
      <c r="BL124" s="33">
        <f t="shared" si="99"/>
        <v>2.5059109010297298E-5</v>
      </c>
      <c r="BM124" s="40">
        <f t="shared" si="100"/>
        <v>9507761.1573825423</v>
      </c>
      <c r="BN124" s="41">
        <f t="shared" si="101"/>
        <v>2.5204616784720291E-5</v>
      </c>
      <c r="BO124" s="40">
        <f t="shared" si="102"/>
        <v>11194190.855752949</v>
      </c>
      <c r="BP124" s="41">
        <f t="shared" si="103"/>
        <v>2.9675260670088911E-5</v>
      </c>
      <c r="BQ124" s="53"/>
      <c r="BR124" s="53"/>
      <c r="BS124" t="s">
        <v>295</v>
      </c>
      <c r="BT124">
        <v>5726705</v>
      </c>
      <c r="BU124">
        <v>3487033</v>
      </c>
      <c r="BV124" s="51">
        <v>52427.95</v>
      </c>
      <c r="BW124" s="32">
        <f t="shared" si="77"/>
        <v>182817991772.34998</v>
      </c>
      <c r="BX124">
        <v>377223</v>
      </c>
      <c r="BY124" s="37">
        <f t="shared" si="78"/>
        <v>6.5870862913315772E-2</v>
      </c>
      <c r="BZ124">
        <v>9.9033999999999997E-3</v>
      </c>
      <c r="CA124" s="3">
        <f t="shared" si="79"/>
        <v>9.9034000000000001E-5</v>
      </c>
      <c r="CB124" s="11">
        <f>+'Seat capacity elasticities'!AF154</f>
        <v>3.6713484548798105E-3</v>
      </c>
      <c r="CC124" s="11">
        <f>+'Seat capacity elasticities'!AG154</f>
        <v>2.9337121416531851E-3</v>
      </c>
      <c r="CD124" s="11">
        <f>+'Seat capacity elasticities'!AH154</f>
        <v>1.0073013811222584E-2</v>
      </c>
      <c r="CE124" s="11">
        <f>+'Seat capacity elasticities'!AI154</f>
        <v>3.47413279932614E-3</v>
      </c>
      <c r="CF124" s="32">
        <f t="shared" si="104"/>
        <v>6711885.5161764696</v>
      </c>
      <c r="CG124" s="33">
        <f t="shared" si="105"/>
        <v>3.6713484548798104E-5</v>
      </c>
      <c r="CH124" s="40">
        <f t="shared" si="106"/>
        <v>5363353.621751952</v>
      </c>
      <c r="CI124" s="33">
        <f t="shared" si="107"/>
        <v>2.9337121416531848E-5</v>
      </c>
      <c r="CJ124" s="40">
        <f t="shared" si="108"/>
        <v>37997724.889108174</v>
      </c>
      <c r="CK124" s="41">
        <f t="shared" si="109"/>
        <v>1.0073013811222586E-4</v>
      </c>
      <c r="CL124" s="40">
        <f t="shared" si="110"/>
        <v>13105227.969602045</v>
      </c>
      <c r="CM124" s="41">
        <f t="shared" si="111"/>
        <v>3.4741327993261401E-5</v>
      </c>
      <c r="CO124" s="70">
        <f t="shared" si="112"/>
        <v>0.21100988127905726</v>
      </c>
      <c r="CP124" s="70">
        <f t="shared" si="113"/>
        <v>0.48162514425091824</v>
      </c>
      <c r="CQ124" s="70">
        <f t="shared" si="114"/>
        <v>0.69263502552997547</v>
      </c>
      <c r="CR124" s="70">
        <f t="shared" si="115"/>
        <v>1.047004277031901</v>
      </c>
      <c r="CS124" s="70">
        <f t="shared" si="116"/>
        <v>1.3137977142364161</v>
      </c>
      <c r="CT124" s="70">
        <f t="shared" si="117"/>
        <v>2.3608019912683171</v>
      </c>
      <c r="CU124" s="69">
        <f t="shared" si="118"/>
        <v>1.1945816713352573</v>
      </c>
      <c r="CV124" s="69">
        <f t="shared" si="119"/>
        <v>2.7266048693495422</v>
      </c>
      <c r="CW124" s="70">
        <f t="shared" si="120"/>
        <v>3.9211865406847997</v>
      </c>
      <c r="CX124" s="69">
        <f t="shared" si="121"/>
        <v>2.5583302357694189</v>
      </c>
      <c r="CY124" s="69">
        <f t="shared" si="122"/>
        <v>3.2102337017610525</v>
      </c>
      <c r="CZ124" s="70">
        <f t="shared" si="123"/>
        <v>5.7685639375304714</v>
      </c>
      <c r="DB124" s="70">
        <f t="shared" si="124"/>
        <v>7.3859633197345076</v>
      </c>
      <c r="DC124" s="70">
        <f t="shared" si="125"/>
        <v>1.9248127322501594</v>
      </c>
      <c r="DD124" s="70">
        <f t="shared" si="126"/>
        <v>9.3107760519846678</v>
      </c>
      <c r="DE124" s="70">
        <f t="shared" si="127"/>
        <v>13.998443524717747</v>
      </c>
      <c r="DF124" s="70">
        <f t="shared" si="128"/>
        <v>1.5380851347698608</v>
      </c>
      <c r="DG124" s="70">
        <f t="shared" si="129"/>
        <v>15.536528659487608</v>
      </c>
      <c r="DH124" s="69">
        <f t="shared" si="130"/>
        <v>41.813854182690598</v>
      </c>
      <c r="DI124" s="69">
        <f t="shared" si="131"/>
        <v>10.896864150441987</v>
      </c>
      <c r="DJ124" s="70">
        <f t="shared" si="132"/>
        <v>52.710718333132583</v>
      </c>
      <c r="DK124" s="69">
        <f t="shared" si="133"/>
        <v>34.204866311071321</v>
      </c>
      <c r="DL124" s="69">
        <f t="shared" si="134"/>
        <v>3.7582747193967032</v>
      </c>
      <c r="DM124" s="70">
        <f t="shared" si="135"/>
        <v>37.963141030468023</v>
      </c>
    </row>
    <row r="125" spans="1:117">
      <c r="A125" t="s">
        <v>405</v>
      </c>
      <c r="B125">
        <v>284903</v>
      </c>
      <c r="C125">
        <v>147009</v>
      </c>
      <c r="D125" s="51">
        <v>33787.71</v>
      </c>
      <c r="E125" s="32">
        <f t="shared" si="68"/>
        <v>4967097459.3900003</v>
      </c>
      <c r="F125">
        <v>8047</v>
      </c>
      <c r="G125" s="37">
        <f t="shared" si="69"/>
        <v>2.824470082800111E-2</v>
      </c>
      <c r="H125">
        <v>0</v>
      </c>
      <c r="I125" s="3">
        <f t="shared" si="70"/>
        <v>0</v>
      </c>
      <c r="J125" s="11">
        <f>+'Seat capacity elasticities'!K155</f>
        <v>0</v>
      </c>
      <c r="K125" s="11">
        <f>+'Seat capacity elasticities'!L155</f>
        <v>0</v>
      </c>
      <c r="L125" s="11">
        <f>+'Seat capacity elasticities'!M155</f>
        <v>0</v>
      </c>
      <c r="M125" s="11">
        <f>+'Seat capacity elasticities'!N155</f>
        <v>0</v>
      </c>
      <c r="N125" s="32">
        <f t="shared" si="80"/>
        <v>0</v>
      </c>
      <c r="O125" s="33">
        <f t="shared" si="81"/>
        <v>0</v>
      </c>
      <c r="P125" s="40">
        <f t="shared" si="82"/>
        <v>0</v>
      </c>
      <c r="Q125" s="33">
        <f t="shared" si="83"/>
        <v>0</v>
      </c>
      <c r="R125" s="40">
        <f t="shared" si="84"/>
        <v>0</v>
      </c>
      <c r="S125" s="41">
        <f t="shared" si="85"/>
        <v>0</v>
      </c>
      <c r="T125" s="40">
        <f t="shared" si="86"/>
        <v>0</v>
      </c>
      <c r="U125" s="41">
        <f t="shared" si="87"/>
        <v>0</v>
      </c>
      <c r="V125" s="53"/>
      <c r="W125" s="53"/>
      <c r="X125" t="s">
        <v>405</v>
      </c>
      <c r="Y125">
        <v>284903</v>
      </c>
      <c r="Z125">
        <v>147009</v>
      </c>
      <c r="AA125" s="51">
        <v>33787.71</v>
      </c>
      <c r="AB125" s="32">
        <f t="shared" si="71"/>
        <v>4967097459.3900003</v>
      </c>
      <c r="AC125">
        <v>8047</v>
      </c>
      <c r="AD125" s="37">
        <f t="shared" si="72"/>
        <v>2.824470082800111E-2</v>
      </c>
      <c r="AE125">
        <v>4.0774000000000001E-3</v>
      </c>
      <c r="AF125" s="3">
        <f t="shared" si="73"/>
        <v>4.0774E-5</v>
      </c>
      <c r="AG125" s="11">
        <f>+'Seat capacity elasticities'!R155</f>
        <v>7.4611115095551354E-3</v>
      </c>
      <c r="AH125" s="11">
        <f>+'Seat capacity elasticities'!S155</f>
        <v>1.4140870131194132E-2</v>
      </c>
      <c r="AI125" s="11">
        <f>+'Seat capacity elasticities'!T155</f>
        <v>2.0470919665205426E-2</v>
      </c>
      <c r="AJ125" s="11">
        <f>+'Seat capacity elasticities'!U155</f>
        <v>1.6745767260624631E-2</v>
      </c>
      <c r="AK125" s="32">
        <f t="shared" si="88"/>
        <v>370600.68023336801</v>
      </c>
      <c r="AL125" s="33">
        <f t="shared" si="89"/>
        <v>7.4611115095551343E-5</v>
      </c>
      <c r="AM125" s="40">
        <f t="shared" si="90"/>
        <v>702390.80102218315</v>
      </c>
      <c r="AN125" s="33">
        <f t="shared" si="91"/>
        <v>1.4140870131194131E-4</v>
      </c>
      <c r="AO125" s="40">
        <f t="shared" si="92"/>
        <v>1647294.9054590806</v>
      </c>
      <c r="AP125" s="41">
        <f t="shared" si="93"/>
        <v>2.0470919665205425E-4</v>
      </c>
      <c r="AQ125" s="40">
        <f t="shared" si="94"/>
        <v>1347531.8914624644</v>
      </c>
      <c r="AR125" s="41">
        <f t="shared" si="95"/>
        <v>1.6745767260624634E-4</v>
      </c>
      <c r="AV125" t="s">
        <v>405</v>
      </c>
      <c r="AW125">
        <v>284903</v>
      </c>
      <c r="AX125">
        <v>147009</v>
      </c>
      <c r="AY125" s="51">
        <v>33787.71</v>
      </c>
      <c r="AZ125" s="32">
        <f t="shared" si="74"/>
        <v>4967097459.3900003</v>
      </c>
      <c r="BA125">
        <v>8047</v>
      </c>
      <c r="BB125" s="37">
        <f t="shared" si="75"/>
        <v>2.824470082800111E-2</v>
      </c>
      <c r="BC125">
        <v>0</v>
      </c>
      <c r="BD125" s="3">
        <f t="shared" si="76"/>
        <v>0</v>
      </c>
      <c r="BE125" s="11">
        <f>+'Seat capacity elasticities'!Y155</f>
        <v>0</v>
      </c>
      <c r="BF125" s="11">
        <f>+'Seat capacity elasticities'!Z155</f>
        <v>0</v>
      </c>
      <c r="BG125" s="11">
        <f>+'Seat capacity elasticities'!AA155</f>
        <v>0</v>
      </c>
      <c r="BH125" s="11">
        <f>+'Seat capacity elasticities'!AB155</f>
        <v>0</v>
      </c>
      <c r="BI125" s="32">
        <f t="shared" si="96"/>
        <v>0</v>
      </c>
      <c r="BJ125" s="33">
        <f t="shared" si="97"/>
        <v>0</v>
      </c>
      <c r="BK125" s="40">
        <f t="shared" si="98"/>
        <v>0</v>
      </c>
      <c r="BL125" s="33">
        <f t="shared" si="99"/>
        <v>0</v>
      </c>
      <c r="BM125" s="40">
        <f t="shared" si="100"/>
        <v>0</v>
      </c>
      <c r="BN125" s="41">
        <f t="shared" si="101"/>
        <v>0</v>
      </c>
      <c r="BO125" s="40">
        <f t="shared" si="102"/>
        <v>0</v>
      </c>
      <c r="BP125" s="41">
        <f t="shared" si="103"/>
        <v>0</v>
      </c>
      <c r="BQ125" s="53"/>
      <c r="BR125" s="53"/>
      <c r="BS125" t="s">
        <v>405</v>
      </c>
      <c r="BT125">
        <v>284903</v>
      </c>
      <c r="BU125">
        <v>147009</v>
      </c>
      <c r="BV125" s="51">
        <v>33787.71</v>
      </c>
      <c r="BW125" s="32">
        <f t="shared" si="77"/>
        <v>4967097459.3900003</v>
      </c>
      <c r="BX125">
        <v>8047</v>
      </c>
      <c r="BY125" s="37">
        <f t="shared" si="78"/>
        <v>2.824470082800111E-2</v>
      </c>
      <c r="BZ125">
        <v>4.0774000000000001E-3</v>
      </c>
      <c r="CA125" s="3">
        <f t="shared" si="79"/>
        <v>4.0774E-5</v>
      </c>
      <c r="CB125" s="11">
        <f>+'Seat capacity elasticities'!AF155</f>
        <v>3.0383121732351595E-2</v>
      </c>
      <c r="CC125" s="11">
        <f>+'Seat capacity elasticities'!AG155</f>
        <v>2.4278636098693244E-2</v>
      </c>
      <c r="CD125" s="11">
        <f>+'Seat capacity elasticities'!AH155</f>
        <v>8.3361633633888862E-2</v>
      </c>
      <c r="CE125" s="11">
        <f>+'Seat capacity elasticities'!AI155</f>
        <v>2.8751016432663052E-2</v>
      </c>
      <c r="CF125" s="32">
        <f t="shared" si="104"/>
        <v>1509159.267651007</v>
      </c>
      <c r="CG125" s="33">
        <f t="shared" si="105"/>
        <v>3.0383121732351591E-4</v>
      </c>
      <c r="CH125" s="40">
        <f t="shared" si="106"/>
        <v>1205943.5168327356</v>
      </c>
      <c r="CI125" s="33">
        <f t="shared" si="107"/>
        <v>2.4278636098693245E-4</v>
      </c>
      <c r="CJ125" s="40">
        <f t="shared" si="108"/>
        <v>6708110.6585190371</v>
      </c>
      <c r="CK125" s="41">
        <f t="shared" si="109"/>
        <v>8.3361633633888873E-4</v>
      </c>
      <c r="CL125" s="40">
        <f t="shared" si="110"/>
        <v>2313594.2923363959</v>
      </c>
      <c r="CM125" s="41">
        <f t="shared" si="111"/>
        <v>2.8751016432663058E-4</v>
      </c>
      <c r="CO125" s="70">
        <f t="shared" si="112"/>
        <v>0</v>
      </c>
      <c r="CP125" s="70">
        <f t="shared" si="113"/>
        <v>0</v>
      </c>
      <c r="CQ125" s="70">
        <f t="shared" si="114"/>
        <v>0</v>
      </c>
      <c r="CR125" s="70">
        <f t="shared" si="115"/>
        <v>0</v>
      </c>
      <c r="CS125" s="70">
        <f t="shared" si="116"/>
        <v>0</v>
      </c>
      <c r="CT125" s="70">
        <f t="shared" si="117"/>
        <v>0</v>
      </c>
      <c r="CU125" s="69">
        <f t="shared" si="118"/>
        <v>0</v>
      </c>
      <c r="CV125" s="69">
        <f t="shared" si="119"/>
        <v>0</v>
      </c>
      <c r="CW125" s="70">
        <f t="shared" si="120"/>
        <v>0</v>
      </c>
      <c r="CX125" s="69">
        <f t="shared" si="121"/>
        <v>0</v>
      </c>
      <c r="CY125" s="69">
        <f t="shared" si="122"/>
        <v>0</v>
      </c>
      <c r="CZ125" s="70">
        <f t="shared" si="123"/>
        <v>0</v>
      </c>
      <c r="DB125" s="70">
        <f t="shared" si="124"/>
        <v>2.5209387196251116</v>
      </c>
      <c r="DC125" s="70">
        <f t="shared" si="125"/>
        <v>10.265761059873933</v>
      </c>
      <c r="DD125" s="70">
        <f t="shared" si="126"/>
        <v>12.786699779499045</v>
      </c>
      <c r="DE125" s="70">
        <f t="shared" si="127"/>
        <v>4.7778761914044932</v>
      </c>
      <c r="DF125" s="70">
        <f t="shared" si="128"/>
        <v>8.2031951569817885</v>
      </c>
      <c r="DG125" s="70">
        <f t="shared" si="129"/>
        <v>12.981071348386282</v>
      </c>
      <c r="DH125" s="69">
        <f t="shared" si="130"/>
        <v>11.205401747233712</v>
      </c>
      <c r="DI125" s="69">
        <f t="shared" si="131"/>
        <v>45.630612129318862</v>
      </c>
      <c r="DJ125" s="70">
        <f t="shared" si="132"/>
        <v>56.83601387655257</v>
      </c>
      <c r="DK125" s="69">
        <f t="shared" si="133"/>
        <v>9.1663224119779354</v>
      </c>
      <c r="DL125" s="69">
        <f t="shared" si="134"/>
        <v>15.737773145429165</v>
      </c>
      <c r="DM125" s="70">
        <f t="shared" si="135"/>
        <v>24.9040955574071</v>
      </c>
    </row>
    <row r="126" spans="1:117">
      <c r="A126" t="s">
        <v>406</v>
      </c>
      <c r="B126">
        <v>397228</v>
      </c>
      <c r="C126">
        <v>270156</v>
      </c>
      <c r="D126" s="51">
        <v>41668.21</v>
      </c>
      <c r="E126" s="32">
        <f t="shared" si="68"/>
        <v>11256916940.76</v>
      </c>
      <c r="F126">
        <v>14734</v>
      </c>
      <c r="G126" s="37">
        <f t="shared" si="69"/>
        <v>3.70920478918908E-2</v>
      </c>
      <c r="H126">
        <v>0</v>
      </c>
      <c r="I126" s="3">
        <f t="shared" si="70"/>
        <v>0</v>
      </c>
      <c r="J126" s="11">
        <f>+'Seat capacity elasticities'!K156</f>
        <v>0</v>
      </c>
      <c r="K126" s="11">
        <f>+'Seat capacity elasticities'!L156</f>
        <v>0</v>
      </c>
      <c r="L126" s="11">
        <f>+'Seat capacity elasticities'!M156</f>
        <v>0</v>
      </c>
      <c r="M126" s="11">
        <f>+'Seat capacity elasticities'!N156</f>
        <v>0</v>
      </c>
      <c r="N126" s="32">
        <f t="shared" si="80"/>
        <v>0</v>
      </c>
      <c r="O126" s="33">
        <f t="shared" si="81"/>
        <v>0</v>
      </c>
      <c r="P126" s="40">
        <f t="shared" si="82"/>
        <v>0</v>
      </c>
      <c r="Q126" s="33">
        <f t="shared" si="83"/>
        <v>0</v>
      </c>
      <c r="R126" s="40">
        <f t="shared" si="84"/>
        <v>0</v>
      </c>
      <c r="S126" s="41">
        <f t="shared" si="85"/>
        <v>0</v>
      </c>
      <c r="T126" s="40">
        <f t="shared" si="86"/>
        <v>0</v>
      </c>
      <c r="U126" s="41">
        <f t="shared" si="87"/>
        <v>0</v>
      </c>
      <c r="V126" s="53"/>
      <c r="W126" s="53"/>
      <c r="X126" t="s">
        <v>406</v>
      </c>
      <c r="Y126">
        <v>397228</v>
      </c>
      <c r="Z126">
        <v>270156</v>
      </c>
      <c r="AA126" s="51">
        <v>41668.21</v>
      </c>
      <c r="AB126" s="32">
        <f t="shared" si="71"/>
        <v>11256916940.76</v>
      </c>
      <c r="AC126">
        <v>14734</v>
      </c>
      <c r="AD126" s="37">
        <f t="shared" si="72"/>
        <v>3.70920478918908E-2</v>
      </c>
      <c r="AE126">
        <v>1.1762000000000001E-3</v>
      </c>
      <c r="AF126" s="3">
        <f t="shared" si="73"/>
        <v>1.1762E-5</v>
      </c>
      <c r="AG126" s="11">
        <f>+'Seat capacity elasticities'!R156</f>
        <v>4.4811489145878854E-3</v>
      </c>
      <c r="AH126" s="11">
        <f>+'Seat capacity elasticities'!S156</f>
        <v>8.4930167252663235E-3</v>
      </c>
      <c r="AI126" s="11">
        <f>+'Seat capacity elasticities'!T156</f>
        <v>1.2294849007533548E-2</v>
      </c>
      <c r="AJ126" s="11">
        <f>+'Seat capacity elasticities'!U156</f>
        <v>1.0057519806236436E-2</v>
      </c>
      <c r="AK126" s="32">
        <f t="shared" si="88"/>
        <v>504439.21130692656</v>
      </c>
      <c r="AL126" s="33">
        <f t="shared" si="89"/>
        <v>4.4811489145878853E-5</v>
      </c>
      <c r="AM126" s="40">
        <f t="shared" si="90"/>
        <v>956051.83852808492</v>
      </c>
      <c r="AN126" s="33">
        <f t="shared" si="91"/>
        <v>8.4930167252663232E-5</v>
      </c>
      <c r="AO126" s="40">
        <f t="shared" si="92"/>
        <v>1811523.0527699927</v>
      </c>
      <c r="AP126" s="41">
        <f t="shared" si="93"/>
        <v>1.2294849007533546E-4</v>
      </c>
      <c r="AQ126" s="40">
        <f t="shared" si="94"/>
        <v>1481874.9682508763</v>
      </c>
      <c r="AR126" s="41">
        <f t="shared" si="95"/>
        <v>1.0057519806236435E-4</v>
      </c>
      <c r="AV126" t="s">
        <v>406</v>
      </c>
      <c r="AW126">
        <v>397228</v>
      </c>
      <c r="AX126">
        <v>270156</v>
      </c>
      <c r="AY126" s="51">
        <v>41668.21</v>
      </c>
      <c r="AZ126" s="32">
        <f t="shared" si="74"/>
        <v>11256916940.76</v>
      </c>
      <c r="BA126">
        <v>14734</v>
      </c>
      <c r="BB126" s="37">
        <f t="shared" si="75"/>
        <v>3.70920478918908E-2</v>
      </c>
      <c r="BC126">
        <v>0</v>
      </c>
      <c r="BD126" s="3">
        <f t="shared" si="76"/>
        <v>0</v>
      </c>
      <c r="BE126" s="11">
        <f>+'Seat capacity elasticities'!Y156</f>
        <v>0</v>
      </c>
      <c r="BF126" s="11">
        <f>+'Seat capacity elasticities'!Z156</f>
        <v>0</v>
      </c>
      <c r="BG126" s="11">
        <f>+'Seat capacity elasticities'!AA156</f>
        <v>0</v>
      </c>
      <c r="BH126" s="11">
        <f>+'Seat capacity elasticities'!AB156</f>
        <v>0</v>
      </c>
      <c r="BI126" s="32">
        <f t="shared" si="96"/>
        <v>0</v>
      </c>
      <c r="BJ126" s="33">
        <f t="shared" si="97"/>
        <v>0</v>
      </c>
      <c r="BK126" s="40">
        <f t="shared" si="98"/>
        <v>0</v>
      </c>
      <c r="BL126" s="33">
        <f t="shared" si="99"/>
        <v>0</v>
      </c>
      <c r="BM126" s="40">
        <f t="shared" si="100"/>
        <v>0</v>
      </c>
      <c r="BN126" s="41">
        <f t="shared" si="101"/>
        <v>0</v>
      </c>
      <c r="BO126" s="40">
        <f t="shared" si="102"/>
        <v>0</v>
      </c>
      <c r="BP126" s="41">
        <f t="shared" si="103"/>
        <v>0</v>
      </c>
      <c r="BQ126" s="53"/>
      <c r="BR126" s="53"/>
      <c r="BS126" t="s">
        <v>406</v>
      </c>
      <c r="BT126">
        <v>397228</v>
      </c>
      <c r="BU126">
        <v>270156</v>
      </c>
      <c r="BV126" s="51">
        <v>41668.21</v>
      </c>
      <c r="BW126" s="32">
        <f t="shared" si="77"/>
        <v>11256916940.76</v>
      </c>
      <c r="BX126">
        <v>14734</v>
      </c>
      <c r="BY126" s="37">
        <f t="shared" si="78"/>
        <v>3.70920478918908E-2</v>
      </c>
      <c r="BZ126">
        <v>1.1762000000000001E-3</v>
      </c>
      <c r="CA126" s="3">
        <f t="shared" si="79"/>
        <v>1.1762E-5</v>
      </c>
      <c r="CB126" s="11">
        <f>+'Seat capacity elasticities'!AF156</f>
        <v>6.2861887755711679E-3</v>
      </c>
      <c r="CC126" s="11">
        <f>+'Seat capacity elasticities'!AG156</f>
        <v>5.0231865926822885E-3</v>
      </c>
      <c r="CD126" s="11">
        <f>+'Seat capacity elasticities'!AH156</f>
        <v>1.7247304943805369E-2</v>
      </c>
      <c r="CE126" s="11">
        <f>+'Seat capacity elasticities'!AI156</f>
        <v>5.9485104387027102E-3</v>
      </c>
      <c r="CF126" s="32">
        <f t="shared" si="104"/>
        <v>707631.04920542438</v>
      </c>
      <c r="CG126" s="33">
        <f t="shared" si="105"/>
        <v>6.2861887755711669E-5</v>
      </c>
      <c r="CH126" s="40">
        <f t="shared" si="106"/>
        <v>565455.94251763751</v>
      </c>
      <c r="CI126" s="33">
        <f t="shared" si="107"/>
        <v>5.0231865926822882E-5</v>
      </c>
      <c r="CJ126" s="40">
        <f t="shared" si="108"/>
        <v>2541217.9104202832</v>
      </c>
      <c r="CK126" s="41">
        <f t="shared" si="109"/>
        <v>1.7247304943805369E-4</v>
      </c>
      <c r="CL126" s="40">
        <f t="shared" si="110"/>
        <v>876453.52803845727</v>
      </c>
      <c r="CM126" s="41">
        <f t="shared" si="111"/>
        <v>5.9485104387027102E-5</v>
      </c>
      <c r="CO126" s="70">
        <f t="shared" si="112"/>
        <v>0</v>
      </c>
      <c r="CP126" s="70">
        <f t="shared" si="113"/>
        <v>0</v>
      </c>
      <c r="CQ126" s="70">
        <f t="shared" si="114"/>
        <v>0</v>
      </c>
      <c r="CR126" s="70">
        <f t="shared" si="115"/>
        <v>0</v>
      </c>
      <c r="CS126" s="70">
        <f t="shared" si="116"/>
        <v>0</v>
      </c>
      <c r="CT126" s="70">
        <f t="shared" si="117"/>
        <v>0</v>
      </c>
      <c r="CU126" s="69">
        <f t="shared" si="118"/>
        <v>0</v>
      </c>
      <c r="CV126" s="69">
        <f t="shared" si="119"/>
        <v>0</v>
      </c>
      <c r="CW126" s="70">
        <f t="shared" si="120"/>
        <v>0</v>
      </c>
      <c r="CX126" s="69">
        <f t="shared" si="121"/>
        <v>0</v>
      </c>
      <c r="CY126" s="69">
        <f t="shared" si="122"/>
        <v>0</v>
      </c>
      <c r="CZ126" s="70">
        <f t="shared" si="123"/>
        <v>0</v>
      </c>
      <c r="DB126" s="70">
        <f t="shared" si="124"/>
        <v>1.8672145401432008</v>
      </c>
      <c r="DC126" s="70">
        <f t="shared" si="125"/>
        <v>2.6193423400014226</v>
      </c>
      <c r="DD126" s="70">
        <f t="shared" si="126"/>
        <v>4.4865568801446232</v>
      </c>
      <c r="DE126" s="70">
        <f t="shared" si="127"/>
        <v>3.5388880444190947</v>
      </c>
      <c r="DF126" s="70">
        <f t="shared" si="128"/>
        <v>2.0930719381307004</v>
      </c>
      <c r="DG126" s="70">
        <f t="shared" si="129"/>
        <v>5.6319599825497946</v>
      </c>
      <c r="DH126" s="69">
        <f t="shared" si="130"/>
        <v>6.7054703681206149</v>
      </c>
      <c r="DI126" s="69">
        <f t="shared" si="131"/>
        <v>9.4064833297068482</v>
      </c>
      <c r="DJ126" s="70">
        <f t="shared" si="132"/>
        <v>16.111953697827463</v>
      </c>
      <c r="DK126" s="69">
        <f t="shared" si="133"/>
        <v>5.4852565489971585</v>
      </c>
      <c r="DL126" s="69">
        <f t="shared" si="134"/>
        <v>3.2442497225249753</v>
      </c>
      <c r="DM126" s="70">
        <f t="shared" si="135"/>
        <v>8.7295062715221334</v>
      </c>
    </row>
    <row r="127" spans="1:117">
      <c r="A127" t="s">
        <v>985</v>
      </c>
      <c r="B127">
        <v>123123</v>
      </c>
      <c r="C127">
        <v>73784</v>
      </c>
      <c r="D127" s="51">
        <v>34605.379999999997</v>
      </c>
      <c r="E127" s="32">
        <f t="shared" si="68"/>
        <v>2553323357.9199996</v>
      </c>
      <c r="F127">
        <v>3226</v>
      </c>
      <c r="G127" s="37">
        <f t="shared" si="69"/>
        <v>2.6201440835587179E-2</v>
      </c>
      <c r="H127">
        <v>0</v>
      </c>
      <c r="I127" s="3">
        <f t="shared" si="70"/>
        <v>0</v>
      </c>
      <c r="J127" s="11">
        <f>+'Seat capacity elasticities'!K157</f>
        <v>0</v>
      </c>
      <c r="K127" s="11">
        <f>+'Seat capacity elasticities'!L157</f>
        <v>0</v>
      </c>
      <c r="L127" s="11">
        <f>+'Seat capacity elasticities'!M157</f>
        <v>0</v>
      </c>
      <c r="M127" s="11">
        <f>+'Seat capacity elasticities'!N157</f>
        <v>0</v>
      </c>
      <c r="N127" s="32">
        <f t="shared" si="80"/>
        <v>0</v>
      </c>
      <c r="O127" s="33">
        <f t="shared" si="81"/>
        <v>0</v>
      </c>
      <c r="P127" s="40">
        <f t="shared" si="82"/>
        <v>0</v>
      </c>
      <c r="Q127" s="33">
        <f t="shared" si="83"/>
        <v>0</v>
      </c>
      <c r="R127" s="40">
        <f t="shared" si="84"/>
        <v>0</v>
      </c>
      <c r="S127" s="41">
        <f t="shared" si="85"/>
        <v>0</v>
      </c>
      <c r="T127" s="40">
        <f t="shared" si="86"/>
        <v>0</v>
      </c>
      <c r="U127" s="41">
        <f t="shared" si="87"/>
        <v>0</v>
      </c>
      <c r="V127" s="53"/>
      <c r="W127" s="53"/>
      <c r="X127" t="s">
        <v>985</v>
      </c>
      <c r="Y127">
        <v>123123</v>
      </c>
      <c r="Z127">
        <v>73784</v>
      </c>
      <c r="AA127" s="51">
        <v>34605.379999999997</v>
      </c>
      <c r="AB127" s="32">
        <f t="shared" si="71"/>
        <v>2553323357.9199996</v>
      </c>
      <c r="AC127">
        <v>3226</v>
      </c>
      <c r="AD127" s="37">
        <f t="shared" si="72"/>
        <v>2.6201440835587179E-2</v>
      </c>
      <c r="AE127">
        <v>1.9713E-3</v>
      </c>
      <c r="AF127" s="3">
        <f t="shared" si="73"/>
        <v>1.9713000000000003E-5</v>
      </c>
      <c r="AG127" s="11">
        <f>+'Seat capacity elasticities'!R157</f>
        <v>4.0838226513362488E-3</v>
      </c>
      <c r="AH127" s="11">
        <f>+'Seat capacity elasticities'!S157</f>
        <v>7.739973551851932E-3</v>
      </c>
      <c r="AI127" s="11">
        <f>+'Seat capacity elasticities'!T157</f>
        <v>1.1204711967565161E-2</v>
      </c>
      <c r="AJ127" s="11">
        <f>+'Seat capacity elasticities'!U157</f>
        <v>9.1657581535088666E-3</v>
      </c>
      <c r="AK127" s="32">
        <f t="shared" si="88"/>
        <v>104273.19765259627</v>
      </c>
      <c r="AL127" s="33">
        <f t="shared" si="89"/>
        <v>4.0838226513362487E-5</v>
      </c>
      <c r="AM127" s="40">
        <f t="shared" si="90"/>
        <v>197626.55259626562</v>
      </c>
      <c r="AN127" s="33">
        <f t="shared" si="91"/>
        <v>7.7399735518519322E-5</v>
      </c>
      <c r="AO127" s="40">
        <f t="shared" si="92"/>
        <v>361464.0080736521</v>
      </c>
      <c r="AP127" s="41">
        <f t="shared" si="93"/>
        <v>1.1204711967565161E-4</v>
      </c>
      <c r="AQ127" s="40">
        <f t="shared" si="94"/>
        <v>295687.35803219606</v>
      </c>
      <c r="AR127" s="41">
        <f t="shared" si="95"/>
        <v>9.1657581535088673E-5</v>
      </c>
      <c r="AV127" t="s">
        <v>985</v>
      </c>
      <c r="AW127">
        <v>123123</v>
      </c>
      <c r="AX127">
        <v>73784</v>
      </c>
      <c r="AY127" s="51">
        <v>34605.379999999997</v>
      </c>
      <c r="AZ127" s="32">
        <f t="shared" si="74"/>
        <v>2553323357.9199996</v>
      </c>
      <c r="BA127">
        <v>3226</v>
      </c>
      <c r="BB127" s="37">
        <f t="shared" si="75"/>
        <v>2.6201440835587179E-2</v>
      </c>
      <c r="BC127">
        <v>0</v>
      </c>
      <c r="BD127" s="3">
        <f t="shared" si="76"/>
        <v>0</v>
      </c>
      <c r="BE127" s="11">
        <f>+'Seat capacity elasticities'!Y157</f>
        <v>0</v>
      </c>
      <c r="BF127" s="11">
        <f>+'Seat capacity elasticities'!Z157</f>
        <v>0</v>
      </c>
      <c r="BG127" s="11">
        <f>+'Seat capacity elasticities'!AA157</f>
        <v>0</v>
      </c>
      <c r="BH127" s="11">
        <f>+'Seat capacity elasticities'!AB157</f>
        <v>0</v>
      </c>
      <c r="BI127" s="32">
        <f t="shared" si="96"/>
        <v>0</v>
      </c>
      <c r="BJ127" s="33">
        <f t="shared" si="97"/>
        <v>0</v>
      </c>
      <c r="BK127" s="40">
        <f t="shared" si="98"/>
        <v>0</v>
      </c>
      <c r="BL127" s="33">
        <f t="shared" si="99"/>
        <v>0</v>
      </c>
      <c r="BM127" s="40">
        <f t="shared" si="100"/>
        <v>0</v>
      </c>
      <c r="BN127" s="41">
        <f t="shared" si="101"/>
        <v>0</v>
      </c>
      <c r="BO127" s="40">
        <f t="shared" si="102"/>
        <v>0</v>
      </c>
      <c r="BP127" s="41">
        <f t="shared" si="103"/>
        <v>0</v>
      </c>
      <c r="BQ127" s="53"/>
      <c r="BR127" s="53"/>
      <c r="BS127" t="s">
        <v>985</v>
      </c>
      <c r="BT127">
        <v>123123</v>
      </c>
      <c r="BU127">
        <v>73784</v>
      </c>
      <c r="BV127" s="51">
        <v>34605.379999999997</v>
      </c>
      <c r="BW127" s="32">
        <f t="shared" si="77"/>
        <v>2553323357.9199996</v>
      </c>
      <c r="BX127">
        <v>3226</v>
      </c>
      <c r="BY127" s="37">
        <f t="shared" si="78"/>
        <v>2.6201440835587179E-2</v>
      </c>
      <c r="BZ127">
        <v>1.9713E-3</v>
      </c>
      <c r="CA127" s="3">
        <f t="shared" si="79"/>
        <v>1.9713000000000003E-5</v>
      </c>
      <c r="CB127" s="11">
        <f>+'Seat capacity elasticities'!AF157</f>
        <v>3.399066258405916E-2</v>
      </c>
      <c r="CC127" s="11">
        <f>+'Seat capacity elasticities'!AG157</f>
        <v>2.7161360669306307E-2</v>
      </c>
      <c r="CD127" s="11">
        <f>+'Seat capacity elasticities'!AH157</f>
        <v>9.3259579653014305E-2</v>
      </c>
      <c r="CE127" s="11">
        <f>+'Seat capacity elasticities'!AI157</f>
        <v>3.216476921365221E-2</v>
      </c>
      <c r="CF127" s="32">
        <f t="shared" si="104"/>
        <v>867891.52727055619</v>
      </c>
      <c r="CG127" s="33">
        <f t="shared" si="105"/>
        <v>3.399066258405916E-4</v>
      </c>
      <c r="CH127" s="40">
        <f t="shared" si="106"/>
        <v>693517.36629829393</v>
      </c>
      <c r="CI127" s="33">
        <f t="shared" si="107"/>
        <v>2.7161360669306311E-4</v>
      </c>
      <c r="CJ127" s="40">
        <f t="shared" si="108"/>
        <v>3008554.0396062415</v>
      </c>
      <c r="CK127" s="41">
        <f t="shared" si="109"/>
        <v>9.325957965301431E-4</v>
      </c>
      <c r="CL127" s="40">
        <f t="shared" si="110"/>
        <v>1037635.4548324205</v>
      </c>
      <c r="CM127" s="41">
        <f t="shared" si="111"/>
        <v>3.2164769213652213E-4</v>
      </c>
      <c r="CO127" s="70">
        <f t="shared" si="112"/>
        <v>0</v>
      </c>
      <c r="CP127" s="70">
        <f t="shared" si="113"/>
        <v>0</v>
      </c>
      <c r="CQ127" s="70">
        <f t="shared" si="114"/>
        <v>0</v>
      </c>
      <c r="CR127" s="70">
        <f t="shared" si="115"/>
        <v>0</v>
      </c>
      <c r="CS127" s="70">
        <f t="shared" si="116"/>
        <v>0</v>
      </c>
      <c r="CT127" s="70">
        <f t="shared" si="117"/>
        <v>0</v>
      </c>
      <c r="CU127" s="69">
        <f t="shared" si="118"/>
        <v>0</v>
      </c>
      <c r="CV127" s="69">
        <f t="shared" si="119"/>
        <v>0</v>
      </c>
      <c r="CW127" s="70">
        <f t="shared" si="120"/>
        <v>0</v>
      </c>
      <c r="CX127" s="69">
        <f t="shared" si="121"/>
        <v>0</v>
      </c>
      <c r="CY127" s="69">
        <f t="shared" si="122"/>
        <v>0</v>
      </c>
      <c r="CZ127" s="70">
        <f t="shared" si="123"/>
        <v>0</v>
      </c>
      <c r="DB127" s="70">
        <f t="shared" si="124"/>
        <v>1.4132223470209837</v>
      </c>
      <c r="DC127" s="70">
        <f t="shared" si="125"/>
        <v>11.76259795173149</v>
      </c>
      <c r="DD127" s="70">
        <f t="shared" si="126"/>
        <v>13.175820298752473</v>
      </c>
      <c r="DE127" s="70">
        <f t="shared" si="127"/>
        <v>2.6784472595178577</v>
      </c>
      <c r="DF127" s="70">
        <f t="shared" si="128"/>
        <v>9.3992920727839895</v>
      </c>
      <c r="DG127" s="70">
        <f t="shared" si="129"/>
        <v>12.077739332301848</v>
      </c>
      <c r="DH127" s="69">
        <f t="shared" si="130"/>
        <v>4.8989483908930405</v>
      </c>
      <c r="DI127" s="69">
        <f t="shared" si="131"/>
        <v>40.775155041828057</v>
      </c>
      <c r="DJ127" s="70">
        <f t="shared" si="132"/>
        <v>45.674103432721097</v>
      </c>
      <c r="DK127" s="69">
        <f t="shared" si="133"/>
        <v>4.0074725961210573</v>
      </c>
      <c r="DL127" s="69">
        <f t="shared" si="134"/>
        <v>14.063149935384642</v>
      </c>
      <c r="DM127" s="70">
        <f t="shared" si="135"/>
        <v>18.070622531505698</v>
      </c>
    </row>
    <row r="128" spans="1:117">
      <c r="A128" t="s">
        <v>407</v>
      </c>
      <c r="B128">
        <v>1720796</v>
      </c>
      <c r="C128">
        <v>1130429</v>
      </c>
      <c r="D128" s="51">
        <v>41526.29</v>
      </c>
      <c r="E128" s="32">
        <f t="shared" si="68"/>
        <v>46942522478.410004</v>
      </c>
      <c r="F128">
        <v>88066</v>
      </c>
      <c r="G128" s="37">
        <f t="shared" si="69"/>
        <v>5.117747832979621E-2</v>
      </c>
      <c r="H128">
        <v>0</v>
      </c>
      <c r="I128" s="3">
        <f t="shared" si="70"/>
        <v>0</v>
      </c>
      <c r="J128" s="11">
        <f>+'Seat capacity elasticities'!K158</f>
        <v>0</v>
      </c>
      <c r="K128" s="11">
        <f>+'Seat capacity elasticities'!L158</f>
        <v>0</v>
      </c>
      <c r="L128" s="11">
        <f>+'Seat capacity elasticities'!M158</f>
        <v>0</v>
      </c>
      <c r="M128" s="11">
        <f>+'Seat capacity elasticities'!N158</f>
        <v>0</v>
      </c>
      <c r="N128" s="32">
        <f t="shared" si="80"/>
        <v>0</v>
      </c>
      <c r="O128" s="33">
        <f t="shared" si="81"/>
        <v>0</v>
      </c>
      <c r="P128" s="40">
        <f t="shared" si="82"/>
        <v>0</v>
      </c>
      <c r="Q128" s="33">
        <f t="shared" si="83"/>
        <v>0</v>
      </c>
      <c r="R128" s="40">
        <f t="shared" si="84"/>
        <v>0</v>
      </c>
      <c r="S128" s="41">
        <f t="shared" si="85"/>
        <v>0</v>
      </c>
      <c r="T128" s="40">
        <f t="shared" si="86"/>
        <v>0</v>
      </c>
      <c r="U128" s="41">
        <f t="shared" si="87"/>
        <v>0</v>
      </c>
      <c r="V128" s="53"/>
      <c r="W128" s="53"/>
      <c r="X128" t="s">
        <v>407</v>
      </c>
      <c r="Y128">
        <v>1720796</v>
      </c>
      <c r="Z128">
        <v>1130429</v>
      </c>
      <c r="AA128" s="51">
        <v>41526.29</v>
      </c>
      <c r="AB128" s="32">
        <f t="shared" si="71"/>
        <v>46942522478.410004</v>
      </c>
      <c r="AC128">
        <v>88066</v>
      </c>
      <c r="AD128" s="37">
        <f t="shared" si="72"/>
        <v>5.117747832979621E-2</v>
      </c>
      <c r="AE128">
        <v>3.3387E-3</v>
      </c>
      <c r="AF128" s="3">
        <f t="shared" si="73"/>
        <v>3.3387000000000004E-5</v>
      </c>
      <c r="AG128" s="11">
        <f>+'Seat capacity elasticities'!R158</f>
        <v>7.0546654181649028E-3</v>
      </c>
      <c r="AH128" s="11">
        <f>+'Seat capacity elasticities'!S158</f>
        <v>1.3370542360818343E-2</v>
      </c>
      <c r="AI128" s="11">
        <f>+'Seat capacity elasticities'!T158</f>
        <v>1.9355760714098648E-2</v>
      </c>
      <c r="AJ128" s="11">
        <f>+'Seat capacity elasticities'!U158</f>
        <v>1.5833537006232249E-2</v>
      </c>
      <c r="AK128" s="32">
        <f t="shared" si="88"/>
        <v>3311637.8996986765</v>
      </c>
      <c r="AL128" s="33">
        <f t="shared" si="89"/>
        <v>7.0546654181649022E-5</v>
      </c>
      <c r="AM128" s="40">
        <f t="shared" si="90"/>
        <v>6276469.8532124823</v>
      </c>
      <c r="AN128" s="33">
        <f t="shared" si="91"/>
        <v>1.3370542360818344E-4</v>
      </c>
      <c r="AO128" s="40">
        <f t="shared" si="92"/>
        <v>17045844.230478119</v>
      </c>
      <c r="AP128" s="41">
        <f t="shared" si="93"/>
        <v>1.9355760714098654E-4</v>
      </c>
      <c r="AQ128" s="40">
        <f t="shared" si="94"/>
        <v>13943962.699908493</v>
      </c>
      <c r="AR128" s="41">
        <f t="shared" si="95"/>
        <v>1.5833537006232251E-4</v>
      </c>
      <c r="AV128" t="s">
        <v>407</v>
      </c>
      <c r="AW128">
        <v>1720796</v>
      </c>
      <c r="AX128">
        <v>1130429</v>
      </c>
      <c r="AY128" s="51">
        <v>41526.29</v>
      </c>
      <c r="AZ128" s="32">
        <f t="shared" si="74"/>
        <v>46942522478.410004</v>
      </c>
      <c r="BA128">
        <v>88066</v>
      </c>
      <c r="BB128" s="37">
        <f t="shared" si="75"/>
        <v>5.117747832979621E-2</v>
      </c>
      <c r="BC128">
        <v>0</v>
      </c>
      <c r="BD128" s="3">
        <f t="shared" si="76"/>
        <v>0</v>
      </c>
      <c r="BE128" s="11">
        <f>+'Seat capacity elasticities'!Y158</f>
        <v>0</v>
      </c>
      <c r="BF128" s="11">
        <f>+'Seat capacity elasticities'!Z158</f>
        <v>0</v>
      </c>
      <c r="BG128" s="11">
        <f>+'Seat capacity elasticities'!AA158</f>
        <v>0</v>
      </c>
      <c r="BH128" s="11">
        <f>+'Seat capacity elasticities'!AB158</f>
        <v>0</v>
      </c>
      <c r="BI128" s="32">
        <f t="shared" si="96"/>
        <v>0</v>
      </c>
      <c r="BJ128" s="33">
        <f t="shared" si="97"/>
        <v>0</v>
      </c>
      <c r="BK128" s="40">
        <f t="shared" si="98"/>
        <v>0</v>
      </c>
      <c r="BL128" s="33">
        <f t="shared" si="99"/>
        <v>0</v>
      </c>
      <c r="BM128" s="40">
        <f t="shared" si="100"/>
        <v>0</v>
      </c>
      <c r="BN128" s="41">
        <f t="shared" si="101"/>
        <v>0</v>
      </c>
      <c r="BO128" s="40">
        <f t="shared" si="102"/>
        <v>0</v>
      </c>
      <c r="BP128" s="41">
        <f t="shared" si="103"/>
        <v>0</v>
      </c>
      <c r="BQ128" s="53"/>
      <c r="BR128" s="53"/>
      <c r="BS128" t="s">
        <v>407</v>
      </c>
      <c r="BT128">
        <v>1720796</v>
      </c>
      <c r="BU128">
        <v>1130429</v>
      </c>
      <c r="BV128" s="51">
        <v>41526.29</v>
      </c>
      <c r="BW128" s="32">
        <f t="shared" si="77"/>
        <v>46942522478.410004</v>
      </c>
      <c r="BX128">
        <v>88066</v>
      </c>
      <c r="BY128" s="37">
        <f t="shared" si="78"/>
        <v>5.117747832979621E-2</v>
      </c>
      <c r="BZ128">
        <v>3.3387E-3</v>
      </c>
      <c r="CA128" s="3">
        <f t="shared" si="79"/>
        <v>3.3387000000000004E-5</v>
      </c>
      <c r="CB128" s="11">
        <f>+'Seat capacity elasticities'!AF158</f>
        <v>4.1190219538934786E-3</v>
      </c>
      <c r="CC128" s="11">
        <f>+'Seat capacity elasticities'!AG158</f>
        <v>3.2914404247877146E-3</v>
      </c>
      <c r="CD128" s="11">
        <f>+'Seat capacity elasticities'!AH158</f>
        <v>1.1301287671332289E-2</v>
      </c>
      <c r="CE128" s="11">
        <f>+'Seat capacity elasticities'!AI158</f>
        <v>3.8977583977749253E-3</v>
      </c>
      <c r="CF128" s="32">
        <f t="shared" si="104"/>
        <v>1933572.8065970892</v>
      </c>
      <c r="CG128" s="33">
        <f t="shared" si="105"/>
        <v>4.1190219538934785E-5</v>
      </c>
      <c r="CH128" s="40">
        <f t="shared" si="106"/>
        <v>1545085.1612694466</v>
      </c>
      <c r="CI128" s="33">
        <f t="shared" si="107"/>
        <v>3.2914404247877147E-5</v>
      </c>
      <c r="CJ128" s="40">
        <f t="shared" si="108"/>
        <v>9952592.0006354935</v>
      </c>
      <c r="CK128" s="41">
        <f t="shared" si="109"/>
        <v>1.1301287671332288E-4</v>
      </c>
      <c r="CL128" s="40">
        <f t="shared" si="110"/>
        <v>3432599.9105844651</v>
      </c>
      <c r="CM128" s="41">
        <f t="shared" si="111"/>
        <v>3.8977583977749245E-5</v>
      </c>
      <c r="CO128" s="70">
        <f t="shared" si="112"/>
        <v>0</v>
      </c>
      <c r="CP128" s="70">
        <f t="shared" si="113"/>
        <v>0</v>
      </c>
      <c r="CQ128" s="70">
        <f t="shared" si="114"/>
        <v>0</v>
      </c>
      <c r="CR128" s="70">
        <f t="shared" si="115"/>
        <v>0</v>
      </c>
      <c r="CS128" s="70">
        <f t="shared" si="116"/>
        <v>0</v>
      </c>
      <c r="CT128" s="70">
        <f t="shared" si="117"/>
        <v>0</v>
      </c>
      <c r="CU128" s="69">
        <f t="shared" si="118"/>
        <v>0</v>
      </c>
      <c r="CV128" s="69">
        <f t="shared" si="119"/>
        <v>0</v>
      </c>
      <c r="CW128" s="70">
        <f t="shared" si="120"/>
        <v>0</v>
      </c>
      <c r="CX128" s="69">
        <f t="shared" si="121"/>
        <v>0</v>
      </c>
      <c r="CY128" s="69">
        <f t="shared" si="122"/>
        <v>0</v>
      </c>
      <c r="CZ128" s="70">
        <f t="shared" si="123"/>
        <v>0</v>
      </c>
      <c r="DB128" s="70">
        <f t="shared" si="124"/>
        <v>2.9295408200768702</v>
      </c>
      <c r="DC128" s="70">
        <f t="shared" si="125"/>
        <v>1.7104770017374724</v>
      </c>
      <c r="DD128" s="70">
        <f t="shared" si="126"/>
        <v>4.6400178218143431</v>
      </c>
      <c r="DE128" s="70">
        <f t="shared" si="127"/>
        <v>5.5522901953262718</v>
      </c>
      <c r="DF128" s="70">
        <f t="shared" si="128"/>
        <v>1.3668130959745783</v>
      </c>
      <c r="DG128" s="70">
        <f t="shared" si="129"/>
        <v>6.9191032913008499</v>
      </c>
      <c r="DH128" s="69">
        <f t="shared" si="130"/>
        <v>15.07909318539963</v>
      </c>
      <c r="DI128" s="69">
        <f t="shared" si="131"/>
        <v>8.804261037743629</v>
      </c>
      <c r="DJ128" s="70">
        <f t="shared" si="132"/>
        <v>23.883354223143257</v>
      </c>
      <c r="DK128" s="69">
        <f t="shared" si="133"/>
        <v>12.335107025658838</v>
      </c>
      <c r="DL128" s="69">
        <f t="shared" si="134"/>
        <v>3.0365462232342457</v>
      </c>
      <c r="DM128" s="70">
        <f t="shared" si="135"/>
        <v>15.371653248893082</v>
      </c>
    </row>
    <row r="129" spans="1:117">
      <c r="A129" t="s">
        <v>408</v>
      </c>
      <c r="B129">
        <v>149359</v>
      </c>
      <c r="C129">
        <v>115376</v>
      </c>
      <c r="D129" s="51">
        <v>32216.15</v>
      </c>
      <c r="E129" s="32">
        <f t="shared" si="68"/>
        <v>3716970522.4000001</v>
      </c>
      <c r="F129">
        <v>4774</v>
      </c>
      <c r="G129" s="37">
        <f t="shared" si="69"/>
        <v>3.1963256315320807E-2</v>
      </c>
      <c r="H129">
        <v>0</v>
      </c>
      <c r="I129" s="3">
        <f t="shared" si="70"/>
        <v>0</v>
      </c>
      <c r="J129" s="11">
        <f>+'Seat capacity elasticities'!K159</f>
        <v>0</v>
      </c>
      <c r="K129" s="11">
        <f>+'Seat capacity elasticities'!L159</f>
        <v>0</v>
      </c>
      <c r="L129" s="11">
        <f>+'Seat capacity elasticities'!M159</f>
        <v>0</v>
      </c>
      <c r="M129" s="11">
        <f>+'Seat capacity elasticities'!N159</f>
        <v>0</v>
      </c>
      <c r="N129" s="32">
        <f t="shared" si="80"/>
        <v>0</v>
      </c>
      <c r="O129" s="33">
        <f t="shared" si="81"/>
        <v>0</v>
      </c>
      <c r="P129" s="40">
        <f t="shared" si="82"/>
        <v>0</v>
      </c>
      <c r="Q129" s="33">
        <f t="shared" si="83"/>
        <v>0</v>
      </c>
      <c r="R129" s="40">
        <f t="shared" si="84"/>
        <v>0</v>
      </c>
      <c r="S129" s="41">
        <f t="shared" si="85"/>
        <v>0</v>
      </c>
      <c r="T129" s="40">
        <f t="shared" si="86"/>
        <v>0</v>
      </c>
      <c r="U129" s="41">
        <f t="shared" si="87"/>
        <v>0</v>
      </c>
      <c r="V129" s="53"/>
      <c r="W129" s="53"/>
      <c r="X129" t="s">
        <v>408</v>
      </c>
      <c r="Y129">
        <v>149359</v>
      </c>
      <c r="Z129">
        <v>115376</v>
      </c>
      <c r="AA129" s="51">
        <v>32216.15</v>
      </c>
      <c r="AB129" s="32">
        <f t="shared" si="71"/>
        <v>3716970522.4000001</v>
      </c>
      <c r="AC129">
        <v>4774</v>
      </c>
      <c r="AD129" s="37">
        <f t="shared" si="72"/>
        <v>3.1963256315320807E-2</v>
      </c>
      <c r="AE129">
        <v>1.7302000000000001E-2</v>
      </c>
      <c r="AF129" s="3">
        <f t="shared" si="73"/>
        <v>1.7302000000000002E-4</v>
      </c>
      <c r="AG129" s="11">
        <f>+'Seat capacity elasticities'!R159</f>
        <v>2.9030410979954555E-2</v>
      </c>
      <c r="AH129" s="11">
        <f>+'Seat capacity elasticities'!S159</f>
        <v>5.5020658918848706E-2</v>
      </c>
      <c r="AI129" s="11">
        <f>+'Seat capacity elasticities'!T159</f>
        <v>7.9650225071355454E-2</v>
      </c>
      <c r="AJ129" s="11">
        <f>+'Seat capacity elasticities'!U159</f>
        <v>6.5156043456531365E-2</v>
      </c>
      <c r="AK129" s="32">
        <f t="shared" si="88"/>
        <v>1079051.8186564837</v>
      </c>
      <c r="AL129" s="33">
        <f t="shared" si="89"/>
        <v>2.903041097995455E-4</v>
      </c>
      <c r="AM129" s="40">
        <f t="shared" si="90"/>
        <v>2045101.6732438528</v>
      </c>
      <c r="AN129" s="33">
        <f t="shared" si="91"/>
        <v>5.5020658918848698E-4</v>
      </c>
      <c r="AO129" s="40">
        <f t="shared" si="92"/>
        <v>3802501.7449065098</v>
      </c>
      <c r="AP129" s="41">
        <f t="shared" si="93"/>
        <v>7.9650225071355467E-4</v>
      </c>
      <c r="AQ129" s="40">
        <f t="shared" si="94"/>
        <v>3110549.5146148074</v>
      </c>
      <c r="AR129" s="41">
        <f t="shared" si="95"/>
        <v>6.5156043456531367E-4</v>
      </c>
      <c r="AV129" t="s">
        <v>408</v>
      </c>
      <c r="AW129">
        <v>149359</v>
      </c>
      <c r="AX129">
        <v>115376</v>
      </c>
      <c r="AY129" s="51">
        <v>32216.15</v>
      </c>
      <c r="AZ129" s="32">
        <f t="shared" si="74"/>
        <v>3716970522.4000001</v>
      </c>
      <c r="BA129">
        <v>4774</v>
      </c>
      <c r="BB129" s="37">
        <f t="shared" si="75"/>
        <v>3.1963256315320807E-2</v>
      </c>
      <c r="BC129">
        <v>0</v>
      </c>
      <c r="BD129" s="3">
        <f t="shared" si="76"/>
        <v>0</v>
      </c>
      <c r="BE129" s="11">
        <f>+'Seat capacity elasticities'!Y159</f>
        <v>0</v>
      </c>
      <c r="BF129" s="11">
        <f>+'Seat capacity elasticities'!Z159</f>
        <v>0</v>
      </c>
      <c r="BG129" s="11">
        <f>+'Seat capacity elasticities'!AA159</f>
        <v>0</v>
      </c>
      <c r="BH129" s="11">
        <f>+'Seat capacity elasticities'!AB159</f>
        <v>0</v>
      </c>
      <c r="BI129" s="32">
        <f t="shared" si="96"/>
        <v>0</v>
      </c>
      <c r="BJ129" s="33">
        <f t="shared" si="97"/>
        <v>0</v>
      </c>
      <c r="BK129" s="40">
        <f t="shared" si="98"/>
        <v>0</v>
      </c>
      <c r="BL129" s="33">
        <f t="shared" si="99"/>
        <v>0</v>
      </c>
      <c r="BM129" s="40">
        <f t="shared" si="100"/>
        <v>0</v>
      </c>
      <c r="BN129" s="41">
        <f t="shared" si="101"/>
        <v>0</v>
      </c>
      <c r="BO129" s="40">
        <f t="shared" si="102"/>
        <v>0</v>
      </c>
      <c r="BP129" s="41">
        <f t="shared" si="103"/>
        <v>0</v>
      </c>
      <c r="BQ129" s="53"/>
      <c r="BR129" s="53"/>
      <c r="BS129" t="s">
        <v>408</v>
      </c>
      <c r="BT129">
        <v>149359</v>
      </c>
      <c r="BU129">
        <v>115376</v>
      </c>
      <c r="BV129" s="51">
        <v>32216.15</v>
      </c>
      <c r="BW129" s="32">
        <f t="shared" si="77"/>
        <v>3716970522.4000001</v>
      </c>
      <c r="BX129">
        <v>4774</v>
      </c>
      <c r="BY129" s="37">
        <f t="shared" si="78"/>
        <v>3.1963256315320807E-2</v>
      </c>
      <c r="BZ129">
        <v>1.7302000000000001E-2</v>
      </c>
      <c r="CA129" s="3">
        <f t="shared" si="79"/>
        <v>1.7302000000000002E-4</v>
      </c>
      <c r="CB129" s="11">
        <f>+'Seat capacity elasticities'!AF159</f>
        <v>0.24592971578370662</v>
      </c>
      <c r="CC129" s="11">
        <f>+'Seat capacity elasticities'!AG159</f>
        <v>0.19651825536445747</v>
      </c>
      <c r="CD129" s="11">
        <f>+'Seat capacity elasticities'!AH159</f>
        <v>0.6747530108145019</v>
      </c>
      <c r="CE129" s="11">
        <f>+'Seat capacity elasticities'!AI159</f>
        <v>0.23271898661580492</v>
      </c>
      <c r="CF129" s="32">
        <f t="shared" si="104"/>
        <v>9141135.0415024757</v>
      </c>
      <c r="CG129" s="33">
        <f t="shared" si="105"/>
        <v>2.4592971578370664E-3</v>
      </c>
      <c r="CH129" s="40">
        <f t="shared" si="106"/>
        <v>7304525.6230316404</v>
      </c>
      <c r="CI129" s="33">
        <f t="shared" si="107"/>
        <v>1.9651825536445744E-3</v>
      </c>
      <c r="CJ129" s="40">
        <f t="shared" si="108"/>
        <v>32212708.736284327</v>
      </c>
      <c r="CK129" s="41">
        <f t="shared" si="109"/>
        <v>6.7475301081450206E-3</v>
      </c>
      <c r="CL129" s="40">
        <f t="shared" si="110"/>
        <v>11110004.421038527</v>
      </c>
      <c r="CM129" s="41">
        <f t="shared" si="111"/>
        <v>2.3271898661580493E-3</v>
      </c>
      <c r="CO129" s="70">
        <f t="shared" si="112"/>
        <v>0</v>
      </c>
      <c r="CP129" s="70">
        <f t="shared" si="113"/>
        <v>0</v>
      </c>
      <c r="CQ129" s="70">
        <f t="shared" si="114"/>
        <v>0</v>
      </c>
      <c r="CR129" s="70">
        <f t="shared" si="115"/>
        <v>0</v>
      </c>
      <c r="CS129" s="70">
        <f t="shared" si="116"/>
        <v>0</v>
      </c>
      <c r="CT129" s="70">
        <f t="shared" si="117"/>
        <v>0</v>
      </c>
      <c r="CU129" s="69">
        <f t="shared" si="118"/>
        <v>0</v>
      </c>
      <c r="CV129" s="69">
        <f t="shared" si="119"/>
        <v>0</v>
      </c>
      <c r="CW129" s="70">
        <f t="shared" si="120"/>
        <v>0</v>
      </c>
      <c r="CX129" s="69">
        <f t="shared" si="121"/>
        <v>0</v>
      </c>
      <c r="CY129" s="69">
        <f t="shared" si="122"/>
        <v>0</v>
      </c>
      <c r="CZ129" s="70">
        <f t="shared" si="123"/>
        <v>0</v>
      </c>
      <c r="DB129" s="70">
        <f t="shared" si="124"/>
        <v>9.3524807469186282</v>
      </c>
      <c r="DC129" s="70">
        <f t="shared" si="125"/>
        <v>79.229086131452604</v>
      </c>
      <c r="DD129" s="70">
        <f t="shared" si="126"/>
        <v>88.581566878371234</v>
      </c>
      <c r="DE129" s="70">
        <f t="shared" si="127"/>
        <v>17.725538008284676</v>
      </c>
      <c r="DF129" s="70">
        <f t="shared" si="128"/>
        <v>63.310615925596665</v>
      </c>
      <c r="DG129" s="70">
        <f t="shared" si="129"/>
        <v>81.036153933881337</v>
      </c>
      <c r="DH129" s="69">
        <f t="shared" si="130"/>
        <v>32.957475947393824</v>
      </c>
      <c r="DI129" s="69">
        <f t="shared" si="131"/>
        <v>279.19765580609771</v>
      </c>
      <c r="DJ129" s="70">
        <f t="shared" si="132"/>
        <v>312.15513175349156</v>
      </c>
      <c r="DK129" s="69">
        <f t="shared" si="133"/>
        <v>26.960108814786501</v>
      </c>
      <c r="DL129" s="69">
        <f t="shared" si="134"/>
        <v>96.293894926488406</v>
      </c>
      <c r="DM129" s="70">
        <f t="shared" si="135"/>
        <v>123.25400374127491</v>
      </c>
    </row>
    <row r="130" spans="1:117">
      <c r="A130" t="s">
        <v>409</v>
      </c>
      <c r="B130">
        <v>101027</v>
      </c>
      <c r="C130">
        <v>68268</v>
      </c>
      <c r="D130" s="51">
        <v>33516.26</v>
      </c>
      <c r="E130" s="32">
        <f t="shared" si="68"/>
        <v>2288088037.6800003</v>
      </c>
      <c r="F130">
        <v>3348</v>
      </c>
      <c r="G130" s="37">
        <f t="shared" si="69"/>
        <v>3.3139655735595436E-2</v>
      </c>
      <c r="H130">
        <v>0</v>
      </c>
      <c r="I130" s="3">
        <f t="shared" si="70"/>
        <v>0</v>
      </c>
      <c r="J130" s="11">
        <f>+'Seat capacity elasticities'!K160</f>
        <v>0</v>
      </c>
      <c r="K130" s="11">
        <f>+'Seat capacity elasticities'!L160</f>
        <v>0</v>
      </c>
      <c r="L130" s="11">
        <f>+'Seat capacity elasticities'!M160</f>
        <v>0</v>
      </c>
      <c r="M130" s="11">
        <f>+'Seat capacity elasticities'!N160</f>
        <v>0</v>
      </c>
      <c r="N130" s="32">
        <f t="shared" si="80"/>
        <v>0</v>
      </c>
      <c r="O130" s="33">
        <f t="shared" si="81"/>
        <v>0</v>
      </c>
      <c r="P130" s="40">
        <f t="shared" si="82"/>
        <v>0</v>
      </c>
      <c r="Q130" s="33">
        <f t="shared" si="83"/>
        <v>0</v>
      </c>
      <c r="R130" s="40">
        <f t="shared" si="84"/>
        <v>0</v>
      </c>
      <c r="S130" s="41">
        <f t="shared" si="85"/>
        <v>0</v>
      </c>
      <c r="T130" s="40">
        <f t="shared" si="86"/>
        <v>0</v>
      </c>
      <c r="U130" s="41">
        <f t="shared" si="87"/>
        <v>0</v>
      </c>
      <c r="V130" s="53"/>
      <c r="W130" s="53"/>
      <c r="X130" t="s">
        <v>409</v>
      </c>
      <c r="Y130">
        <v>101027</v>
      </c>
      <c r="Z130">
        <v>68268</v>
      </c>
      <c r="AA130" s="51">
        <v>33516.26</v>
      </c>
      <c r="AB130" s="32">
        <f t="shared" si="71"/>
        <v>2288088037.6800003</v>
      </c>
      <c r="AC130">
        <v>3348</v>
      </c>
      <c r="AD130" s="37">
        <f t="shared" si="72"/>
        <v>3.3139655735595436E-2</v>
      </c>
      <c r="AE130">
        <v>2.28357E-2</v>
      </c>
      <c r="AF130" s="3">
        <f t="shared" si="73"/>
        <v>2.28357E-4</v>
      </c>
      <c r="AG130" s="11">
        <f>+'Seat capacity elasticities'!R160</f>
        <v>2.6631239261159369E-2</v>
      </c>
      <c r="AH130" s="11">
        <f>+'Seat capacity elasticities'!S160</f>
        <v>5.0473564876028353E-2</v>
      </c>
      <c r="AI130" s="11">
        <f>+'Seat capacity elasticities'!T160</f>
        <v>7.3067660066718859E-2</v>
      </c>
      <c r="AJ130" s="11">
        <f>+'Seat capacity elasticities'!U160</f>
        <v>5.9771326826875686E-2</v>
      </c>
      <c r="AK130" s="32">
        <f t="shared" si="88"/>
        <v>609346.19982052722</v>
      </c>
      <c r="AL130" s="33">
        <f t="shared" si="89"/>
        <v>2.6631239261159367E-4</v>
      </c>
      <c r="AM130" s="40">
        <f t="shared" si="90"/>
        <v>1154879.600119059</v>
      </c>
      <c r="AN130" s="33">
        <f t="shared" si="91"/>
        <v>5.0473564876028353E-4</v>
      </c>
      <c r="AO130" s="40">
        <f t="shared" si="92"/>
        <v>2446305.2590337475</v>
      </c>
      <c r="AP130" s="41">
        <f t="shared" si="93"/>
        <v>7.306766006671886E-4</v>
      </c>
      <c r="AQ130" s="40">
        <f t="shared" si="94"/>
        <v>2001144.0221637979</v>
      </c>
      <c r="AR130" s="41">
        <f t="shared" si="95"/>
        <v>5.9771326826875675E-4</v>
      </c>
      <c r="AV130" t="s">
        <v>409</v>
      </c>
      <c r="AW130">
        <v>101027</v>
      </c>
      <c r="AX130">
        <v>68268</v>
      </c>
      <c r="AY130" s="51">
        <v>33516.26</v>
      </c>
      <c r="AZ130" s="32">
        <f t="shared" si="74"/>
        <v>2288088037.6800003</v>
      </c>
      <c r="BA130">
        <v>3348</v>
      </c>
      <c r="BB130" s="37">
        <f t="shared" si="75"/>
        <v>3.3139655735595436E-2</v>
      </c>
      <c r="BC130">
        <v>0</v>
      </c>
      <c r="BD130" s="3">
        <f t="shared" si="76"/>
        <v>0</v>
      </c>
      <c r="BE130" s="11">
        <f>+'Seat capacity elasticities'!Y160</f>
        <v>0</v>
      </c>
      <c r="BF130" s="11">
        <f>+'Seat capacity elasticities'!Z160</f>
        <v>0</v>
      </c>
      <c r="BG130" s="11">
        <f>+'Seat capacity elasticities'!AA160</f>
        <v>0</v>
      </c>
      <c r="BH130" s="11">
        <f>+'Seat capacity elasticities'!AB160</f>
        <v>0</v>
      </c>
      <c r="BI130" s="32">
        <f t="shared" si="96"/>
        <v>0</v>
      </c>
      <c r="BJ130" s="33">
        <f t="shared" si="97"/>
        <v>0</v>
      </c>
      <c r="BK130" s="40">
        <f t="shared" si="98"/>
        <v>0</v>
      </c>
      <c r="BL130" s="33">
        <f t="shared" si="99"/>
        <v>0</v>
      </c>
      <c r="BM130" s="40">
        <f t="shared" si="100"/>
        <v>0</v>
      </c>
      <c r="BN130" s="41">
        <f t="shared" si="101"/>
        <v>0</v>
      </c>
      <c r="BO130" s="40">
        <f t="shared" si="102"/>
        <v>0</v>
      </c>
      <c r="BP130" s="41">
        <f t="shared" si="103"/>
        <v>0</v>
      </c>
      <c r="BQ130" s="53"/>
      <c r="BR130" s="53"/>
      <c r="BS130" t="s">
        <v>409</v>
      </c>
      <c r="BT130">
        <v>101027</v>
      </c>
      <c r="BU130">
        <v>68268</v>
      </c>
      <c r="BV130" s="51">
        <v>33516.26</v>
      </c>
      <c r="BW130" s="32">
        <f t="shared" si="77"/>
        <v>2288088037.6800003</v>
      </c>
      <c r="BX130">
        <v>3348</v>
      </c>
      <c r="BY130" s="37">
        <f t="shared" si="78"/>
        <v>3.3139655735595436E-2</v>
      </c>
      <c r="BZ130">
        <v>2.28357E-2</v>
      </c>
      <c r="CA130" s="3">
        <f t="shared" si="79"/>
        <v>2.28357E-4</v>
      </c>
      <c r="CB130" s="11">
        <f>+'Seat capacity elasticities'!AF160</f>
        <v>0.47986930335512407</v>
      </c>
      <c r="CC130" s="11">
        <f>+'Seat capacity elasticities'!AG160</f>
        <v>0.38345540309266835</v>
      </c>
      <c r="CD130" s="11">
        <f>+'Seat capacity elasticities'!AH160</f>
        <v>1.3166089189526871</v>
      </c>
      <c r="CE130" s="11">
        <f>+'Seat capacity elasticities'!AI160</f>
        <v>0.45409192471500198</v>
      </c>
      <c r="CF130" s="32">
        <f t="shared" si="104"/>
        <v>10979832.126566947</v>
      </c>
      <c r="CG130" s="33">
        <f t="shared" si="105"/>
        <v>4.7986930335512405E-3</v>
      </c>
      <c r="CH130" s="40">
        <f t="shared" si="106"/>
        <v>8773797.208000971</v>
      </c>
      <c r="CI130" s="33">
        <f t="shared" si="107"/>
        <v>3.834554030926684E-3</v>
      </c>
      <c r="CJ130" s="40">
        <f t="shared" si="108"/>
        <v>44080066.606535964</v>
      </c>
      <c r="CK130" s="41">
        <f t="shared" si="109"/>
        <v>1.3166089189526871E-2</v>
      </c>
      <c r="CL130" s="40">
        <f t="shared" si="110"/>
        <v>15202997.639458267</v>
      </c>
      <c r="CM130" s="41">
        <f t="shared" si="111"/>
        <v>4.5409192471500201E-3</v>
      </c>
      <c r="CO130" s="70">
        <f t="shared" si="112"/>
        <v>0</v>
      </c>
      <c r="CP130" s="70">
        <f t="shared" si="113"/>
        <v>0</v>
      </c>
      <c r="CQ130" s="70">
        <f t="shared" si="114"/>
        <v>0</v>
      </c>
      <c r="CR130" s="70">
        <f t="shared" si="115"/>
        <v>0</v>
      </c>
      <c r="CS130" s="70">
        <f t="shared" si="116"/>
        <v>0</v>
      </c>
      <c r="CT130" s="70">
        <f t="shared" si="117"/>
        <v>0</v>
      </c>
      <c r="CU130" s="69">
        <f t="shared" si="118"/>
        <v>0</v>
      </c>
      <c r="CV130" s="69">
        <f t="shared" si="119"/>
        <v>0</v>
      </c>
      <c r="CW130" s="70">
        <f t="shared" si="120"/>
        <v>0</v>
      </c>
      <c r="CX130" s="69">
        <f t="shared" si="121"/>
        <v>0</v>
      </c>
      <c r="CY130" s="69">
        <f t="shared" si="122"/>
        <v>0</v>
      </c>
      <c r="CZ130" s="70">
        <f t="shared" si="123"/>
        <v>0</v>
      </c>
      <c r="DB130" s="70">
        <f t="shared" si="124"/>
        <v>8.9257953919922546</v>
      </c>
      <c r="DC130" s="70">
        <f t="shared" si="125"/>
        <v>160.83424337269213</v>
      </c>
      <c r="DD130" s="70">
        <f t="shared" si="126"/>
        <v>169.7600387646844</v>
      </c>
      <c r="DE130" s="70">
        <f t="shared" si="127"/>
        <v>16.916851235118344</v>
      </c>
      <c r="DF130" s="70">
        <f t="shared" si="128"/>
        <v>128.51990988458678</v>
      </c>
      <c r="DG130" s="70">
        <f t="shared" si="129"/>
        <v>145.43676111970512</v>
      </c>
      <c r="DH130" s="69">
        <f t="shared" si="130"/>
        <v>35.833849812997997</v>
      </c>
      <c r="DI130" s="69">
        <f t="shared" si="131"/>
        <v>645.69148951977445</v>
      </c>
      <c r="DJ130" s="70">
        <f t="shared" si="132"/>
        <v>681.52533933277243</v>
      </c>
      <c r="DK130" s="69">
        <f t="shared" si="133"/>
        <v>29.313060616449842</v>
      </c>
      <c r="DL130" s="69">
        <f t="shared" si="134"/>
        <v>222.69581120668931</v>
      </c>
      <c r="DM130" s="70">
        <f t="shared" si="135"/>
        <v>252.00887182313915</v>
      </c>
    </row>
    <row r="131" spans="1:117">
      <c r="A131" t="s">
        <v>410</v>
      </c>
      <c r="B131">
        <v>160266</v>
      </c>
      <c r="C131">
        <v>74845</v>
      </c>
      <c r="D131" s="51">
        <v>37490.89</v>
      </c>
      <c r="E131" s="32">
        <f t="shared" si="68"/>
        <v>2806005662.0500002</v>
      </c>
      <c r="F131">
        <v>4218</v>
      </c>
      <c r="G131" s="37">
        <f t="shared" si="69"/>
        <v>2.6318745086294035E-2</v>
      </c>
      <c r="H131">
        <v>0</v>
      </c>
      <c r="I131" s="3">
        <f t="shared" si="70"/>
        <v>0</v>
      </c>
      <c r="J131" s="11">
        <f>+'Seat capacity elasticities'!K161</f>
        <v>0</v>
      </c>
      <c r="K131" s="11">
        <f>+'Seat capacity elasticities'!L161</f>
        <v>0</v>
      </c>
      <c r="L131" s="11">
        <f>+'Seat capacity elasticities'!M161</f>
        <v>0</v>
      </c>
      <c r="M131" s="11">
        <f>+'Seat capacity elasticities'!N161</f>
        <v>0</v>
      </c>
      <c r="N131" s="32">
        <f t="shared" si="80"/>
        <v>0</v>
      </c>
      <c r="O131" s="33">
        <f t="shared" si="81"/>
        <v>0</v>
      </c>
      <c r="P131" s="40">
        <f t="shared" si="82"/>
        <v>0</v>
      </c>
      <c r="Q131" s="33">
        <f t="shared" si="83"/>
        <v>0</v>
      </c>
      <c r="R131" s="40">
        <f t="shared" si="84"/>
        <v>0</v>
      </c>
      <c r="S131" s="41">
        <f t="shared" si="85"/>
        <v>0</v>
      </c>
      <c r="T131" s="40">
        <f t="shared" si="86"/>
        <v>0</v>
      </c>
      <c r="U131" s="41">
        <f t="shared" si="87"/>
        <v>0</v>
      </c>
      <c r="V131" s="53"/>
      <c r="W131" s="53"/>
      <c r="X131" t="s">
        <v>410</v>
      </c>
      <c r="Y131">
        <v>160266</v>
      </c>
      <c r="Z131">
        <v>74845</v>
      </c>
      <c r="AA131" s="51">
        <v>37490.89</v>
      </c>
      <c r="AB131" s="32">
        <f t="shared" si="71"/>
        <v>2806005662.0500002</v>
      </c>
      <c r="AC131">
        <v>4218</v>
      </c>
      <c r="AD131" s="37">
        <f t="shared" si="72"/>
        <v>2.6318745086294035E-2</v>
      </c>
      <c r="AE131">
        <v>2.0958999999999999E-3</v>
      </c>
      <c r="AF131" s="3">
        <f t="shared" si="73"/>
        <v>2.0959E-5</v>
      </c>
      <c r="AG131" s="11">
        <f>+'Seat capacity elasticities'!R161</f>
        <v>2.6930618923927657E-3</v>
      </c>
      <c r="AH131" s="11">
        <f>+'Seat capacity elasticities'!S161</f>
        <v>5.1040972148484395E-3</v>
      </c>
      <c r="AI131" s="11">
        <f>+'Seat capacity elasticities'!T161</f>
        <v>7.3889062751570471E-3</v>
      </c>
      <c r="AJ131" s="11">
        <f>+'Seat capacity elasticities'!U161</f>
        <v>6.0443256491626261E-3</v>
      </c>
      <c r="AK131" s="32">
        <f t="shared" si="88"/>
        <v>75567.469183051886</v>
      </c>
      <c r="AL131" s="33">
        <f t="shared" si="89"/>
        <v>2.6930618923927657E-5</v>
      </c>
      <c r="AM131" s="40">
        <f t="shared" si="90"/>
        <v>143221.25684518358</v>
      </c>
      <c r="AN131" s="33">
        <f t="shared" si="91"/>
        <v>5.1040972148484399E-5</v>
      </c>
      <c r="AO131" s="40">
        <f t="shared" si="92"/>
        <v>311664.06668612425</v>
      </c>
      <c r="AP131" s="41">
        <f t="shared" si="93"/>
        <v>7.3889062751570484E-5</v>
      </c>
      <c r="AQ131" s="40">
        <f t="shared" si="94"/>
        <v>254949.65588167956</v>
      </c>
      <c r="AR131" s="41">
        <f t="shared" si="95"/>
        <v>6.0443256491626255E-5</v>
      </c>
      <c r="AV131" t="s">
        <v>410</v>
      </c>
      <c r="AW131">
        <v>160266</v>
      </c>
      <c r="AX131">
        <v>74845</v>
      </c>
      <c r="AY131" s="51">
        <v>37490.89</v>
      </c>
      <c r="AZ131" s="32">
        <f t="shared" si="74"/>
        <v>2806005662.0500002</v>
      </c>
      <c r="BA131">
        <v>4218</v>
      </c>
      <c r="BB131" s="37">
        <f t="shared" si="75"/>
        <v>2.6318745086294035E-2</v>
      </c>
      <c r="BC131">
        <v>0</v>
      </c>
      <c r="BD131" s="3">
        <f t="shared" si="76"/>
        <v>0</v>
      </c>
      <c r="BE131" s="11">
        <f>+'Seat capacity elasticities'!Y161</f>
        <v>0</v>
      </c>
      <c r="BF131" s="11">
        <f>+'Seat capacity elasticities'!Z161</f>
        <v>0</v>
      </c>
      <c r="BG131" s="11">
        <f>+'Seat capacity elasticities'!AA161</f>
        <v>0</v>
      </c>
      <c r="BH131" s="11">
        <f>+'Seat capacity elasticities'!AB161</f>
        <v>0</v>
      </c>
      <c r="BI131" s="32">
        <f t="shared" si="96"/>
        <v>0</v>
      </c>
      <c r="BJ131" s="33">
        <f t="shared" si="97"/>
        <v>0</v>
      </c>
      <c r="BK131" s="40">
        <f t="shared" si="98"/>
        <v>0</v>
      </c>
      <c r="BL131" s="33">
        <f t="shared" si="99"/>
        <v>0</v>
      </c>
      <c r="BM131" s="40">
        <f t="shared" si="100"/>
        <v>0</v>
      </c>
      <c r="BN131" s="41">
        <f t="shared" si="101"/>
        <v>0</v>
      </c>
      <c r="BO131" s="40">
        <f t="shared" si="102"/>
        <v>0</v>
      </c>
      <c r="BP131" s="41">
        <f t="shared" si="103"/>
        <v>0</v>
      </c>
      <c r="BQ131" s="53"/>
      <c r="BR131" s="53"/>
      <c r="BS131" t="s">
        <v>410</v>
      </c>
      <c r="BT131">
        <v>160266</v>
      </c>
      <c r="BU131">
        <v>74845</v>
      </c>
      <c r="BV131" s="51">
        <v>37490.89</v>
      </c>
      <c r="BW131" s="32">
        <f t="shared" si="77"/>
        <v>2806005662.0500002</v>
      </c>
      <c r="BX131">
        <v>4218</v>
      </c>
      <c r="BY131" s="37">
        <f t="shared" si="78"/>
        <v>2.6318745086294035E-2</v>
      </c>
      <c r="BZ131">
        <v>2.0958999999999999E-3</v>
      </c>
      <c r="CA131" s="3">
        <f t="shared" si="79"/>
        <v>2.0959E-5</v>
      </c>
      <c r="CB131" s="11">
        <f>+'Seat capacity elasticities'!AF161</f>
        <v>2.7763566669609194E-2</v>
      </c>
      <c r="CC131" s="11">
        <f>+'Seat capacity elasticities'!AG161</f>
        <v>2.2185394177436264E-2</v>
      </c>
      <c r="CD131" s="11">
        <f>+'Seat capacity elasticities'!AH161</f>
        <v>7.6174406746942189E-2</v>
      </c>
      <c r="CE131" s="11">
        <f>+'Seat capacity elasticities'!AI161</f>
        <v>2.6272177315385052E-2</v>
      </c>
      <c r="CF131" s="32">
        <f t="shared" si="104"/>
        <v>779047.25273626065</v>
      </c>
      <c r="CG131" s="33">
        <f t="shared" si="105"/>
        <v>2.7763566669609192E-4</v>
      </c>
      <c r="CH131" s="40">
        <f t="shared" si="106"/>
        <v>622523.41676697263</v>
      </c>
      <c r="CI131" s="33">
        <f t="shared" si="107"/>
        <v>2.2185394177436264E-4</v>
      </c>
      <c r="CJ131" s="40">
        <f t="shared" si="108"/>
        <v>3213036.4765860215</v>
      </c>
      <c r="CK131" s="41">
        <f t="shared" si="109"/>
        <v>7.6174406746942194E-4</v>
      </c>
      <c r="CL131" s="40">
        <f t="shared" si="110"/>
        <v>1108160.4391629416</v>
      </c>
      <c r="CM131" s="41">
        <f t="shared" si="111"/>
        <v>2.6272177315385056E-4</v>
      </c>
      <c r="CO131" s="70">
        <f t="shared" si="112"/>
        <v>0</v>
      </c>
      <c r="CP131" s="70">
        <f t="shared" si="113"/>
        <v>0</v>
      </c>
      <c r="CQ131" s="70">
        <f t="shared" si="114"/>
        <v>0</v>
      </c>
      <c r="CR131" s="70">
        <f t="shared" si="115"/>
        <v>0</v>
      </c>
      <c r="CS131" s="70">
        <f t="shared" si="116"/>
        <v>0</v>
      </c>
      <c r="CT131" s="70">
        <f t="shared" si="117"/>
        <v>0</v>
      </c>
      <c r="CU131" s="69">
        <f t="shared" si="118"/>
        <v>0</v>
      </c>
      <c r="CV131" s="69">
        <f t="shared" si="119"/>
        <v>0</v>
      </c>
      <c r="CW131" s="70">
        <f t="shared" si="120"/>
        <v>0</v>
      </c>
      <c r="CX131" s="69">
        <f t="shared" si="121"/>
        <v>0</v>
      </c>
      <c r="CY131" s="69">
        <f t="shared" si="122"/>
        <v>0</v>
      </c>
      <c r="CZ131" s="70">
        <f t="shared" si="123"/>
        <v>0</v>
      </c>
      <c r="DB131" s="70">
        <f t="shared" si="124"/>
        <v>1.0096528717088902</v>
      </c>
      <c r="DC131" s="70">
        <f t="shared" si="125"/>
        <v>10.408808240179846</v>
      </c>
      <c r="DD131" s="70">
        <f t="shared" si="126"/>
        <v>11.418461111888737</v>
      </c>
      <c r="DE131" s="70">
        <f t="shared" si="127"/>
        <v>1.9135714723118924</v>
      </c>
      <c r="DF131" s="70">
        <f t="shared" si="128"/>
        <v>8.3175017271290344</v>
      </c>
      <c r="DG131" s="70">
        <f t="shared" si="129"/>
        <v>10.231073199440926</v>
      </c>
      <c r="DH131" s="69">
        <f t="shared" si="130"/>
        <v>4.1641267511005982</v>
      </c>
      <c r="DI131" s="69">
        <f t="shared" si="131"/>
        <v>42.929206715024669</v>
      </c>
      <c r="DJ131" s="70">
        <f t="shared" si="132"/>
        <v>47.093333466125266</v>
      </c>
      <c r="DK131" s="69">
        <f t="shared" si="133"/>
        <v>3.406368573474241</v>
      </c>
      <c r="DL131" s="69">
        <f t="shared" si="134"/>
        <v>14.806071737095888</v>
      </c>
      <c r="DM131" s="70">
        <f t="shared" si="135"/>
        <v>18.21244031057013</v>
      </c>
    </row>
    <row r="132" spans="1:117">
      <c r="A132" t="s">
        <v>411</v>
      </c>
      <c r="B132">
        <v>537194</v>
      </c>
      <c r="C132">
        <v>342633</v>
      </c>
      <c r="D132" s="51">
        <v>34641.96</v>
      </c>
      <c r="E132" s="32">
        <f t="shared" ref="E132:E195" si="136">C132*D132</f>
        <v>11869478680.68</v>
      </c>
      <c r="F132">
        <v>19517</v>
      </c>
      <c r="G132" s="37">
        <f t="shared" ref="G132:G195" si="137">+F132/B132</f>
        <v>3.6331381214235452E-2</v>
      </c>
      <c r="H132">
        <v>0</v>
      </c>
      <c r="I132" s="3">
        <f t="shared" ref="I132:I195" si="138">+H132*$C$1</f>
        <v>0</v>
      </c>
      <c r="J132" s="11">
        <f>+'Seat capacity elasticities'!K162</f>
        <v>0</v>
      </c>
      <c r="K132" s="11">
        <f>+'Seat capacity elasticities'!L162</f>
        <v>0</v>
      </c>
      <c r="L132" s="11">
        <f>+'Seat capacity elasticities'!M162</f>
        <v>0</v>
      </c>
      <c r="M132" s="11">
        <f>+'Seat capacity elasticities'!N162</f>
        <v>0</v>
      </c>
      <c r="N132" s="32">
        <f t="shared" si="80"/>
        <v>0</v>
      </c>
      <c r="O132" s="33">
        <f t="shared" si="81"/>
        <v>0</v>
      </c>
      <c r="P132" s="40">
        <f t="shared" si="82"/>
        <v>0</v>
      </c>
      <c r="Q132" s="33">
        <f t="shared" si="83"/>
        <v>0</v>
      </c>
      <c r="R132" s="40">
        <f t="shared" si="84"/>
        <v>0</v>
      </c>
      <c r="S132" s="41">
        <f t="shared" si="85"/>
        <v>0</v>
      </c>
      <c r="T132" s="40">
        <f t="shared" si="86"/>
        <v>0</v>
      </c>
      <c r="U132" s="41">
        <f t="shared" si="87"/>
        <v>0</v>
      </c>
      <c r="V132" s="53"/>
      <c r="W132" s="53"/>
      <c r="X132" t="s">
        <v>411</v>
      </c>
      <c r="Y132">
        <v>537194</v>
      </c>
      <c r="Z132">
        <v>342633</v>
      </c>
      <c r="AA132" s="51">
        <v>34641.96</v>
      </c>
      <c r="AB132" s="32">
        <f t="shared" ref="AB132:AB195" si="139">Z132*AA132</f>
        <v>11869478680.68</v>
      </c>
      <c r="AC132">
        <v>19517</v>
      </c>
      <c r="AD132" s="37">
        <f t="shared" ref="AD132:AD195" si="140">+AC132/Y132</f>
        <v>3.6331381214235452E-2</v>
      </c>
      <c r="AE132">
        <v>1.8209000000000001E-3</v>
      </c>
      <c r="AF132" s="3">
        <f t="shared" ref="AF132:AF195" si="141">+AE132*$C$1</f>
        <v>1.8209000000000001E-5</v>
      </c>
      <c r="AG132" s="11">
        <f>+'Seat capacity elasticities'!R162</f>
        <v>5.1746802286293699E-3</v>
      </c>
      <c r="AH132" s="11">
        <f>+'Seat capacity elasticities'!S162</f>
        <v>9.8074504033071157E-3</v>
      </c>
      <c r="AI132" s="11">
        <f>+'Seat capacity elasticities'!T162</f>
        <v>1.4197678605625708E-2</v>
      </c>
      <c r="AJ132" s="11">
        <f>+'Seat capacity elasticities'!U162</f>
        <v>1.1614086003916323E-2</v>
      </c>
      <c r="AK132" s="32">
        <f t="shared" si="88"/>
        <v>614207.56653052615</v>
      </c>
      <c r="AL132" s="33">
        <f t="shared" si="89"/>
        <v>5.1746802286293697E-5</v>
      </c>
      <c r="AM132" s="40">
        <f t="shared" si="90"/>
        <v>1164093.2347388028</v>
      </c>
      <c r="AN132" s="33">
        <f t="shared" si="91"/>
        <v>9.807450403307115E-5</v>
      </c>
      <c r="AO132" s="40">
        <f t="shared" si="92"/>
        <v>2770960.9334599692</v>
      </c>
      <c r="AP132" s="41">
        <f t="shared" si="93"/>
        <v>1.419767860562571E-4</v>
      </c>
      <c r="AQ132" s="40">
        <f t="shared" si="94"/>
        <v>2266721.1653843489</v>
      </c>
      <c r="AR132" s="41">
        <f t="shared" si="95"/>
        <v>1.1614086003916324E-4</v>
      </c>
      <c r="AV132" t="s">
        <v>411</v>
      </c>
      <c r="AW132">
        <v>537194</v>
      </c>
      <c r="AX132">
        <v>342633</v>
      </c>
      <c r="AY132" s="51">
        <v>34641.96</v>
      </c>
      <c r="AZ132" s="32">
        <f t="shared" ref="AZ132:AZ195" si="142">AX132*AY132</f>
        <v>11869478680.68</v>
      </c>
      <c r="BA132">
        <v>19517</v>
      </c>
      <c r="BB132" s="37">
        <f t="shared" ref="BB132:BB195" si="143">+BA132/AW132</f>
        <v>3.6331381214235452E-2</v>
      </c>
      <c r="BC132">
        <v>0</v>
      </c>
      <c r="BD132" s="3">
        <f t="shared" ref="BD132:BD195" si="144">+BC132*$C$1</f>
        <v>0</v>
      </c>
      <c r="BE132" s="11">
        <f>+'Seat capacity elasticities'!Y162</f>
        <v>0</v>
      </c>
      <c r="BF132" s="11">
        <f>+'Seat capacity elasticities'!Z162</f>
        <v>0</v>
      </c>
      <c r="BG132" s="11">
        <f>+'Seat capacity elasticities'!AA162</f>
        <v>0</v>
      </c>
      <c r="BH132" s="11">
        <f>+'Seat capacity elasticities'!AB162</f>
        <v>0</v>
      </c>
      <c r="BI132" s="32">
        <f t="shared" si="96"/>
        <v>0</v>
      </c>
      <c r="BJ132" s="33">
        <f t="shared" si="97"/>
        <v>0</v>
      </c>
      <c r="BK132" s="40">
        <f t="shared" si="98"/>
        <v>0</v>
      </c>
      <c r="BL132" s="33">
        <f t="shared" si="99"/>
        <v>0</v>
      </c>
      <c r="BM132" s="40">
        <f t="shared" si="100"/>
        <v>0</v>
      </c>
      <c r="BN132" s="41">
        <f t="shared" si="101"/>
        <v>0</v>
      </c>
      <c r="BO132" s="40">
        <f t="shared" si="102"/>
        <v>0</v>
      </c>
      <c r="BP132" s="41">
        <f t="shared" si="103"/>
        <v>0</v>
      </c>
      <c r="BQ132" s="53"/>
      <c r="BR132" s="53"/>
      <c r="BS132" t="s">
        <v>411</v>
      </c>
      <c r="BT132">
        <v>537194</v>
      </c>
      <c r="BU132">
        <v>342633</v>
      </c>
      <c r="BV132" s="51">
        <v>34641.96</v>
      </c>
      <c r="BW132" s="32">
        <f t="shared" ref="BW132:BW195" si="145">BU132*BV132</f>
        <v>11869478680.68</v>
      </c>
      <c r="BX132">
        <v>19517</v>
      </c>
      <c r="BY132" s="37">
        <f t="shared" ref="BY132:BY195" si="146">+BX132/BT132</f>
        <v>3.6331381214235452E-2</v>
      </c>
      <c r="BZ132">
        <v>1.8209000000000001E-3</v>
      </c>
      <c r="CA132" s="3">
        <f t="shared" ref="CA132:CA195" si="147">+BZ132*$C$1</f>
        <v>1.8209000000000001E-5</v>
      </c>
      <c r="CB132" s="11">
        <f>+'Seat capacity elasticities'!AF162</f>
        <v>7.1961637960561518E-3</v>
      </c>
      <c r="CC132" s="11">
        <f>+'Seat capacity elasticities'!AG162</f>
        <v>5.7503321630379342E-3</v>
      </c>
      <c r="CD132" s="11">
        <f>+'Seat capacity elasticities'!AH162</f>
        <v>1.9743987310478973E-2</v>
      </c>
      <c r="CE132" s="11">
        <f>+'Seat capacity elasticities'!AI162</f>
        <v>6.8096038772817646E-3</v>
      </c>
      <c r="CF132" s="32">
        <f t="shared" si="104"/>
        <v>854147.12759969756</v>
      </c>
      <c r="CG132" s="33">
        <f t="shared" si="105"/>
        <v>7.1961637960561519E-5</v>
      </c>
      <c r="CH132" s="40">
        <f t="shared" si="106"/>
        <v>682534.45016007277</v>
      </c>
      <c r="CI132" s="33">
        <f t="shared" si="107"/>
        <v>5.7503321630379347E-5</v>
      </c>
      <c r="CJ132" s="40">
        <f t="shared" si="108"/>
        <v>3853434.0033861813</v>
      </c>
      <c r="CK132" s="41">
        <f t="shared" si="109"/>
        <v>1.9743987310478974E-4</v>
      </c>
      <c r="CL132" s="40">
        <f t="shared" si="110"/>
        <v>1329030.3887290822</v>
      </c>
      <c r="CM132" s="41">
        <f t="shared" si="111"/>
        <v>6.8096038772817646E-5</v>
      </c>
      <c r="CO132" s="70">
        <f t="shared" si="112"/>
        <v>0</v>
      </c>
      <c r="CP132" s="70">
        <f t="shared" si="113"/>
        <v>0</v>
      </c>
      <c r="CQ132" s="70">
        <f t="shared" si="114"/>
        <v>0</v>
      </c>
      <c r="CR132" s="70">
        <f t="shared" si="115"/>
        <v>0</v>
      </c>
      <c r="CS132" s="70">
        <f t="shared" si="116"/>
        <v>0</v>
      </c>
      <c r="CT132" s="70">
        <f t="shared" si="117"/>
        <v>0</v>
      </c>
      <c r="CU132" s="69">
        <f t="shared" si="118"/>
        <v>0</v>
      </c>
      <c r="CV132" s="69">
        <f t="shared" si="119"/>
        <v>0</v>
      </c>
      <c r="CW132" s="70">
        <f t="shared" si="120"/>
        <v>0</v>
      </c>
      <c r="CX132" s="69">
        <f t="shared" si="121"/>
        <v>0</v>
      </c>
      <c r="CY132" s="69">
        <f t="shared" si="122"/>
        <v>0</v>
      </c>
      <c r="CZ132" s="70">
        <f t="shared" si="123"/>
        <v>0</v>
      </c>
      <c r="DB132" s="70">
        <f t="shared" si="124"/>
        <v>1.792610654929695</v>
      </c>
      <c r="DC132" s="70">
        <f t="shared" si="125"/>
        <v>2.4928921837642539</v>
      </c>
      <c r="DD132" s="70">
        <f t="shared" si="126"/>
        <v>4.2855028386939491</v>
      </c>
      <c r="DE132" s="70">
        <f t="shared" si="127"/>
        <v>3.3974930457334898</v>
      </c>
      <c r="DF132" s="70">
        <f t="shared" si="128"/>
        <v>1.9920277677867362</v>
      </c>
      <c r="DG132" s="70">
        <f t="shared" si="129"/>
        <v>5.3895208135202264</v>
      </c>
      <c r="DH132" s="69">
        <f t="shared" si="130"/>
        <v>8.087256433151417</v>
      </c>
      <c r="DI132" s="69">
        <f t="shared" si="131"/>
        <v>11.246534932088215</v>
      </c>
      <c r="DJ132" s="70">
        <f t="shared" si="132"/>
        <v>19.333791365239634</v>
      </c>
      <c r="DK132" s="69">
        <f t="shared" si="133"/>
        <v>6.615595010942755</v>
      </c>
      <c r="DL132" s="69">
        <f t="shared" si="134"/>
        <v>3.8788744479635127</v>
      </c>
      <c r="DM132" s="70">
        <f t="shared" si="135"/>
        <v>10.494469458906268</v>
      </c>
    </row>
    <row r="133" spans="1:117">
      <c r="A133" t="s">
        <v>412</v>
      </c>
      <c r="B133">
        <v>113008</v>
      </c>
      <c r="C133">
        <v>77424</v>
      </c>
      <c r="D133" s="51">
        <v>33077.94</v>
      </c>
      <c r="E133" s="32">
        <f t="shared" si="136"/>
        <v>2561026426.5599999</v>
      </c>
      <c r="F133">
        <v>3844</v>
      </c>
      <c r="G133" s="37">
        <f t="shared" si="137"/>
        <v>3.4015290952852897E-2</v>
      </c>
      <c r="H133">
        <v>0</v>
      </c>
      <c r="I133" s="3">
        <f t="shared" si="138"/>
        <v>0</v>
      </c>
      <c r="J133" s="11">
        <f>+'Seat capacity elasticities'!K163</f>
        <v>0</v>
      </c>
      <c r="K133" s="11">
        <f>+'Seat capacity elasticities'!L163</f>
        <v>0</v>
      </c>
      <c r="L133" s="11">
        <f>+'Seat capacity elasticities'!M163</f>
        <v>0</v>
      </c>
      <c r="M133" s="11">
        <f>+'Seat capacity elasticities'!N163</f>
        <v>0</v>
      </c>
      <c r="N133" s="32">
        <f t="shared" ref="N133:N196" si="148">E133*$C$1*J133</f>
        <v>0</v>
      </c>
      <c r="O133" s="33">
        <f t="shared" ref="O133:O196" si="149">N133/E133</f>
        <v>0</v>
      </c>
      <c r="P133" s="40">
        <f t="shared" ref="P133:P196" si="150">+E133*$C$1*K133</f>
        <v>0</v>
      </c>
      <c r="Q133" s="33">
        <f t="shared" ref="Q133:Q196" si="151">P133/E133</f>
        <v>0</v>
      </c>
      <c r="R133" s="40">
        <f t="shared" ref="R133:R196" si="152">+L133*$C$1*G133*B133*1000000</f>
        <v>0</v>
      </c>
      <c r="S133" s="41">
        <f t="shared" ref="S133:S196" si="153">+R133/F133/1000000</f>
        <v>0</v>
      </c>
      <c r="T133" s="40">
        <f t="shared" ref="T133:T196" si="154">+M133*G133*B133*$C$1*1000000</f>
        <v>0</v>
      </c>
      <c r="U133" s="41">
        <f t="shared" ref="U133:U196" si="155">+T133/F133/1000000</f>
        <v>0</v>
      </c>
      <c r="V133" s="53"/>
      <c r="W133" s="53"/>
      <c r="X133" t="s">
        <v>412</v>
      </c>
      <c r="Y133">
        <v>113008</v>
      </c>
      <c r="Z133">
        <v>77424</v>
      </c>
      <c r="AA133" s="51">
        <v>33077.94</v>
      </c>
      <c r="AB133" s="32">
        <f t="shared" si="139"/>
        <v>2561026426.5599999</v>
      </c>
      <c r="AC133">
        <v>3844</v>
      </c>
      <c r="AD133" s="37">
        <f t="shared" si="140"/>
        <v>3.4015290952852897E-2</v>
      </c>
      <c r="AE133">
        <v>3.5406000000000001E-3</v>
      </c>
      <c r="AF133" s="3">
        <f t="shared" si="141"/>
        <v>3.5405999999999999E-5</v>
      </c>
      <c r="AG133" s="11">
        <f>+'Seat capacity elasticities'!R163</f>
        <v>1.0199759826986555E-2</v>
      </c>
      <c r="AH133" s="11">
        <f>+'Seat capacity elasticities'!S163</f>
        <v>1.9331366231167324E-2</v>
      </c>
      <c r="AI133" s="11">
        <f>+'Seat capacity elasticities'!T163</f>
        <v>2.7984900608338564E-2</v>
      </c>
      <c r="AJ133" s="11">
        <f>+'Seat capacity elasticities'!U163</f>
        <v>2.2892407379013935E-2</v>
      </c>
      <c r="AK133" s="32">
        <f t="shared" ref="AK133:AK196" si="156">AB133*$C$1*AG133</f>
        <v>261218.54461477621</v>
      </c>
      <c r="AL133" s="33">
        <f t="shared" ref="AL133:AL196" si="157">AK133/AB133</f>
        <v>1.0199759826986555E-4</v>
      </c>
      <c r="AM133" s="40">
        <f t="shared" ref="AM133:AM196" si="158">+AB133*$C$1*AH133</f>
        <v>495081.39779529104</v>
      </c>
      <c r="AN133" s="33">
        <f t="shared" ref="AN133:AN196" si="159">AM133/AB133</f>
        <v>1.9331366231167322E-4</v>
      </c>
      <c r="AO133" s="40">
        <f t="shared" ref="AO133:AO196" si="160">+AI133*$C$1*AD133*Y133*1000000</f>
        <v>1075739.5793845346</v>
      </c>
      <c r="AP133" s="41">
        <f t="shared" ref="AP133:AP196" si="161">+AO133/AC133/1000000</f>
        <v>2.7984900608338568E-4</v>
      </c>
      <c r="AQ133" s="40">
        <f t="shared" ref="AQ133:AQ196" si="162">+AJ133*AD133*Y133*$C$1*1000000</f>
        <v>879984.13964929571</v>
      </c>
      <c r="AR133" s="41">
        <f t="shared" ref="AR133:AR196" si="163">+AQ133/AC133/1000000</f>
        <v>2.2892407379013937E-4</v>
      </c>
      <c r="AV133" t="s">
        <v>412</v>
      </c>
      <c r="AW133">
        <v>113008</v>
      </c>
      <c r="AX133">
        <v>77424</v>
      </c>
      <c r="AY133" s="51">
        <v>33077.94</v>
      </c>
      <c r="AZ133" s="32">
        <f t="shared" si="142"/>
        <v>2561026426.5599999</v>
      </c>
      <c r="BA133">
        <v>3844</v>
      </c>
      <c r="BB133" s="37">
        <f t="shared" si="143"/>
        <v>3.4015290952852897E-2</v>
      </c>
      <c r="BC133">
        <v>0</v>
      </c>
      <c r="BD133" s="3">
        <f t="shared" si="144"/>
        <v>0</v>
      </c>
      <c r="BE133" s="11">
        <f>+'Seat capacity elasticities'!Y163</f>
        <v>0</v>
      </c>
      <c r="BF133" s="11">
        <f>+'Seat capacity elasticities'!Z163</f>
        <v>0</v>
      </c>
      <c r="BG133" s="11">
        <f>+'Seat capacity elasticities'!AA163</f>
        <v>0</v>
      </c>
      <c r="BH133" s="11">
        <f>+'Seat capacity elasticities'!AB163</f>
        <v>0</v>
      </c>
      <c r="BI133" s="32">
        <f t="shared" ref="BI133:BI196" si="164">AZ133*$C$1*BE133</f>
        <v>0</v>
      </c>
      <c r="BJ133" s="33">
        <f t="shared" ref="BJ133:BJ196" si="165">BI133/AZ133</f>
        <v>0</v>
      </c>
      <c r="BK133" s="40">
        <f t="shared" ref="BK133:BK196" si="166">+AZ133*$C$1*BF133</f>
        <v>0</v>
      </c>
      <c r="BL133" s="33">
        <f t="shared" ref="BL133:BL196" si="167">BK133/AZ133</f>
        <v>0</v>
      </c>
      <c r="BM133" s="40">
        <f t="shared" ref="BM133:BM196" si="168">+BG133*$C$1*BB133*AW133*1000000</f>
        <v>0</v>
      </c>
      <c r="BN133" s="41">
        <f t="shared" ref="BN133:BN196" si="169">+BM133/BA133/1000000</f>
        <v>0</v>
      </c>
      <c r="BO133" s="40">
        <f t="shared" ref="BO133:BO196" si="170">+BH133*BB133*AW133*$C$1*1000000</f>
        <v>0</v>
      </c>
      <c r="BP133" s="41">
        <f t="shared" ref="BP133:BP196" si="171">+BO133/BA133/1000000</f>
        <v>0</v>
      </c>
      <c r="BQ133" s="53"/>
      <c r="BR133" s="53"/>
      <c r="BS133" t="s">
        <v>412</v>
      </c>
      <c r="BT133">
        <v>113008</v>
      </c>
      <c r="BU133">
        <v>77424</v>
      </c>
      <c r="BV133" s="51">
        <v>33077.94</v>
      </c>
      <c r="BW133" s="32">
        <f t="shared" si="145"/>
        <v>2561026426.5599999</v>
      </c>
      <c r="BX133">
        <v>3844</v>
      </c>
      <c r="BY133" s="37">
        <f t="shared" si="146"/>
        <v>3.4015290952852897E-2</v>
      </c>
      <c r="BZ133">
        <v>3.5406000000000001E-3</v>
      </c>
      <c r="CA133" s="3">
        <f t="shared" si="147"/>
        <v>3.5405999999999999E-5</v>
      </c>
      <c r="CB133" s="11">
        <f>+'Seat capacity elasticities'!AF163</f>
        <v>6.6514108348467299E-2</v>
      </c>
      <c r="CC133" s="11">
        <f>+'Seat capacity elasticities'!AG163</f>
        <v>5.315029331900397E-2</v>
      </c>
      <c r="CD133" s="11">
        <f>+'Seat capacity elasticities'!AH163</f>
        <v>0.18249358247232905</v>
      </c>
      <c r="CE133" s="11">
        <f>+'Seat capacity elasticities'!AI163</f>
        <v>6.2941136825136287E-2</v>
      </c>
      <c r="CF133" s="32">
        <f t="shared" ref="CF133:CF196" si="172">BW133*$C$1*CB133</f>
        <v>1703443.8921949987</v>
      </c>
      <c r="CG133" s="33">
        <f t="shared" ref="CG133:CG196" si="173">CF133/BW133</f>
        <v>6.6514108348467301E-4</v>
      </c>
      <c r="CH133" s="40">
        <f t="shared" ref="CH133:CH196" si="174">+BW133*$C$1*CC133</f>
        <v>1361193.0576938458</v>
      </c>
      <c r="CI133" s="33">
        <f t="shared" ref="CI133:CI196" si="175">CH133/BW133</f>
        <v>5.3150293319003978E-4</v>
      </c>
      <c r="CJ133" s="40">
        <f t="shared" ref="CJ133:CJ196" si="176">+CD133*$C$1*BY133*BT133*1000000</f>
        <v>7015053.3102363292</v>
      </c>
      <c r="CK133" s="41">
        <f t="shared" ref="CK133:CK196" si="177">+CJ133/BX133/1000000</f>
        <v>1.8249358247232905E-3</v>
      </c>
      <c r="CL133" s="40">
        <f t="shared" ref="CL133:CL196" si="178">+CE133*BY133*BT133*$C$1*1000000</f>
        <v>2419457.2995582386</v>
      </c>
      <c r="CM133" s="41">
        <f t="shared" ref="CM133:CM196" si="179">+CL133/BX133/1000000</f>
        <v>6.2941136825136275E-4</v>
      </c>
      <c r="CO133" s="70">
        <f t="shared" ref="CO133:CO196" si="180">+N133/C133</f>
        <v>0</v>
      </c>
      <c r="CP133" s="70">
        <f t="shared" ref="CP133:CP196" si="181">+BI133/C133</f>
        <v>0</v>
      </c>
      <c r="CQ133" s="70">
        <f t="shared" ref="CQ133:CQ196" si="182">+(CO133+CP133)</f>
        <v>0</v>
      </c>
      <c r="CR133" s="70">
        <f t="shared" ref="CR133:CR196" si="183">+P133/C133</f>
        <v>0</v>
      </c>
      <c r="CS133" s="70">
        <f t="shared" ref="CS133:CS196" si="184">+BK133/C133</f>
        <v>0</v>
      </c>
      <c r="CT133" s="70">
        <f t="shared" ref="CT133:CT196" si="185">+(CR133+CS133)</f>
        <v>0</v>
      </c>
      <c r="CU133" s="69">
        <f t="shared" ref="CU133:CU196" si="186">+R133/C133</f>
        <v>0</v>
      </c>
      <c r="CV133" s="69">
        <f t="shared" ref="CV133:CV196" si="187">+BM133/C133</f>
        <v>0</v>
      </c>
      <c r="CW133" s="70">
        <f t="shared" ref="CW133:CW196" si="188">+(CU133+CV133)</f>
        <v>0</v>
      </c>
      <c r="CX133" s="69">
        <f t="shared" ref="CX133:CX196" si="189">+T133/C133</f>
        <v>0</v>
      </c>
      <c r="CY133" s="69">
        <f t="shared" ref="CY133:CY196" si="190">+BO133/C133</f>
        <v>0</v>
      </c>
      <c r="CZ133" s="70">
        <f t="shared" ref="CZ133:CZ196" si="191">+(CX133+CY133)</f>
        <v>0</v>
      </c>
      <c r="DB133" s="70">
        <f t="shared" ref="DB133:DB196" si="192">+AK133/C133</f>
        <v>3.3738704357147165</v>
      </c>
      <c r="DC133" s="70">
        <f t="shared" ref="DC133:DC196" si="193">+CF133/C133</f>
        <v>22.001496851041004</v>
      </c>
      <c r="DD133" s="70">
        <f t="shared" ref="DD133:DD196" si="194">+(DB133+DC133)</f>
        <v>25.375367286755722</v>
      </c>
      <c r="DE133" s="70">
        <f t="shared" ref="DE133:DE196" si="195">+AM133/C133</f>
        <v>6.3944177231257884</v>
      </c>
      <c r="DF133" s="70">
        <f t="shared" ref="DF133:DF196" si="196">+CH133/C133</f>
        <v>17.581022133884144</v>
      </c>
      <c r="DG133" s="70">
        <f t="shared" ref="DG133:DG196" si="197">+(DE133+DF133)</f>
        <v>23.975439857009931</v>
      </c>
      <c r="DH133" s="69">
        <f t="shared" ref="DH133:DH196" si="198">+AO133/C133</f>
        <v>13.894135918895104</v>
      </c>
      <c r="DI133" s="69">
        <f t="shared" ref="DI133:DI196" si="199">+CJ133/C133</f>
        <v>90.60566891708423</v>
      </c>
      <c r="DJ133" s="70">
        <f t="shared" ref="DJ133:DJ196" si="200">+(DH133+DI133)</f>
        <v>104.49980483597933</v>
      </c>
      <c r="DK133" s="69">
        <f t="shared" ref="DK133:DK196" si="201">+AQ133/C133</f>
        <v>11.365779857011983</v>
      </c>
      <c r="DL133" s="69">
        <f t="shared" ref="DL133:DL196" si="202">+CL133/C133</f>
        <v>31.249448485718105</v>
      </c>
      <c r="DM133" s="70">
        <f t="shared" ref="DM133:DM196" si="203">+(DK133+DL133)</f>
        <v>42.615228342730092</v>
      </c>
    </row>
    <row r="134" spans="1:117">
      <c r="A134" t="s">
        <v>413</v>
      </c>
      <c r="B134">
        <v>1316528</v>
      </c>
      <c r="C134">
        <v>826575</v>
      </c>
      <c r="D134" s="51">
        <v>38499.519999999997</v>
      </c>
      <c r="E134" s="32">
        <f t="shared" si="136"/>
        <v>31822740743.999996</v>
      </c>
      <c r="F134">
        <v>51732</v>
      </c>
      <c r="G134" s="37">
        <f t="shared" si="137"/>
        <v>3.9294264914988518E-2</v>
      </c>
      <c r="H134">
        <v>0</v>
      </c>
      <c r="I134" s="3">
        <f t="shared" si="138"/>
        <v>0</v>
      </c>
      <c r="J134" s="11">
        <f>+'Seat capacity elasticities'!K164</f>
        <v>0</v>
      </c>
      <c r="K134" s="11">
        <f>+'Seat capacity elasticities'!L164</f>
        <v>0</v>
      </c>
      <c r="L134" s="11">
        <f>+'Seat capacity elasticities'!M164</f>
        <v>0</v>
      </c>
      <c r="M134" s="11">
        <f>+'Seat capacity elasticities'!N164</f>
        <v>0</v>
      </c>
      <c r="N134" s="32">
        <f t="shared" si="148"/>
        <v>0</v>
      </c>
      <c r="O134" s="33">
        <f t="shared" si="149"/>
        <v>0</v>
      </c>
      <c r="P134" s="40">
        <f t="shared" si="150"/>
        <v>0</v>
      </c>
      <c r="Q134" s="33">
        <f t="shared" si="151"/>
        <v>0</v>
      </c>
      <c r="R134" s="40">
        <f t="shared" si="152"/>
        <v>0</v>
      </c>
      <c r="S134" s="41">
        <f t="shared" si="153"/>
        <v>0</v>
      </c>
      <c r="T134" s="40">
        <f t="shared" si="154"/>
        <v>0</v>
      </c>
      <c r="U134" s="41">
        <f t="shared" si="155"/>
        <v>0</v>
      </c>
      <c r="V134" s="53"/>
      <c r="W134" s="53"/>
      <c r="X134" t="s">
        <v>413</v>
      </c>
      <c r="Y134">
        <v>1316528</v>
      </c>
      <c r="Z134">
        <v>826575</v>
      </c>
      <c r="AA134" s="51">
        <v>38499.519999999997</v>
      </c>
      <c r="AB134" s="32">
        <f t="shared" si="139"/>
        <v>31822740743.999996</v>
      </c>
      <c r="AC134">
        <v>51732</v>
      </c>
      <c r="AD134" s="37">
        <f t="shared" si="140"/>
        <v>3.9294264914988518E-2</v>
      </c>
      <c r="AE134">
        <v>5.7381999999999997E-3</v>
      </c>
      <c r="AF134" s="3">
        <f t="shared" si="141"/>
        <v>5.7382E-5</v>
      </c>
      <c r="AG134" s="11">
        <f>+'Seat capacity elasticities'!R164</f>
        <v>1.5306259640005855E-2</v>
      </c>
      <c r="AH134" s="11">
        <f>+'Seat capacity elasticities'!S164</f>
        <v>2.9009595887485456E-2</v>
      </c>
      <c r="AI134" s="11">
        <f>+'Seat capacity elasticities'!T164</f>
        <v>4.1995513813734481E-2</v>
      </c>
      <c r="AJ134" s="11">
        <f>+'Seat capacity elasticities'!U164</f>
        <v>3.4353468814127514E-2</v>
      </c>
      <c r="AK134" s="32">
        <f t="shared" si="156"/>
        <v>4870871.322842571</v>
      </c>
      <c r="AL134" s="33">
        <f t="shared" si="157"/>
        <v>1.5306259640005858E-4</v>
      </c>
      <c r="AM134" s="40">
        <f t="shared" si="158"/>
        <v>9231648.4901565816</v>
      </c>
      <c r="AN134" s="33">
        <f t="shared" si="159"/>
        <v>2.9009595887485455E-4</v>
      </c>
      <c r="AO134" s="40">
        <f t="shared" si="160"/>
        <v>21725119.206121128</v>
      </c>
      <c r="AP134" s="41">
        <f t="shared" si="161"/>
        <v>4.1995513813734495E-4</v>
      </c>
      <c r="AQ134" s="40">
        <f t="shared" si="162"/>
        <v>17771736.486924447</v>
      </c>
      <c r="AR134" s="41">
        <f t="shared" si="163"/>
        <v>3.4353468814127519E-4</v>
      </c>
      <c r="AV134" t="s">
        <v>413</v>
      </c>
      <c r="AW134">
        <v>1316528</v>
      </c>
      <c r="AX134">
        <v>826575</v>
      </c>
      <c r="AY134" s="51">
        <v>38499.519999999997</v>
      </c>
      <c r="AZ134" s="32">
        <f t="shared" si="142"/>
        <v>31822740743.999996</v>
      </c>
      <c r="BA134">
        <v>51732</v>
      </c>
      <c r="BB134" s="37">
        <f t="shared" si="143"/>
        <v>3.9294264914988518E-2</v>
      </c>
      <c r="BC134">
        <v>0</v>
      </c>
      <c r="BD134" s="3">
        <f t="shared" si="144"/>
        <v>0</v>
      </c>
      <c r="BE134" s="11">
        <f>+'Seat capacity elasticities'!Y164</f>
        <v>0</v>
      </c>
      <c r="BF134" s="11">
        <f>+'Seat capacity elasticities'!Z164</f>
        <v>0</v>
      </c>
      <c r="BG134" s="11">
        <f>+'Seat capacity elasticities'!AA164</f>
        <v>0</v>
      </c>
      <c r="BH134" s="11">
        <f>+'Seat capacity elasticities'!AB164</f>
        <v>0</v>
      </c>
      <c r="BI134" s="32">
        <f t="shared" si="164"/>
        <v>0</v>
      </c>
      <c r="BJ134" s="33">
        <f t="shared" si="165"/>
        <v>0</v>
      </c>
      <c r="BK134" s="40">
        <f t="shared" si="166"/>
        <v>0</v>
      </c>
      <c r="BL134" s="33">
        <f t="shared" si="167"/>
        <v>0</v>
      </c>
      <c r="BM134" s="40">
        <f t="shared" si="168"/>
        <v>0</v>
      </c>
      <c r="BN134" s="41">
        <f t="shared" si="169"/>
        <v>0</v>
      </c>
      <c r="BO134" s="40">
        <f t="shared" si="170"/>
        <v>0</v>
      </c>
      <c r="BP134" s="41">
        <f t="shared" si="171"/>
        <v>0</v>
      </c>
      <c r="BQ134" s="53"/>
      <c r="BR134" s="53"/>
      <c r="BS134" t="s">
        <v>413</v>
      </c>
      <c r="BT134">
        <v>1316528</v>
      </c>
      <c r="BU134">
        <v>826575</v>
      </c>
      <c r="BV134" s="51">
        <v>38499.519999999997</v>
      </c>
      <c r="BW134" s="32">
        <f t="shared" si="145"/>
        <v>31822740743.999996</v>
      </c>
      <c r="BX134">
        <v>51732</v>
      </c>
      <c r="BY134" s="37">
        <f t="shared" si="146"/>
        <v>3.9294264914988518E-2</v>
      </c>
      <c r="BZ134">
        <v>5.7381999999999997E-3</v>
      </c>
      <c r="CA134" s="3">
        <f t="shared" si="147"/>
        <v>5.7382E-5</v>
      </c>
      <c r="CB134" s="11">
        <f>+'Seat capacity elasticities'!AF164</f>
        <v>9.2531942312388503E-3</v>
      </c>
      <c r="CC134" s="11">
        <f>+'Seat capacity elasticities'!AG164</f>
        <v>7.3940702166744639E-3</v>
      </c>
      <c r="CD134" s="11">
        <f>+'Seat capacity elasticities'!AH164</f>
        <v>2.5387825327586738E-2</v>
      </c>
      <c r="CE134" s="11">
        <f>+'Seat capacity elasticities'!AI164</f>
        <v>8.7561357829039708E-3</v>
      </c>
      <c r="CF134" s="32">
        <f t="shared" si="172"/>
        <v>2944620.010745903</v>
      </c>
      <c r="CG134" s="33">
        <f t="shared" si="173"/>
        <v>9.2531942312388505E-5</v>
      </c>
      <c r="CH134" s="40">
        <f t="shared" si="174"/>
        <v>2352995.7954816339</v>
      </c>
      <c r="CI134" s="33">
        <f t="shared" si="175"/>
        <v>7.3940702166744657E-5</v>
      </c>
      <c r="CJ134" s="40">
        <f t="shared" si="176"/>
        <v>13133629.79846717</v>
      </c>
      <c r="CK134" s="41">
        <f t="shared" si="177"/>
        <v>2.5387825327586737E-4</v>
      </c>
      <c r="CL134" s="40">
        <f t="shared" si="178"/>
        <v>4529724.163211883</v>
      </c>
      <c r="CM134" s="41">
        <f t="shared" si="179"/>
        <v>8.7561357829039725E-5</v>
      </c>
      <c r="CO134" s="70">
        <f t="shared" si="180"/>
        <v>0</v>
      </c>
      <c r="CP134" s="70">
        <f t="shared" si="181"/>
        <v>0</v>
      </c>
      <c r="CQ134" s="70">
        <f t="shared" si="182"/>
        <v>0</v>
      </c>
      <c r="CR134" s="70">
        <f t="shared" si="183"/>
        <v>0</v>
      </c>
      <c r="CS134" s="70">
        <f t="shared" si="184"/>
        <v>0</v>
      </c>
      <c r="CT134" s="70">
        <f t="shared" si="185"/>
        <v>0</v>
      </c>
      <c r="CU134" s="69">
        <f t="shared" si="186"/>
        <v>0</v>
      </c>
      <c r="CV134" s="69">
        <f t="shared" si="187"/>
        <v>0</v>
      </c>
      <c r="CW134" s="70">
        <f t="shared" si="188"/>
        <v>0</v>
      </c>
      <c r="CX134" s="69">
        <f t="shared" si="189"/>
        <v>0</v>
      </c>
      <c r="CY134" s="69">
        <f t="shared" si="190"/>
        <v>0</v>
      </c>
      <c r="CZ134" s="70">
        <f t="shared" si="191"/>
        <v>0</v>
      </c>
      <c r="DB134" s="70">
        <f t="shared" si="192"/>
        <v>5.8928364913559825</v>
      </c>
      <c r="DC134" s="70">
        <f t="shared" si="193"/>
        <v>3.5624353636946471</v>
      </c>
      <c r="DD134" s="70">
        <f t="shared" si="194"/>
        <v>9.4552718550506292</v>
      </c>
      <c r="DE134" s="70">
        <f t="shared" si="195"/>
        <v>11.168555170621639</v>
      </c>
      <c r="DF134" s="70">
        <f t="shared" si="196"/>
        <v>2.8466815418826288</v>
      </c>
      <c r="DG134" s="70">
        <f t="shared" si="197"/>
        <v>14.015236712504269</v>
      </c>
      <c r="DH134" s="69">
        <f t="shared" si="198"/>
        <v>26.283300615335726</v>
      </c>
      <c r="DI134" s="69">
        <f t="shared" si="199"/>
        <v>15.889217310549158</v>
      </c>
      <c r="DJ134" s="70">
        <f t="shared" si="200"/>
        <v>42.172517925884883</v>
      </c>
      <c r="DK134" s="69">
        <f t="shared" si="201"/>
        <v>21.500452453708917</v>
      </c>
      <c r="DL134" s="69">
        <f t="shared" si="202"/>
        <v>5.4801127099318068</v>
      </c>
      <c r="DM134" s="70">
        <f t="shared" si="203"/>
        <v>26.980565163640723</v>
      </c>
    </row>
    <row r="135" spans="1:117">
      <c r="A135" t="s">
        <v>414</v>
      </c>
      <c r="B135">
        <v>160186</v>
      </c>
      <c r="C135">
        <v>84361</v>
      </c>
      <c r="D135" s="51">
        <v>36059.019999999997</v>
      </c>
      <c r="E135" s="32">
        <f t="shared" si="136"/>
        <v>3041974986.2199998</v>
      </c>
      <c r="F135">
        <v>4366</v>
      </c>
      <c r="G135" s="37">
        <f t="shared" si="137"/>
        <v>2.7255815114928895E-2</v>
      </c>
      <c r="H135">
        <v>0</v>
      </c>
      <c r="I135" s="3">
        <f t="shared" si="138"/>
        <v>0</v>
      </c>
      <c r="J135" s="11">
        <f>+'Seat capacity elasticities'!K165</f>
        <v>0</v>
      </c>
      <c r="K135" s="11">
        <f>+'Seat capacity elasticities'!L165</f>
        <v>0</v>
      </c>
      <c r="L135" s="11">
        <f>+'Seat capacity elasticities'!M165</f>
        <v>0</v>
      </c>
      <c r="M135" s="11">
        <f>+'Seat capacity elasticities'!N165</f>
        <v>0</v>
      </c>
      <c r="N135" s="32">
        <f t="shared" si="148"/>
        <v>0</v>
      </c>
      <c r="O135" s="33">
        <f t="shared" si="149"/>
        <v>0</v>
      </c>
      <c r="P135" s="40">
        <f t="shared" si="150"/>
        <v>0</v>
      </c>
      <c r="Q135" s="33">
        <f t="shared" si="151"/>
        <v>0</v>
      </c>
      <c r="R135" s="40">
        <f t="shared" si="152"/>
        <v>0</v>
      </c>
      <c r="S135" s="41">
        <f t="shared" si="153"/>
        <v>0</v>
      </c>
      <c r="T135" s="40">
        <f t="shared" si="154"/>
        <v>0</v>
      </c>
      <c r="U135" s="41">
        <f t="shared" si="155"/>
        <v>0</v>
      </c>
      <c r="V135" s="53"/>
      <c r="W135" s="53"/>
      <c r="X135" t="s">
        <v>414</v>
      </c>
      <c r="Y135">
        <v>160186</v>
      </c>
      <c r="Z135">
        <v>84361</v>
      </c>
      <c r="AA135" s="51">
        <v>36059.019999999997</v>
      </c>
      <c r="AB135" s="32">
        <f t="shared" si="139"/>
        <v>3041974986.2199998</v>
      </c>
      <c r="AC135">
        <v>4366</v>
      </c>
      <c r="AD135" s="37">
        <f t="shared" si="140"/>
        <v>2.7255815114928895E-2</v>
      </c>
      <c r="AE135">
        <v>6.5725999999999996E-3</v>
      </c>
      <c r="AF135" s="3">
        <f t="shared" si="141"/>
        <v>6.5726000000000001E-5</v>
      </c>
      <c r="AG135" s="11">
        <f>+'Seat capacity elasticities'!R165</f>
        <v>1.8297813500472531E-2</v>
      </c>
      <c r="AH135" s="11">
        <f>+'Seat capacity elasticities'!S165</f>
        <v>3.4679417947798559E-2</v>
      </c>
      <c r="AI135" s="11">
        <f>+'Seat capacity elasticities'!T165</f>
        <v>5.0203387221513088E-2</v>
      </c>
      <c r="AJ135" s="11">
        <f>+'Seat capacity elasticities'!U165</f>
        <v>4.1067731780287775E-2</v>
      </c>
      <c r="AK135" s="32">
        <f t="shared" si="156"/>
        <v>556614.90970956057</v>
      </c>
      <c r="AL135" s="33">
        <f t="shared" si="157"/>
        <v>1.8297813500472532E-4</v>
      </c>
      <c r="AM135" s="40">
        <f t="shared" si="158"/>
        <v>1054939.2193387214</v>
      </c>
      <c r="AN135" s="33">
        <f t="shared" si="159"/>
        <v>3.4679417947798557E-4</v>
      </c>
      <c r="AO135" s="40">
        <f t="shared" si="160"/>
        <v>2191879.8860912612</v>
      </c>
      <c r="AP135" s="41">
        <f t="shared" si="161"/>
        <v>5.0203387221513078E-4</v>
      </c>
      <c r="AQ135" s="40">
        <f t="shared" si="162"/>
        <v>1793017.1695273642</v>
      </c>
      <c r="AR135" s="41">
        <f t="shared" si="163"/>
        <v>4.1067731780287774E-4</v>
      </c>
      <c r="AV135" t="s">
        <v>414</v>
      </c>
      <c r="AW135">
        <v>160186</v>
      </c>
      <c r="AX135">
        <v>84361</v>
      </c>
      <c r="AY135" s="51">
        <v>36059.019999999997</v>
      </c>
      <c r="AZ135" s="32">
        <f t="shared" si="142"/>
        <v>3041974986.2199998</v>
      </c>
      <c r="BA135">
        <v>4366</v>
      </c>
      <c r="BB135" s="37">
        <f t="shared" si="143"/>
        <v>2.7255815114928895E-2</v>
      </c>
      <c r="BC135">
        <v>0</v>
      </c>
      <c r="BD135" s="3">
        <f t="shared" si="144"/>
        <v>0</v>
      </c>
      <c r="BE135" s="11">
        <f>+'Seat capacity elasticities'!Y165</f>
        <v>0</v>
      </c>
      <c r="BF135" s="11">
        <f>+'Seat capacity elasticities'!Z165</f>
        <v>0</v>
      </c>
      <c r="BG135" s="11">
        <f>+'Seat capacity elasticities'!AA165</f>
        <v>0</v>
      </c>
      <c r="BH135" s="11">
        <f>+'Seat capacity elasticities'!AB165</f>
        <v>0</v>
      </c>
      <c r="BI135" s="32">
        <f t="shared" si="164"/>
        <v>0</v>
      </c>
      <c r="BJ135" s="33">
        <f t="shared" si="165"/>
        <v>0</v>
      </c>
      <c r="BK135" s="40">
        <f t="shared" si="166"/>
        <v>0</v>
      </c>
      <c r="BL135" s="33">
        <f t="shared" si="167"/>
        <v>0</v>
      </c>
      <c r="BM135" s="40">
        <f t="shared" si="168"/>
        <v>0</v>
      </c>
      <c r="BN135" s="41">
        <f t="shared" si="169"/>
        <v>0</v>
      </c>
      <c r="BO135" s="40">
        <f t="shared" si="170"/>
        <v>0</v>
      </c>
      <c r="BP135" s="41">
        <f t="shared" si="171"/>
        <v>0</v>
      </c>
      <c r="BQ135" s="53"/>
      <c r="BR135" s="53"/>
      <c r="BS135" t="s">
        <v>414</v>
      </c>
      <c r="BT135">
        <v>160186</v>
      </c>
      <c r="BU135">
        <v>84361</v>
      </c>
      <c r="BV135" s="51">
        <v>36059.019999999997</v>
      </c>
      <c r="BW135" s="32">
        <f t="shared" si="145"/>
        <v>3041974986.2199998</v>
      </c>
      <c r="BX135">
        <v>4366</v>
      </c>
      <c r="BY135" s="37">
        <f t="shared" si="146"/>
        <v>2.7255815114928895E-2</v>
      </c>
      <c r="BZ135">
        <v>6.5725999999999996E-3</v>
      </c>
      <c r="CA135" s="3">
        <f t="shared" si="147"/>
        <v>6.5726000000000001E-5</v>
      </c>
      <c r="CB135" s="11">
        <f>+'Seat capacity elasticities'!AF165</f>
        <v>8.7108140540657908E-2</v>
      </c>
      <c r="CC135" s="11">
        <f>+'Seat capacity elasticities'!AG165</f>
        <v>6.9606634369258236E-2</v>
      </c>
      <c r="CD135" s="11">
        <f>+'Seat capacity elasticities'!AH165</f>
        <v>0.23899706429927803</v>
      </c>
      <c r="CE135" s="11">
        <f>+'Seat capacity elasticities'!AI165</f>
        <v>8.2428909121490021E-2</v>
      </c>
      <c r="CF135" s="32">
        <f t="shared" si="172"/>
        <v>2649807.8462081766</v>
      </c>
      <c r="CG135" s="33">
        <f t="shared" si="173"/>
        <v>8.7108140540657908E-4</v>
      </c>
      <c r="CH135" s="40">
        <f t="shared" si="174"/>
        <v>2117416.406262449</v>
      </c>
      <c r="CI135" s="33">
        <f t="shared" si="175"/>
        <v>6.9606634369258238E-4</v>
      </c>
      <c r="CJ135" s="40">
        <f t="shared" si="176"/>
        <v>10434611.827306479</v>
      </c>
      <c r="CK135" s="41">
        <f t="shared" si="177"/>
        <v>2.3899706429927805E-3</v>
      </c>
      <c r="CL135" s="40">
        <f t="shared" si="178"/>
        <v>3598846.1722442545</v>
      </c>
      <c r="CM135" s="41">
        <f t="shared" si="179"/>
        <v>8.2428909121490029E-4</v>
      </c>
      <c r="CO135" s="70">
        <f t="shared" si="180"/>
        <v>0</v>
      </c>
      <c r="CP135" s="70">
        <f t="shared" si="181"/>
        <v>0</v>
      </c>
      <c r="CQ135" s="70">
        <f t="shared" si="182"/>
        <v>0</v>
      </c>
      <c r="CR135" s="70">
        <f t="shared" si="183"/>
        <v>0</v>
      </c>
      <c r="CS135" s="70">
        <f t="shared" si="184"/>
        <v>0</v>
      </c>
      <c r="CT135" s="70">
        <f t="shared" si="185"/>
        <v>0</v>
      </c>
      <c r="CU135" s="69">
        <f t="shared" si="186"/>
        <v>0</v>
      </c>
      <c r="CV135" s="69">
        <f t="shared" si="187"/>
        <v>0</v>
      </c>
      <c r="CW135" s="70">
        <f t="shared" si="188"/>
        <v>0</v>
      </c>
      <c r="CX135" s="69">
        <f t="shared" si="189"/>
        <v>0</v>
      </c>
      <c r="CY135" s="69">
        <f t="shared" si="190"/>
        <v>0</v>
      </c>
      <c r="CZ135" s="70">
        <f t="shared" si="191"/>
        <v>0</v>
      </c>
      <c r="DB135" s="70">
        <f t="shared" si="192"/>
        <v>6.5980122296980896</v>
      </c>
      <c r="DC135" s="70">
        <f t="shared" si="193"/>
        <v>31.410341819183941</v>
      </c>
      <c r="DD135" s="70">
        <f t="shared" si="194"/>
        <v>38.008354048882033</v>
      </c>
      <c r="DE135" s="70">
        <f t="shared" si="195"/>
        <v>12.505058253680271</v>
      </c>
      <c r="DF135" s="70">
        <f t="shared" si="196"/>
        <v>25.099470208537699</v>
      </c>
      <c r="DG135" s="70">
        <f t="shared" si="197"/>
        <v>37.604528462217971</v>
      </c>
      <c r="DH135" s="69">
        <f t="shared" si="198"/>
        <v>25.982146798772668</v>
      </c>
      <c r="DI135" s="69">
        <f t="shared" si="199"/>
        <v>123.68999688607863</v>
      </c>
      <c r="DJ135" s="70">
        <f t="shared" si="200"/>
        <v>149.67214368485131</v>
      </c>
      <c r="DK135" s="69">
        <f t="shared" si="201"/>
        <v>21.254100467364829</v>
      </c>
      <c r="DL135" s="69">
        <f t="shared" si="202"/>
        <v>42.660070082671545</v>
      </c>
      <c r="DM135" s="70">
        <f t="shared" si="203"/>
        <v>63.914170550036374</v>
      </c>
    </row>
    <row r="136" spans="1:117">
      <c r="A136" t="s">
        <v>415</v>
      </c>
      <c r="B136">
        <v>146465</v>
      </c>
      <c r="C136">
        <v>102421</v>
      </c>
      <c r="D136" s="51">
        <v>33773.29</v>
      </c>
      <c r="E136" s="32">
        <f t="shared" si="136"/>
        <v>3459094135.0900002</v>
      </c>
      <c r="F136">
        <v>4085</v>
      </c>
      <c r="G136" s="37">
        <f t="shared" si="137"/>
        <v>2.7890622332980574E-2</v>
      </c>
      <c r="H136">
        <v>0</v>
      </c>
      <c r="I136" s="3">
        <f t="shared" si="138"/>
        <v>0</v>
      </c>
      <c r="J136" s="11">
        <f>+'Seat capacity elasticities'!K166</f>
        <v>0</v>
      </c>
      <c r="K136" s="11">
        <f>+'Seat capacity elasticities'!L166</f>
        <v>0</v>
      </c>
      <c r="L136" s="11">
        <f>+'Seat capacity elasticities'!M166</f>
        <v>0</v>
      </c>
      <c r="M136" s="11">
        <f>+'Seat capacity elasticities'!N166</f>
        <v>0</v>
      </c>
      <c r="N136" s="32">
        <f t="shared" si="148"/>
        <v>0</v>
      </c>
      <c r="O136" s="33">
        <f t="shared" si="149"/>
        <v>0</v>
      </c>
      <c r="P136" s="40">
        <f t="shared" si="150"/>
        <v>0</v>
      </c>
      <c r="Q136" s="33">
        <f t="shared" si="151"/>
        <v>0</v>
      </c>
      <c r="R136" s="40">
        <f t="shared" si="152"/>
        <v>0</v>
      </c>
      <c r="S136" s="41">
        <f t="shared" si="153"/>
        <v>0</v>
      </c>
      <c r="T136" s="40">
        <f t="shared" si="154"/>
        <v>0</v>
      </c>
      <c r="U136" s="41">
        <f t="shared" si="155"/>
        <v>0</v>
      </c>
      <c r="V136" s="53"/>
      <c r="W136" s="53"/>
      <c r="X136" t="s">
        <v>415</v>
      </c>
      <c r="Y136">
        <v>146465</v>
      </c>
      <c r="Z136">
        <v>102421</v>
      </c>
      <c r="AA136" s="51">
        <v>33773.29</v>
      </c>
      <c r="AB136" s="32">
        <f t="shared" si="139"/>
        <v>3459094135.0900002</v>
      </c>
      <c r="AC136">
        <v>4085</v>
      </c>
      <c r="AD136" s="37">
        <f t="shared" si="140"/>
        <v>2.7890622332980574E-2</v>
      </c>
      <c r="AE136">
        <v>3.7173000000000002E-3</v>
      </c>
      <c r="AF136" s="3">
        <f t="shared" si="141"/>
        <v>3.7173000000000005E-5</v>
      </c>
      <c r="AG136" s="11">
        <f>+'Seat capacity elasticities'!R166</f>
        <v>7.3913207714727388E-3</v>
      </c>
      <c r="AH136" s="11">
        <f>+'Seat capacity elasticities'!S166</f>
        <v>1.4008597377688239E-2</v>
      </c>
      <c r="AI136" s="11">
        <f>+'Seat capacity elasticities'!T166</f>
        <v>2.0279436051694157E-2</v>
      </c>
      <c r="AJ136" s="11">
        <f>+'Seat capacity elasticities'!U166</f>
        <v>1.6589128473578178E-2</v>
      </c>
      <c r="AK136" s="32">
        <f t="shared" si="156"/>
        <v>255672.74331170248</v>
      </c>
      <c r="AL136" s="33">
        <f t="shared" si="157"/>
        <v>7.3913207714727399E-5</v>
      </c>
      <c r="AM136" s="40">
        <f t="shared" si="158"/>
        <v>484570.57029998547</v>
      </c>
      <c r="AN136" s="33">
        <f t="shared" si="159"/>
        <v>1.400859737768824E-4</v>
      </c>
      <c r="AO136" s="40">
        <f t="shared" si="160"/>
        <v>828414.96271170629</v>
      </c>
      <c r="AP136" s="41">
        <f t="shared" si="161"/>
        <v>2.0279436051694156E-4</v>
      </c>
      <c r="AQ136" s="40">
        <f t="shared" si="162"/>
        <v>677665.89814566856</v>
      </c>
      <c r="AR136" s="41">
        <f t="shared" si="163"/>
        <v>1.6589128473578176E-4</v>
      </c>
      <c r="AV136" t="s">
        <v>415</v>
      </c>
      <c r="AW136">
        <v>146465</v>
      </c>
      <c r="AX136">
        <v>102421</v>
      </c>
      <c r="AY136" s="51">
        <v>33773.29</v>
      </c>
      <c r="AZ136" s="32">
        <f t="shared" si="142"/>
        <v>3459094135.0900002</v>
      </c>
      <c r="BA136">
        <v>4085</v>
      </c>
      <c r="BB136" s="37">
        <f t="shared" si="143"/>
        <v>2.7890622332980574E-2</v>
      </c>
      <c r="BC136">
        <v>0</v>
      </c>
      <c r="BD136" s="3">
        <f t="shared" si="144"/>
        <v>0</v>
      </c>
      <c r="BE136" s="11">
        <f>+'Seat capacity elasticities'!Y166</f>
        <v>0</v>
      </c>
      <c r="BF136" s="11">
        <f>+'Seat capacity elasticities'!Z166</f>
        <v>0</v>
      </c>
      <c r="BG136" s="11">
        <f>+'Seat capacity elasticities'!AA166</f>
        <v>0</v>
      </c>
      <c r="BH136" s="11">
        <f>+'Seat capacity elasticities'!AB166</f>
        <v>0</v>
      </c>
      <c r="BI136" s="32">
        <f t="shared" si="164"/>
        <v>0</v>
      </c>
      <c r="BJ136" s="33">
        <f t="shared" si="165"/>
        <v>0</v>
      </c>
      <c r="BK136" s="40">
        <f t="shared" si="166"/>
        <v>0</v>
      </c>
      <c r="BL136" s="33">
        <f t="shared" si="167"/>
        <v>0</v>
      </c>
      <c r="BM136" s="40">
        <f t="shared" si="168"/>
        <v>0</v>
      </c>
      <c r="BN136" s="41">
        <f t="shared" si="169"/>
        <v>0</v>
      </c>
      <c r="BO136" s="40">
        <f t="shared" si="170"/>
        <v>0</v>
      </c>
      <c r="BP136" s="41">
        <f t="shared" si="171"/>
        <v>0</v>
      </c>
      <c r="BQ136" s="53"/>
      <c r="BR136" s="53"/>
      <c r="BS136" t="s">
        <v>415</v>
      </c>
      <c r="BT136">
        <v>146465</v>
      </c>
      <c r="BU136">
        <v>102421</v>
      </c>
      <c r="BV136" s="51">
        <v>33773.29</v>
      </c>
      <c r="BW136" s="32">
        <f t="shared" si="145"/>
        <v>3459094135.0900002</v>
      </c>
      <c r="BX136">
        <v>4085</v>
      </c>
      <c r="BY136" s="37">
        <f t="shared" si="146"/>
        <v>2.7890622332980574E-2</v>
      </c>
      <c r="BZ136">
        <v>3.7173000000000002E-3</v>
      </c>
      <c r="CA136" s="3">
        <f t="shared" si="147"/>
        <v>3.7173000000000005E-5</v>
      </c>
      <c r="CB136" s="11">
        <f>+'Seat capacity elasticities'!AF166</f>
        <v>5.3881521799350254E-2</v>
      </c>
      <c r="CC136" s="11">
        <f>+'Seat capacity elasticities'!AG166</f>
        <v>4.3055808146840548E-2</v>
      </c>
      <c r="CD136" s="11">
        <f>+'Seat capacity elasticities'!AH166</f>
        <v>0.14783377822204402</v>
      </c>
      <c r="CE136" s="11">
        <f>+'Seat capacity elasticities'!AI166</f>
        <v>5.0987141226521704E-2</v>
      </c>
      <c r="CF136" s="32">
        <f t="shared" si="172"/>
        <v>1863812.5604585647</v>
      </c>
      <c r="CG136" s="33">
        <f t="shared" si="173"/>
        <v>5.3881521799350259E-4</v>
      </c>
      <c r="CH136" s="40">
        <f t="shared" si="174"/>
        <v>1489340.9344229638</v>
      </c>
      <c r="CI136" s="33">
        <f t="shared" si="175"/>
        <v>4.3055808146840547E-4</v>
      </c>
      <c r="CJ136" s="40">
        <f t="shared" si="176"/>
        <v>6039009.8403704986</v>
      </c>
      <c r="CK136" s="41">
        <f t="shared" si="177"/>
        <v>1.4783377822204403E-3</v>
      </c>
      <c r="CL136" s="40">
        <f t="shared" si="178"/>
        <v>2082824.7191034115</v>
      </c>
      <c r="CM136" s="41">
        <f t="shared" si="179"/>
        <v>5.0987141226521704E-4</v>
      </c>
      <c r="CO136" s="70">
        <f t="shared" si="180"/>
        <v>0</v>
      </c>
      <c r="CP136" s="70">
        <f t="shared" si="181"/>
        <v>0</v>
      </c>
      <c r="CQ136" s="70">
        <f t="shared" si="182"/>
        <v>0</v>
      </c>
      <c r="CR136" s="70">
        <f t="shared" si="183"/>
        <v>0</v>
      </c>
      <c r="CS136" s="70">
        <f t="shared" si="184"/>
        <v>0</v>
      </c>
      <c r="CT136" s="70">
        <f t="shared" si="185"/>
        <v>0</v>
      </c>
      <c r="CU136" s="69">
        <f t="shared" si="186"/>
        <v>0</v>
      </c>
      <c r="CV136" s="69">
        <f t="shared" si="187"/>
        <v>0</v>
      </c>
      <c r="CW136" s="70">
        <f t="shared" si="188"/>
        <v>0</v>
      </c>
      <c r="CX136" s="69">
        <f t="shared" si="189"/>
        <v>0</v>
      </c>
      <c r="CY136" s="69">
        <f t="shared" si="190"/>
        <v>0</v>
      </c>
      <c r="CZ136" s="70">
        <f t="shared" si="191"/>
        <v>0</v>
      </c>
      <c r="DB136" s="70">
        <f t="shared" si="192"/>
        <v>2.4962921989797255</v>
      </c>
      <c r="DC136" s="70">
        <f t="shared" si="193"/>
        <v>18.197562613707781</v>
      </c>
      <c r="DD136" s="70">
        <f t="shared" si="194"/>
        <v>20.693854812687505</v>
      </c>
      <c r="DE136" s="70">
        <f t="shared" si="195"/>
        <v>4.7311642172990451</v>
      </c>
      <c r="DF136" s="70">
        <f t="shared" si="196"/>
        <v>14.541362947276083</v>
      </c>
      <c r="DG136" s="70">
        <f t="shared" si="197"/>
        <v>19.272527164575127</v>
      </c>
      <c r="DH136" s="69">
        <f t="shared" si="198"/>
        <v>8.0883311304488945</v>
      </c>
      <c r="DI136" s="69">
        <f t="shared" si="199"/>
        <v>58.962613530140288</v>
      </c>
      <c r="DJ136" s="70">
        <f t="shared" si="200"/>
        <v>67.050944660589181</v>
      </c>
      <c r="DK136" s="69">
        <f t="shared" si="201"/>
        <v>6.6164741424675464</v>
      </c>
      <c r="DL136" s="69">
        <f t="shared" si="202"/>
        <v>20.335914696238188</v>
      </c>
      <c r="DM136" s="70">
        <f t="shared" si="203"/>
        <v>26.952388838705733</v>
      </c>
    </row>
    <row r="137" spans="1:117">
      <c r="A137" t="s">
        <v>416</v>
      </c>
      <c r="B137">
        <v>195783</v>
      </c>
      <c r="C137">
        <v>109002</v>
      </c>
      <c r="D137" s="51">
        <v>29152.83</v>
      </c>
      <c r="E137" s="32">
        <f t="shared" si="136"/>
        <v>3177716775.6600003</v>
      </c>
      <c r="F137">
        <v>4897</v>
      </c>
      <c r="G137" s="37">
        <f t="shared" si="137"/>
        <v>2.5012386162230633E-2</v>
      </c>
      <c r="H137">
        <v>0</v>
      </c>
      <c r="I137" s="3">
        <f t="shared" si="138"/>
        <v>0</v>
      </c>
      <c r="J137" s="11">
        <f>+'Seat capacity elasticities'!K167</f>
        <v>0</v>
      </c>
      <c r="K137" s="11">
        <f>+'Seat capacity elasticities'!L167</f>
        <v>0</v>
      </c>
      <c r="L137" s="11">
        <f>+'Seat capacity elasticities'!M167</f>
        <v>0</v>
      </c>
      <c r="M137" s="11">
        <f>+'Seat capacity elasticities'!N167</f>
        <v>0</v>
      </c>
      <c r="N137" s="32">
        <f t="shared" si="148"/>
        <v>0</v>
      </c>
      <c r="O137" s="33">
        <f t="shared" si="149"/>
        <v>0</v>
      </c>
      <c r="P137" s="40">
        <f t="shared" si="150"/>
        <v>0</v>
      </c>
      <c r="Q137" s="33">
        <f t="shared" si="151"/>
        <v>0</v>
      </c>
      <c r="R137" s="40">
        <f t="shared" si="152"/>
        <v>0</v>
      </c>
      <c r="S137" s="41">
        <f t="shared" si="153"/>
        <v>0</v>
      </c>
      <c r="T137" s="40">
        <f t="shared" si="154"/>
        <v>0</v>
      </c>
      <c r="U137" s="41">
        <f t="shared" si="155"/>
        <v>0</v>
      </c>
      <c r="V137" s="53"/>
      <c r="W137" s="53"/>
      <c r="X137" t="s">
        <v>416</v>
      </c>
      <c r="Y137">
        <v>195783</v>
      </c>
      <c r="Z137">
        <v>109002</v>
      </c>
      <c r="AA137" s="51">
        <v>29152.83</v>
      </c>
      <c r="AB137" s="32">
        <f t="shared" si="139"/>
        <v>3177716775.6600003</v>
      </c>
      <c r="AC137">
        <v>4897</v>
      </c>
      <c r="AD137" s="37">
        <f t="shared" si="140"/>
        <v>2.5012386162230633E-2</v>
      </c>
      <c r="AE137">
        <v>2.3996999999999998E-3</v>
      </c>
      <c r="AF137" s="3">
        <f t="shared" si="141"/>
        <v>2.3996999999999997E-5</v>
      </c>
      <c r="AG137" s="11">
        <f>+'Seat capacity elasticities'!R167</f>
        <v>8.409307678968048E-3</v>
      </c>
      <c r="AH137" s="11">
        <f>+'Seat capacity elasticities'!S167</f>
        <v>1.5937964153095865E-2</v>
      </c>
      <c r="AI137" s="11">
        <f>+'Seat capacity elasticities'!T167</f>
        <v>2.3072468722078399E-2</v>
      </c>
      <c r="AJ137" s="11">
        <f>+'Seat capacity elasticities'!U167</f>
        <v>1.8873904918139842E-2</v>
      </c>
      <c r="AK137" s="32">
        <f t="shared" si="156"/>
        <v>267223.98083143227</v>
      </c>
      <c r="AL137" s="33">
        <f t="shared" si="157"/>
        <v>8.4093076789680486E-5</v>
      </c>
      <c r="AM137" s="40">
        <f t="shared" si="158"/>
        <v>506463.36059160461</v>
      </c>
      <c r="AN137" s="33">
        <f t="shared" si="159"/>
        <v>1.5937964153095867E-4</v>
      </c>
      <c r="AO137" s="40">
        <f t="shared" si="160"/>
        <v>1129858.7933201792</v>
      </c>
      <c r="AP137" s="41">
        <f t="shared" si="161"/>
        <v>2.3072468722078402E-4</v>
      </c>
      <c r="AQ137" s="40">
        <f t="shared" si="162"/>
        <v>924255.12384130806</v>
      </c>
      <c r="AR137" s="41">
        <f t="shared" si="163"/>
        <v>1.8873904918139843E-4</v>
      </c>
      <c r="AV137" t="s">
        <v>416</v>
      </c>
      <c r="AW137">
        <v>195783</v>
      </c>
      <c r="AX137">
        <v>109002</v>
      </c>
      <c r="AY137" s="51">
        <v>29152.83</v>
      </c>
      <c r="AZ137" s="32">
        <f t="shared" si="142"/>
        <v>3177716775.6600003</v>
      </c>
      <c r="BA137">
        <v>4897</v>
      </c>
      <c r="BB137" s="37">
        <f t="shared" si="143"/>
        <v>2.5012386162230633E-2</v>
      </c>
      <c r="BC137">
        <v>0</v>
      </c>
      <c r="BD137" s="3">
        <f t="shared" si="144"/>
        <v>0</v>
      </c>
      <c r="BE137" s="11">
        <f>+'Seat capacity elasticities'!Y167</f>
        <v>0</v>
      </c>
      <c r="BF137" s="11">
        <f>+'Seat capacity elasticities'!Z167</f>
        <v>0</v>
      </c>
      <c r="BG137" s="11">
        <f>+'Seat capacity elasticities'!AA167</f>
        <v>0</v>
      </c>
      <c r="BH137" s="11">
        <f>+'Seat capacity elasticities'!AB167</f>
        <v>0</v>
      </c>
      <c r="BI137" s="32">
        <f t="shared" si="164"/>
        <v>0</v>
      </c>
      <c r="BJ137" s="33">
        <f t="shared" si="165"/>
        <v>0</v>
      </c>
      <c r="BK137" s="40">
        <f t="shared" si="166"/>
        <v>0</v>
      </c>
      <c r="BL137" s="33">
        <f t="shared" si="167"/>
        <v>0</v>
      </c>
      <c r="BM137" s="40">
        <f t="shared" si="168"/>
        <v>0</v>
      </c>
      <c r="BN137" s="41">
        <f t="shared" si="169"/>
        <v>0</v>
      </c>
      <c r="BO137" s="40">
        <f t="shared" si="170"/>
        <v>0</v>
      </c>
      <c r="BP137" s="41">
        <f t="shared" si="171"/>
        <v>0</v>
      </c>
      <c r="BQ137" s="53"/>
      <c r="BR137" s="53"/>
      <c r="BS137" t="s">
        <v>416</v>
      </c>
      <c r="BT137">
        <v>195783</v>
      </c>
      <c r="BU137">
        <v>109002</v>
      </c>
      <c r="BV137" s="51">
        <v>29152.83</v>
      </c>
      <c r="BW137" s="32">
        <f t="shared" si="145"/>
        <v>3177716775.6600003</v>
      </c>
      <c r="BX137">
        <v>4897</v>
      </c>
      <c r="BY137" s="37">
        <f t="shared" si="146"/>
        <v>2.5012386162230633E-2</v>
      </c>
      <c r="BZ137">
        <v>2.3996999999999998E-3</v>
      </c>
      <c r="CA137" s="3">
        <f t="shared" si="147"/>
        <v>2.3996999999999997E-5</v>
      </c>
      <c r="CB137" s="11">
        <f>+'Seat capacity elasticities'!AF167</f>
        <v>2.6021244892981535E-2</v>
      </c>
      <c r="CC137" s="11">
        <f>+'Seat capacity elasticities'!AG167</f>
        <v>2.0793134463170961E-2</v>
      </c>
      <c r="CD137" s="11">
        <f>+'Seat capacity elasticities'!AH167</f>
        <v>7.1394029309263418E-2</v>
      </c>
      <c r="CE137" s="11">
        <f>+'Seat capacity elasticities'!AI167</f>
        <v>2.4623448706386664E-2</v>
      </c>
      <c r="CF137" s="32">
        <f t="shared" si="172"/>
        <v>826881.46419984533</v>
      </c>
      <c r="CG137" s="33">
        <f t="shared" si="173"/>
        <v>2.6021244892981537E-4</v>
      </c>
      <c r="CH137" s="40">
        <f t="shared" si="174"/>
        <v>660746.92202172463</v>
      </c>
      <c r="CI137" s="33">
        <f t="shared" si="175"/>
        <v>2.0793134463170963E-4</v>
      </c>
      <c r="CJ137" s="40">
        <f t="shared" si="176"/>
        <v>3496165.6152746296</v>
      </c>
      <c r="CK137" s="41">
        <f t="shared" si="177"/>
        <v>7.1394029309263419E-4</v>
      </c>
      <c r="CL137" s="40">
        <f t="shared" si="178"/>
        <v>1205810.2831517549</v>
      </c>
      <c r="CM137" s="41">
        <f t="shared" si="179"/>
        <v>2.4623448706386663E-4</v>
      </c>
      <c r="CO137" s="70">
        <f t="shared" si="180"/>
        <v>0</v>
      </c>
      <c r="CP137" s="70">
        <f t="shared" si="181"/>
        <v>0</v>
      </c>
      <c r="CQ137" s="70">
        <f t="shared" si="182"/>
        <v>0</v>
      </c>
      <c r="CR137" s="70">
        <f t="shared" si="183"/>
        <v>0</v>
      </c>
      <c r="CS137" s="70">
        <f t="shared" si="184"/>
        <v>0</v>
      </c>
      <c r="CT137" s="70">
        <f t="shared" si="185"/>
        <v>0</v>
      </c>
      <c r="CU137" s="69">
        <f t="shared" si="186"/>
        <v>0</v>
      </c>
      <c r="CV137" s="69">
        <f t="shared" si="187"/>
        <v>0</v>
      </c>
      <c r="CW137" s="70">
        <f t="shared" si="188"/>
        <v>0</v>
      </c>
      <c r="CX137" s="69">
        <f t="shared" si="189"/>
        <v>0</v>
      </c>
      <c r="CY137" s="69">
        <f t="shared" si="190"/>
        <v>0</v>
      </c>
      <c r="CZ137" s="70">
        <f t="shared" si="191"/>
        <v>0</v>
      </c>
      <c r="DB137" s="70">
        <f t="shared" si="192"/>
        <v>2.4515511718265013</v>
      </c>
      <c r="DC137" s="70">
        <f t="shared" si="193"/>
        <v>7.5859292875345892</v>
      </c>
      <c r="DD137" s="70">
        <f t="shared" si="194"/>
        <v>10.03748045936109</v>
      </c>
      <c r="DE137" s="70">
        <f t="shared" si="195"/>
        <v>4.6463675950129781</v>
      </c>
      <c r="DF137" s="70">
        <f t="shared" si="196"/>
        <v>6.0617871417196438</v>
      </c>
      <c r="DG137" s="70">
        <f t="shared" si="197"/>
        <v>10.708154736732622</v>
      </c>
      <c r="DH137" s="69">
        <f t="shared" si="198"/>
        <v>10.365486810518883</v>
      </c>
      <c r="DI137" s="69">
        <f t="shared" si="199"/>
        <v>32.074325381870331</v>
      </c>
      <c r="DJ137" s="70">
        <f t="shared" si="200"/>
        <v>42.439812192389212</v>
      </c>
      <c r="DK137" s="69">
        <f t="shared" si="201"/>
        <v>8.4792492233290044</v>
      </c>
      <c r="DL137" s="69">
        <f t="shared" si="202"/>
        <v>11.062276684388863</v>
      </c>
      <c r="DM137" s="70">
        <f t="shared" si="203"/>
        <v>19.541525907717869</v>
      </c>
    </row>
    <row r="138" spans="1:117">
      <c r="A138" t="s">
        <v>417</v>
      </c>
      <c r="B138">
        <v>144488</v>
      </c>
      <c r="C138">
        <v>78091</v>
      </c>
      <c r="D138" s="51">
        <v>29701.25</v>
      </c>
      <c r="E138" s="32">
        <f t="shared" si="136"/>
        <v>2319400313.75</v>
      </c>
      <c r="F138">
        <v>3342</v>
      </c>
      <c r="G138" s="37">
        <f t="shared" si="137"/>
        <v>2.312994850783456E-2</v>
      </c>
      <c r="H138">
        <v>0</v>
      </c>
      <c r="I138" s="3">
        <f t="shared" si="138"/>
        <v>0</v>
      </c>
      <c r="J138" s="11">
        <f>+'Seat capacity elasticities'!K168</f>
        <v>0</v>
      </c>
      <c r="K138" s="11">
        <f>+'Seat capacity elasticities'!L168</f>
        <v>0</v>
      </c>
      <c r="L138" s="11">
        <f>+'Seat capacity elasticities'!M168</f>
        <v>0</v>
      </c>
      <c r="M138" s="11">
        <f>+'Seat capacity elasticities'!N168</f>
        <v>0</v>
      </c>
      <c r="N138" s="32">
        <f t="shared" si="148"/>
        <v>0</v>
      </c>
      <c r="O138" s="33">
        <f t="shared" si="149"/>
        <v>0</v>
      </c>
      <c r="P138" s="40">
        <f t="shared" si="150"/>
        <v>0</v>
      </c>
      <c r="Q138" s="33">
        <f t="shared" si="151"/>
        <v>0</v>
      </c>
      <c r="R138" s="40">
        <f t="shared" si="152"/>
        <v>0</v>
      </c>
      <c r="S138" s="41">
        <f t="shared" si="153"/>
        <v>0</v>
      </c>
      <c r="T138" s="40">
        <f t="shared" si="154"/>
        <v>0</v>
      </c>
      <c r="U138" s="41">
        <f t="shared" si="155"/>
        <v>0</v>
      </c>
      <c r="V138" s="53"/>
      <c r="W138" s="53"/>
      <c r="X138" t="s">
        <v>417</v>
      </c>
      <c r="Y138">
        <v>144488</v>
      </c>
      <c r="Z138">
        <v>78091</v>
      </c>
      <c r="AA138" s="51">
        <v>29701.25</v>
      </c>
      <c r="AB138" s="32">
        <f t="shared" si="139"/>
        <v>2319400313.75</v>
      </c>
      <c r="AC138">
        <v>3342</v>
      </c>
      <c r="AD138" s="37">
        <f t="shared" si="140"/>
        <v>2.312994850783456E-2</v>
      </c>
      <c r="AE138">
        <v>8.6239999999999997E-3</v>
      </c>
      <c r="AF138" s="3">
        <f t="shared" si="141"/>
        <v>8.6240000000000001E-5</v>
      </c>
      <c r="AG138" s="11">
        <f>+'Seat capacity elasticities'!R168</f>
        <v>1.2789058976254448E-2</v>
      </c>
      <c r="AH138" s="11">
        <f>+'Seat capacity elasticities'!S168</f>
        <v>2.4238804345946528E-2</v>
      </c>
      <c r="AI138" s="11">
        <f>+'Seat capacity elasticities'!T168</f>
        <v>3.5089114880698123E-2</v>
      </c>
      <c r="AJ138" s="11">
        <f>+'Seat capacity elasticities'!U168</f>
        <v>2.8703847251778786E-2</v>
      </c>
      <c r="AK138" s="32">
        <f t="shared" si="156"/>
        <v>296629.47402091819</v>
      </c>
      <c r="AL138" s="33">
        <f t="shared" si="157"/>
        <v>1.2789058976254446E-4</v>
      </c>
      <c r="AM138" s="40">
        <f t="shared" si="158"/>
        <v>562194.90404913237</v>
      </c>
      <c r="AN138" s="33">
        <f t="shared" si="159"/>
        <v>2.4238804345946526E-4</v>
      </c>
      <c r="AO138" s="40">
        <f t="shared" si="160"/>
        <v>1172678.2193129314</v>
      </c>
      <c r="AP138" s="41">
        <f t="shared" si="161"/>
        <v>3.5089114880698126E-4</v>
      </c>
      <c r="AQ138" s="40">
        <f t="shared" si="162"/>
        <v>959282.575154447</v>
      </c>
      <c r="AR138" s="41">
        <f t="shared" si="163"/>
        <v>2.8703847251778785E-4</v>
      </c>
      <c r="AV138" t="s">
        <v>417</v>
      </c>
      <c r="AW138">
        <v>144488</v>
      </c>
      <c r="AX138">
        <v>78091</v>
      </c>
      <c r="AY138" s="51">
        <v>29701.25</v>
      </c>
      <c r="AZ138" s="32">
        <f t="shared" si="142"/>
        <v>2319400313.75</v>
      </c>
      <c r="BA138">
        <v>3342</v>
      </c>
      <c r="BB138" s="37">
        <f t="shared" si="143"/>
        <v>2.312994850783456E-2</v>
      </c>
      <c r="BC138">
        <v>0</v>
      </c>
      <c r="BD138" s="3">
        <f t="shared" si="144"/>
        <v>0</v>
      </c>
      <c r="BE138" s="11">
        <f>+'Seat capacity elasticities'!Y168</f>
        <v>0</v>
      </c>
      <c r="BF138" s="11">
        <f>+'Seat capacity elasticities'!Z168</f>
        <v>0</v>
      </c>
      <c r="BG138" s="11">
        <f>+'Seat capacity elasticities'!AA168</f>
        <v>0</v>
      </c>
      <c r="BH138" s="11">
        <f>+'Seat capacity elasticities'!AB168</f>
        <v>0</v>
      </c>
      <c r="BI138" s="32">
        <f t="shared" si="164"/>
        <v>0</v>
      </c>
      <c r="BJ138" s="33">
        <f t="shared" si="165"/>
        <v>0</v>
      </c>
      <c r="BK138" s="40">
        <f t="shared" si="166"/>
        <v>0</v>
      </c>
      <c r="BL138" s="33">
        <f t="shared" si="167"/>
        <v>0</v>
      </c>
      <c r="BM138" s="40">
        <f t="shared" si="168"/>
        <v>0</v>
      </c>
      <c r="BN138" s="41">
        <f t="shared" si="169"/>
        <v>0</v>
      </c>
      <c r="BO138" s="40">
        <f t="shared" si="170"/>
        <v>0</v>
      </c>
      <c r="BP138" s="41">
        <f t="shared" si="171"/>
        <v>0</v>
      </c>
      <c r="BQ138" s="53"/>
      <c r="BR138" s="53"/>
      <c r="BS138" t="s">
        <v>417</v>
      </c>
      <c r="BT138">
        <v>144488</v>
      </c>
      <c r="BU138">
        <v>78091</v>
      </c>
      <c r="BV138" s="51">
        <v>29701.25</v>
      </c>
      <c r="BW138" s="32">
        <f t="shared" si="145"/>
        <v>2319400313.75</v>
      </c>
      <c r="BX138">
        <v>3342</v>
      </c>
      <c r="BY138" s="37">
        <f t="shared" si="146"/>
        <v>2.312994850783456E-2</v>
      </c>
      <c r="BZ138">
        <v>8.6239999999999997E-3</v>
      </c>
      <c r="CA138" s="3">
        <f t="shared" si="147"/>
        <v>8.6240000000000001E-5</v>
      </c>
      <c r="CB138" s="11">
        <f>+'Seat capacity elasticities'!AF168</f>
        <v>0.12671355215785168</v>
      </c>
      <c r="CC138" s="11">
        <f>+'Seat capacity elasticities'!AG168</f>
        <v>0.1012546455467582</v>
      </c>
      <c r="CD138" s="11">
        <f>+'Seat capacity elasticities'!AH168</f>
        <v>0.34766173155222851</v>
      </c>
      <c r="CE138" s="11">
        <f>+'Seat capacity elasticities'!AI168</f>
        <v>0.11990681709484524</v>
      </c>
      <c r="CF138" s="32">
        <f t="shared" si="172"/>
        <v>2938994.5263129817</v>
      </c>
      <c r="CG138" s="33">
        <f t="shared" si="173"/>
        <v>1.2671355215785169E-3</v>
      </c>
      <c r="CH138" s="40">
        <f t="shared" si="174"/>
        <v>2348500.5664979601</v>
      </c>
      <c r="CI138" s="33">
        <f t="shared" si="175"/>
        <v>1.0125464554675821E-3</v>
      </c>
      <c r="CJ138" s="40">
        <f t="shared" si="176"/>
        <v>11618855.068475477</v>
      </c>
      <c r="CK138" s="41">
        <f t="shared" si="177"/>
        <v>3.4766173155222854E-3</v>
      </c>
      <c r="CL138" s="40">
        <f t="shared" si="178"/>
        <v>4007285.8273097277</v>
      </c>
      <c r="CM138" s="41">
        <f t="shared" si="179"/>
        <v>1.1990681709484522E-3</v>
      </c>
      <c r="CO138" s="70">
        <f t="shared" si="180"/>
        <v>0</v>
      </c>
      <c r="CP138" s="70">
        <f t="shared" si="181"/>
        <v>0</v>
      </c>
      <c r="CQ138" s="70">
        <f t="shared" si="182"/>
        <v>0</v>
      </c>
      <c r="CR138" s="70">
        <f t="shared" si="183"/>
        <v>0</v>
      </c>
      <c r="CS138" s="70">
        <f t="shared" si="184"/>
        <v>0</v>
      </c>
      <c r="CT138" s="70">
        <f t="shared" si="185"/>
        <v>0</v>
      </c>
      <c r="CU138" s="69">
        <f t="shared" si="186"/>
        <v>0</v>
      </c>
      <c r="CV138" s="69">
        <f t="shared" si="187"/>
        <v>0</v>
      </c>
      <c r="CW138" s="70">
        <f t="shared" si="188"/>
        <v>0</v>
      </c>
      <c r="CX138" s="69">
        <f t="shared" si="189"/>
        <v>0</v>
      </c>
      <c r="CY138" s="69">
        <f t="shared" si="190"/>
        <v>0</v>
      </c>
      <c r="CZ138" s="70">
        <f t="shared" si="191"/>
        <v>0</v>
      </c>
      <c r="DB138" s="70">
        <f t="shared" si="192"/>
        <v>3.7985103791847741</v>
      </c>
      <c r="DC138" s="70">
        <f t="shared" si="193"/>
        <v>37.635508910283924</v>
      </c>
      <c r="DD138" s="70">
        <f t="shared" si="194"/>
        <v>41.434019289468701</v>
      </c>
      <c r="DE138" s="70">
        <f t="shared" si="195"/>
        <v>7.1992278758004424</v>
      </c>
      <c r="DF138" s="70">
        <f t="shared" si="196"/>
        <v>30.073895410456519</v>
      </c>
      <c r="DG138" s="70">
        <f t="shared" si="197"/>
        <v>37.273123286256961</v>
      </c>
      <c r="DH138" s="69">
        <f t="shared" si="198"/>
        <v>15.016816525757532</v>
      </c>
      <c r="DI138" s="69">
        <f t="shared" si="199"/>
        <v>148.78609658572023</v>
      </c>
      <c r="DJ138" s="70">
        <f t="shared" si="200"/>
        <v>163.80291311147775</v>
      </c>
      <c r="DK138" s="69">
        <f t="shared" si="201"/>
        <v>12.284163029727459</v>
      </c>
      <c r="DL138" s="69">
        <f t="shared" si="202"/>
        <v>51.315591134826391</v>
      </c>
      <c r="DM138" s="70">
        <f t="shared" si="203"/>
        <v>63.59975416455385</v>
      </c>
    </row>
    <row r="139" spans="1:117">
      <c r="A139" t="s">
        <v>986</v>
      </c>
      <c r="B139">
        <v>118135</v>
      </c>
      <c r="C139">
        <v>65860</v>
      </c>
      <c r="D139" s="51">
        <v>29351.71</v>
      </c>
      <c r="E139" s="32">
        <f t="shared" si="136"/>
        <v>1933103620.5999999</v>
      </c>
      <c r="F139">
        <v>3230</v>
      </c>
      <c r="G139" s="37">
        <f t="shared" si="137"/>
        <v>2.7341600711050917E-2</v>
      </c>
      <c r="H139">
        <v>0</v>
      </c>
      <c r="I139" s="3">
        <f t="shared" si="138"/>
        <v>0</v>
      </c>
      <c r="J139" s="11">
        <f>+'Seat capacity elasticities'!K169</f>
        <v>0</v>
      </c>
      <c r="K139" s="11">
        <f>+'Seat capacity elasticities'!L169</f>
        <v>0</v>
      </c>
      <c r="L139" s="11">
        <f>+'Seat capacity elasticities'!M169</f>
        <v>0</v>
      </c>
      <c r="M139" s="11">
        <f>+'Seat capacity elasticities'!N169</f>
        <v>0</v>
      </c>
      <c r="N139" s="32">
        <f t="shared" si="148"/>
        <v>0</v>
      </c>
      <c r="O139" s="33">
        <f t="shared" si="149"/>
        <v>0</v>
      </c>
      <c r="P139" s="40">
        <f t="shared" si="150"/>
        <v>0</v>
      </c>
      <c r="Q139" s="33">
        <f t="shared" si="151"/>
        <v>0</v>
      </c>
      <c r="R139" s="40">
        <f t="shared" si="152"/>
        <v>0</v>
      </c>
      <c r="S139" s="41">
        <f t="shared" si="153"/>
        <v>0</v>
      </c>
      <c r="T139" s="40">
        <f t="shared" si="154"/>
        <v>0</v>
      </c>
      <c r="U139" s="41">
        <f t="shared" si="155"/>
        <v>0</v>
      </c>
      <c r="V139" s="53"/>
      <c r="W139" s="53"/>
      <c r="X139" t="s">
        <v>986</v>
      </c>
      <c r="Y139">
        <v>118135</v>
      </c>
      <c r="Z139">
        <v>65860</v>
      </c>
      <c r="AA139" s="51">
        <v>29351.71</v>
      </c>
      <c r="AB139" s="32">
        <f t="shared" si="139"/>
        <v>1933103620.5999999</v>
      </c>
      <c r="AC139">
        <v>3230</v>
      </c>
      <c r="AD139" s="37">
        <f t="shared" si="140"/>
        <v>2.7341600711050917E-2</v>
      </c>
      <c r="AE139">
        <v>6.8809999999999997E-4</v>
      </c>
      <c r="AF139" s="3">
        <f t="shared" si="141"/>
        <v>6.8809999999999998E-6</v>
      </c>
      <c r="AG139" s="11">
        <f>+'Seat capacity elasticities'!R169</f>
        <v>3.3238398516036885E-3</v>
      </c>
      <c r="AH139" s="11">
        <f>+'Seat capacity elasticities'!S169</f>
        <v>6.299595927258538E-3</v>
      </c>
      <c r="AI139" s="11">
        <f>+'Seat capacity elasticities'!T169</f>
        <v>9.1195606036779901E-3</v>
      </c>
      <c r="AJ139" s="11">
        <f>+'Seat capacity elasticities'!U169</f>
        <v>7.4600478085956375E-3</v>
      </c>
      <c r="AK139" s="32">
        <f t="shared" si="156"/>
        <v>64253.268514296571</v>
      </c>
      <c r="AL139" s="33">
        <f t="shared" si="157"/>
        <v>3.3238398516036884E-5</v>
      </c>
      <c r="AM139" s="40">
        <f t="shared" si="158"/>
        <v>121777.71695300494</v>
      </c>
      <c r="AN139" s="33">
        <f t="shared" si="159"/>
        <v>6.2995959272585386E-5</v>
      </c>
      <c r="AO139" s="40">
        <f t="shared" si="160"/>
        <v>294561.80749879911</v>
      </c>
      <c r="AP139" s="41">
        <f t="shared" si="161"/>
        <v>9.1195606036779907E-5</v>
      </c>
      <c r="AQ139" s="40">
        <f t="shared" si="162"/>
        <v>240959.54421763911</v>
      </c>
      <c r="AR139" s="41">
        <f t="shared" si="163"/>
        <v>7.4600478085956387E-5</v>
      </c>
      <c r="AV139" t="s">
        <v>986</v>
      </c>
      <c r="AW139">
        <v>118135</v>
      </c>
      <c r="AX139">
        <v>65860</v>
      </c>
      <c r="AY139" s="51">
        <v>29351.71</v>
      </c>
      <c r="AZ139" s="32">
        <f t="shared" si="142"/>
        <v>1933103620.5999999</v>
      </c>
      <c r="BA139">
        <v>3230</v>
      </c>
      <c r="BB139" s="37">
        <f t="shared" si="143"/>
        <v>2.7341600711050917E-2</v>
      </c>
      <c r="BC139">
        <v>0</v>
      </c>
      <c r="BD139" s="3">
        <f t="shared" si="144"/>
        <v>0</v>
      </c>
      <c r="BE139" s="11">
        <f>+'Seat capacity elasticities'!Y169</f>
        <v>0</v>
      </c>
      <c r="BF139" s="11">
        <f>+'Seat capacity elasticities'!Z169</f>
        <v>0</v>
      </c>
      <c r="BG139" s="11">
        <f>+'Seat capacity elasticities'!AA169</f>
        <v>0</v>
      </c>
      <c r="BH139" s="11">
        <f>+'Seat capacity elasticities'!AB169</f>
        <v>0</v>
      </c>
      <c r="BI139" s="32">
        <f t="shared" si="164"/>
        <v>0</v>
      </c>
      <c r="BJ139" s="33">
        <f t="shared" si="165"/>
        <v>0</v>
      </c>
      <c r="BK139" s="40">
        <f t="shared" si="166"/>
        <v>0</v>
      </c>
      <c r="BL139" s="33">
        <f t="shared" si="167"/>
        <v>0</v>
      </c>
      <c r="BM139" s="40">
        <f t="shared" si="168"/>
        <v>0</v>
      </c>
      <c r="BN139" s="41">
        <f t="shared" si="169"/>
        <v>0</v>
      </c>
      <c r="BO139" s="40">
        <f t="shared" si="170"/>
        <v>0</v>
      </c>
      <c r="BP139" s="41">
        <f t="shared" si="171"/>
        <v>0</v>
      </c>
      <c r="BQ139" s="53"/>
      <c r="BR139" s="53"/>
      <c r="BS139" t="s">
        <v>986</v>
      </c>
      <c r="BT139">
        <v>118135</v>
      </c>
      <c r="BU139">
        <v>65860</v>
      </c>
      <c r="BV139" s="51">
        <v>29351.71</v>
      </c>
      <c r="BW139" s="32">
        <f t="shared" si="145"/>
        <v>1933103620.5999999</v>
      </c>
      <c r="BX139">
        <v>3230</v>
      </c>
      <c r="BY139" s="37">
        <f t="shared" si="146"/>
        <v>2.7341600711050917E-2</v>
      </c>
      <c r="BZ139">
        <v>6.8809999999999997E-4</v>
      </c>
      <c r="CA139" s="3">
        <f t="shared" si="147"/>
        <v>6.8809999999999998E-6</v>
      </c>
      <c r="CB139" s="11">
        <f>+'Seat capacity elasticities'!AF169</f>
        <v>1.2365710353437099E-2</v>
      </c>
      <c r="CC139" s="11">
        <f>+'Seat capacity elasticities'!AG169</f>
        <v>9.8812289407796162E-3</v>
      </c>
      <c r="CD139" s="11">
        <f>+'Seat capacity elasticities'!AH169</f>
        <v>3.392758075311262E-2</v>
      </c>
      <c r="CE139" s="11">
        <f>+'Seat capacity elasticities'!AI169</f>
        <v>1.1701455324607441E-2</v>
      </c>
      <c r="CF139" s="32">
        <f t="shared" si="172"/>
        <v>239041.99455520161</v>
      </c>
      <c r="CG139" s="33">
        <f t="shared" si="173"/>
        <v>1.2365710353437099E-4</v>
      </c>
      <c r="CH139" s="40">
        <f t="shared" si="174"/>
        <v>191014.39441398581</v>
      </c>
      <c r="CI139" s="33">
        <f t="shared" si="175"/>
        <v>9.8812289407796178E-5</v>
      </c>
      <c r="CJ139" s="40">
        <f t="shared" si="176"/>
        <v>1095860.8583255378</v>
      </c>
      <c r="CK139" s="41">
        <f t="shared" si="177"/>
        <v>3.3927580753112627E-4</v>
      </c>
      <c r="CL139" s="40">
        <f t="shared" si="178"/>
        <v>377957.0069848203</v>
      </c>
      <c r="CM139" s="41">
        <f t="shared" si="179"/>
        <v>1.170145532460744E-4</v>
      </c>
      <c r="CO139" s="70">
        <f t="shared" si="180"/>
        <v>0</v>
      </c>
      <c r="CP139" s="70">
        <f t="shared" si="181"/>
        <v>0</v>
      </c>
      <c r="CQ139" s="70">
        <f t="shared" si="182"/>
        <v>0</v>
      </c>
      <c r="CR139" s="70">
        <f t="shared" si="183"/>
        <v>0</v>
      </c>
      <c r="CS139" s="70">
        <f t="shared" si="184"/>
        <v>0</v>
      </c>
      <c r="CT139" s="70">
        <f t="shared" si="185"/>
        <v>0</v>
      </c>
      <c r="CU139" s="69">
        <f t="shared" si="186"/>
        <v>0</v>
      </c>
      <c r="CV139" s="69">
        <f t="shared" si="187"/>
        <v>0</v>
      </c>
      <c r="CW139" s="70">
        <f t="shared" si="188"/>
        <v>0</v>
      </c>
      <c r="CX139" s="69">
        <f t="shared" si="189"/>
        <v>0</v>
      </c>
      <c r="CY139" s="69">
        <f t="shared" si="190"/>
        <v>0</v>
      </c>
      <c r="CZ139" s="70">
        <f t="shared" si="191"/>
        <v>0</v>
      </c>
      <c r="DB139" s="70">
        <f t="shared" si="192"/>
        <v>0.97560383410714502</v>
      </c>
      <c r="DC139" s="70">
        <f t="shared" si="193"/>
        <v>3.6295474423808325</v>
      </c>
      <c r="DD139" s="70">
        <f t="shared" si="194"/>
        <v>4.6051512764879776</v>
      </c>
      <c r="DE139" s="70">
        <f t="shared" si="195"/>
        <v>1.849039127740737</v>
      </c>
      <c r="DF139" s="70">
        <f t="shared" si="196"/>
        <v>2.9003096631337049</v>
      </c>
      <c r="DG139" s="70">
        <f t="shared" si="197"/>
        <v>4.7493487908744418</v>
      </c>
      <c r="DH139" s="69">
        <f t="shared" si="198"/>
        <v>4.4725449058426836</v>
      </c>
      <c r="DI139" s="69">
        <f t="shared" si="199"/>
        <v>16.639247772935587</v>
      </c>
      <c r="DJ139" s="70">
        <f t="shared" si="200"/>
        <v>21.111792678778272</v>
      </c>
      <c r="DK139" s="69">
        <f t="shared" si="201"/>
        <v>3.6586629853877786</v>
      </c>
      <c r="DL139" s="69">
        <f t="shared" si="202"/>
        <v>5.7387945184454949</v>
      </c>
      <c r="DM139" s="70">
        <f t="shared" si="203"/>
        <v>9.3974575038332731</v>
      </c>
    </row>
    <row r="140" spans="1:117">
      <c r="A140" t="s">
        <v>418</v>
      </c>
      <c r="B140">
        <v>324135</v>
      </c>
      <c r="C140">
        <v>180716</v>
      </c>
      <c r="D140" s="51">
        <v>36942.97</v>
      </c>
      <c r="E140" s="32">
        <f t="shared" si="136"/>
        <v>6676185766.5200005</v>
      </c>
      <c r="F140">
        <v>10483</v>
      </c>
      <c r="G140" s="37">
        <f t="shared" si="137"/>
        <v>3.2341462662162368E-2</v>
      </c>
      <c r="H140">
        <v>0</v>
      </c>
      <c r="I140" s="3">
        <f t="shared" si="138"/>
        <v>0</v>
      </c>
      <c r="J140" s="11">
        <f>+'Seat capacity elasticities'!K170</f>
        <v>0</v>
      </c>
      <c r="K140" s="11">
        <f>+'Seat capacity elasticities'!L170</f>
        <v>0</v>
      </c>
      <c r="L140" s="11">
        <f>+'Seat capacity elasticities'!M170</f>
        <v>0</v>
      </c>
      <c r="M140" s="11">
        <f>+'Seat capacity elasticities'!N170</f>
        <v>0</v>
      </c>
      <c r="N140" s="32">
        <f t="shared" si="148"/>
        <v>0</v>
      </c>
      <c r="O140" s="33">
        <f t="shared" si="149"/>
        <v>0</v>
      </c>
      <c r="P140" s="40">
        <f t="shared" si="150"/>
        <v>0</v>
      </c>
      <c r="Q140" s="33">
        <f t="shared" si="151"/>
        <v>0</v>
      </c>
      <c r="R140" s="40">
        <f t="shared" si="152"/>
        <v>0</v>
      </c>
      <c r="S140" s="41">
        <f t="shared" si="153"/>
        <v>0</v>
      </c>
      <c r="T140" s="40">
        <f t="shared" si="154"/>
        <v>0</v>
      </c>
      <c r="U140" s="41">
        <f t="shared" si="155"/>
        <v>0</v>
      </c>
      <c r="V140" s="53"/>
      <c r="W140" s="53"/>
      <c r="X140" t="s">
        <v>418</v>
      </c>
      <c r="Y140">
        <v>324135</v>
      </c>
      <c r="Z140">
        <v>180716</v>
      </c>
      <c r="AA140" s="51">
        <v>36942.97</v>
      </c>
      <c r="AB140" s="32">
        <f t="shared" si="139"/>
        <v>6676185766.5200005</v>
      </c>
      <c r="AC140">
        <v>10483</v>
      </c>
      <c r="AD140" s="37">
        <f t="shared" si="140"/>
        <v>3.2341462662162368E-2</v>
      </c>
      <c r="AE140">
        <v>4.2440999999999998E-3</v>
      </c>
      <c r="AF140" s="3">
        <f t="shared" si="141"/>
        <v>4.2440999999999996E-5</v>
      </c>
      <c r="AG140" s="11">
        <f>+'Seat capacity elasticities'!R170</f>
        <v>1.1073631538893651E-2</v>
      </c>
      <c r="AH140" s="11">
        <f>+'Seat capacity elasticities'!S170</f>
        <v>2.0987594847182111E-2</v>
      </c>
      <c r="AI140" s="11">
        <f>+'Seat capacity elasticities'!T170</f>
        <v>3.0382526965917596E-2</v>
      </c>
      <c r="AJ140" s="11">
        <f>+'Seat capacity elasticities'!U170</f>
        <v>2.4853730740084078E-2</v>
      </c>
      <c r="AK140" s="32">
        <f t="shared" si="156"/>
        <v>739296.21263648756</v>
      </c>
      <c r="AL140" s="33">
        <f t="shared" si="157"/>
        <v>1.107363153889365E-4</v>
      </c>
      <c r="AM140" s="40">
        <f t="shared" si="158"/>
        <v>1401170.819922457</v>
      </c>
      <c r="AN140" s="33">
        <f t="shared" si="159"/>
        <v>2.0987594847182109E-4</v>
      </c>
      <c r="AO140" s="40">
        <f t="shared" si="160"/>
        <v>3185000.3018371412</v>
      </c>
      <c r="AP140" s="41">
        <f t="shared" si="161"/>
        <v>3.0382526965917593E-4</v>
      </c>
      <c r="AQ140" s="40">
        <f t="shared" si="162"/>
        <v>2605416.5934830136</v>
      </c>
      <c r="AR140" s="41">
        <f t="shared" si="163"/>
        <v>2.4853730740084074E-4</v>
      </c>
      <c r="AV140" t="s">
        <v>418</v>
      </c>
      <c r="AW140">
        <v>324135</v>
      </c>
      <c r="AX140">
        <v>180716</v>
      </c>
      <c r="AY140" s="51">
        <v>36942.97</v>
      </c>
      <c r="AZ140" s="32">
        <f t="shared" si="142"/>
        <v>6676185766.5200005</v>
      </c>
      <c r="BA140">
        <v>10483</v>
      </c>
      <c r="BB140" s="37">
        <f t="shared" si="143"/>
        <v>3.2341462662162368E-2</v>
      </c>
      <c r="BC140">
        <v>0</v>
      </c>
      <c r="BD140" s="3">
        <f t="shared" si="144"/>
        <v>0</v>
      </c>
      <c r="BE140" s="11">
        <f>+'Seat capacity elasticities'!Y170</f>
        <v>0</v>
      </c>
      <c r="BF140" s="11">
        <f>+'Seat capacity elasticities'!Z170</f>
        <v>0</v>
      </c>
      <c r="BG140" s="11">
        <f>+'Seat capacity elasticities'!AA170</f>
        <v>0</v>
      </c>
      <c r="BH140" s="11">
        <f>+'Seat capacity elasticities'!AB170</f>
        <v>0</v>
      </c>
      <c r="BI140" s="32">
        <f t="shared" si="164"/>
        <v>0</v>
      </c>
      <c r="BJ140" s="33">
        <f t="shared" si="165"/>
        <v>0</v>
      </c>
      <c r="BK140" s="40">
        <f t="shared" si="166"/>
        <v>0</v>
      </c>
      <c r="BL140" s="33">
        <f t="shared" si="167"/>
        <v>0</v>
      </c>
      <c r="BM140" s="40">
        <f t="shared" si="168"/>
        <v>0</v>
      </c>
      <c r="BN140" s="41">
        <f t="shared" si="169"/>
        <v>0</v>
      </c>
      <c r="BO140" s="40">
        <f t="shared" si="170"/>
        <v>0</v>
      </c>
      <c r="BP140" s="41">
        <f t="shared" si="171"/>
        <v>0</v>
      </c>
      <c r="BQ140" s="53"/>
      <c r="BR140" s="53"/>
      <c r="BS140" t="s">
        <v>418</v>
      </c>
      <c r="BT140">
        <v>324135</v>
      </c>
      <c r="BU140">
        <v>180716</v>
      </c>
      <c r="BV140" s="51">
        <v>36942.97</v>
      </c>
      <c r="BW140" s="32">
        <f t="shared" si="145"/>
        <v>6676185766.5200005</v>
      </c>
      <c r="BX140">
        <v>10483</v>
      </c>
      <c r="BY140" s="37">
        <f t="shared" si="146"/>
        <v>3.2341462662162368E-2</v>
      </c>
      <c r="BZ140">
        <v>4.2440999999999998E-3</v>
      </c>
      <c r="CA140" s="3">
        <f t="shared" si="147"/>
        <v>4.2440999999999996E-5</v>
      </c>
      <c r="CB140" s="11">
        <f>+'Seat capacity elasticities'!AF170</f>
        <v>2.7797502446502878E-2</v>
      </c>
      <c r="CC140" s="11">
        <f>+'Seat capacity elasticities'!AG170</f>
        <v>2.221251167988338E-2</v>
      </c>
      <c r="CD140" s="11">
        <f>+'Seat capacity elasticities'!AH170</f>
        <v>7.6267515737697425E-2</v>
      </c>
      <c r="CE140" s="11">
        <f>+'Seat capacity elasticities'!AI170</f>
        <v>2.6304290147230319E-2</v>
      </c>
      <c r="CF140" s="32">
        <f t="shared" si="172"/>
        <v>1855812.901781474</v>
      </c>
      <c r="CG140" s="33">
        <f t="shared" si="173"/>
        <v>2.7797502446502877E-4</v>
      </c>
      <c r="CH140" s="40">
        <f t="shared" si="174"/>
        <v>1482948.5431589668</v>
      </c>
      <c r="CI140" s="33">
        <f t="shared" si="175"/>
        <v>2.2212511679883378E-4</v>
      </c>
      <c r="CJ140" s="40">
        <f t="shared" si="176"/>
        <v>7995123.67478282</v>
      </c>
      <c r="CK140" s="41">
        <f t="shared" si="177"/>
        <v>7.6267515737697418E-4</v>
      </c>
      <c r="CL140" s="40">
        <f t="shared" si="178"/>
        <v>2757478.7361341538</v>
      </c>
      <c r="CM140" s="41">
        <f t="shared" si="179"/>
        <v>2.6304290147230312E-4</v>
      </c>
      <c r="CO140" s="70">
        <f t="shared" si="180"/>
        <v>0</v>
      </c>
      <c r="CP140" s="70">
        <f t="shared" si="181"/>
        <v>0</v>
      </c>
      <c r="CQ140" s="70">
        <f t="shared" si="182"/>
        <v>0</v>
      </c>
      <c r="CR140" s="70">
        <f t="shared" si="183"/>
        <v>0</v>
      </c>
      <c r="CS140" s="70">
        <f t="shared" si="184"/>
        <v>0</v>
      </c>
      <c r="CT140" s="70">
        <f t="shared" si="185"/>
        <v>0</v>
      </c>
      <c r="CU140" s="69">
        <f t="shared" si="186"/>
        <v>0</v>
      </c>
      <c r="CV140" s="69">
        <f t="shared" si="187"/>
        <v>0</v>
      </c>
      <c r="CW140" s="70">
        <f t="shared" si="188"/>
        <v>0</v>
      </c>
      <c r="CX140" s="69">
        <f t="shared" si="189"/>
        <v>0</v>
      </c>
      <c r="CY140" s="69">
        <f t="shared" si="190"/>
        <v>0</v>
      </c>
      <c r="CZ140" s="70">
        <f t="shared" si="191"/>
        <v>0</v>
      </c>
      <c r="DB140" s="70">
        <f t="shared" si="192"/>
        <v>4.0909283773240199</v>
      </c>
      <c r="DC140" s="70">
        <f t="shared" si="193"/>
        <v>10.269222989560825</v>
      </c>
      <c r="DD140" s="70">
        <f t="shared" si="194"/>
        <v>14.360151366884846</v>
      </c>
      <c r="DE140" s="70">
        <f t="shared" si="195"/>
        <v>7.7534408681160327</v>
      </c>
      <c r="DF140" s="70">
        <f t="shared" si="196"/>
        <v>8.2059615261458134</v>
      </c>
      <c r="DG140" s="70">
        <f t="shared" si="197"/>
        <v>15.959402394261847</v>
      </c>
      <c r="DH140" s="69">
        <f t="shared" si="198"/>
        <v>17.624340411679881</v>
      </c>
      <c r="DI140" s="69">
        <f t="shared" si="199"/>
        <v>44.241371404761175</v>
      </c>
      <c r="DJ140" s="70">
        <f t="shared" si="200"/>
        <v>61.865711816441056</v>
      </c>
      <c r="DK140" s="69">
        <f t="shared" si="201"/>
        <v>14.417188259384966</v>
      </c>
      <c r="DL140" s="69">
        <f t="shared" si="202"/>
        <v>15.258630869066124</v>
      </c>
      <c r="DM140" s="70">
        <f t="shared" si="203"/>
        <v>29.675819128451089</v>
      </c>
    </row>
    <row r="141" spans="1:117">
      <c r="A141" t="s">
        <v>419</v>
      </c>
      <c r="B141">
        <v>112719</v>
      </c>
      <c r="C141">
        <v>55912</v>
      </c>
      <c r="D141" s="51">
        <v>31264.99</v>
      </c>
      <c r="E141" s="32">
        <f t="shared" si="136"/>
        <v>1748088120.8800001</v>
      </c>
      <c r="F141">
        <v>2719</v>
      </c>
      <c r="G141" s="37">
        <f t="shared" si="137"/>
        <v>2.4121931528846067E-2</v>
      </c>
      <c r="H141">
        <v>0</v>
      </c>
      <c r="I141" s="3">
        <f t="shared" si="138"/>
        <v>0</v>
      </c>
      <c r="J141" s="11">
        <f>+'Seat capacity elasticities'!K171</f>
        <v>0</v>
      </c>
      <c r="K141" s="11">
        <f>+'Seat capacity elasticities'!L171</f>
        <v>0</v>
      </c>
      <c r="L141" s="11">
        <f>+'Seat capacity elasticities'!M171</f>
        <v>0</v>
      </c>
      <c r="M141" s="11">
        <f>+'Seat capacity elasticities'!N171</f>
        <v>0</v>
      </c>
      <c r="N141" s="32">
        <f t="shared" si="148"/>
        <v>0</v>
      </c>
      <c r="O141" s="33">
        <f t="shared" si="149"/>
        <v>0</v>
      </c>
      <c r="P141" s="40">
        <f t="shared" si="150"/>
        <v>0</v>
      </c>
      <c r="Q141" s="33">
        <f t="shared" si="151"/>
        <v>0</v>
      </c>
      <c r="R141" s="40">
        <f t="shared" si="152"/>
        <v>0</v>
      </c>
      <c r="S141" s="41">
        <f t="shared" si="153"/>
        <v>0</v>
      </c>
      <c r="T141" s="40">
        <f t="shared" si="154"/>
        <v>0</v>
      </c>
      <c r="U141" s="41">
        <f t="shared" si="155"/>
        <v>0</v>
      </c>
      <c r="V141" s="53"/>
      <c r="W141" s="53"/>
      <c r="X141" t="s">
        <v>419</v>
      </c>
      <c r="Y141">
        <v>112719</v>
      </c>
      <c r="Z141">
        <v>55912</v>
      </c>
      <c r="AA141" s="51">
        <v>31264.99</v>
      </c>
      <c r="AB141" s="32">
        <f t="shared" si="139"/>
        <v>1748088120.8800001</v>
      </c>
      <c r="AC141">
        <v>2719</v>
      </c>
      <c r="AD141" s="37">
        <f t="shared" si="140"/>
        <v>2.4121931528846067E-2</v>
      </c>
      <c r="AE141">
        <v>3.9560999999999997E-3</v>
      </c>
      <c r="AF141" s="3">
        <f t="shared" si="141"/>
        <v>3.9560999999999996E-5</v>
      </c>
      <c r="AG141" s="11">
        <f>+'Seat capacity elasticities'!R171</f>
        <v>1.013729644789876E-2</v>
      </c>
      <c r="AH141" s="11">
        <f>+'Seat capacity elasticities'!S171</f>
        <v>1.921298084977946E-2</v>
      </c>
      <c r="AI141" s="11">
        <f>+'Seat capacity elasticities'!T171</f>
        <v>2.7813520940083238E-2</v>
      </c>
      <c r="AJ141" s="11">
        <f>+'Seat capacity elasticities'!U171</f>
        <v>2.2752214164212518E-2</v>
      </c>
      <c r="AK141" s="32">
        <f t="shared" si="156"/>
        <v>177208.87498410846</v>
      </c>
      <c r="AL141" s="33">
        <f t="shared" si="157"/>
        <v>1.0137296447898762E-4</v>
      </c>
      <c r="AM141" s="40">
        <f t="shared" si="158"/>
        <v>335859.83590194408</v>
      </c>
      <c r="AN141" s="33">
        <f t="shared" si="159"/>
        <v>1.9212980849779462E-4</v>
      </c>
      <c r="AO141" s="40">
        <f t="shared" si="160"/>
        <v>756249.63436086325</v>
      </c>
      <c r="AP141" s="41">
        <f t="shared" si="161"/>
        <v>2.7813520940083239E-4</v>
      </c>
      <c r="AQ141" s="40">
        <f t="shared" si="162"/>
        <v>618632.7031249383</v>
      </c>
      <c r="AR141" s="41">
        <f t="shared" si="163"/>
        <v>2.2752214164212516E-4</v>
      </c>
      <c r="AV141" t="s">
        <v>419</v>
      </c>
      <c r="AW141">
        <v>112719</v>
      </c>
      <c r="AX141">
        <v>55912</v>
      </c>
      <c r="AY141" s="51">
        <v>31264.99</v>
      </c>
      <c r="AZ141" s="32">
        <f t="shared" si="142"/>
        <v>1748088120.8800001</v>
      </c>
      <c r="BA141">
        <v>2719</v>
      </c>
      <c r="BB141" s="37">
        <f t="shared" si="143"/>
        <v>2.4121931528846067E-2</v>
      </c>
      <c r="BC141">
        <v>0</v>
      </c>
      <c r="BD141" s="3">
        <f t="shared" si="144"/>
        <v>0</v>
      </c>
      <c r="BE141" s="11">
        <f>+'Seat capacity elasticities'!Y171</f>
        <v>0</v>
      </c>
      <c r="BF141" s="11">
        <f>+'Seat capacity elasticities'!Z171</f>
        <v>0</v>
      </c>
      <c r="BG141" s="11">
        <f>+'Seat capacity elasticities'!AA171</f>
        <v>0</v>
      </c>
      <c r="BH141" s="11">
        <f>+'Seat capacity elasticities'!AB171</f>
        <v>0</v>
      </c>
      <c r="BI141" s="32">
        <f t="shared" si="164"/>
        <v>0</v>
      </c>
      <c r="BJ141" s="33">
        <f t="shared" si="165"/>
        <v>0</v>
      </c>
      <c r="BK141" s="40">
        <f t="shared" si="166"/>
        <v>0</v>
      </c>
      <c r="BL141" s="33">
        <f t="shared" si="167"/>
        <v>0</v>
      </c>
      <c r="BM141" s="40">
        <f t="shared" si="168"/>
        <v>0</v>
      </c>
      <c r="BN141" s="41">
        <f t="shared" si="169"/>
        <v>0</v>
      </c>
      <c r="BO141" s="40">
        <f t="shared" si="170"/>
        <v>0</v>
      </c>
      <c r="BP141" s="41">
        <f t="shared" si="171"/>
        <v>0</v>
      </c>
      <c r="BQ141" s="53"/>
      <c r="BR141" s="53"/>
      <c r="BS141" t="s">
        <v>419</v>
      </c>
      <c r="BT141">
        <v>112719</v>
      </c>
      <c r="BU141">
        <v>55912</v>
      </c>
      <c r="BV141" s="51">
        <v>31264.99</v>
      </c>
      <c r="BW141" s="32">
        <f t="shared" si="145"/>
        <v>1748088120.8800001</v>
      </c>
      <c r="BX141">
        <v>2719</v>
      </c>
      <c r="BY141" s="37">
        <f t="shared" si="146"/>
        <v>2.4121931528846067E-2</v>
      </c>
      <c r="BZ141">
        <v>3.9560999999999997E-3</v>
      </c>
      <c r="CA141" s="3">
        <f t="shared" si="147"/>
        <v>3.9560999999999996E-5</v>
      </c>
      <c r="CB141" s="11">
        <f>+'Seat capacity elasticities'!AF171</f>
        <v>7.4510286123165126E-2</v>
      </c>
      <c r="CC141" s="11">
        <f>+'Seat capacity elasticities'!AG171</f>
        <v>5.9539903053070026E-2</v>
      </c>
      <c r="CD141" s="11">
        <f>+'Seat capacity elasticities'!AH171</f>
        <v>0.20443255398413537</v>
      </c>
      <c r="CE141" s="11">
        <f>+'Seat capacity elasticities'!AI171</f>
        <v>7.0507779931267139E-2</v>
      </c>
      <c r="CF141" s="32">
        <f t="shared" si="172"/>
        <v>1302505.4605527488</v>
      </c>
      <c r="CG141" s="33">
        <f t="shared" si="173"/>
        <v>7.451028612316513E-4</v>
      </c>
      <c r="CH141" s="40">
        <f t="shared" si="174"/>
        <v>1040809.9724541857</v>
      </c>
      <c r="CI141" s="33">
        <f t="shared" si="175"/>
        <v>5.9539903053070029E-4</v>
      </c>
      <c r="CJ141" s="40">
        <f t="shared" si="176"/>
        <v>5558521.1428286415</v>
      </c>
      <c r="CK141" s="41">
        <f t="shared" si="177"/>
        <v>2.044325539841354E-3</v>
      </c>
      <c r="CL141" s="40">
        <f t="shared" si="178"/>
        <v>1917106.5363311537</v>
      </c>
      <c r="CM141" s="41">
        <f t="shared" si="179"/>
        <v>7.0507779931267142E-4</v>
      </c>
      <c r="CO141" s="70">
        <f t="shared" si="180"/>
        <v>0</v>
      </c>
      <c r="CP141" s="70">
        <f t="shared" si="181"/>
        <v>0</v>
      </c>
      <c r="CQ141" s="70">
        <f t="shared" si="182"/>
        <v>0</v>
      </c>
      <c r="CR141" s="70">
        <f t="shared" si="183"/>
        <v>0</v>
      </c>
      <c r="CS141" s="70">
        <f t="shared" si="184"/>
        <v>0</v>
      </c>
      <c r="CT141" s="70">
        <f t="shared" si="185"/>
        <v>0</v>
      </c>
      <c r="CU141" s="69">
        <f t="shared" si="186"/>
        <v>0</v>
      </c>
      <c r="CV141" s="69">
        <f t="shared" si="187"/>
        <v>0</v>
      </c>
      <c r="CW141" s="70">
        <f t="shared" si="188"/>
        <v>0</v>
      </c>
      <c r="CX141" s="69">
        <f t="shared" si="189"/>
        <v>0</v>
      </c>
      <c r="CY141" s="69">
        <f t="shared" si="190"/>
        <v>0</v>
      </c>
      <c r="CZ141" s="70">
        <f t="shared" si="191"/>
        <v>0</v>
      </c>
      <c r="DB141" s="70">
        <f t="shared" si="192"/>
        <v>3.1694247207059032</v>
      </c>
      <c r="DC141" s="70">
        <f t="shared" si="193"/>
        <v>23.295633505378966</v>
      </c>
      <c r="DD141" s="70">
        <f t="shared" si="194"/>
        <v>26.465058226084871</v>
      </c>
      <c r="DE141" s="70">
        <f t="shared" si="195"/>
        <v>6.0069365413854641</v>
      </c>
      <c r="DF141" s="70">
        <f t="shared" si="196"/>
        <v>18.61514473555204</v>
      </c>
      <c r="DG141" s="70">
        <f t="shared" si="197"/>
        <v>24.622081276937504</v>
      </c>
      <c r="DH141" s="69">
        <f t="shared" si="198"/>
        <v>13.525712447432809</v>
      </c>
      <c r="DI141" s="69">
        <f t="shared" si="199"/>
        <v>99.415530527053974</v>
      </c>
      <c r="DJ141" s="70">
        <f t="shared" si="200"/>
        <v>112.94124297448678</v>
      </c>
      <c r="DK141" s="69">
        <f t="shared" si="201"/>
        <v>11.064399469254155</v>
      </c>
      <c r="DL141" s="69">
        <f t="shared" si="202"/>
        <v>34.287926318699988</v>
      </c>
      <c r="DM141" s="70">
        <f t="shared" si="203"/>
        <v>45.352325787954143</v>
      </c>
    </row>
    <row r="142" spans="1:117">
      <c r="A142" t="s">
        <v>420</v>
      </c>
      <c r="B142">
        <v>2046083</v>
      </c>
      <c r="C142">
        <v>1318998</v>
      </c>
      <c r="D142" s="51">
        <v>41787.360000000001</v>
      </c>
      <c r="E142" s="32">
        <f t="shared" si="136"/>
        <v>55117444265.279999</v>
      </c>
      <c r="F142">
        <v>89587</v>
      </c>
      <c r="G142" s="37">
        <f t="shared" si="137"/>
        <v>4.3784636302632886E-2</v>
      </c>
      <c r="H142">
        <v>0</v>
      </c>
      <c r="I142" s="3">
        <f t="shared" si="138"/>
        <v>0</v>
      </c>
      <c r="J142" s="11">
        <f>+'Seat capacity elasticities'!K172</f>
        <v>0</v>
      </c>
      <c r="K142" s="11">
        <f>+'Seat capacity elasticities'!L172</f>
        <v>0</v>
      </c>
      <c r="L142" s="11">
        <f>+'Seat capacity elasticities'!M172</f>
        <v>0</v>
      </c>
      <c r="M142" s="11">
        <f>+'Seat capacity elasticities'!N172</f>
        <v>0</v>
      </c>
      <c r="N142" s="32">
        <f t="shared" si="148"/>
        <v>0</v>
      </c>
      <c r="O142" s="33">
        <f t="shared" si="149"/>
        <v>0</v>
      </c>
      <c r="P142" s="40">
        <f t="shared" si="150"/>
        <v>0</v>
      </c>
      <c r="Q142" s="33">
        <f t="shared" si="151"/>
        <v>0</v>
      </c>
      <c r="R142" s="40">
        <f t="shared" si="152"/>
        <v>0</v>
      </c>
      <c r="S142" s="41">
        <f t="shared" si="153"/>
        <v>0</v>
      </c>
      <c r="T142" s="40">
        <f t="shared" si="154"/>
        <v>0</v>
      </c>
      <c r="U142" s="41">
        <f t="shared" si="155"/>
        <v>0</v>
      </c>
      <c r="V142" s="53"/>
      <c r="W142" s="53"/>
      <c r="X142" t="s">
        <v>420</v>
      </c>
      <c r="Y142">
        <v>2046083</v>
      </c>
      <c r="Z142">
        <v>1318998</v>
      </c>
      <c r="AA142" s="51">
        <v>41787.360000000001</v>
      </c>
      <c r="AB142" s="32">
        <f t="shared" si="139"/>
        <v>55117444265.279999</v>
      </c>
      <c r="AC142">
        <v>89587</v>
      </c>
      <c r="AD142" s="37">
        <f t="shared" si="140"/>
        <v>4.3784636302632886E-2</v>
      </c>
      <c r="AE142">
        <v>5.3866000000000001E-3</v>
      </c>
      <c r="AF142" s="3">
        <f t="shared" si="141"/>
        <v>5.3866000000000002E-5</v>
      </c>
      <c r="AG142" s="11">
        <f>+'Seat capacity elasticities'!R172</f>
        <v>1.3494020843795029E-2</v>
      </c>
      <c r="AH142" s="11">
        <f>+'Seat capacity elasticities'!S172</f>
        <v>2.5574902084677401E-2</v>
      </c>
      <c r="AI142" s="11">
        <f>+'Seat capacity elasticities'!T172</f>
        <v>3.7023306286224626E-2</v>
      </c>
      <c r="AJ142" s="11">
        <f>+'Seat capacity elasticities'!U172</f>
        <v>3.0286068258170606E-2</v>
      </c>
      <c r="AK142" s="32">
        <f t="shared" si="156"/>
        <v>7437559.417723991</v>
      </c>
      <c r="AL142" s="33">
        <f t="shared" si="157"/>
        <v>1.3494020843795028E-4</v>
      </c>
      <c r="AM142" s="40">
        <f t="shared" si="158"/>
        <v>14096232.402421998</v>
      </c>
      <c r="AN142" s="33">
        <f t="shared" si="159"/>
        <v>2.5574902084677401E-4</v>
      </c>
      <c r="AO142" s="40">
        <f t="shared" si="160"/>
        <v>33168069.402640056</v>
      </c>
      <c r="AP142" s="41">
        <f t="shared" si="161"/>
        <v>3.7023306286224626E-4</v>
      </c>
      <c r="AQ142" s="40">
        <f t="shared" si="162"/>
        <v>27132379.970447298</v>
      </c>
      <c r="AR142" s="41">
        <f t="shared" si="163"/>
        <v>3.0286068258170607E-4</v>
      </c>
      <c r="AV142" t="s">
        <v>420</v>
      </c>
      <c r="AW142">
        <v>2046083</v>
      </c>
      <c r="AX142">
        <v>1318998</v>
      </c>
      <c r="AY142" s="51">
        <v>41787.360000000001</v>
      </c>
      <c r="AZ142" s="32">
        <f t="shared" si="142"/>
        <v>55117444265.279999</v>
      </c>
      <c r="BA142">
        <v>89587</v>
      </c>
      <c r="BB142" s="37">
        <f t="shared" si="143"/>
        <v>4.3784636302632886E-2</v>
      </c>
      <c r="BC142">
        <v>0</v>
      </c>
      <c r="BD142" s="3">
        <f t="shared" si="144"/>
        <v>0</v>
      </c>
      <c r="BE142" s="11">
        <f>+'Seat capacity elasticities'!Y172</f>
        <v>0</v>
      </c>
      <c r="BF142" s="11">
        <f>+'Seat capacity elasticities'!Z172</f>
        <v>0</v>
      </c>
      <c r="BG142" s="11">
        <f>+'Seat capacity elasticities'!AA172</f>
        <v>0</v>
      </c>
      <c r="BH142" s="11">
        <f>+'Seat capacity elasticities'!AB172</f>
        <v>0</v>
      </c>
      <c r="BI142" s="32">
        <f t="shared" si="164"/>
        <v>0</v>
      </c>
      <c r="BJ142" s="33">
        <f t="shared" si="165"/>
        <v>0</v>
      </c>
      <c r="BK142" s="40">
        <f t="shared" si="166"/>
        <v>0</v>
      </c>
      <c r="BL142" s="33">
        <f t="shared" si="167"/>
        <v>0</v>
      </c>
      <c r="BM142" s="40">
        <f t="shared" si="168"/>
        <v>0</v>
      </c>
      <c r="BN142" s="41">
        <f t="shared" si="169"/>
        <v>0</v>
      </c>
      <c r="BO142" s="40">
        <f t="shared" si="170"/>
        <v>0</v>
      </c>
      <c r="BP142" s="41">
        <f t="shared" si="171"/>
        <v>0</v>
      </c>
      <c r="BQ142" s="53"/>
      <c r="BR142" s="53"/>
      <c r="BS142" t="s">
        <v>420</v>
      </c>
      <c r="BT142">
        <v>2046083</v>
      </c>
      <c r="BU142">
        <v>1318998</v>
      </c>
      <c r="BV142" s="51">
        <v>41787.360000000001</v>
      </c>
      <c r="BW142" s="32">
        <f t="shared" si="145"/>
        <v>55117444265.279999</v>
      </c>
      <c r="BX142">
        <v>89587</v>
      </c>
      <c r="BY142" s="37">
        <f t="shared" si="146"/>
        <v>4.3784636302632886E-2</v>
      </c>
      <c r="BZ142">
        <v>5.3866000000000001E-3</v>
      </c>
      <c r="CA142" s="3">
        <f t="shared" si="147"/>
        <v>5.3866000000000002E-5</v>
      </c>
      <c r="CB142" s="11">
        <f>+'Seat capacity elasticities'!AF172</f>
        <v>5.589044624475307E-3</v>
      </c>
      <c r="CC142" s="11">
        <f>+'Seat capacity elasticities'!AG172</f>
        <v>4.466110552178968E-3</v>
      </c>
      <c r="CD142" s="11">
        <f>+'Seat capacity elasticities'!AH172</f>
        <v>1.533456286859651E-2</v>
      </c>
      <c r="CE142" s="11">
        <f>+'Seat capacity elasticities'!AI172</f>
        <v>5.2888151275803574E-3</v>
      </c>
      <c r="CF142" s="32">
        <f t="shared" si="172"/>
        <v>3080538.5558568048</v>
      </c>
      <c r="CG142" s="33">
        <f t="shared" si="173"/>
        <v>5.5890446244753066E-5</v>
      </c>
      <c r="CH142" s="40">
        <f t="shared" si="174"/>
        <v>2461605.9944230313</v>
      </c>
      <c r="CI142" s="33">
        <f t="shared" si="175"/>
        <v>4.4661105521789675E-5</v>
      </c>
      <c r="CJ142" s="40">
        <f t="shared" si="176"/>
        <v>13737774.837089555</v>
      </c>
      <c r="CK142" s="41">
        <f t="shared" si="177"/>
        <v>1.5334562868596509E-4</v>
      </c>
      <c r="CL142" s="40">
        <f t="shared" si="178"/>
        <v>4738090.8083454156</v>
      </c>
      <c r="CM142" s="41">
        <f t="shared" si="179"/>
        <v>5.2888151275803589E-5</v>
      </c>
      <c r="CO142" s="70">
        <f t="shared" si="180"/>
        <v>0</v>
      </c>
      <c r="CP142" s="70">
        <f t="shared" si="181"/>
        <v>0</v>
      </c>
      <c r="CQ142" s="70">
        <f t="shared" si="182"/>
        <v>0</v>
      </c>
      <c r="CR142" s="70">
        <f t="shared" si="183"/>
        <v>0</v>
      </c>
      <c r="CS142" s="70">
        <f t="shared" si="184"/>
        <v>0</v>
      </c>
      <c r="CT142" s="70">
        <f t="shared" si="185"/>
        <v>0</v>
      </c>
      <c r="CU142" s="69">
        <f t="shared" si="186"/>
        <v>0</v>
      </c>
      <c r="CV142" s="69">
        <f t="shared" si="187"/>
        <v>0</v>
      </c>
      <c r="CW142" s="70">
        <f t="shared" si="188"/>
        <v>0</v>
      </c>
      <c r="CX142" s="69">
        <f t="shared" si="189"/>
        <v>0</v>
      </c>
      <c r="CY142" s="69">
        <f t="shared" si="190"/>
        <v>0</v>
      </c>
      <c r="CZ142" s="70">
        <f t="shared" si="191"/>
        <v>0</v>
      </c>
      <c r="DB142" s="70">
        <f t="shared" si="192"/>
        <v>5.6387950684716666</v>
      </c>
      <c r="DC142" s="70">
        <f t="shared" si="193"/>
        <v>2.3355141977901446</v>
      </c>
      <c r="DD142" s="70">
        <f t="shared" si="194"/>
        <v>7.9743092662618107</v>
      </c>
      <c r="DE142" s="70">
        <f t="shared" si="195"/>
        <v>10.68707640377165</v>
      </c>
      <c r="DF142" s="70">
        <f t="shared" si="196"/>
        <v>1.866269694437013</v>
      </c>
      <c r="DG142" s="70">
        <f t="shared" si="197"/>
        <v>12.553346098208664</v>
      </c>
      <c r="DH142" s="69">
        <f t="shared" si="198"/>
        <v>25.146413719080737</v>
      </c>
      <c r="DI142" s="69">
        <f t="shared" si="199"/>
        <v>10.415311347772745</v>
      </c>
      <c r="DJ142" s="70">
        <f t="shared" si="200"/>
        <v>35.561725066853484</v>
      </c>
      <c r="DK142" s="69">
        <f t="shared" si="201"/>
        <v>20.570448151132375</v>
      </c>
      <c r="DL142" s="69">
        <f t="shared" si="202"/>
        <v>3.5921895320124939</v>
      </c>
      <c r="DM142" s="70">
        <f t="shared" si="203"/>
        <v>24.162637683144869</v>
      </c>
    </row>
    <row r="143" spans="1:117">
      <c r="A143" t="s">
        <v>421</v>
      </c>
      <c r="B143">
        <v>237206</v>
      </c>
      <c r="C143">
        <v>126413</v>
      </c>
      <c r="D143" s="51">
        <v>41884.51</v>
      </c>
      <c r="E143" s="32">
        <f t="shared" si="136"/>
        <v>5294746562.6300001</v>
      </c>
      <c r="F143">
        <v>7509</v>
      </c>
      <c r="G143" s="37">
        <f t="shared" si="137"/>
        <v>3.1656028936873436E-2</v>
      </c>
      <c r="H143">
        <v>0</v>
      </c>
      <c r="I143" s="3">
        <f t="shared" si="138"/>
        <v>0</v>
      </c>
      <c r="J143" s="11">
        <f>+'Seat capacity elasticities'!K173</f>
        <v>0</v>
      </c>
      <c r="K143" s="11">
        <f>+'Seat capacity elasticities'!L173</f>
        <v>0</v>
      </c>
      <c r="L143" s="11">
        <f>+'Seat capacity elasticities'!M173</f>
        <v>0</v>
      </c>
      <c r="M143" s="11">
        <f>+'Seat capacity elasticities'!N173</f>
        <v>0</v>
      </c>
      <c r="N143" s="32">
        <f t="shared" si="148"/>
        <v>0</v>
      </c>
      <c r="O143" s="33">
        <f t="shared" si="149"/>
        <v>0</v>
      </c>
      <c r="P143" s="40">
        <f t="shared" si="150"/>
        <v>0</v>
      </c>
      <c r="Q143" s="33">
        <f t="shared" si="151"/>
        <v>0</v>
      </c>
      <c r="R143" s="40">
        <f t="shared" si="152"/>
        <v>0</v>
      </c>
      <c r="S143" s="41">
        <f t="shared" si="153"/>
        <v>0</v>
      </c>
      <c r="T143" s="40">
        <f t="shared" si="154"/>
        <v>0</v>
      </c>
      <c r="U143" s="41">
        <f t="shared" si="155"/>
        <v>0</v>
      </c>
      <c r="V143" s="53"/>
      <c r="W143" s="53"/>
      <c r="X143" t="s">
        <v>421</v>
      </c>
      <c r="Y143">
        <v>237206</v>
      </c>
      <c r="Z143">
        <v>126413</v>
      </c>
      <c r="AA143" s="51">
        <v>41884.51</v>
      </c>
      <c r="AB143" s="32">
        <f t="shared" si="139"/>
        <v>5294746562.6300001</v>
      </c>
      <c r="AC143">
        <v>7509</v>
      </c>
      <c r="AD143" s="37">
        <f t="shared" si="140"/>
        <v>3.1656028936873436E-2</v>
      </c>
      <c r="AE143">
        <v>1.07791E-2</v>
      </c>
      <c r="AF143" s="3">
        <f t="shared" si="141"/>
        <v>1.07791E-4</v>
      </c>
      <c r="AG143" s="11">
        <f>+'Seat capacity elasticities'!R173</f>
        <v>4.3723782292974626E-2</v>
      </c>
      <c r="AH143" s="11">
        <f>+'Seat capacity elasticities'!S173</f>
        <v>8.2868661895447934E-2</v>
      </c>
      <c r="AI143" s="11">
        <f>+'Seat capacity elasticities'!T173</f>
        <v>0.1199641680240459</v>
      </c>
      <c r="AJ143" s="11">
        <f>+'Seat capacity elasticities'!U173</f>
        <v>9.8133941718293607E-2</v>
      </c>
      <c r="AK143" s="32">
        <f t="shared" si="156"/>
        <v>2315063.4600090985</v>
      </c>
      <c r="AL143" s="33">
        <f t="shared" si="157"/>
        <v>4.3723782292974625E-4</v>
      </c>
      <c r="AM143" s="40">
        <f t="shared" si="158"/>
        <v>4387685.6272067064</v>
      </c>
      <c r="AN143" s="33">
        <f t="shared" si="159"/>
        <v>8.2868661895447939E-4</v>
      </c>
      <c r="AO143" s="40">
        <f t="shared" si="160"/>
        <v>9008109.3769256081</v>
      </c>
      <c r="AP143" s="41">
        <f t="shared" si="161"/>
        <v>1.1996416802404592E-3</v>
      </c>
      <c r="AQ143" s="40">
        <f t="shared" si="162"/>
        <v>7368877.6836266667</v>
      </c>
      <c r="AR143" s="41">
        <f t="shared" si="163"/>
        <v>9.8133941718293611E-4</v>
      </c>
      <c r="AV143" t="s">
        <v>421</v>
      </c>
      <c r="AW143">
        <v>237206</v>
      </c>
      <c r="AX143">
        <v>126413</v>
      </c>
      <c r="AY143" s="51">
        <v>41884.51</v>
      </c>
      <c r="AZ143" s="32">
        <f t="shared" si="142"/>
        <v>5294746562.6300001</v>
      </c>
      <c r="BA143">
        <v>7509</v>
      </c>
      <c r="BB143" s="37">
        <f t="shared" si="143"/>
        <v>3.1656028936873436E-2</v>
      </c>
      <c r="BC143">
        <v>0</v>
      </c>
      <c r="BD143" s="3">
        <f t="shared" si="144"/>
        <v>0</v>
      </c>
      <c r="BE143" s="11">
        <f>+'Seat capacity elasticities'!Y173</f>
        <v>0</v>
      </c>
      <c r="BF143" s="11">
        <f>+'Seat capacity elasticities'!Z173</f>
        <v>0</v>
      </c>
      <c r="BG143" s="11">
        <f>+'Seat capacity elasticities'!AA173</f>
        <v>0</v>
      </c>
      <c r="BH143" s="11">
        <f>+'Seat capacity elasticities'!AB173</f>
        <v>0</v>
      </c>
      <c r="BI143" s="32">
        <f t="shared" si="164"/>
        <v>0</v>
      </c>
      <c r="BJ143" s="33">
        <f t="shared" si="165"/>
        <v>0</v>
      </c>
      <c r="BK143" s="40">
        <f t="shared" si="166"/>
        <v>0</v>
      </c>
      <c r="BL143" s="33">
        <f t="shared" si="167"/>
        <v>0</v>
      </c>
      <c r="BM143" s="40">
        <f t="shared" si="168"/>
        <v>0</v>
      </c>
      <c r="BN143" s="41">
        <f t="shared" si="169"/>
        <v>0</v>
      </c>
      <c r="BO143" s="40">
        <f t="shared" si="170"/>
        <v>0</v>
      </c>
      <c r="BP143" s="41">
        <f t="shared" si="171"/>
        <v>0</v>
      </c>
      <c r="BQ143" s="53"/>
      <c r="BR143" s="53"/>
      <c r="BS143" t="s">
        <v>421</v>
      </c>
      <c r="BT143">
        <v>237206</v>
      </c>
      <c r="BU143">
        <v>126413</v>
      </c>
      <c r="BV143" s="51">
        <v>41884.51</v>
      </c>
      <c r="BW143" s="32">
        <f t="shared" si="145"/>
        <v>5294746562.6300001</v>
      </c>
      <c r="BX143">
        <v>7509</v>
      </c>
      <c r="BY143" s="37">
        <f t="shared" si="146"/>
        <v>3.1656028936873436E-2</v>
      </c>
      <c r="BZ143">
        <v>1.07791E-2</v>
      </c>
      <c r="CA143" s="3">
        <f t="shared" si="147"/>
        <v>1.07791E-4</v>
      </c>
      <c r="CB143" s="11">
        <f>+'Seat capacity elasticities'!AF173</f>
        <v>9.647236567529241E-2</v>
      </c>
      <c r="CC143" s="11">
        <f>+'Seat capacity elasticities'!AG173</f>
        <v>7.7089427493440318E-2</v>
      </c>
      <c r="CD143" s="11">
        <f>+'Seat capacity elasticities'!AH173</f>
        <v>0.26468952315242683</v>
      </c>
      <c r="CE143" s="11">
        <f>+'Seat capacity elasticities'!AI173</f>
        <v>9.1290111505389848E-2</v>
      </c>
      <c r="CF143" s="32">
        <f t="shared" si="172"/>
        <v>5107967.2654803889</v>
      </c>
      <c r="CG143" s="33">
        <f t="shared" si="173"/>
        <v>9.6472365675292408E-4</v>
      </c>
      <c r="CH143" s="40">
        <f t="shared" si="174"/>
        <v>4081689.8123600776</v>
      </c>
      <c r="CI143" s="33">
        <f t="shared" si="175"/>
        <v>7.708942749344032E-4</v>
      </c>
      <c r="CJ143" s="40">
        <f t="shared" si="176"/>
        <v>19875536.293515734</v>
      </c>
      <c r="CK143" s="41">
        <f t="shared" si="177"/>
        <v>2.6468952315242687E-3</v>
      </c>
      <c r="CL143" s="40">
        <f t="shared" si="178"/>
        <v>6854974.4729397241</v>
      </c>
      <c r="CM143" s="41">
        <f t="shared" si="179"/>
        <v>9.1290111505389852E-4</v>
      </c>
      <c r="CO143" s="70">
        <f t="shared" si="180"/>
        <v>0</v>
      </c>
      <c r="CP143" s="70">
        <f t="shared" si="181"/>
        <v>0</v>
      </c>
      <c r="CQ143" s="70">
        <f t="shared" si="182"/>
        <v>0</v>
      </c>
      <c r="CR143" s="70">
        <f t="shared" si="183"/>
        <v>0</v>
      </c>
      <c r="CS143" s="70">
        <f t="shared" si="184"/>
        <v>0</v>
      </c>
      <c r="CT143" s="70">
        <f t="shared" si="185"/>
        <v>0</v>
      </c>
      <c r="CU143" s="69">
        <f t="shared" si="186"/>
        <v>0</v>
      </c>
      <c r="CV143" s="69">
        <f t="shared" si="187"/>
        <v>0</v>
      </c>
      <c r="CW143" s="70">
        <f t="shared" si="188"/>
        <v>0</v>
      </c>
      <c r="CX143" s="69">
        <f t="shared" si="189"/>
        <v>0</v>
      </c>
      <c r="CY143" s="69">
        <f t="shared" si="190"/>
        <v>0</v>
      </c>
      <c r="CZ143" s="70">
        <f t="shared" si="191"/>
        <v>0</v>
      </c>
      <c r="DB143" s="70">
        <f t="shared" si="192"/>
        <v>18.313491966879187</v>
      </c>
      <c r="DC143" s="70">
        <f t="shared" si="193"/>
        <v>40.406977648504416</v>
      </c>
      <c r="DD143" s="70">
        <f t="shared" si="194"/>
        <v>58.720469615383607</v>
      </c>
      <c r="DE143" s="70">
        <f t="shared" si="195"/>
        <v>34.709132978465085</v>
      </c>
      <c r="DF143" s="70">
        <f t="shared" si="196"/>
        <v>32.288528967432761</v>
      </c>
      <c r="DG143" s="70">
        <f t="shared" si="197"/>
        <v>66.997661945897846</v>
      </c>
      <c r="DH143" s="69">
        <f t="shared" si="198"/>
        <v>71.259359218795595</v>
      </c>
      <c r="DI143" s="69">
        <f t="shared" si="199"/>
        <v>157.22699638103467</v>
      </c>
      <c r="DJ143" s="70">
        <f t="shared" si="200"/>
        <v>228.48635559983026</v>
      </c>
      <c r="DK143" s="69">
        <f t="shared" si="201"/>
        <v>58.292087709544639</v>
      </c>
      <c r="DL143" s="69">
        <f t="shared" si="202"/>
        <v>54.226815857069482</v>
      </c>
      <c r="DM143" s="70">
        <f t="shared" si="203"/>
        <v>112.51890356661411</v>
      </c>
    </row>
    <row r="144" spans="1:117">
      <c r="A144" t="s">
        <v>422</v>
      </c>
      <c r="B144">
        <v>379569</v>
      </c>
      <c r="C144">
        <v>225225</v>
      </c>
      <c r="D144" s="51">
        <v>31612.51</v>
      </c>
      <c r="E144" s="32">
        <f t="shared" si="136"/>
        <v>7119927564.75</v>
      </c>
      <c r="F144">
        <v>6707</v>
      </c>
      <c r="G144" s="37">
        <f t="shared" si="137"/>
        <v>1.7670041547123184E-2</v>
      </c>
      <c r="H144">
        <v>0</v>
      </c>
      <c r="I144" s="3">
        <f t="shared" si="138"/>
        <v>0</v>
      </c>
      <c r="J144" s="11">
        <f>+'Seat capacity elasticities'!K174</f>
        <v>0</v>
      </c>
      <c r="K144" s="11">
        <f>+'Seat capacity elasticities'!L174</f>
        <v>0</v>
      </c>
      <c r="L144" s="11">
        <f>+'Seat capacity elasticities'!M174</f>
        <v>0</v>
      </c>
      <c r="M144" s="11">
        <f>+'Seat capacity elasticities'!N174</f>
        <v>0</v>
      </c>
      <c r="N144" s="32">
        <f t="shared" si="148"/>
        <v>0</v>
      </c>
      <c r="O144" s="33">
        <f t="shared" si="149"/>
        <v>0</v>
      </c>
      <c r="P144" s="40">
        <f t="shared" si="150"/>
        <v>0</v>
      </c>
      <c r="Q144" s="33">
        <f t="shared" si="151"/>
        <v>0</v>
      </c>
      <c r="R144" s="40">
        <f t="shared" si="152"/>
        <v>0</v>
      </c>
      <c r="S144" s="41">
        <f t="shared" si="153"/>
        <v>0</v>
      </c>
      <c r="T144" s="40">
        <f t="shared" si="154"/>
        <v>0</v>
      </c>
      <c r="U144" s="41">
        <f t="shared" si="155"/>
        <v>0</v>
      </c>
      <c r="V144" s="53"/>
      <c r="W144" s="53"/>
      <c r="X144" t="s">
        <v>422</v>
      </c>
      <c r="Y144">
        <v>379569</v>
      </c>
      <c r="Z144">
        <v>225225</v>
      </c>
      <c r="AA144" s="51">
        <v>31612.51</v>
      </c>
      <c r="AB144" s="32">
        <f t="shared" si="139"/>
        <v>7119927564.75</v>
      </c>
      <c r="AC144">
        <v>6707</v>
      </c>
      <c r="AD144" s="37">
        <f t="shared" si="140"/>
        <v>1.7670041547123184E-2</v>
      </c>
      <c r="AE144">
        <v>1.3803999999999999E-3</v>
      </c>
      <c r="AF144" s="3">
        <f t="shared" si="141"/>
        <v>1.3804E-5</v>
      </c>
      <c r="AG144" s="11">
        <f>+'Seat capacity elasticities'!R174</f>
        <v>5.4838552212245553E-3</v>
      </c>
      <c r="AH144" s="11">
        <f>+'Seat capacity elasticities'!S174</f>
        <v>1.0393422535274635E-2</v>
      </c>
      <c r="AI144" s="11">
        <f>+'Seat capacity elasticities'!T174</f>
        <v>1.5045956563648599E-2</v>
      </c>
      <c r="AJ144" s="11">
        <f>+'Seat capacity elasticities'!U174</f>
        <v>1.2308000370719963E-2</v>
      </c>
      <c r="AK144" s="32">
        <f t="shared" si="156"/>
        <v>390446.51950694923</v>
      </c>
      <c r="AL144" s="33">
        <f t="shared" si="157"/>
        <v>5.4838552212245554E-5</v>
      </c>
      <c r="AM144" s="40">
        <f t="shared" si="158"/>
        <v>740004.15600995708</v>
      </c>
      <c r="AN144" s="33">
        <f t="shared" si="159"/>
        <v>1.0393422535274636E-4</v>
      </c>
      <c r="AO144" s="40">
        <f t="shared" si="160"/>
        <v>1009132.3067239118</v>
      </c>
      <c r="AP144" s="41">
        <f t="shared" si="161"/>
        <v>1.5045956563648603E-4</v>
      </c>
      <c r="AQ144" s="40">
        <f t="shared" si="162"/>
        <v>825497.58486418799</v>
      </c>
      <c r="AR144" s="41">
        <f t="shared" si="163"/>
        <v>1.2308000370719963E-4</v>
      </c>
      <c r="AV144" t="s">
        <v>422</v>
      </c>
      <c r="AW144">
        <v>379569</v>
      </c>
      <c r="AX144">
        <v>225225</v>
      </c>
      <c r="AY144" s="51">
        <v>31612.51</v>
      </c>
      <c r="AZ144" s="32">
        <f t="shared" si="142"/>
        <v>7119927564.75</v>
      </c>
      <c r="BA144">
        <v>6707</v>
      </c>
      <c r="BB144" s="37">
        <f t="shared" si="143"/>
        <v>1.7670041547123184E-2</v>
      </c>
      <c r="BC144">
        <v>0</v>
      </c>
      <c r="BD144" s="3">
        <f t="shared" si="144"/>
        <v>0</v>
      </c>
      <c r="BE144" s="11">
        <f>+'Seat capacity elasticities'!Y174</f>
        <v>0</v>
      </c>
      <c r="BF144" s="11">
        <f>+'Seat capacity elasticities'!Z174</f>
        <v>0</v>
      </c>
      <c r="BG144" s="11">
        <f>+'Seat capacity elasticities'!AA174</f>
        <v>0</v>
      </c>
      <c r="BH144" s="11">
        <f>+'Seat capacity elasticities'!AB174</f>
        <v>0</v>
      </c>
      <c r="BI144" s="32">
        <f t="shared" si="164"/>
        <v>0</v>
      </c>
      <c r="BJ144" s="33">
        <f t="shared" si="165"/>
        <v>0</v>
      </c>
      <c r="BK144" s="40">
        <f t="shared" si="166"/>
        <v>0</v>
      </c>
      <c r="BL144" s="33">
        <f t="shared" si="167"/>
        <v>0</v>
      </c>
      <c r="BM144" s="40">
        <f t="shared" si="168"/>
        <v>0</v>
      </c>
      <c r="BN144" s="41">
        <f t="shared" si="169"/>
        <v>0</v>
      </c>
      <c r="BO144" s="40">
        <f t="shared" si="170"/>
        <v>0</v>
      </c>
      <c r="BP144" s="41">
        <f t="shared" si="171"/>
        <v>0</v>
      </c>
      <c r="BQ144" s="53"/>
      <c r="BR144" s="53"/>
      <c r="BS144" t="s">
        <v>422</v>
      </c>
      <c r="BT144">
        <v>379569</v>
      </c>
      <c r="BU144">
        <v>225225</v>
      </c>
      <c r="BV144" s="51">
        <v>31612.51</v>
      </c>
      <c r="BW144" s="32">
        <f t="shared" si="145"/>
        <v>7119927564.75</v>
      </c>
      <c r="BX144">
        <v>6707</v>
      </c>
      <c r="BY144" s="37">
        <f t="shared" si="146"/>
        <v>1.7670041547123184E-2</v>
      </c>
      <c r="BZ144">
        <v>1.3803999999999999E-3</v>
      </c>
      <c r="CA144" s="3">
        <f t="shared" si="147"/>
        <v>1.3804E-5</v>
      </c>
      <c r="CB144" s="11">
        <f>+'Seat capacity elasticities'!AF174</f>
        <v>7.7207646177694361E-3</v>
      </c>
      <c r="CC144" s="11">
        <f>+'Seat capacity elasticities'!AG174</f>
        <v>6.1695317620669762E-3</v>
      </c>
      <c r="CD144" s="11">
        <f>+'Seat capacity elasticities'!AH174</f>
        <v>2.1183325305071377E-2</v>
      </c>
      <c r="CE144" s="11">
        <f>+'Seat capacity elasticities'!AI174</f>
        <v>7.306024455079314E-3</v>
      </c>
      <c r="CF144" s="32">
        <f t="shared" si="172"/>
        <v>549712.84823003109</v>
      </c>
      <c r="CG144" s="33">
        <f t="shared" si="173"/>
        <v>7.7207646177694368E-5</v>
      </c>
      <c r="CH144" s="40">
        <f t="shared" si="174"/>
        <v>439266.19254341308</v>
      </c>
      <c r="CI144" s="33">
        <f t="shared" si="175"/>
        <v>6.1695317620669767E-5</v>
      </c>
      <c r="CJ144" s="40">
        <f t="shared" si="176"/>
        <v>1420765.6282111371</v>
      </c>
      <c r="CK144" s="41">
        <f t="shared" si="177"/>
        <v>2.1183325305071374E-4</v>
      </c>
      <c r="CL144" s="40">
        <f t="shared" si="178"/>
        <v>490015.06020216964</v>
      </c>
      <c r="CM144" s="41">
        <f t="shared" si="179"/>
        <v>7.3060244550793144E-5</v>
      </c>
      <c r="CO144" s="70">
        <f t="shared" si="180"/>
        <v>0</v>
      </c>
      <c r="CP144" s="70">
        <f t="shared" si="181"/>
        <v>0</v>
      </c>
      <c r="CQ144" s="70">
        <f t="shared" si="182"/>
        <v>0</v>
      </c>
      <c r="CR144" s="70">
        <f t="shared" si="183"/>
        <v>0</v>
      </c>
      <c r="CS144" s="70">
        <f t="shared" si="184"/>
        <v>0</v>
      </c>
      <c r="CT144" s="70">
        <f t="shared" si="185"/>
        <v>0</v>
      </c>
      <c r="CU144" s="69">
        <f t="shared" si="186"/>
        <v>0</v>
      </c>
      <c r="CV144" s="69">
        <f t="shared" si="187"/>
        <v>0</v>
      </c>
      <c r="CW144" s="70">
        <f t="shared" si="188"/>
        <v>0</v>
      </c>
      <c r="CX144" s="69">
        <f t="shared" si="189"/>
        <v>0</v>
      </c>
      <c r="CY144" s="69">
        <f t="shared" si="190"/>
        <v>0</v>
      </c>
      <c r="CZ144" s="70">
        <f t="shared" si="191"/>
        <v>0</v>
      </c>
      <c r="DB144" s="70">
        <f t="shared" si="192"/>
        <v>1.7335842801951349</v>
      </c>
      <c r="DC144" s="70">
        <f t="shared" si="193"/>
        <v>2.4407274868688247</v>
      </c>
      <c r="DD144" s="70">
        <f t="shared" si="194"/>
        <v>4.1743117670639593</v>
      </c>
      <c r="DE144" s="70">
        <f t="shared" si="195"/>
        <v>3.2856217383059478</v>
      </c>
      <c r="DF144" s="70">
        <f t="shared" si="196"/>
        <v>1.9503438452365993</v>
      </c>
      <c r="DG144" s="70">
        <f t="shared" si="197"/>
        <v>5.2359655835425469</v>
      </c>
      <c r="DH144" s="69">
        <f t="shared" si="198"/>
        <v>4.4805519224060903</v>
      </c>
      <c r="DI144" s="69">
        <f t="shared" si="199"/>
        <v>6.308205697463146</v>
      </c>
      <c r="DJ144" s="70">
        <f t="shared" si="200"/>
        <v>10.788757619869237</v>
      </c>
      <c r="DK144" s="69">
        <f t="shared" si="201"/>
        <v>3.6652129420099366</v>
      </c>
      <c r="DL144" s="69">
        <f t="shared" si="202"/>
        <v>2.1756690429666761</v>
      </c>
      <c r="DM144" s="70">
        <f t="shared" si="203"/>
        <v>5.8408819849766127</v>
      </c>
    </row>
    <row r="145" spans="1:117">
      <c r="A145" t="s">
        <v>987</v>
      </c>
      <c r="B145">
        <v>304679</v>
      </c>
      <c r="C145">
        <v>165497</v>
      </c>
      <c r="D145" s="51">
        <v>35165.47</v>
      </c>
      <c r="E145" s="32">
        <f t="shared" si="136"/>
        <v>5819779788.5900002</v>
      </c>
      <c r="F145">
        <v>8898</v>
      </c>
      <c r="G145" s="37">
        <f t="shared" si="137"/>
        <v>2.9204507038555334E-2</v>
      </c>
      <c r="H145">
        <v>0</v>
      </c>
      <c r="I145" s="3">
        <f t="shared" si="138"/>
        <v>0</v>
      </c>
      <c r="J145" s="11">
        <f>+'Seat capacity elasticities'!K175</f>
        <v>0</v>
      </c>
      <c r="K145" s="11">
        <f>+'Seat capacity elasticities'!L175</f>
        <v>0</v>
      </c>
      <c r="L145" s="11">
        <f>+'Seat capacity elasticities'!M175</f>
        <v>0</v>
      </c>
      <c r="M145" s="11">
        <f>+'Seat capacity elasticities'!N175</f>
        <v>0</v>
      </c>
      <c r="N145" s="32">
        <f t="shared" si="148"/>
        <v>0</v>
      </c>
      <c r="O145" s="33">
        <f t="shared" si="149"/>
        <v>0</v>
      </c>
      <c r="P145" s="40">
        <f t="shared" si="150"/>
        <v>0</v>
      </c>
      <c r="Q145" s="33">
        <f t="shared" si="151"/>
        <v>0</v>
      </c>
      <c r="R145" s="40">
        <f t="shared" si="152"/>
        <v>0</v>
      </c>
      <c r="S145" s="41">
        <f t="shared" si="153"/>
        <v>0</v>
      </c>
      <c r="T145" s="40">
        <f t="shared" si="154"/>
        <v>0</v>
      </c>
      <c r="U145" s="41">
        <f t="shared" si="155"/>
        <v>0</v>
      </c>
      <c r="V145" s="53"/>
      <c r="W145" s="53"/>
      <c r="X145" t="s">
        <v>987</v>
      </c>
      <c r="Y145">
        <v>304679</v>
      </c>
      <c r="Z145">
        <v>165497</v>
      </c>
      <c r="AA145" s="51">
        <v>35165.47</v>
      </c>
      <c r="AB145" s="32">
        <f t="shared" si="139"/>
        <v>5819779788.5900002</v>
      </c>
      <c r="AC145">
        <v>8898</v>
      </c>
      <c r="AD145" s="37">
        <f t="shared" si="140"/>
        <v>2.9204507038555334E-2</v>
      </c>
      <c r="AE145">
        <v>1.6069000000000001E-3</v>
      </c>
      <c r="AF145" s="3">
        <f t="shared" si="141"/>
        <v>1.6069000000000001E-5</v>
      </c>
      <c r="AG145" s="11">
        <f>+'Seat capacity elasticities'!R175</f>
        <v>6.4264480139802705E-3</v>
      </c>
      <c r="AH145" s="11">
        <f>+'Seat capacity elasticities'!S175</f>
        <v>1.217989660845906E-2</v>
      </c>
      <c r="AI145" s="11">
        <f>+'Seat capacity elasticities'!T175</f>
        <v>1.7632131735108324E-2</v>
      </c>
      <c r="AJ145" s="11">
        <f>+'Seat capacity elasticities'!U175</f>
        <v>1.4423561773175202E-2</v>
      </c>
      <c r="AK145" s="32">
        <f t="shared" si="156"/>
        <v>374005.12264186726</v>
      </c>
      <c r="AL145" s="33">
        <f t="shared" si="157"/>
        <v>6.4264480139802706E-5</v>
      </c>
      <c r="AM145" s="40">
        <f t="shared" si="158"/>
        <v>708843.16109025932</v>
      </c>
      <c r="AN145" s="33">
        <f t="shared" si="159"/>
        <v>1.2179896608459061E-4</v>
      </c>
      <c r="AO145" s="40">
        <f t="shared" si="160"/>
        <v>1568907.0817899387</v>
      </c>
      <c r="AP145" s="41">
        <f t="shared" si="161"/>
        <v>1.7632131735108325E-4</v>
      </c>
      <c r="AQ145" s="40">
        <f t="shared" si="162"/>
        <v>1283408.5265771295</v>
      </c>
      <c r="AR145" s="41">
        <f t="shared" si="163"/>
        <v>1.4423561773175203E-4</v>
      </c>
      <c r="AV145" t="s">
        <v>987</v>
      </c>
      <c r="AW145">
        <v>304679</v>
      </c>
      <c r="AX145">
        <v>165497</v>
      </c>
      <c r="AY145" s="51">
        <v>35165.47</v>
      </c>
      <c r="AZ145" s="32">
        <f t="shared" si="142"/>
        <v>5819779788.5900002</v>
      </c>
      <c r="BA145">
        <v>8898</v>
      </c>
      <c r="BB145" s="37">
        <f t="shared" si="143"/>
        <v>2.9204507038555334E-2</v>
      </c>
      <c r="BC145">
        <v>0</v>
      </c>
      <c r="BD145" s="3">
        <f t="shared" si="144"/>
        <v>0</v>
      </c>
      <c r="BE145" s="11">
        <f>+'Seat capacity elasticities'!Y175</f>
        <v>0</v>
      </c>
      <c r="BF145" s="11">
        <f>+'Seat capacity elasticities'!Z175</f>
        <v>0</v>
      </c>
      <c r="BG145" s="11">
        <f>+'Seat capacity elasticities'!AA175</f>
        <v>0</v>
      </c>
      <c r="BH145" s="11">
        <f>+'Seat capacity elasticities'!AB175</f>
        <v>0</v>
      </c>
      <c r="BI145" s="32">
        <f t="shared" si="164"/>
        <v>0</v>
      </c>
      <c r="BJ145" s="33">
        <f t="shared" si="165"/>
        <v>0</v>
      </c>
      <c r="BK145" s="40">
        <f t="shared" si="166"/>
        <v>0</v>
      </c>
      <c r="BL145" s="33">
        <f t="shared" si="167"/>
        <v>0</v>
      </c>
      <c r="BM145" s="40">
        <f t="shared" si="168"/>
        <v>0</v>
      </c>
      <c r="BN145" s="41">
        <f t="shared" si="169"/>
        <v>0</v>
      </c>
      <c r="BO145" s="40">
        <f t="shared" si="170"/>
        <v>0</v>
      </c>
      <c r="BP145" s="41">
        <f t="shared" si="171"/>
        <v>0</v>
      </c>
      <c r="BQ145" s="53"/>
      <c r="BR145" s="53"/>
      <c r="BS145" t="s">
        <v>987</v>
      </c>
      <c r="BT145">
        <v>304679</v>
      </c>
      <c r="BU145">
        <v>165497</v>
      </c>
      <c r="BV145" s="51">
        <v>35165.47</v>
      </c>
      <c r="BW145" s="32">
        <f t="shared" si="145"/>
        <v>5819779788.5900002</v>
      </c>
      <c r="BX145">
        <v>8898</v>
      </c>
      <c r="BY145" s="37">
        <f t="shared" si="146"/>
        <v>2.9204507038555334E-2</v>
      </c>
      <c r="BZ145">
        <v>1.6069000000000001E-3</v>
      </c>
      <c r="CA145" s="3">
        <f t="shared" si="147"/>
        <v>1.6069000000000001E-5</v>
      </c>
      <c r="CB145" s="11">
        <f>+'Seat capacity elasticities'!AF175</f>
        <v>1.1196761479052077E-2</v>
      </c>
      <c r="CC145" s="11">
        <f>+'Seat capacity elasticities'!AG175</f>
        <v>8.9471417660258838E-3</v>
      </c>
      <c r="CD145" s="11">
        <f>+'Seat capacity elasticities'!AH175</f>
        <v>3.0720356404619415E-2</v>
      </c>
      <c r="CE145" s="11">
        <f>+'Seat capacity elasticities'!AI175</f>
        <v>1.0595299459767494E-2</v>
      </c>
      <c r="CF145" s="32">
        <f t="shared" si="172"/>
        <v>651626.86153450364</v>
      </c>
      <c r="CG145" s="33">
        <f t="shared" si="173"/>
        <v>1.1196761479052079E-4</v>
      </c>
      <c r="CH145" s="40">
        <f t="shared" si="174"/>
        <v>520703.9481556688</v>
      </c>
      <c r="CI145" s="33">
        <f t="shared" si="175"/>
        <v>8.9471417660258833E-5</v>
      </c>
      <c r="CJ145" s="40">
        <f t="shared" si="176"/>
        <v>2733497.3128830357</v>
      </c>
      <c r="CK145" s="41">
        <f t="shared" si="177"/>
        <v>3.0720356404619417E-4</v>
      </c>
      <c r="CL145" s="40">
        <f t="shared" si="178"/>
        <v>942769.74593011162</v>
      </c>
      <c r="CM145" s="41">
        <f t="shared" si="179"/>
        <v>1.0595299459767495E-4</v>
      </c>
      <c r="CO145" s="70">
        <f t="shared" si="180"/>
        <v>0</v>
      </c>
      <c r="CP145" s="70">
        <f t="shared" si="181"/>
        <v>0</v>
      </c>
      <c r="CQ145" s="70">
        <f t="shared" si="182"/>
        <v>0</v>
      </c>
      <c r="CR145" s="70">
        <f t="shared" si="183"/>
        <v>0</v>
      </c>
      <c r="CS145" s="70">
        <f t="shared" si="184"/>
        <v>0</v>
      </c>
      <c r="CT145" s="70">
        <f t="shared" si="185"/>
        <v>0</v>
      </c>
      <c r="CU145" s="69">
        <f t="shared" si="186"/>
        <v>0</v>
      </c>
      <c r="CV145" s="69">
        <f t="shared" si="187"/>
        <v>0</v>
      </c>
      <c r="CW145" s="70">
        <f t="shared" si="188"/>
        <v>0</v>
      </c>
      <c r="CX145" s="69">
        <f t="shared" si="189"/>
        <v>0</v>
      </c>
      <c r="CY145" s="69">
        <f t="shared" si="190"/>
        <v>0</v>
      </c>
      <c r="CZ145" s="70">
        <f t="shared" si="191"/>
        <v>0</v>
      </c>
      <c r="DB145" s="70">
        <f t="shared" si="192"/>
        <v>2.2598906484218277</v>
      </c>
      <c r="DC145" s="70">
        <f t="shared" si="193"/>
        <v>3.9373937988876153</v>
      </c>
      <c r="DD145" s="70">
        <f t="shared" si="194"/>
        <v>6.1972844473094426</v>
      </c>
      <c r="DE145" s="70">
        <f t="shared" si="195"/>
        <v>4.2831178878786886</v>
      </c>
      <c r="DF145" s="70">
        <f t="shared" si="196"/>
        <v>3.1463044535893023</v>
      </c>
      <c r="DG145" s="70">
        <f t="shared" si="197"/>
        <v>7.4294223414679905</v>
      </c>
      <c r="DH145" s="69">
        <f t="shared" si="198"/>
        <v>9.4799729408384366</v>
      </c>
      <c r="DI145" s="69">
        <f t="shared" si="199"/>
        <v>16.51689947783365</v>
      </c>
      <c r="DJ145" s="70">
        <f t="shared" si="200"/>
        <v>25.996872418672087</v>
      </c>
      <c r="DK145" s="69">
        <f t="shared" si="201"/>
        <v>7.754874871309628</v>
      </c>
      <c r="DL145" s="69">
        <f t="shared" si="202"/>
        <v>5.6965971946930249</v>
      </c>
      <c r="DM145" s="70">
        <f t="shared" si="203"/>
        <v>13.451472066002653</v>
      </c>
    </row>
    <row r="146" spans="1:117">
      <c r="A146" t="s">
        <v>988</v>
      </c>
      <c r="B146">
        <v>181722</v>
      </c>
      <c r="C146">
        <v>89075</v>
      </c>
      <c r="D146" s="51">
        <v>31276.14</v>
      </c>
      <c r="E146" s="32">
        <f t="shared" si="136"/>
        <v>2785922170.5</v>
      </c>
      <c r="F146">
        <v>3583</v>
      </c>
      <c r="G146" s="37">
        <f t="shared" si="137"/>
        <v>1.9716930256105481E-2</v>
      </c>
      <c r="H146">
        <v>0</v>
      </c>
      <c r="I146" s="3">
        <f t="shared" si="138"/>
        <v>0</v>
      </c>
      <c r="J146" s="11">
        <f>+'Seat capacity elasticities'!K176</f>
        <v>0</v>
      </c>
      <c r="K146" s="11">
        <f>+'Seat capacity elasticities'!L176</f>
        <v>0</v>
      </c>
      <c r="L146" s="11">
        <f>+'Seat capacity elasticities'!M176</f>
        <v>0</v>
      </c>
      <c r="M146" s="11">
        <f>+'Seat capacity elasticities'!N176</f>
        <v>0</v>
      </c>
      <c r="N146" s="32">
        <f t="shared" si="148"/>
        <v>0</v>
      </c>
      <c r="O146" s="33">
        <f t="shared" si="149"/>
        <v>0</v>
      </c>
      <c r="P146" s="40">
        <f t="shared" si="150"/>
        <v>0</v>
      </c>
      <c r="Q146" s="33">
        <f t="shared" si="151"/>
        <v>0</v>
      </c>
      <c r="R146" s="40">
        <f t="shared" si="152"/>
        <v>0</v>
      </c>
      <c r="S146" s="41">
        <f t="shared" si="153"/>
        <v>0</v>
      </c>
      <c r="T146" s="40">
        <f t="shared" si="154"/>
        <v>0</v>
      </c>
      <c r="U146" s="41">
        <f t="shared" si="155"/>
        <v>0</v>
      </c>
      <c r="V146" s="53"/>
      <c r="W146" s="53"/>
      <c r="X146" t="s">
        <v>988</v>
      </c>
      <c r="Y146">
        <v>181722</v>
      </c>
      <c r="Z146">
        <v>89075</v>
      </c>
      <c r="AA146" s="51">
        <v>31276.14</v>
      </c>
      <c r="AB146" s="32">
        <f t="shared" si="139"/>
        <v>2785922170.5</v>
      </c>
      <c r="AC146">
        <v>3583</v>
      </c>
      <c r="AD146" s="37">
        <f t="shared" si="140"/>
        <v>1.9716930256105481E-2</v>
      </c>
      <c r="AE146">
        <v>9.0452999999999992E-3</v>
      </c>
      <c r="AF146" s="3">
        <f t="shared" si="141"/>
        <v>9.0452999999999996E-5</v>
      </c>
      <c r="AG146" s="11">
        <f>+'Seat capacity elasticities'!R176</f>
        <v>1.722152838361829E-2</v>
      </c>
      <c r="AH146" s="11">
        <f>+'Seat capacity elasticities'!S176</f>
        <v>3.2639559939768276E-2</v>
      </c>
      <c r="AI146" s="11">
        <f>+'Seat capacity elasticities'!T176</f>
        <v>4.7250402785378696E-2</v>
      </c>
      <c r="AJ146" s="11">
        <f>+'Seat capacity elasticities'!U176</f>
        <v>3.8652110454988751E-2</v>
      </c>
      <c r="AK146" s="32">
        <f t="shared" si="156"/>
        <v>479778.37733817229</v>
      </c>
      <c r="AL146" s="33">
        <f t="shared" si="157"/>
        <v>1.7221528383618291E-4</v>
      </c>
      <c r="AM146" s="40">
        <f t="shared" si="158"/>
        <v>909312.73671564087</v>
      </c>
      <c r="AN146" s="33">
        <f t="shared" si="159"/>
        <v>3.263955993976828E-4</v>
      </c>
      <c r="AO146" s="40">
        <f t="shared" si="160"/>
        <v>1692981.9318001189</v>
      </c>
      <c r="AP146" s="41">
        <f t="shared" si="161"/>
        <v>4.7250402785378704E-4</v>
      </c>
      <c r="AQ146" s="40">
        <f t="shared" si="162"/>
        <v>1384905.117602247</v>
      </c>
      <c r="AR146" s="41">
        <f t="shared" si="163"/>
        <v>3.8652110454988754E-4</v>
      </c>
      <c r="AV146" t="s">
        <v>988</v>
      </c>
      <c r="AW146">
        <v>181722</v>
      </c>
      <c r="AX146">
        <v>89075</v>
      </c>
      <c r="AY146" s="51">
        <v>31276.14</v>
      </c>
      <c r="AZ146" s="32">
        <f t="shared" si="142"/>
        <v>2785922170.5</v>
      </c>
      <c r="BA146">
        <v>3583</v>
      </c>
      <c r="BB146" s="37">
        <f t="shared" si="143"/>
        <v>1.9716930256105481E-2</v>
      </c>
      <c r="BC146">
        <v>0</v>
      </c>
      <c r="BD146" s="3">
        <f t="shared" si="144"/>
        <v>0</v>
      </c>
      <c r="BE146" s="11">
        <f>+'Seat capacity elasticities'!Y176</f>
        <v>0</v>
      </c>
      <c r="BF146" s="11">
        <f>+'Seat capacity elasticities'!Z176</f>
        <v>0</v>
      </c>
      <c r="BG146" s="11">
        <f>+'Seat capacity elasticities'!AA176</f>
        <v>0</v>
      </c>
      <c r="BH146" s="11">
        <f>+'Seat capacity elasticities'!AB176</f>
        <v>0</v>
      </c>
      <c r="BI146" s="32">
        <f t="shared" si="164"/>
        <v>0</v>
      </c>
      <c r="BJ146" s="33">
        <f t="shared" si="165"/>
        <v>0</v>
      </c>
      <c r="BK146" s="40">
        <f t="shared" si="166"/>
        <v>0</v>
      </c>
      <c r="BL146" s="33">
        <f t="shared" si="167"/>
        <v>0</v>
      </c>
      <c r="BM146" s="40">
        <f t="shared" si="168"/>
        <v>0</v>
      </c>
      <c r="BN146" s="41">
        <f t="shared" si="169"/>
        <v>0</v>
      </c>
      <c r="BO146" s="40">
        <f t="shared" si="170"/>
        <v>0</v>
      </c>
      <c r="BP146" s="41">
        <f t="shared" si="171"/>
        <v>0</v>
      </c>
      <c r="BQ146" s="53"/>
      <c r="BR146" s="53"/>
      <c r="BS146" t="s">
        <v>988</v>
      </c>
      <c r="BT146">
        <v>181722</v>
      </c>
      <c r="BU146">
        <v>89075</v>
      </c>
      <c r="BV146" s="51">
        <v>31276.14</v>
      </c>
      <c r="BW146" s="32">
        <f t="shared" si="145"/>
        <v>2785922170.5</v>
      </c>
      <c r="BX146">
        <v>3583</v>
      </c>
      <c r="BY146" s="37">
        <f t="shared" si="146"/>
        <v>1.9716930256105481E-2</v>
      </c>
      <c r="BZ146">
        <v>9.0452999999999992E-3</v>
      </c>
      <c r="CA146" s="3">
        <f t="shared" si="147"/>
        <v>9.0452999999999996E-5</v>
      </c>
      <c r="CB146" s="11">
        <f>+'Seat capacity elasticities'!AF176</f>
        <v>0.10567239849316425</v>
      </c>
      <c r="CC146" s="11">
        <f>+'Seat capacity elasticities'!AG176</f>
        <v>8.4441017328375209E-2</v>
      </c>
      <c r="CD146" s="11">
        <f>+'Seat capacity elasticities'!AH176</f>
        <v>0.28993149045055894</v>
      </c>
      <c r="CE146" s="11">
        <f>+'Seat capacity elasticities'!AI176</f>
        <v>9.9995941573075911E-2</v>
      </c>
      <c r="CF146" s="32">
        <f t="shared" si="172"/>
        <v>2943950.777720171</v>
      </c>
      <c r="CG146" s="33">
        <f t="shared" si="173"/>
        <v>1.0567239849316426E-3</v>
      </c>
      <c r="CH146" s="40">
        <f t="shared" si="174"/>
        <v>2352461.0227469518</v>
      </c>
      <c r="CI146" s="33">
        <f t="shared" si="175"/>
        <v>8.4441017328375212E-4</v>
      </c>
      <c r="CJ146" s="40">
        <f t="shared" si="176"/>
        <v>10388245.302843528</v>
      </c>
      <c r="CK146" s="41">
        <f t="shared" si="177"/>
        <v>2.8993149045055898E-3</v>
      </c>
      <c r="CL146" s="40">
        <f t="shared" si="178"/>
        <v>3582854.5865633101</v>
      </c>
      <c r="CM146" s="41">
        <f t="shared" si="179"/>
        <v>9.999594157307592E-4</v>
      </c>
      <c r="CO146" s="70">
        <f t="shared" si="180"/>
        <v>0</v>
      </c>
      <c r="CP146" s="70">
        <f t="shared" si="181"/>
        <v>0</v>
      </c>
      <c r="CQ146" s="70">
        <f t="shared" si="182"/>
        <v>0</v>
      </c>
      <c r="CR146" s="70">
        <f t="shared" si="183"/>
        <v>0</v>
      </c>
      <c r="CS146" s="70">
        <f t="shared" si="184"/>
        <v>0</v>
      </c>
      <c r="CT146" s="70">
        <f t="shared" si="185"/>
        <v>0</v>
      </c>
      <c r="CU146" s="69">
        <f t="shared" si="186"/>
        <v>0</v>
      </c>
      <c r="CV146" s="69">
        <f t="shared" si="187"/>
        <v>0</v>
      </c>
      <c r="CW146" s="70">
        <f t="shared" si="188"/>
        <v>0</v>
      </c>
      <c r="CX146" s="69">
        <f t="shared" si="189"/>
        <v>0</v>
      </c>
      <c r="CY146" s="69">
        <f t="shared" si="190"/>
        <v>0</v>
      </c>
      <c r="CZ146" s="70">
        <f t="shared" si="191"/>
        <v>0</v>
      </c>
      <c r="DB146" s="70">
        <f t="shared" si="192"/>
        <v>5.3862293274001942</v>
      </c>
      <c r="DC146" s="70">
        <f t="shared" si="193"/>
        <v>33.050247294079945</v>
      </c>
      <c r="DD146" s="70">
        <f t="shared" si="194"/>
        <v>38.436476621480139</v>
      </c>
      <c r="DE146" s="70">
        <f t="shared" si="195"/>
        <v>10.208394462145842</v>
      </c>
      <c r="DF146" s="70">
        <f t="shared" si="196"/>
        <v>26.409890797046891</v>
      </c>
      <c r="DG146" s="70">
        <f t="shared" si="197"/>
        <v>36.618285259192731</v>
      </c>
      <c r="DH146" s="69">
        <f t="shared" si="198"/>
        <v>19.006252391805994</v>
      </c>
      <c r="DI146" s="69">
        <f t="shared" si="199"/>
        <v>116.62357903837808</v>
      </c>
      <c r="DJ146" s="70">
        <f t="shared" si="200"/>
        <v>135.62983143018408</v>
      </c>
      <c r="DK146" s="69">
        <f t="shared" si="201"/>
        <v>15.547629723292136</v>
      </c>
      <c r="DL146" s="69">
        <f t="shared" si="202"/>
        <v>40.222897407390512</v>
      </c>
      <c r="DM146" s="70">
        <f t="shared" si="203"/>
        <v>55.770527130682652</v>
      </c>
    </row>
    <row r="147" spans="1:117">
      <c r="A147" t="s">
        <v>423</v>
      </c>
      <c r="B147">
        <v>692210</v>
      </c>
      <c r="C147">
        <v>457464</v>
      </c>
      <c r="D147" s="51">
        <v>36553.910000000003</v>
      </c>
      <c r="E147" s="32">
        <f t="shared" si="136"/>
        <v>16722097884.240002</v>
      </c>
      <c r="F147">
        <v>26144</v>
      </c>
      <c r="G147" s="37">
        <f t="shared" si="137"/>
        <v>3.7768885164906604E-2</v>
      </c>
      <c r="H147">
        <v>0</v>
      </c>
      <c r="I147" s="3">
        <f t="shared" si="138"/>
        <v>0</v>
      </c>
      <c r="J147" s="11">
        <f>+'Seat capacity elasticities'!K177</f>
        <v>0</v>
      </c>
      <c r="K147" s="11">
        <f>+'Seat capacity elasticities'!L177</f>
        <v>0</v>
      </c>
      <c r="L147" s="11">
        <f>+'Seat capacity elasticities'!M177</f>
        <v>0</v>
      </c>
      <c r="M147" s="11">
        <f>+'Seat capacity elasticities'!N177</f>
        <v>0</v>
      </c>
      <c r="N147" s="32">
        <f t="shared" si="148"/>
        <v>0</v>
      </c>
      <c r="O147" s="33">
        <f t="shared" si="149"/>
        <v>0</v>
      </c>
      <c r="P147" s="40">
        <f t="shared" si="150"/>
        <v>0</v>
      </c>
      <c r="Q147" s="33">
        <f t="shared" si="151"/>
        <v>0</v>
      </c>
      <c r="R147" s="40">
        <f t="shared" si="152"/>
        <v>0</v>
      </c>
      <c r="S147" s="41">
        <f t="shared" si="153"/>
        <v>0</v>
      </c>
      <c r="T147" s="40">
        <f t="shared" si="154"/>
        <v>0</v>
      </c>
      <c r="U147" s="41">
        <f t="shared" si="155"/>
        <v>0</v>
      </c>
      <c r="V147" s="53"/>
      <c r="W147" s="53"/>
      <c r="X147" t="s">
        <v>423</v>
      </c>
      <c r="Y147">
        <v>692210</v>
      </c>
      <c r="Z147">
        <v>457464</v>
      </c>
      <c r="AA147" s="51">
        <v>36553.910000000003</v>
      </c>
      <c r="AB147" s="32">
        <f t="shared" si="139"/>
        <v>16722097884.240002</v>
      </c>
      <c r="AC147">
        <v>26144</v>
      </c>
      <c r="AD147" s="37">
        <f t="shared" si="140"/>
        <v>3.7768885164906604E-2</v>
      </c>
      <c r="AE147">
        <v>4.2028999999999999E-3</v>
      </c>
      <c r="AF147" s="3">
        <f t="shared" si="141"/>
        <v>4.2029E-5</v>
      </c>
      <c r="AG147" s="11">
        <f>+'Seat capacity elasticities'!R177</f>
        <v>9.8158493042989486E-3</v>
      </c>
      <c r="AH147" s="11">
        <f>+'Seat capacity elasticities'!S177</f>
        <v>1.8603749597054322E-2</v>
      </c>
      <c r="AI147" s="11">
        <f>+'Seat capacity elasticities'!T177</f>
        <v>2.6931572098437551E-2</v>
      </c>
      <c r="AJ147" s="11">
        <f>+'Seat capacity elasticities'!U177</f>
        <v>2.2030756101774854E-2</v>
      </c>
      <c r="AK147" s="32">
        <f t="shared" si="156"/>
        <v>1641415.9288343615</v>
      </c>
      <c r="AL147" s="33">
        <f t="shared" si="157"/>
        <v>9.8158493042989497E-5</v>
      </c>
      <c r="AM147" s="40">
        <f t="shared" si="158"/>
        <v>3110937.2177583287</v>
      </c>
      <c r="AN147" s="33">
        <f t="shared" si="159"/>
        <v>1.8603749597054323E-4</v>
      </c>
      <c r="AO147" s="40">
        <f t="shared" si="160"/>
        <v>7040990.2094155131</v>
      </c>
      <c r="AP147" s="41">
        <f t="shared" si="161"/>
        <v>2.6931572098437551E-4</v>
      </c>
      <c r="AQ147" s="40">
        <f t="shared" si="162"/>
        <v>5759720.8752480187</v>
      </c>
      <c r="AR147" s="41">
        <f t="shared" si="163"/>
        <v>2.2030756101774858E-4</v>
      </c>
      <c r="AV147" t="s">
        <v>423</v>
      </c>
      <c r="AW147">
        <v>692210</v>
      </c>
      <c r="AX147">
        <v>457464</v>
      </c>
      <c r="AY147" s="51">
        <v>36553.910000000003</v>
      </c>
      <c r="AZ147" s="32">
        <f t="shared" si="142"/>
        <v>16722097884.240002</v>
      </c>
      <c r="BA147">
        <v>26144</v>
      </c>
      <c r="BB147" s="37">
        <f t="shared" si="143"/>
        <v>3.7768885164906604E-2</v>
      </c>
      <c r="BC147">
        <v>0</v>
      </c>
      <c r="BD147" s="3">
        <f t="shared" si="144"/>
        <v>0</v>
      </c>
      <c r="BE147" s="11">
        <f>+'Seat capacity elasticities'!Y177</f>
        <v>0</v>
      </c>
      <c r="BF147" s="11">
        <f>+'Seat capacity elasticities'!Z177</f>
        <v>0</v>
      </c>
      <c r="BG147" s="11">
        <f>+'Seat capacity elasticities'!AA177</f>
        <v>0</v>
      </c>
      <c r="BH147" s="11">
        <f>+'Seat capacity elasticities'!AB177</f>
        <v>0</v>
      </c>
      <c r="BI147" s="32">
        <f t="shared" si="164"/>
        <v>0</v>
      </c>
      <c r="BJ147" s="33">
        <f t="shared" si="165"/>
        <v>0</v>
      </c>
      <c r="BK147" s="40">
        <f t="shared" si="166"/>
        <v>0</v>
      </c>
      <c r="BL147" s="33">
        <f t="shared" si="167"/>
        <v>0</v>
      </c>
      <c r="BM147" s="40">
        <f t="shared" si="168"/>
        <v>0</v>
      </c>
      <c r="BN147" s="41">
        <f t="shared" si="169"/>
        <v>0</v>
      </c>
      <c r="BO147" s="40">
        <f t="shared" si="170"/>
        <v>0</v>
      </c>
      <c r="BP147" s="41">
        <f t="shared" si="171"/>
        <v>0</v>
      </c>
      <c r="BQ147" s="53"/>
      <c r="BR147" s="53"/>
      <c r="BS147" t="s">
        <v>423</v>
      </c>
      <c r="BT147">
        <v>692210</v>
      </c>
      <c r="BU147">
        <v>457464</v>
      </c>
      <c r="BV147" s="51">
        <v>36553.910000000003</v>
      </c>
      <c r="BW147" s="32">
        <f t="shared" si="145"/>
        <v>16722097884.240002</v>
      </c>
      <c r="BX147">
        <v>26144</v>
      </c>
      <c r="BY147" s="37">
        <f t="shared" si="146"/>
        <v>3.7768885164906604E-2</v>
      </c>
      <c r="BZ147">
        <v>4.2028999999999999E-3</v>
      </c>
      <c r="CA147" s="3">
        <f t="shared" si="147"/>
        <v>4.2029E-5</v>
      </c>
      <c r="CB147" s="11">
        <f>+'Seat capacity elasticities'!AF177</f>
        <v>1.2890129643175952E-2</v>
      </c>
      <c r="CC147" s="11">
        <f>+'Seat capacity elasticities'!AG177</f>
        <v>1.0300283480693721E-2</v>
      </c>
      <c r="CD147" s="11">
        <f>+'Seat capacity elasticities'!AH177</f>
        <v>3.5366420681637992E-2</v>
      </c>
      <c r="CE147" s="11">
        <f>+'Seat capacity elasticities'!AI177</f>
        <v>1.2197704121874145E-2</v>
      </c>
      <c r="CF147" s="32">
        <f t="shared" si="172"/>
        <v>2155500.0963373189</v>
      </c>
      <c r="CG147" s="33">
        <f t="shared" si="173"/>
        <v>1.2890129643175951E-4</v>
      </c>
      <c r="CH147" s="40">
        <f t="shared" si="174"/>
        <v>1722423.4859958072</v>
      </c>
      <c r="CI147" s="33">
        <f t="shared" si="175"/>
        <v>1.0300283480693722E-4</v>
      </c>
      <c r="CJ147" s="40">
        <f t="shared" si="176"/>
        <v>9246197.0230074376</v>
      </c>
      <c r="CK147" s="41">
        <f t="shared" si="177"/>
        <v>3.5366420681637995E-4</v>
      </c>
      <c r="CL147" s="40">
        <f t="shared" si="178"/>
        <v>3188967.7656227765</v>
      </c>
      <c r="CM147" s="41">
        <f t="shared" si="179"/>
        <v>1.2197704121874145E-4</v>
      </c>
      <c r="CO147" s="70">
        <f t="shared" si="180"/>
        <v>0</v>
      </c>
      <c r="CP147" s="70">
        <f t="shared" si="181"/>
        <v>0</v>
      </c>
      <c r="CQ147" s="70">
        <f t="shared" si="182"/>
        <v>0</v>
      </c>
      <c r="CR147" s="70">
        <f t="shared" si="183"/>
        <v>0</v>
      </c>
      <c r="CS147" s="70">
        <f t="shared" si="184"/>
        <v>0</v>
      </c>
      <c r="CT147" s="70">
        <f t="shared" si="185"/>
        <v>0</v>
      </c>
      <c r="CU147" s="69">
        <f t="shared" si="186"/>
        <v>0</v>
      </c>
      <c r="CV147" s="69">
        <f t="shared" si="187"/>
        <v>0</v>
      </c>
      <c r="CW147" s="70">
        <f t="shared" si="188"/>
        <v>0</v>
      </c>
      <c r="CX147" s="69">
        <f t="shared" si="189"/>
        <v>0</v>
      </c>
      <c r="CY147" s="69">
        <f t="shared" si="190"/>
        <v>0</v>
      </c>
      <c r="CZ147" s="70">
        <f t="shared" si="191"/>
        <v>0</v>
      </c>
      <c r="DB147" s="70">
        <f t="shared" si="192"/>
        <v>3.5880767204290644</v>
      </c>
      <c r="DC147" s="70">
        <f t="shared" si="193"/>
        <v>4.7118463886498585</v>
      </c>
      <c r="DD147" s="70">
        <f t="shared" si="194"/>
        <v>8.2999231090789234</v>
      </c>
      <c r="DE147" s="70">
        <f t="shared" si="195"/>
        <v>6.8003978843326003</v>
      </c>
      <c r="DF147" s="70">
        <f t="shared" si="196"/>
        <v>3.7651563532776509</v>
      </c>
      <c r="DG147" s="70">
        <f t="shared" si="197"/>
        <v>10.56555423761025</v>
      </c>
      <c r="DH147" s="69">
        <f t="shared" si="198"/>
        <v>15.391353657152285</v>
      </c>
      <c r="DI147" s="69">
        <f t="shared" si="199"/>
        <v>20.211857158175153</v>
      </c>
      <c r="DJ147" s="70">
        <f t="shared" si="200"/>
        <v>35.603210815327436</v>
      </c>
      <c r="DK147" s="69">
        <f t="shared" si="201"/>
        <v>12.590544557053711</v>
      </c>
      <c r="DL147" s="69">
        <f t="shared" si="202"/>
        <v>6.9709698809584504</v>
      </c>
      <c r="DM147" s="70">
        <f t="shared" si="203"/>
        <v>19.561514438012161</v>
      </c>
    </row>
    <row r="148" spans="1:117">
      <c r="A148" t="s">
        <v>424</v>
      </c>
      <c r="B148">
        <v>131728</v>
      </c>
      <c r="C148">
        <v>94998</v>
      </c>
      <c r="D148" s="51">
        <v>31804.54</v>
      </c>
      <c r="E148" s="32">
        <f t="shared" si="136"/>
        <v>3021367690.9200001</v>
      </c>
      <c r="F148">
        <v>4574</v>
      </c>
      <c r="G148" s="37">
        <f t="shared" si="137"/>
        <v>3.4723065711162397E-2</v>
      </c>
      <c r="H148">
        <v>0</v>
      </c>
      <c r="I148" s="3">
        <f t="shared" si="138"/>
        <v>0</v>
      </c>
      <c r="J148" s="11">
        <f>+'Seat capacity elasticities'!K178</f>
        <v>0</v>
      </c>
      <c r="K148" s="11">
        <f>+'Seat capacity elasticities'!L178</f>
        <v>0</v>
      </c>
      <c r="L148" s="11">
        <f>+'Seat capacity elasticities'!M178</f>
        <v>0</v>
      </c>
      <c r="M148" s="11">
        <f>+'Seat capacity elasticities'!N178</f>
        <v>0</v>
      </c>
      <c r="N148" s="32">
        <f t="shared" si="148"/>
        <v>0</v>
      </c>
      <c r="O148" s="33">
        <f t="shared" si="149"/>
        <v>0</v>
      </c>
      <c r="P148" s="40">
        <f t="shared" si="150"/>
        <v>0</v>
      </c>
      <c r="Q148" s="33">
        <f t="shared" si="151"/>
        <v>0</v>
      </c>
      <c r="R148" s="40">
        <f t="shared" si="152"/>
        <v>0</v>
      </c>
      <c r="S148" s="41">
        <f t="shared" si="153"/>
        <v>0</v>
      </c>
      <c r="T148" s="40">
        <f t="shared" si="154"/>
        <v>0</v>
      </c>
      <c r="U148" s="41">
        <f t="shared" si="155"/>
        <v>0</v>
      </c>
      <c r="V148" s="53"/>
      <c r="W148" s="53"/>
      <c r="X148" t="s">
        <v>424</v>
      </c>
      <c r="Y148">
        <v>131728</v>
      </c>
      <c r="Z148">
        <v>94998</v>
      </c>
      <c r="AA148" s="51">
        <v>31804.54</v>
      </c>
      <c r="AB148" s="32">
        <f t="shared" si="139"/>
        <v>3021367690.9200001</v>
      </c>
      <c r="AC148">
        <v>4574</v>
      </c>
      <c r="AD148" s="37">
        <f t="shared" si="140"/>
        <v>3.4723065711162397E-2</v>
      </c>
      <c r="AE148">
        <v>6.3277999999999997E-3</v>
      </c>
      <c r="AF148" s="3">
        <f t="shared" si="141"/>
        <v>6.3278E-5</v>
      </c>
      <c r="AG148" s="11">
        <f>+'Seat capacity elasticities'!R178</f>
        <v>1.0693489448197507E-2</v>
      </c>
      <c r="AH148" s="11">
        <f>+'Seat capacity elasticities'!S178</f>
        <v>2.0267120434080181E-2</v>
      </c>
      <c r="AI148" s="11">
        <f>+'Seat capacity elasticities'!T178</f>
        <v>2.9339537836209767E-2</v>
      </c>
      <c r="AJ148" s="11">
        <f>+'Seat capacity elasticities'!U178</f>
        <v>2.4000537356147586E-2</v>
      </c>
      <c r="AK148" s="32">
        <f t="shared" si="156"/>
        <v>323089.63521977887</v>
      </c>
      <c r="AL148" s="33">
        <f t="shared" si="157"/>
        <v>1.0693489448197506E-4</v>
      </c>
      <c r="AM148" s="40">
        <f t="shared" si="158"/>
        <v>612344.22867514391</v>
      </c>
      <c r="AN148" s="33">
        <f t="shared" si="159"/>
        <v>2.0267120434080182E-4</v>
      </c>
      <c r="AO148" s="40">
        <f t="shared" si="160"/>
        <v>1341990.460628235</v>
      </c>
      <c r="AP148" s="41">
        <f t="shared" si="161"/>
        <v>2.9339537836209773E-4</v>
      </c>
      <c r="AQ148" s="40">
        <f t="shared" si="162"/>
        <v>1097784.5786701906</v>
      </c>
      <c r="AR148" s="41">
        <f t="shared" si="163"/>
        <v>2.4000537356147586E-4</v>
      </c>
      <c r="AV148" t="s">
        <v>424</v>
      </c>
      <c r="AW148">
        <v>131728</v>
      </c>
      <c r="AX148">
        <v>94998</v>
      </c>
      <c r="AY148" s="51">
        <v>31804.54</v>
      </c>
      <c r="AZ148" s="32">
        <f t="shared" si="142"/>
        <v>3021367690.9200001</v>
      </c>
      <c r="BA148">
        <v>4574</v>
      </c>
      <c r="BB148" s="37">
        <f t="shared" si="143"/>
        <v>3.4723065711162397E-2</v>
      </c>
      <c r="BC148">
        <v>0</v>
      </c>
      <c r="BD148" s="3">
        <f t="shared" si="144"/>
        <v>0</v>
      </c>
      <c r="BE148" s="11">
        <f>+'Seat capacity elasticities'!Y178</f>
        <v>0</v>
      </c>
      <c r="BF148" s="11">
        <f>+'Seat capacity elasticities'!Z178</f>
        <v>0</v>
      </c>
      <c r="BG148" s="11">
        <f>+'Seat capacity elasticities'!AA178</f>
        <v>0</v>
      </c>
      <c r="BH148" s="11">
        <f>+'Seat capacity elasticities'!AB178</f>
        <v>0</v>
      </c>
      <c r="BI148" s="32">
        <f t="shared" si="164"/>
        <v>0</v>
      </c>
      <c r="BJ148" s="33">
        <f t="shared" si="165"/>
        <v>0</v>
      </c>
      <c r="BK148" s="40">
        <f t="shared" si="166"/>
        <v>0</v>
      </c>
      <c r="BL148" s="33">
        <f t="shared" si="167"/>
        <v>0</v>
      </c>
      <c r="BM148" s="40">
        <f t="shared" si="168"/>
        <v>0</v>
      </c>
      <c r="BN148" s="41">
        <f t="shared" si="169"/>
        <v>0</v>
      </c>
      <c r="BO148" s="40">
        <f t="shared" si="170"/>
        <v>0</v>
      </c>
      <c r="BP148" s="41">
        <f t="shared" si="171"/>
        <v>0</v>
      </c>
      <c r="BQ148" s="53"/>
      <c r="BR148" s="53"/>
      <c r="BS148" t="s">
        <v>424</v>
      </c>
      <c r="BT148">
        <v>131728</v>
      </c>
      <c r="BU148">
        <v>94998</v>
      </c>
      <c r="BV148" s="51">
        <v>31804.54</v>
      </c>
      <c r="BW148" s="32">
        <f t="shared" si="145"/>
        <v>3021367690.9200001</v>
      </c>
      <c r="BX148">
        <v>4574</v>
      </c>
      <c r="BY148" s="37">
        <f t="shared" si="146"/>
        <v>3.4723065711162397E-2</v>
      </c>
      <c r="BZ148">
        <v>6.3277999999999997E-3</v>
      </c>
      <c r="CA148" s="3">
        <f t="shared" si="147"/>
        <v>6.3278E-5</v>
      </c>
      <c r="CB148" s="11">
        <f>+'Seat capacity elasticities'!AF178</f>
        <v>0.10198134689483401</v>
      </c>
      <c r="CC148" s="11">
        <f>+'Seat capacity elasticities'!AG178</f>
        <v>8.1491560739721233E-2</v>
      </c>
      <c r="CD148" s="11">
        <f>+'Seat capacity elasticities'!AH178</f>
        <v>0.27980441747319079</v>
      </c>
      <c r="CE148" s="11">
        <f>+'Seat capacity elasticities'!AI178</f>
        <v>9.6503164033880415E-2</v>
      </c>
      <c r="CF148" s="32">
        <f t="shared" si="172"/>
        <v>3081231.4658455616</v>
      </c>
      <c r="CG148" s="33">
        <f t="shared" si="173"/>
        <v>1.0198134689483401E-3</v>
      </c>
      <c r="CH148" s="40">
        <f t="shared" si="174"/>
        <v>2462159.6870163847</v>
      </c>
      <c r="CI148" s="33">
        <f t="shared" si="175"/>
        <v>8.1491560739721232E-4</v>
      </c>
      <c r="CJ148" s="40">
        <f t="shared" si="176"/>
        <v>12798254.05522375</v>
      </c>
      <c r="CK148" s="41">
        <f t="shared" si="177"/>
        <v>2.7980441747319086E-3</v>
      </c>
      <c r="CL148" s="40">
        <f t="shared" si="178"/>
        <v>4414054.7229096908</v>
      </c>
      <c r="CM148" s="41">
        <f t="shared" si="179"/>
        <v>9.6503164033880432E-4</v>
      </c>
      <c r="CO148" s="70">
        <f t="shared" si="180"/>
        <v>0</v>
      </c>
      <c r="CP148" s="70">
        <f t="shared" si="181"/>
        <v>0</v>
      </c>
      <c r="CQ148" s="70">
        <f t="shared" si="182"/>
        <v>0</v>
      </c>
      <c r="CR148" s="70">
        <f t="shared" si="183"/>
        <v>0</v>
      </c>
      <c r="CS148" s="70">
        <f t="shared" si="184"/>
        <v>0</v>
      </c>
      <c r="CT148" s="70">
        <f t="shared" si="185"/>
        <v>0</v>
      </c>
      <c r="CU148" s="69">
        <f t="shared" si="186"/>
        <v>0</v>
      </c>
      <c r="CV148" s="69">
        <f t="shared" si="187"/>
        <v>0</v>
      </c>
      <c r="CW148" s="70">
        <f t="shared" si="188"/>
        <v>0</v>
      </c>
      <c r="CX148" s="69">
        <f t="shared" si="189"/>
        <v>0</v>
      </c>
      <c r="CY148" s="69">
        <f t="shared" si="190"/>
        <v>0</v>
      </c>
      <c r="CZ148" s="70">
        <f t="shared" si="191"/>
        <v>0</v>
      </c>
      <c r="DB148" s="70">
        <f t="shared" si="192"/>
        <v>3.4010151289477553</v>
      </c>
      <c r="DC148" s="70">
        <f t="shared" si="193"/>
        <v>32.434698265706245</v>
      </c>
      <c r="DD148" s="70">
        <f t="shared" si="194"/>
        <v>35.835713394654</v>
      </c>
      <c r="DE148" s="70">
        <f t="shared" si="195"/>
        <v>6.4458644253052055</v>
      </c>
      <c r="DF148" s="70">
        <f t="shared" si="196"/>
        <v>25.918016032088936</v>
      </c>
      <c r="DG148" s="70">
        <f t="shared" si="197"/>
        <v>32.363880457394139</v>
      </c>
      <c r="DH148" s="69">
        <f t="shared" si="198"/>
        <v>14.126512775303006</v>
      </c>
      <c r="DI148" s="69">
        <f t="shared" si="199"/>
        <v>134.72129997709163</v>
      </c>
      <c r="DJ148" s="70">
        <f t="shared" si="200"/>
        <v>148.84781275239465</v>
      </c>
      <c r="DK148" s="69">
        <f t="shared" si="201"/>
        <v>11.555870425379384</v>
      </c>
      <c r="DL148" s="69">
        <f t="shared" si="202"/>
        <v>46.464712129831057</v>
      </c>
      <c r="DM148" s="70">
        <f t="shared" si="203"/>
        <v>58.020582555210439</v>
      </c>
    </row>
    <row r="149" spans="1:117">
      <c r="A149" t="s">
        <v>425</v>
      </c>
      <c r="B149">
        <v>193753</v>
      </c>
      <c r="C149">
        <v>116665</v>
      </c>
      <c r="D149" s="51">
        <v>34471.19</v>
      </c>
      <c r="E149" s="32">
        <f t="shared" si="136"/>
        <v>4021581381.3500004</v>
      </c>
      <c r="F149">
        <v>5907</v>
      </c>
      <c r="G149" s="37">
        <f t="shared" si="137"/>
        <v>3.0487269874530976E-2</v>
      </c>
      <c r="H149">
        <v>0</v>
      </c>
      <c r="I149" s="3">
        <f t="shared" si="138"/>
        <v>0</v>
      </c>
      <c r="J149" s="11">
        <f>+'Seat capacity elasticities'!K179</f>
        <v>0</v>
      </c>
      <c r="K149" s="11">
        <f>+'Seat capacity elasticities'!L179</f>
        <v>0</v>
      </c>
      <c r="L149" s="11">
        <f>+'Seat capacity elasticities'!M179</f>
        <v>0</v>
      </c>
      <c r="M149" s="11">
        <f>+'Seat capacity elasticities'!N179</f>
        <v>0</v>
      </c>
      <c r="N149" s="32">
        <f t="shared" si="148"/>
        <v>0</v>
      </c>
      <c r="O149" s="33">
        <f t="shared" si="149"/>
        <v>0</v>
      </c>
      <c r="P149" s="40">
        <f t="shared" si="150"/>
        <v>0</v>
      </c>
      <c r="Q149" s="33">
        <f t="shared" si="151"/>
        <v>0</v>
      </c>
      <c r="R149" s="40">
        <f t="shared" si="152"/>
        <v>0</v>
      </c>
      <c r="S149" s="41">
        <f t="shared" si="153"/>
        <v>0</v>
      </c>
      <c r="T149" s="40">
        <f t="shared" si="154"/>
        <v>0</v>
      </c>
      <c r="U149" s="41">
        <f t="shared" si="155"/>
        <v>0</v>
      </c>
      <c r="V149" s="53"/>
      <c r="W149" s="53"/>
      <c r="X149" t="s">
        <v>425</v>
      </c>
      <c r="Y149">
        <v>193753</v>
      </c>
      <c r="Z149">
        <v>116665</v>
      </c>
      <c r="AA149" s="51">
        <v>34471.19</v>
      </c>
      <c r="AB149" s="32">
        <f t="shared" si="139"/>
        <v>4021581381.3500004</v>
      </c>
      <c r="AC149">
        <v>5907</v>
      </c>
      <c r="AD149" s="37">
        <f t="shared" si="140"/>
        <v>3.0487269874530976E-2</v>
      </c>
      <c r="AE149">
        <v>1.27496E-2</v>
      </c>
      <c r="AF149" s="3">
        <f t="shared" si="141"/>
        <v>1.27496E-4</v>
      </c>
      <c r="AG149" s="11">
        <f>+'Seat capacity elasticities'!R179</f>
        <v>2.3641230661425917E-2</v>
      </c>
      <c r="AH149" s="11">
        <f>+'Seat capacity elasticities'!S179</f>
        <v>4.4806671512239812E-2</v>
      </c>
      <c r="AI149" s="11">
        <f>+'Seat capacity elasticities'!T179</f>
        <v>6.4864026363479044E-2</v>
      </c>
      <c r="AJ149" s="11">
        <f>+'Seat capacity elasticities'!U179</f>
        <v>5.3060532053968198E-2</v>
      </c>
      <c r="AK149" s="32">
        <f t="shared" si="156"/>
        <v>950751.33060191222</v>
      </c>
      <c r="AL149" s="33">
        <f t="shared" si="157"/>
        <v>2.3641230661425918E-4</v>
      </c>
      <c r="AM149" s="40">
        <f t="shared" si="158"/>
        <v>1801936.7591388908</v>
      </c>
      <c r="AN149" s="33">
        <f t="shared" si="159"/>
        <v>4.480667151223981E-4</v>
      </c>
      <c r="AO149" s="40">
        <f t="shared" si="160"/>
        <v>3831518.0372907072</v>
      </c>
      <c r="AP149" s="41">
        <f t="shared" si="161"/>
        <v>6.4864026363479045E-4</v>
      </c>
      <c r="AQ149" s="40">
        <f t="shared" si="162"/>
        <v>3134285.6284279013</v>
      </c>
      <c r="AR149" s="41">
        <f t="shared" si="163"/>
        <v>5.30605320539682E-4</v>
      </c>
      <c r="AV149" t="s">
        <v>425</v>
      </c>
      <c r="AW149">
        <v>193753</v>
      </c>
      <c r="AX149">
        <v>116665</v>
      </c>
      <c r="AY149" s="51">
        <v>34471.19</v>
      </c>
      <c r="AZ149" s="32">
        <f t="shared" si="142"/>
        <v>4021581381.3500004</v>
      </c>
      <c r="BA149">
        <v>5907</v>
      </c>
      <c r="BB149" s="37">
        <f t="shared" si="143"/>
        <v>3.0487269874530976E-2</v>
      </c>
      <c r="BC149">
        <v>0</v>
      </c>
      <c r="BD149" s="3">
        <f t="shared" si="144"/>
        <v>0</v>
      </c>
      <c r="BE149" s="11">
        <f>+'Seat capacity elasticities'!Y179</f>
        <v>0</v>
      </c>
      <c r="BF149" s="11">
        <f>+'Seat capacity elasticities'!Z179</f>
        <v>0</v>
      </c>
      <c r="BG149" s="11">
        <f>+'Seat capacity elasticities'!AA179</f>
        <v>0</v>
      </c>
      <c r="BH149" s="11">
        <f>+'Seat capacity elasticities'!AB179</f>
        <v>0</v>
      </c>
      <c r="BI149" s="32">
        <f t="shared" si="164"/>
        <v>0</v>
      </c>
      <c r="BJ149" s="33">
        <f t="shared" si="165"/>
        <v>0</v>
      </c>
      <c r="BK149" s="40">
        <f t="shared" si="166"/>
        <v>0</v>
      </c>
      <c r="BL149" s="33">
        <f t="shared" si="167"/>
        <v>0</v>
      </c>
      <c r="BM149" s="40">
        <f t="shared" si="168"/>
        <v>0</v>
      </c>
      <c r="BN149" s="41">
        <f t="shared" si="169"/>
        <v>0</v>
      </c>
      <c r="BO149" s="40">
        <f t="shared" si="170"/>
        <v>0</v>
      </c>
      <c r="BP149" s="41">
        <f t="shared" si="171"/>
        <v>0</v>
      </c>
      <c r="BQ149" s="53"/>
      <c r="BR149" s="53"/>
      <c r="BS149" t="s">
        <v>425</v>
      </c>
      <c r="BT149">
        <v>193753</v>
      </c>
      <c r="BU149">
        <v>116665</v>
      </c>
      <c r="BV149" s="51">
        <v>34471.19</v>
      </c>
      <c r="BW149" s="32">
        <f t="shared" si="145"/>
        <v>4021581381.3500004</v>
      </c>
      <c r="BX149">
        <v>5907</v>
      </c>
      <c r="BY149" s="37">
        <f t="shared" si="146"/>
        <v>3.0487269874530976E-2</v>
      </c>
      <c r="BZ149">
        <v>1.27496E-2</v>
      </c>
      <c r="CA149" s="3">
        <f t="shared" si="147"/>
        <v>1.27496E-4</v>
      </c>
      <c r="CB149" s="11">
        <f>+'Seat capacity elasticities'!AF179</f>
        <v>0.13969929723384655</v>
      </c>
      <c r="CC149" s="11">
        <f>+'Seat capacity elasticities'!AG179</f>
        <v>0.11163133369446668</v>
      </c>
      <c r="CD149" s="11">
        <f>+'Seat capacity elasticities'!AH179</f>
        <v>0.38329049060549952</v>
      </c>
      <c r="CE149" s="11">
        <f>+'Seat capacity elasticities'!AI179</f>
        <v>0.13219500042765792</v>
      </c>
      <c r="CF149" s="32">
        <f t="shared" si="172"/>
        <v>5618120.9274331685</v>
      </c>
      <c r="CG149" s="33">
        <f t="shared" si="173"/>
        <v>1.3969929723384655E-3</v>
      </c>
      <c r="CH149" s="40">
        <f t="shared" si="174"/>
        <v>4489344.9316093614</v>
      </c>
      <c r="CI149" s="33">
        <f t="shared" si="175"/>
        <v>1.1163133369446667E-3</v>
      </c>
      <c r="CJ149" s="40">
        <f t="shared" si="176"/>
        <v>22640969.280066859</v>
      </c>
      <c r="CK149" s="41">
        <f t="shared" si="177"/>
        <v>3.8329049060549956E-3</v>
      </c>
      <c r="CL149" s="40">
        <f t="shared" si="178"/>
        <v>7808758.6752617536</v>
      </c>
      <c r="CM149" s="41">
        <f t="shared" si="179"/>
        <v>1.3219500042765792E-3</v>
      </c>
      <c r="CO149" s="70">
        <f t="shared" si="180"/>
        <v>0</v>
      </c>
      <c r="CP149" s="70">
        <f t="shared" si="181"/>
        <v>0</v>
      </c>
      <c r="CQ149" s="70">
        <f t="shared" si="182"/>
        <v>0</v>
      </c>
      <c r="CR149" s="70">
        <f t="shared" si="183"/>
        <v>0</v>
      </c>
      <c r="CS149" s="70">
        <f t="shared" si="184"/>
        <v>0</v>
      </c>
      <c r="CT149" s="70">
        <f t="shared" si="185"/>
        <v>0</v>
      </c>
      <c r="CU149" s="69">
        <f t="shared" si="186"/>
        <v>0</v>
      </c>
      <c r="CV149" s="69">
        <f t="shared" si="187"/>
        <v>0</v>
      </c>
      <c r="CW149" s="70">
        <f t="shared" si="188"/>
        <v>0</v>
      </c>
      <c r="CX149" s="69">
        <f t="shared" si="189"/>
        <v>0</v>
      </c>
      <c r="CY149" s="69">
        <f t="shared" si="190"/>
        <v>0</v>
      </c>
      <c r="CZ149" s="70">
        <f t="shared" si="191"/>
        <v>0</v>
      </c>
      <c r="DB149" s="70">
        <f t="shared" si="192"/>
        <v>8.1494135396383847</v>
      </c>
      <c r="DC149" s="70">
        <f t="shared" si="193"/>
        <v>48.156010178143987</v>
      </c>
      <c r="DD149" s="70">
        <f t="shared" si="194"/>
        <v>56.305423717782375</v>
      </c>
      <c r="DE149" s="70">
        <f t="shared" si="195"/>
        <v>15.44539286966006</v>
      </c>
      <c r="DF149" s="70">
        <f t="shared" si="196"/>
        <v>38.48064913735363</v>
      </c>
      <c r="DG149" s="70">
        <f t="shared" si="197"/>
        <v>53.926042007013692</v>
      </c>
      <c r="DH149" s="69">
        <f t="shared" si="198"/>
        <v>32.842052348953906</v>
      </c>
      <c r="DI149" s="69">
        <f t="shared" si="199"/>
        <v>194.06822337519273</v>
      </c>
      <c r="DJ149" s="70">
        <f t="shared" si="200"/>
        <v>226.91027572414663</v>
      </c>
      <c r="DK149" s="69">
        <f t="shared" si="201"/>
        <v>26.865689182084612</v>
      </c>
      <c r="DL149" s="69">
        <f t="shared" si="202"/>
        <v>66.933173404720819</v>
      </c>
      <c r="DM149" s="70">
        <f t="shared" si="203"/>
        <v>93.798862586805427</v>
      </c>
    </row>
    <row r="150" spans="1:117">
      <c r="A150" t="s">
        <v>426</v>
      </c>
      <c r="B150">
        <v>259773</v>
      </c>
      <c r="C150">
        <v>192849</v>
      </c>
      <c r="D150" s="51">
        <v>38536.25</v>
      </c>
      <c r="E150" s="32">
        <f t="shared" si="136"/>
        <v>7431677276.25</v>
      </c>
      <c r="F150">
        <v>17423</v>
      </c>
      <c r="G150" s="37">
        <f t="shared" si="137"/>
        <v>6.7070095814422595E-2</v>
      </c>
      <c r="H150">
        <v>0</v>
      </c>
      <c r="I150" s="3">
        <f t="shared" si="138"/>
        <v>0</v>
      </c>
      <c r="J150" s="11">
        <f>+'Seat capacity elasticities'!K180</f>
        <v>0</v>
      </c>
      <c r="K150" s="11">
        <f>+'Seat capacity elasticities'!L180</f>
        <v>0</v>
      </c>
      <c r="L150" s="11">
        <f>+'Seat capacity elasticities'!M180</f>
        <v>0</v>
      </c>
      <c r="M150" s="11">
        <f>+'Seat capacity elasticities'!N180</f>
        <v>0</v>
      </c>
      <c r="N150" s="32">
        <f t="shared" si="148"/>
        <v>0</v>
      </c>
      <c r="O150" s="33">
        <f t="shared" si="149"/>
        <v>0</v>
      </c>
      <c r="P150" s="40">
        <f t="shared" si="150"/>
        <v>0</v>
      </c>
      <c r="Q150" s="33">
        <f t="shared" si="151"/>
        <v>0</v>
      </c>
      <c r="R150" s="40">
        <f t="shared" si="152"/>
        <v>0</v>
      </c>
      <c r="S150" s="41">
        <f t="shared" si="153"/>
        <v>0</v>
      </c>
      <c r="T150" s="40">
        <f t="shared" si="154"/>
        <v>0</v>
      </c>
      <c r="U150" s="41">
        <f t="shared" si="155"/>
        <v>0</v>
      </c>
      <c r="V150" s="53"/>
      <c r="W150" s="53"/>
      <c r="X150" t="s">
        <v>426</v>
      </c>
      <c r="Y150">
        <v>259773</v>
      </c>
      <c r="Z150">
        <v>192849</v>
      </c>
      <c r="AA150" s="51">
        <v>38536.25</v>
      </c>
      <c r="AB150" s="32">
        <f t="shared" si="139"/>
        <v>7431677276.25</v>
      </c>
      <c r="AC150">
        <v>17423</v>
      </c>
      <c r="AD150" s="37">
        <f t="shared" si="140"/>
        <v>6.7070095814422595E-2</v>
      </c>
      <c r="AE150">
        <v>3.1616999999999999E-3</v>
      </c>
      <c r="AF150" s="3">
        <f t="shared" si="141"/>
        <v>3.1616999999999999E-5</v>
      </c>
      <c r="AG150" s="11">
        <f>+'Seat capacity elasticities'!R180</f>
        <v>6.2290111071850581E-3</v>
      </c>
      <c r="AH150" s="11">
        <f>+'Seat capacity elasticities'!S180</f>
        <v>1.1805699056992329E-2</v>
      </c>
      <c r="AI150" s="11">
        <f>+'Seat capacity elasticities'!T180</f>
        <v>1.709042758650052E-2</v>
      </c>
      <c r="AJ150" s="11">
        <f>+'Seat capacity elasticities'!U180</f>
        <v>1.3980433093806706E-2</v>
      </c>
      <c r="AK150" s="32">
        <f t="shared" si="156"/>
        <v>462920.00298776053</v>
      </c>
      <c r="AL150" s="33">
        <f t="shared" si="157"/>
        <v>6.2290111071850585E-5</v>
      </c>
      <c r="AM150" s="40">
        <f t="shared" si="158"/>
        <v>877361.4541209595</v>
      </c>
      <c r="AN150" s="33">
        <f t="shared" si="159"/>
        <v>1.180569905699233E-4</v>
      </c>
      <c r="AO150" s="40">
        <f t="shared" si="160"/>
        <v>2977665.1983959856</v>
      </c>
      <c r="AP150" s="41">
        <f t="shared" si="161"/>
        <v>1.709042758650052E-4</v>
      </c>
      <c r="AQ150" s="40">
        <f t="shared" si="162"/>
        <v>2435810.8579339427</v>
      </c>
      <c r="AR150" s="41">
        <f t="shared" si="163"/>
        <v>1.3980433093806706E-4</v>
      </c>
      <c r="AV150" t="s">
        <v>426</v>
      </c>
      <c r="AW150">
        <v>259773</v>
      </c>
      <c r="AX150">
        <v>192849</v>
      </c>
      <c r="AY150" s="51">
        <v>38536.25</v>
      </c>
      <c r="AZ150" s="32">
        <f t="shared" si="142"/>
        <v>7431677276.25</v>
      </c>
      <c r="BA150">
        <v>17423</v>
      </c>
      <c r="BB150" s="37">
        <f t="shared" si="143"/>
        <v>6.7070095814422595E-2</v>
      </c>
      <c r="BC150">
        <v>0</v>
      </c>
      <c r="BD150" s="3">
        <f t="shared" si="144"/>
        <v>0</v>
      </c>
      <c r="BE150" s="11">
        <f>+'Seat capacity elasticities'!Y180</f>
        <v>0</v>
      </c>
      <c r="BF150" s="11">
        <f>+'Seat capacity elasticities'!Z180</f>
        <v>0</v>
      </c>
      <c r="BG150" s="11">
        <f>+'Seat capacity elasticities'!AA180</f>
        <v>0</v>
      </c>
      <c r="BH150" s="11">
        <f>+'Seat capacity elasticities'!AB180</f>
        <v>0</v>
      </c>
      <c r="BI150" s="32">
        <f t="shared" si="164"/>
        <v>0</v>
      </c>
      <c r="BJ150" s="33">
        <f t="shared" si="165"/>
        <v>0</v>
      </c>
      <c r="BK150" s="40">
        <f t="shared" si="166"/>
        <v>0</v>
      </c>
      <c r="BL150" s="33">
        <f t="shared" si="167"/>
        <v>0</v>
      </c>
      <c r="BM150" s="40">
        <f t="shared" si="168"/>
        <v>0</v>
      </c>
      <c r="BN150" s="41">
        <f t="shared" si="169"/>
        <v>0</v>
      </c>
      <c r="BO150" s="40">
        <f t="shared" si="170"/>
        <v>0</v>
      </c>
      <c r="BP150" s="41">
        <f t="shared" si="171"/>
        <v>0</v>
      </c>
      <c r="BQ150" s="53"/>
      <c r="BR150" s="53"/>
      <c r="BS150" t="s">
        <v>426</v>
      </c>
      <c r="BT150">
        <v>259773</v>
      </c>
      <c r="BU150">
        <v>192849</v>
      </c>
      <c r="BV150" s="51">
        <v>38536.25</v>
      </c>
      <c r="BW150" s="32">
        <f t="shared" si="145"/>
        <v>7431677276.25</v>
      </c>
      <c r="BX150">
        <v>17423</v>
      </c>
      <c r="BY150" s="37">
        <f t="shared" si="146"/>
        <v>6.7070095814422595E-2</v>
      </c>
      <c r="BZ150">
        <v>3.1616999999999999E-3</v>
      </c>
      <c r="CA150" s="3">
        <f t="shared" si="147"/>
        <v>3.1616999999999999E-5</v>
      </c>
      <c r="CB150" s="11">
        <f>+'Seat capacity elasticities'!AF180</f>
        <v>2.5838824180297579E-2</v>
      </c>
      <c r="CC150" s="11">
        <f>+'Seat capacity elasticities'!AG180</f>
        <v>2.0647365172604546E-2</v>
      </c>
      <c r="CD150" s="11">
        <f>+'Seat capacity elasticities'!AH180</f>
        <v>7.0893524826809245E-2</v>
      </c>
      <c r="CE150" s="11">
        <f>+'Seat capacity elasticities'!AI180</f>
        <v>2.445082717808433E-2</v>
      </c>
      <c r="CF150" s="32">
        <f t="shared" si="172"/>
        <v>1920258.0250573657</v>
      </c>
      <c r="CG150" s="33">
        <f t="shared" si="173"/>
        <v>2.5838824180297583E-4</v>
      </c>
      <c r="CH150" s="40">
        <f t="shared" si="174"/>
        <v>1534445.5456768088</v>
      </c>
      <c r="CI150" s="33">
        <f t="shared" si="175"/>
        <v>2.0647365172604549E-4</v>
      </c>
      <c r="CJ150" s="40">
        <f t="shared" si="176"/>
        <v>12351778.830574976</v>
      </c>
      <c r="CK150" s="41">
        <f t="shared" si="177"/>
        <v>7.0893524826809255E-4</v>
      </c>
      <c r="CL150" s="40">
        <f t="shared" si="178"/>
        <v>4260067.6192376334</v>
      </c>
      <c r="CM150" s="41">
        <f t="shared" si="179"/>
        <v>2.4450827178084333E-4</v>
      </c>
      <c r="CO150" s="70">
        <f t="shared" si="180"/>
        <v>0</v>
      </c>
      <c r="CP150" s="70">
        <f t="shared" si="181"/>
        <v>0</v>
      </c>
      <c r="CQ150" s="70">
        <f t="shared" si="182"/>
        <v>0</v>
      </c>
      <c r="CR150" s="70">
        <f t="shared" si="183"/>
        <v>0</v>
      </c>
      <c r="CS150" s="70">
        <f t="shared" si="184"/>
        <v>0</v>
      </c>
      <c r="CT150" s="70">
        <f t="shared" si="185"/>
        <v>0</v>
      </c>
      <c r="CU150" s="69">
        <f t="shared" si="186"/>
        <v>0</v>
      </c>
      <c r="CV150" s="69">
        <f t="shared" si="187"/>
        <v>0</v>
      </c>
      <c r="CW150" s="70">
        <f t="shared" si="188"/>
        <v>0</v>
      </c>
      <c r="CX150" s="69">
        <f t="shared" si="189"/>
        <v>0</v>
      </c>
      <c r="CY150" s="69">
        <f t="shared" si="190"/>
        <v>0</v>
      </c>
      <c r="CZ150" s="70">
        <f t="shared" si="191"/>
        <v>0</v>
      </c>
      <c r="DB150" s="70">
        <f t="shared" si="192"/>
        <v>2.4004272927926023</v>
      </c>
      <c r="DC150" s="70">
        <f t="shared" si="193"/>
        <v>9.9573138831799266</v>
      </c>
      <c r="DD150" s="70">
        <f t="shared" si="194"/>
        <v>12.357741175972528</v>
      </c>
      <c r="DE150" s="70">
        <f t="shared" si="195"/>
        <v>4.5494737028502064</v>
      </c>
      <c r="DF150" s="70">
        <f t="shared" si="196"/>
        <v>7.9567202613278205</v>
      </c>
      <c r="DG150" s="70">
        <f t="shared" si="197"/>
        <v>12.506193964178028</v>
      </c>
      <c r="DH150" s="69">
        <f t="shared" si="198"/>
        <v>15.440397401054637</v>
      </c>
      <c r="DI150" s="69">
        <f t="shared" si="199"/>
        <v>64.048964892610158</v>
      </c>
      <c r="DJ150" s="70">
        <f t="shared" si="200"/>
        <v>79.489362293664797</v>
      </c>
      <c r="DK150" s="69">
        <f t="shared" si="201"/>
        <v>12.630663669160549</v>
      </c>
      <c r="DL150" s="69">
        <f t="shared" si="202"/>
        <v>22.090172203317795</v>
      </c>
      <c r="DM150" s="70">
        <f t="shared" si="203"/>
        <v>34.720835872478347</v>
      </c>
    </row>
    <row r="151" spans="1:117">
      <c r="A151" t="s">
        <v>989</v>
      </c>
      <c r="B151">
        <v>192972</v>
      </c>
      <c r="C151">
        <v>116954</v>
      </c>
      <c r="D151" s="51">
        <v>36383.14</v>
      </c>
      <c r="E151" s="32">
        <f t="shared" si="136"/>
        <v>4255153755.5599999</v>
      </c>
      <c r="F151">
        <v>11800</v>
      </c>
      <c r="G151" s="37">
        <f t="shared" si="137"/>
        <v>6.1148767696867938E-2</v>
      </c>
      <c r="H151">
        <v>0</v>
      </c>
      <c r="I151" s="3">
        <f t="shared" si="138"/>
        <v>0</v>
      </c>
      <c r="J151" s="11">
        <f>+'Seat capacity elasticities'!K181</f>
        <v>0</v>
      </c>
      <c r="K151" s="11">
        <f>+'Seat capacity elasticities'!L181</f>
        <v>0</v>
      </c>
      <c r="L151" s="11">
        <f>+'Seat capacity elasticities'!M181</f>
        <v>0</v>
      </c>
      <c r="M151" s="11">
        <f>+'Seat capacity elasticities'!N181</f>
        <v>0</v>
      </c>
      <c r="N151" s="32">
        <f t="shared" si="148"/>
        <v>0</v>
      </c>
      <c r="O151" s="33">
        <f t="shared" si="149"/>
        <v>0</v>
      </c>
      <c r="P151" s="40">
        <f t="shared" si="150"/>
        <v>0</v>
      </c>
      <c r="Q151" s="33">
        <f t="shared" si="151"/>
        <v>0</v>
      </c>
      <c r="R151" s="40">
        <f t="shared" si="152"/>
        <v>0</v>
      </c>
      <c r="S151" s="41">
        <f t="shared" si="153"/>
        <v>0</v>
      </c>
      <c r="T151" s="40">
        <f t="shared" si="154"/>
        <v>0</v>
      </c>
      <c r="U151" s="41">
        <f t="shared" si="155"/>
        <v>0</v>
      </c>
      <c r="V151" s="53"/>
      <c r="W151" s="53"/>
      <c r="X151" t="s">
        <v>989</v>
      </c>
      <c r="Y151">
        <v>192972</v>
      </c>
      <c r="Z151">
        <v>116954</v>
      </c>
      <c r="AA151" s="51">
        <v>36383.14</v>
      </c>
      <c r="AB151" s="32">
        <f t="shared" si="139"/>
        <v>4255153755.5599999</v>
      </c>
      <c r="AC151">
        <v>11800</v>
      </c>
      <c r="AD151" s="37">
        <f t="shared" si="140"/>
        <v>6.1148767696867938E-2</v>
      </c>
      <c r="AE151">
        <v>1.2947E-3</v>
      </c>
      <c r="AF151" s="3">
        <f t="shared" si="141"/>
        <v>1.2947E-5</v>
      </c>
      <c r="AG151" s="11">
        <f>+'Seat capacity elasticities'!R181</f>
        <v>3.5069581866557522E-3</v>
      </c>
      <c r="AH151" s="11">
        <f>+'Seat capacity elasticities'!S181</f>
        <v>6.6466558246070125E-3</v>
      </c>
      <c r="AI151" s="11">
        <f>+'Seat capacity elasticities'!T181</f>
        <v>9.6219791402829304E-3</v>
      </c>
      <c r="AJ151" s="11">
        <f>+'Seat capacity elasticities'!U181</f>
        <v>7.8710397922977793E-3</v>
      </c>
      <c r="AK151" s="32">
        <f t="shared" si="156"/>
        <v>149226.46298540113</v>
      </c>
      <c r="AL151" s="33">
        <f t="shared" si="157"/>
        <v>3.5069581866557526E-5</v>
      </c>
      <c r="AM151" s="40">
        <f t="shared" si="158"/>
        <v>282825.4249399128</v>
      </c>
      <c r="AN151" s="33">
        <f t="shared" si="159"/>
        <v>6.6466558246070135E-5</v>
      </c>
      <c r="AO151" s="40">
        <f t="shared" si="160"/>
        <v>1135393.5385533858</v>
      </c>
      <c r="AP151" s="41">
        <f t="shared" si="161"/>
        <v>9.6219791402829305E-5</v>
      </c>
      <c r="AQ151" s="40">
        <f t="shared" si="162"/>
        <v>928782.69549113803</v>
      </c>
      <c r="AR151" s="41">
        <f t="shared" si="163"/>
        <v>7.8710397922977809E-5</v>
      </c>
      <c r="AV151" t="s">
        <v>989</v>
      </c>
      <c r="AW151">
        <v>192972</v>
      </c>
      <c r="AX151">
        <v>116954</v>
      </c>
      <c r="AY151" s="51">
        <v>36383.14</v>
      </c>
      <c r="AZ151" s="32">
        <f t="shared" si="142"/>
        <v>4255153755.5599999</v>
      </c>
      <c r="BA151">
        <v>11800</v>
      </c>
      <c r="BB151" s="37">
        <f t="shared" si="143"/>
        <v>6.1148767696867938E-2</v>
      </c>
      <c r="BC151">
        <v>0</v>
      </c>
      <c r="BD151" s="3">
        <f t="shared" si="144"/>
        <v>0</v>
      </c>
      <c r="BE151" s="11">
        <f>+'Seat capacity elasticities'!Y181</f>
        <v>0</v>
      </c>
      <c r="BF151" s="11">
        <f>+'Seat capacity elasticities'!Z181</f>
        <v>0</v>
      </c>
      <c r="BG151" s="11">
        <f>+'Seat capacity elasticities'!AA181</f>
        <v>0</v>
      </c>
      <c r="BH151" s="11">
        <f>+'Seat capacity elasticities'!AB181</f>
        <v>0</v>
      </c>
      <c r="BI151" s="32">
        <f t="shared" si="164"/>
        <v>0</v>
      </c>
      <c r="BJ151" s="33">
        <f t="shared" si="165"/>
        <v>0</v>
      </c>
      <c r="BK151" s="40">
        <f t="shared" si="166"/>
        <v>0</v>
      </c>
      <c r="BL151" s="33">
        <f t="shared" si="167"/>
        <v>0</v>
      </c>
      <c r="BM151" s="40">
        <f t="shared" si="168"/>
        <v>0</v>
      </c>
      <c r="BN151" s="41">
        <f t="shared" si="169"/>
        <v>0</v>
      </c>
      <c r="BO151" s="40">
        <f t="shared" si="170"/>
        <v>0</v>
      </c>
      <c r="BP151" s="41">
        <f t="shared" si="171"/>
        <v>0</v>
      </c>
      <c r="BQ151" s="53"/>
      <c r="BR151" s="53"/>
      <c r="BS151" t="s">
        <v>989</v>
      </c>
      <c r="BT151">
        <v>192972</v>
      </c>
      <c r="BU151">
        <v>116954</v>
      </c>
      <c r="BV151" s="51">
        <v>36383.14</v>
      </c>
      <c r="BW151" s="32">
        <f t="shared" si="145"/>
        <v>4255153755.5599999</v>
      </c>
      <c r="BX151">
        <v>11800</v>
      </c>
      <c r="BY151" s="37">
        <f t="shared" si="146"/>
        <v>6.1148767696867938E-2</v>
      </c>
      <c r="BZ151">
        <v>1.2947E-3</v>
      </c>
      <c r="CA151" s="3">
        <f t="shared" si="147"/>
        <v>1.2947E-5</v>
      </c>
      <c r="CB151" s="11">
        <f>+'Seat capacity elasticities'!AF181</f>
        <v>1.424363865055036E-2</v>
      </c>
      <c r="CC151" s="11">
        <f>+'Seat capacity elasticities'!AG181</f>
        <v>1.1381849520412287E-2</v>
      </c>
      <c r="CD151" s="11">
        <f>+'Seat capacity elasticities'!AH181</f>
        <v>3.9080019402232033E-2</v>
      </c>
      <c r="CE151" s="11">
        <f>+'Seat capacity elasticities'!AI181</f>
        <v>1.3478506011014552E-2</v>
      </c>
      <c r="CF151" s="32">
        <f t="shared" si="172"/>
        <v>606088.72496728937</v>
      </c>
      <c r="CG151" s="33">
        <f t="shared" si="173"/>
        <v>1.4243638650550362E-4</v>
      </c>
      <c r="CH151" s="40">
        <f t="shared" si="174"/>
        <v>484315.19732001133</v>
      </c>
      <c r="CI151" s="33">
        <f t="shared" si="175"/>
        <v>1.1381849520412288E-4</v>
      </c>
      <c r="CJ151" s="40">
        <f t="shared" si="176"/>
        <v>4611442.2894633804</v>
      </c>
      <c r="CK151" s="41">
        <f t="shared" si="177"/>
        <v>3.9080019402232036E-4</v>
      </c>
      <c r="CL151" s="40">
        <f t="shared" si="178"/>
        <v>1590463.7092997171</v>
      </c>
      <c r="CM151" s="41">
        <f t="shared" si="179"/>
        <v>1.3478506011014552E-4</v>
      </c>
      <c r="CO151" s="70">
        <f t="shared" si="180"/>
        <v>0</v>
      </c>
      <c r="CP151" s="70">
        <f t="shared" si="181"/>
        <v>0</v>
      </c>
      <c r="CQ151" s="70">
        <f t="shared" si="182"/>
        <v>0</v>
      </c>
      <c r="CR151" s="70">
        <f t="shared" si="183"/>
        <v>0</v>
      </c>
      <c r="CS151" s="70">
        <f t="shared" si="184"/>
        <v>0</v>
      </c>
      <c r="CT151" s="70">
        <f t="shared" si="185"/>
        <v>0</v>
      </c>
      <c r="CU151" s="69">
        <f t="shared" si="186"/>
        <v>0</v>
      </c>
      <c r="CV151" s="69">
        <f t="shared" si="187"/>
        <v>0</v>
      </c>
      <c r="CW151" s="70">
        <f t="shared" si="188"/>
        <v>0</v>
      </c>
      <c r="CX151" s="69">
        <f t="shared" si="189"/>
        <v>0</v>
      </c>
      <c r="CY151" s="69">
        <f t="shared" si="190"/>
        <v>0</v>
      </c>
      <c r="CZ151" s="70">
        <f t="shared" si="191"/>
        <v>0</v>
      </c>
      <c r="DB151" s="70">
        <f t="shared" si="192"/>
        <v>1.2759415067924238</v>
      </c>
      <c r="DC151" s="70">
        <f t="shared" si="193"/>
        <v>5.1822829913238486</v>
      </c>
      <c r="DD151" s="70">
        <f t="shared" si="194"/>
        <v>6.4582244981162722</v>
      </c>
      <c r="DE151" s="70">
        <f t="shared" si="195"/>
        <v>2.4182620939849242</v>
      </c>
      <c r="DF151" s="70">
        <f t="shared" si="196"/>
        <v>4.1410742456009313</v>
      </c>
      <c r="DG151" s="70">
        <f t="shared" si="197"/>
        <v>6.5593363395858555</v>
      </c>
      <c r="DH151" s="69">
        <f t="shared" si="198"/>
        <v>9.7080351125518209</v>
      </c>
      <c r="DI151" s="69">
        <f t="shared" si="199"/>
        <v>39.429538873945141</v>
      </c>
      <c r="DJ151" s="70">
        <f t="shared" si="200"/>
        <v>49.13757398649696</v>
      </c>
      <c r="DK151" s="69">
        <f t="shared" si="201"/>
        <v>7.9414359106241603</v>
      </c>
      <c r="DL151" s="69">
        <f t="shared" si="202"/>
        <v>13.59905355353145</v>
      </c>
      <c r="DM151" s="70">
        <f t="shared" si="203"/>
        <v>21.540489464155609</v>
      </c>
    </row>
    <row r="152" spans="1:117">
      <c r="A152" t="s">
        <v>427</v>
      </c>
      <c r="B152">
        <v>580282</v>
      </c>
      <c r="C152">
        <v>273280</v>
      </c>
      <c r="D152" s="51">
        <v>33487.68</v>
      </c>
      <c r="E152" s="32">
        <f t="shared" si="136"/>
        <v>9151513190.3999996</v>
      </c>
      <c r="F152">
        <v>14324</v>
      </c>
      <c r="G152" s="37">
        <f t="shared" si="137"/>
        <v>2.4684549925725767E-2</v>
      </c>
      <c r="H152">
        <v>0</v>
      </c>
      <c r="I152" s="3">
        <f t="shared" si="138"/>
        <v>0</v>
      </c>
      <c r="J152" s="11">
        <f>+'Seat capacity elasticities'!K182</f>
        <v>0</v>
      </c>
      <c r="K152" s="11">
        <f>+'Seat capacity elasticities'!L182</f>
        <v>0</v>
      </c>
      <c r="L152" s="11">
        <f>+'Seat capacity elasticities'!M182</f>
        <v>0</v>
      </c>
      <c r="M152" s="11">
        <f>+'Seat capacity elasticities'!N182</f>
        <v>0</v>
      </c>
      <c r="N152" s="32">
        <f t="shared" si="148"/>
        <v>0</v>
      </c>
      <c r="O152" s="33">
        <f t="shared" si="149"/>
        <v>0</v>
      </c>
      <c r="P152" s="40">
        <f t="shared" si="150"/>
        <v>0</v>
      </c>
      <c r="Q152" s="33">
        <f t="shared" si="151"/>
        <v>0</v>
      </c>
      <c r="R152" s="40">
        <f t="shared" si="152"/>
        <v>0</v>
      </c>
      <c r="S152" s="41">
        <f t="shared" si="153"/>
        <v>0</v>
      </c>
      <c r="T152" s="40">
        <f t="shared" si="154"/>
        <v>0</v>
      </c>
      <c r="U152" s="41">
        <f t="shared" si="155"/>
        <v>0</v>
      </c>
      <c r="V152" s="53"/>
      <c r="W152" s="53"/>
      <c r="X152" t="s">
        <v>427</v>
      </c>
      <c r="Y152">
        <v>580282</v>
      </c>
      <c r="Z152">
        <v>273280</v>
      </c>
      <c r="AA152" s="51">
        <v>33487.68</v>
      </c>
      <c r="AB152" s="32">
        <f t="shared" si="139"/>
        <v>9151513190.3999996</v>
      </c>
      <c r="AC152">
        <v>14324</v>
      </c>
      <c r="AD152" s="37">
        <f t="shared" si="140"/>
        <v>2.4684549925725767E-2</v>
      </c>
      <c r="AE152">
        <v>3.3880999999999998E-3</v>
      </c>
      <c r="AF152" s="3">
        <f t="shared" si="141"/>
        <v>3.3880999999999996E-5</v>
      </c>
      <c r="AG152" s="11">
        <f>+'Seat capacity elasticities'!R182</f>
        <v>8.3540469889319714E-3</v>
      </c>
      <c r="AH152" s="11">
        <f>+'Seat capacity elasticities'!S182</f>
        <v>1.5833229859799271E-2</v>
      </c>
      <c r="AI152" s="11">
        <f>+'Seat capacity elasticities'!T182</f>
        <v>2.2920850944362088E-2</v>
      </c>
      <c r="AJ152" s="11">
        <f>+'Seat capacity elasticities'!U182</f>
        <v>1.8749877465551769E-2</v>
      </c>
      <c r="AK152" s="32">
        <f t="shared" si="156"/>
        <v>764521.71212432336</v>
      </c>
      <c r="AL152" s="33">
        <f t="shared" si="157"/>
        <v>8.3540469889319718E-5</v>
      </c>
      <c r="AM152" s="40">
        <f t="shared" si="158"/>
        <v>1448980.1190858816</v>
      </c>
      <c r="AN152" s="33">
        <f t="shared" si="159"/>
        <v>1.583322985979927E-4</v>
      </c>
      <c r="AO152" s="40">
        <f t="shared" si="160"/>
        <v>3283182.6892704256</v>
      </c>
      <c r="AP152" s="41">
        <f t="shared" si="161"/>
        <v>2.2920850944362089E-4</v>
      </c>
      <c r="AQ152" s="40">
        <f t="shared" si="162"/>
        <v>2685732.4481656356</v>
      </c>
      <c r="AR152" s="41">
        <f t="shared" si="163"/>
        <v>1.8749877465551771E-4</v>
      </c>
      <c r="AV152" t="s">
        <v>427</v>
      </c>
      <c r="AW152">
        <v>580282</v>
      </c>
      <c r="AX152">
        <v>273280</v>
      </c>
      <c r="AY152" s="51">
        <v>33487.68</v>
      </c>
      <c r="AZ152" s="32">
        <f t="shared" si="142"/>
        <v>9151513190.3999996</v>
      </c>
      <c r="BA152">
        <v>14324</v>
      </c>
      <c r="BB152" s="37">
        <f t="shared" si="143"/>
        <v>2.4684549925725767E-2</v>
      </c>
      <c r="BC152">
        <v>0</v>
      </c>
      <c r="BD152" s="3">
        <f t="shared" si="144"/>
        <v>0</v>
      </c>
      <c r="BE152" s="11">
        <f>+'Seat capacity elasticities'!Y182</f>
        <v>0</v>
      </c>
      <c r="BF152" s="11">
        <f>+'Seat capacity elasticities'!Z182</f>
        <v>0</v>
      </c>
      <c r="BG152" s="11">
        <f>+'Seat capacity elasticities'!AA182</f>
        <v>0</v>
      </c>
      <c r="BH152" s="11">
        <f>+'Seat capacity elasticities'!AB182</f>
        <v>0</v>
      </c>
      <c r="BI152" s="32">
        <f t="shared" si="164"/>
        <v>0</v>
      </c>
      <c r="BJ152" s="33">
        <f t="shared" si="165"/>
        <v>0</v>
      </c>
      <c r="BK152" s="40">
        <f t="shared" si="166"/>
        <v>0</v>
      </c>
      <c r="BL152" s="33">
        <f t="shared" si="167"/>
        <v>0</v>
      </c>
      <c r="BM152" s="40">
        <f t="shared" si="168"/>
        <v>0</v>
      </c>
      <c r="BN152" s="41">
        <f t="shared" si="169"/>
        <v>0</v>
      </c>
      <c r="BO152" s="40">
        <f t="shared" si="170"/>
        <v>0</v>
      </c>
      <c r="BP152" s="41">
        <f t="shared" si="171"/>
        <v>0</v>
      </c>
      <c r="BQ152" s="53"/>
      <c r="BR152" s="53"/>
      <c r="BS152" t="s">
        <v>427</v>
      </c>
      <c r="BT152">
        <v>580282</v>
      </c>
      <c r="BU152">
        <v>273280</v>
      </c>
      <c r="BV152" s="51">
        <v>33487.68</v>
      </c>
      <c r="BW152" s="32">
        <f t="shared" si="145"/>
        <v>9151513190.3999996</v>
      </c>
      <c r="BX152">
        <v>14324</v>
      </c>
      <c r="BY152" s="37">
        <f t="shared" si="146"/>
        <v>2.4684549925725767E-2</v>
      </c>
      <c r="BZ152">
        <v>3.3880999999999998E-3</v>
      </c>
      <c r="CA152" s="3">
        <f t="shared" si="147"/>
        <v>3.3880999999999996E-5</v>
      </c>
      <c r="CB152" s="11">
        <f>+'Seat capacity elasticities'!AF182</f>
        <v>1.2395476270446595E-2</v>
      </c>
      <c r="CC152" s="11">
        <f>+'Seat capacity elasticities'!AG182</f>
        <v>9.9050143790760364E-3</v>
      </c>
      <c r="CD152" s="11">
        <f>+'Seat capacity elasticities'!AH182</f>
        <v>3.4009248973066473E-2</v>
      </c>
      <c r="CE152" s="11">
        <f>+'Seat capacity elasticities'!AI182</f>
        <v>1.1729622291011096E-2</v>
      </c>
      <c r="CF152" s="32">
        <f t="shared" si="172"/>
        <v>1134373.645902822</v>
      </c>
      <c r="CG152" s="33">
        <f t="shared" si="173"/>
        <v>1.2395476270446595E-4</v>
      </c>
      <c r="CH152" s="40">
        <f t="shared" si="174"/>
        <v>906458.69741216011</v>
      </c>
      <c r="CI152" s="33">
        <f t="shared" si="175"/>
        <v>9.9050143790760367E-5</v>
      </c>
      <c r="CJ152" s="40">
        <f t="shared" si="176"/>
        <v>4871484.8229020415</v>
      </c>
      <c r="CK152" s="41">
        <f t="shared" si="177"/>
        <v>3.4009248973066472E-4</v>
      </c>
      <c r="CL152" s="40">
        <f t="shared" si="178"/>
        <v>1680151.0969644296</v>
      </c>
      <c r="CM152" s="41">
        <f t="shared" si="179"/>
        <v>1.1729622291011097E-4</v>
      </c>
      <c r="CO152" s="70">
        <f t="shared" si="180"/>
        <v>0</v>
      </c>
      <c r="CP152" s="70">
        <f t="shared" si="181"/>
        <v>0</v>
      </c>
      <c r="CQ152" s="70">
        <f t="shared" si="182"/>
        <v>0</v>
      </c>
      <c r="CR152" s="70">
        <f t="shared" si="183"/>
        <v>0</v>
      </c>
      <c r="CS152" s="70">
        <f t="shared" si="184"/>
        <v>0</v>
      </c>
      <c r="CT152" s="70">
        <f t="shared" si="185"/>
        <v>0</v>
      </c>
      <c r="CU152" s="69">
        <f t="shared" si="186"/>
        <v>0</v>
      </c>
      <c r="CV152" s="69">
        <f t="shared" si="187"/>
        <v>0</v>
      </c>
      <c r="CW152" s="70">
        <f t="shared" si="188"/>
        <v>0</v>
      </c>
      <c r="CX152" s="69">
        <f t="shared" si="189"/>
        <v>0</v>
      </c>
      <c r="CY152" s="69">
        <f t="shared" si="190"/>
        <v>0</v>
      </c>
      <c r="CZ152" s="70">
        <f t="shared" si="191"/>
        <v>0</v>
      </c>
      <c r="DB152" s="70">
        <f t="shared" si="192"/>
        <v>2.7975765227031739</v>
      </c>
      <c r="DC152" s="70">
        <f t="shared" si="193"/>
        <v>4.1509574279230899</v>
      </c>
      <c r="DD152" s="70">
        <f t="shared" si="194"/>
        <v>6.9485339506262633</v>
      </c>
      <c r="DE152" s="70">
        <f t="shared" si="195"/>
        <v>5.3021813491140284</v>
      </c>
      <c r="DF152" s="70">
        <f t="shared" si="196"/>
        <v>3.3169595192189698</v>
      </c>
      <c r="DG152" s="70">
        <f t="shared" si="197"/>
        <v>8.6191408683329982</v>
      </c>
      <c r="DH152" s="69">
        <f t="shared" si="198"/>
        <v>12.013988177950914</v>
      </c>
      <c r="DI152" s="69">
        <f t="shared" si="199"/>
        <v>17.825983690361685</v>
      </c>
      <c r="DJ152" s="70">
        <f t="shared" si="200"/>
        <v>29.839971868312599</v>
      </c>
      <c r="DK152" s="69">
        <f t="shared" si="201"/>
        <v>9.8277680333929869</v>
      </c>
      <c r="DL152" s="69">
        <f t="shared" si="202"/>
        <v>6.148093885262111</v>
      </c>
      <c r="DM152" s="70">
        <f t="shared" si="203"/>
        <v>15.975861918655099</v>
      </c>
    </row>
    <row r="153" spans="1:117">
      <c r="A153" t="s">
        <v>428</v>
      </c>
      <c r="B153">
        <v>503807</v>
      </c>
      <c r="C153">
        <v>310444</v>
      </c>
      <c r="D153" s="51">
        <v>35402.959999999999</v>
      </c>
      <c r="E153" s="32">
        <f t="shared" si="136"/>
        <v>10990636514.24</v>
      </c>
      <c r="F153">
        <v>18026</v>
      </c>
      <c r="G153" s="37">
        <f t="shared" si="137"/>
        <v>3.5779574321119001E-2</v>
      </c>
      <c r="H153">
        <v>0</v>
      </c>
      <c r="I153" s="3">
        <f t="shared" si="138"/>
        <v>0</v>
      </c>
      <c r="J153" s="11">
        <f>+'Seat capacity elasticities'!K183</f>
        <v>0</v>
      </c>
      <c r="K153" s="11">
        <f>+'Seat capacity elasticities'!L183</f>
        <v>0</v>
      </c>
      <c r="L153" s="11">
        <f>+'Seat capacity elasticities'!M183</f>
        <v>0</v>
      </c>
      <c r="M153" s="11">
        <f>+'Seat capacity elasticities'!N183</f>
        <v>0</v>
      </c>
      <c r="N153" s="32">
        <f t="shared" si="148"/>
        <v>0</v>
      </c>
      <c r="O153" s="33">
        <f t="shared" si="149"/>
        <v>0</v>
      </c>
      <c r="P153" s="40">
        <f t="shared" si="150"/>
        <v>0</v>
      </c>
      <c r="Q153" s="33">
        <f t="shared" si="151"/>
        <v>0</v>
      </c>
      <c r="R153" s="40">
        <f t="shared" si="152"/>
        <v>0</v>
      </c>
      <c r="S153" s="41">
        <f t="shared" si="153"/>
        <v>0</v>
      </c>
      <c r="T153" s="40">
        <f t="shared" si="154"/>
        <v>0</v>
      </c>
      <c r="U153" s="41">
        <f t="shared" si="155"/>
        <v>0</v>
      </c>
      <c r="V153" s="53"/>
      <c r="W153" s="53"/>
      <c r="X153" t="s">
        <v>428</v>
      </c>
      <c r="Y153">
        <v>503807</v>
      </c>
      <c r="Z153">
        <v>310444</v>
      </c>
      <c r="AA153" s="51">
        <v>35402.959999999999</v>
      </c>
      <c r="AB153" s="32">
        <f t="shared" si="139"/>
        <v>10990636514.24</v>
      </c>
      <c r="AC153">
        <v>18026</v>
      </c>
      <c r="AD153" s="37">
        <f t="shared" si="140"/>
        <v>3.5779574321119001E-2</v>
      </c>
      <c r="AE153">
        <v>2.7114000000000001E-3</v>
      </c>
      <c r="AF153" s="3">
        <f t="shared" si="141"/>
        <v>2.7114000000000002E-5</v>
      </c>
      <c r="AG153" s="11">
        <f>+'Seat capacity elasticities'!R183</f>
        <v>1.8280799504527378E-3</v>
      </c>
      <c r="AH153" s="11">
        <f>+'Seat capacity elasticities'!S183</f>
        <v>3.4647171719235301E-3</v>
      </c>
      <c r="AI153" s="11">
        <f>+'Seat capacity elasticities'!T183</f>
        <v>5.0156706221807963E-3</v>
      </c>
      <c r="AJ153" s="11">
        <f>+'Seat capacity elasticities'!U183</f>
        <v>4.1029545456989173E-3</v>
      </c>
      <c r="AK153" s="32">
        <f t="shared" si="156"/>
        <v>200917.62254395909</v>
      </c>
      <c r="AL153" s="33">
        <f t="shared" si="157"/>
        <v>1.8280799504527379E-5</v>
      </c>
      <c r="AM153" s="40">
        <f t="shared" si="158"/>
        <v>380794.47061257093</v>
      </c>
      <c r="AN153" s="33">
        <f t="shared" si="159"/>
        <v>3.4647171719235296E-5</v>
      </c>
      <c r="AO153" s="40">
        <f t="shared" si="160"/>
        <v>904124.78635431034</v>
      </c>
      <c r="AP153" s="41">
        <f t="shared" si="161"/>
        <v>5.0156706221807968E-5</v>
      </c>
      <c r="AQ153" s="40">
        <f t="shared" si="162"/>
        <v>739598.58640768682</v>
      </c>
      <c r="AR153" s="41">
        <f t="shared" si="163"/>
        <v>4.102954545698917E-5</v>
      </c>
      <c r="AV153" t="s">
        <v>428</v>
      </c>
      <c r="AW153">
        <v>503807</v>
      </c>
      <c r="AX153">
        <v>310444</v>
      </c>
      <c r="AY153" s="51">
        <v>35402.959999999999</v>
      </c>
      <c r="AZ153" s="32">
        <f t="shared" si="142"/>
        <v>10990636514.24</v>
      </c>
      <c r="BA153">
        <v>18026</v>
      </c>
      <c r="BB153" s="37">
        <f t="shared" si="143"/>
        <v>3.5779574321119001E-2</v>
      </c>
      <c r="BC153">
        <v>0</v>
      </c>
      <c r="BD153" s="3">
        <f t="shared" si="144"/>
        <v>0</v>
      </c>
      <c r="BE153" s="11">
        <f>+'Seat capacity elasticities'!Y183</f>
        <v>0</v>
      </c>
      <c r="BF153" s="11">
        <f>+'Seat capacity elasticities'!Z183</f>
        <v>0</v>
      </c>
      <c r="BG153" s="11">
        <f>+'Seat capacity elasticities'!AA183</f>
        <v>0</v>
      </c>
      <c r="BH153" s="11">
        <f>+'Seat capacity elasticities'!AB183</f>
        <v>0</v>
      </c>
      <c r="BI153" s="32">
        <f t="shared" si="164"/>
        <v>0</v>
      </c>
      <c r="BJ153" s="33">
        <f t="shared" si="165"/>
        <v>0</v>
      </c>
      <c r="BK153" s="40">
        <f t="shared" si="166"/>
        <v>0</v>
      </c>
      <c r="BL153" s="33">
        <f t="shared" si="167"/>
        <v>0</v>
      </c>
      <c r="BM153" s="40">
        <f t="shared" si="168"/>
        <v>0</v>
      </c>
      <c r="BN153" s="41">
        <f t="shared" si="169"/>
        <v>0</v>
      </c>
      <c r="BO153" s="40">
        <f t="shared" si="170"/>
        <v>0</v>
      </c>
      <c r="BP153" s="41">
        <f t="shared" si="171"/>
        <v>0</v>
      </c>
      <c r="BQ153" s="53"/>
      <c r="BR153" s="53"/>
      <c r="BS153" t="s">
        <v>428</v>
      </c>
      <c r="BT153">
        <v>503807</v>
      </c>
      <c r="BU153">
        <v>310444</v>
      </c>
      <c r="BV153" s="51">
        <v>35402.959999999999</v>
      </c>
      <c r="BW153" s="32">
        <f t="shared" si="145"/>
        <v>10990636514.24</v>
      </c>
      <c r="BX153">
        <v>18026</v>
      </c>
      <c r="BY153" s="37">
        <f t="shared" si="146"/>
        <v>3.5779574321119001E-2</v>
      </c>
      <c r="BZ153">
        <v>2.7114000000000001E-3</v>
      </c>
      <c r="CA153" s="3">
        <f t="shared" si="147"/>
        <v>2.7114000000000002E-5</v>
      </c>
      <c r="CB153" s="11">
        <f>+'Seat capacity elasticities'!AF183</f>
        <v>1.1425507290309677E-2</v>
      </c>
      <c r="CC153" s="11">
        <f>+'Seat capacity elasticities'!AG183</f>
        <v>9.1299286553898629E-3</v>
      </c>
      <c r="CD153" s="11">
        <f>+'Seat capacity elasticities'!AH183</f>
        <v>3.1347962240560849E-2</v>
      </c>
      <c r="CE153" s="11">
        <f>+'Seat capacity elasticities'!AI183</f>
        <v>1.0811757618224838E-2</v>
      </c>
      <c r="CF153" s="32">
        <f t="shared" si="172"/>
        <v>1255735.9761859286</v>
      </c>
      <c r="CG153" s="33">
        <f t="shared" si="173"/>
        <v>1.1425507290309678E-4</v>
      </c>
      <c r="CH153" s="40">
        <f t="shared" si="174"/>
        <v>1003437.2725233393</v>
      </c>
      <c r="CI153" s="33">
        <f t="shared" si="175"/>
        <v>9.1299286553898619E-5</v>
      </c>
      <c r="CJ153" s="40">
        <f t="shared" si="176"/>
        <v>5650783.6734834993</v>
      </c>
      <c r="CK153" s="41">
        <f t="shared" si="177"/>
        <v>3.1347962240560858E-4</v>
      </c>
      <c r="CL153" s="40">
        <f t="shared" si="178"/>
        <v>1948927.4282612093</v>
      </c>
      <c r="CM153" s="41">
        <f t="shared" si="179"/>
        <v>1.0811757618224838E-4</v>
      </c>
      <c r="CO153" s="70">
        <f t="shared" si="180"/>
        <v>0</v>
      </c>
      <c r="CP153" s="70">
        <f t="shared" si="181"/>
        <v>0</v>
      </c>
      <c r="CQ153" s="70">
        <f t="shared" si="182"/>
        <v>0</v>
      </c>
      <c r="CR153" s="70">
        <f t="shared" si="183"/>
        <v>0</v>
      </c>
      <c r="CS153" s="70">
        <f t="shared" si="184"/>
        <v>0</v>
      </c>
      <c r="CT153" s="70">
        <f t="shared" si="185"/>
        <v>0</v>
      </c>
      <c r="CU153" s="69">
        <f t="shared" si="186"/>
        <v>0</v>
      </c>
      <c r="CV153" s="69">
        <f t="shared" si="187"/>
        <v>0</v>
      </c>
      <c r="CW153" s="70">
        <f t="shared" si="188"/>
        <v>0</v>
      </c>
      <c r="CX153" s="69">
        <f t="shared" si="189"/>
        <v>0</v>
      </c>
      <c r="CY153" s="69">
        <f t="shared" si="190"/>
        <v>0</v>
      </c>
      <c r="CZ153" s="70">
        <f t="shared" si="191"/>
        <v>0</v>
      </c>
      <c r="DB153" s="70">
        <f t="shared" si="192"/>
        <v>0.64719441362680252</v>
      </c>
      <c r="DC153" s="70">
        <f t="shared" si="193"/>
        <v>4.0449677757854188</v>
      </c>
      <c r="DD153" s="70">
        <f t="shared" si="194"/>
        <v>4.6921621894122216</v>
      </c>
      <c r="DE153" s="70">
        <f t="shared" si="195"/>
        <v>1.2266124344892184</v>
      </c>
      <c r="DF153" s="70">
        <f t="shared" si="196"/>
        <v>3.2322649898962106</v>
      </c>
      <c r="DG153" s="70">
        <f t="shared" si="197"/>
        <v>4.4588774243854292</v>
      </c>
      <c r="DH153" s="69">
        <f t="shared" si="198"/>
        <v>2.9123603173335941</v>
      </c>
      <c r="DI153" s="69">
        <f t="shared" si="199"/>
        <v>18.202264091055067</v>
      </c>
      <c r="DJ153" s="70">
        <f t="shared" si="200"/>
        <v>21.114624408388661</v>
      </c>
      <c r="DK153" s="69">
        <f t="shared" si="201"/>
        <v>2.382389694784524</v>
      </c>
      <c r="DL153" s="69">
        <f t="shared" si="202"/>
        <v>6.2778711402417482</v>
      </c>
      <c r="DM153" s="70">
        <f t="shared" si="203"/>
        <v>8.6602608350262713</v>
      </c>
    </row>
    <row r="154" spans="1:117">
      <c r="A154" t="s">
        <v>429</v>
      </c>
      <c r="B154">
        <v>454605</v>
      </c>
      <c r="C154">
        <v>283164</v>
      </c>
      <c r="D154" s="51">
        <v>36458.86</v>
      </c>
      <c r="E154" s="32">
        <f t="shared" si="136"/>
        <v>10323836633.040001</v>
      </c>
      <c r="F154">
        <v>14157</v>
      </c>
      <c r="G154" s="37">
        <f t="shared" si="137"/>
        <v>3.1141320487016202E-2</v>
      </c>
      <c r="H154">
        <v>0</v>
      </c>
      <c r="I154" s="3">
        <f t="shared" si="138"/>
        <v>0</v>
      </c>
      <c r="J154" s="11">
        <f>+'Seat capacity elasticities'!K184</f>
        <v>0</v>
      </c>
      <c r="K154" s="11">
        <f>+'Seat capacity elasticities'!L184</f>
        <v>0</v>
      </c>
      <c r="L154" s="11">
        <f>+'Seat capacity elasticities'!M184</f>
        <v>0</v>
      </c>
      <c r="M154" s="11">
        <f>+'Seat capacity elasticities'!N184</f>
        <v>0</v>
      </c>
      <c r="N154" s="32">
        <f t="shared" si="148"/>
        <v>0</v>
      </c>
      <c r="O154" s="33">
        <f t="shared" si="149"/>
        <v>0</v>
      </c>
      <c r="P154" s="40">
        <f t="shared" si="150"/>
        <v>0</v>
      </c>
      <c r="Q154" s="33">
        <f t="shared" si="151"/>
        <v>0</v>
      </c>
      <c r="R154" s="40">
        <f t="shared" si="152"/>
        <v>0</v>
      </c>
      <c r="S154" s="41">
        <f t="shared" si="153"/>
        <v>0</v>
      </c>
      <c r="T154" s="40">
        <f t="shared" si="154"/>
        <v>0</v>
      </c>
      <c r="U154" s="41">
        <f t="shared" si="155"/>
        <v>0</v>
      </c>
      <c r="V154" s="53"/>
      <c r="W154" s="53"/>
      <c r="X154" t="s">
        <v>429</v>
      </c>
      <c r="Y154">
        <v>454605</v>
      </c>
      <c r="Z154">
        <v>283164</v>
      </c>
      <c r="AA154" s="51">
        <v>36458.86</v>
      </c>
      <c r="AB154" s="32">
        <f t="shared" si="139"/>
        <v>10323836633.040001</v>
      </c>
      <c r="AC154">
        <v>14157</v>
      </c>
      <c r="AD154" s="37">
        <f t="shared" si="140"/>
        <v>3.1141320487016202E-2</v>
      </c>
      <c r="AE154">
        <v>8.1709999999999994E-3</v>
      </c>
      <c r="AF154" s="3">
        <f t="shared" si="141"/>
        <v>8.1710000000000002E-5</v>
      </c>
      <c r="AG154" s="11">
        <f>+'Seat capacity elasticities'!R184</f>
        <v>9.6647841899770073E-3</v>
      </c>
      <c r="AH154" s="11">
        <f>+'Seat capacity elasticities'!S184</f>
        <v>1.8317439419241695E-2</v>
      </c>
      <c r="AI154" s="11">
        <f>+'Seat capacity elasticities'!T184</f>
        <v>2.6517097416543414E-2</v>
      </c>
      <c r="AJ154" s="11">
        <f>+'Seat capacity elasticities'!U184</f>
        <v>2.1691704575417799E-2</v>
      </c>
      <c r="AK154" s="32">
        <f t="shared" si="156"/>
        <v>997776.5307091045</v>
      </c>
      <c r="AL154" s="33">
        <f t="shared" si="157"/>
        <v>9.6647841899770057E-5</v>
      </c>
      <c r="AM154" s="40">
        <f t="shared" si="158"/>
        <v>1891062.5209985836</v>
      </c>
      <c r="AN154" s="33">
        <f t="shared" si="159"/>
        <v>1.8317439419241694E-4</v>
      </c>
      <c r="AO154" s="40">
        <f t="shared" si="160"/>
        <v>3754025.4812600515</v>
      </c>
      <c r="AP154" s="41">
        <f t="shared" si="161"/>
        <v>2.651709741654342E-4</v>
      </c>
      <c r="AQ154" s="40">
        <f t="shared" si="162"/>
        <v>3070894.616741898</v>
      </c>
      <c r="AR154" s="41">
        <f t="shared" si="163"/>
        <v>2.1691704575417799E-4</v>
      </c>
      <c r="AV154" t="s">
        <v>429</v>
      </c>
      <c r="AW154">
        <v>454605</v>
      </c>
      <c r="AX154">
        <v>283164</v>
      </c>
      <c r="AY154" s="51">
        <v>36458.86</v>
      </c>
      <c r="AZ154" s="32">
        <f t="shared" si="142"/>
        <v>10323836633.040001</v>
      </c>
      <c r="BA154">
        <v>14157</v>
      </c>
      <c r="BB154" s="37">
        <f t="shared" si="143"/>
        <v>3.1141320487016202E-2</v>
      </c>
      <c r="BC154">
        <v>0</v>
      </c>
      <c r="BD154" s="3">
        <f t="shared" si="144"/>
        <v>0</v>
      </c>
      <c r="BE154" s="11">
        <f>+'Seat capacity elasticities'!Y184</f>
        <v>0</v>
      </c>
      <c r="BF154" s="11">
        <f>+'Seat capacity elasticities'!Z184</f>
        <v>0</v>
      </c>
      <c r="BG154" s="11">
        <f>+'Seat capacity elasticities'!AA184</f>
        <v>0</v>
      </c>
      <c r="BH154" s="11">
        <f>+'Seat capacity elasticities'!AB184</f>
        <v>0</v>
      </c>
      <c r="BI154" s="32">
        <f t="shared" si="164"/>
        <v>0</v>
      </c>
      <c r="BJ154" s="33">
        <f t="shared" si="165"/>
        <v>0</v>
      </c>
      <c r="BK154" s="40">
        <f t="shared" si="166"/>
        <v>0</v>
      </c>
      <c r="BL154" s="33">
        <f t="shared" si="167"/>
        <v>0</v>
      </c>
      <c r="BM154" s="40">
        <f t="shared" si="168"/>
        <v>0</v>
      </c>
      <c r="BN154" s="41">
        <f t="shared" si="169"/>
        <v>0</v>
      </c>
      <c r="BO154" s="40">
        <f t="shared" si="170"/>
        <v>0</v>
      </c>
      <c r="BP154" s="41">
        <f t="shared" si="171"/>
        <v>0</v>
      </c>
      <c r="BQ154" s="53"/>
      <c r="BR154" s="53"/>
      <c r="BS154" t="s">
        <v>429</v>
      </c>
      <c r="BT154">
        <v>454605</v>
      </c>
      <c r="BU154">
        <v>283164</v>
      </c>
      <c r="BV154" s="51">
        <v>36458.86</v>
      </c>
      <c r="BW154" s="32">
        <f t="shared" si="145"/>
        <v>10323836633.040001</v>
      </c>
      <c r="BX154">
        <v>14157</v>
      </c>
      <c r="BY154" s="37">
        <f t="shared" si="146"/>
        <v>3.1141320487016202E-2</v>
      </c>
      <c r="BZ154">
        <v>8.1709999999999994E-3</v>
      </c>
      <c r="CA154" s="3">
        <f t="shared" si="147"/>
        <v>8.1710000000000002E-5</v>
      </c>
      <c r="CB154" s="11">
        <f>+'Seat capacity elasticities'!AF184</f>
        <v>3.8158131461897067E-2</v>
      </c>
      <c r="CC154" s="11">
        <f>+'Seat capacity elasticities'!AG184</f>
        <v>3.0491514207476818E-2</v>
      </c>
      <c r="CD154" s="11">
        <f>+'Seat capacity elasticities'!AH184</f>
        <v>0.10469379029256957</v>
      </c>
      <c r="CE154" s="11">
        <f>+'Seat capacity elasticities'!AI184</f>
        <v>3.6108372087801495E-2</v>
      </c>
      <c r="CF154" s="32">
        <f t="shared" si="172"/>
        <v>3939383.1543468912</v>
      </c>
      <c r="CG154" s="33">
        <f t="shared" si="173"/>
        <v>3.8158131461897066E-4</v>
      </c>
      <c r="CH154" s="40">
        <f t="shared" si="174"/>
        <v>3147894.1137200883</v>
      </c>
      <c r="CI154" s="33">
        <f t="shared" si="175"/>
        <v>3.0491514207476819E-4</v>
      </c>
      <c r="CJ154" s="40">
        <f t="shared" si="176"/>
        <v>14821499.891719075</v>
      </c>
      <c r="CK154" s="41">
        <f t="shared" si="177"/>
        <v>1.0469379029256958E-3</v>
      </c>
      <c r="CL154" s="40">
        <f t="shared" si="178"/>
        <v>5111862.2364700586</v>
      </c>
      <c r="CM154" s="41">
        <f t="shared" si="179"/>
        <v>3.6108372087801499E-4</v>
      </c>
      <c r="CO154" s="70">
        <f t="shared" si="180"/>
        <v>0</v>
      </c>
      <c r="CP154" s="70">
        <f t="shared" si="181"/>
        <v>0</v>
      </c>
      <c r="CQ154" s="70">
        <f t="shared" si="182"/>
        <v>0</v>
      </c>
      <c r="CR154" s="70">
        <f t="shared" si="183"/>
        <v>0</v>
      </c>
      <c r="CS154" s="70">
        <f t="shared" si="184"/>
        <v>0</v>
      </c>
      <c r="CT154" s="70">
        <f t="shared" si="185"/>
        <v>0</v>
      </c>
      <c r="CU154" s="69">
        <f t="shared" si="186"/>
        <v>0</v>
      </c>
      <c r="CV154" s="69">
        <f t="shared" si="187"/>
        <v>0</v>
      </c>
      <c r="CW154" s="70">
        <f t="shared" si="188"/>
        <v>0</v>
      </c>
      <c r="CX154" s="69">
        <f t="shared" si="189"/>
        <v>0</v>
      </c>
      <c r="CY154" s="69">
        <f t="shared" si="190"/>
        <v>0</v>
      </c>
      <c r="CZ154" s="70">
        <f t="shared" si="191"/>
        <v>0</v>
      </c>
      <c r="DB154" s="70">
        <f t="shared" si="192"/>
        <v>3.5236701371258512</v>
      </c>
      <c r="DC154" s="70">
        <f t="shared" si="193"/>
        <v>13.912019728309005</v>
      </c>
      <c r="DD154" s="70">
        <f t="shared" si="194"/>
        <v>17.435689865434856</v>
      </c>
      <c r="DE154" s="70">
        <f t="shared" si="195"/>
        <v>6.6783295934461426</v>
      </c>
      <c r="DF154" s="70">
        <f t="shared" si="196"/>
        <v>11.116858476784083</v>
      </c>
      <c r="DG154" s="70">
        <f t="shared" si="197"/>
        <v>17.795188070230225</v>
      </c>
      <c r="DH154" s="69">
        <f t="shared" si="198"/>
        <v>13.257424959599566</v>
      </c>
      <c r="DI154" s="69">
        <f t="shared" si="199"/>
        <v>52.342458404737449</v>
      </c>
      <c r="DJ154" s="70">
        <f t="shared" si="200"/>
        <v>65.599883364337018</v>
      </c>
      <c r="DK154" s="69">
        <f t="shared" si="201"/>
        <v>10.84493303082983</v>
      </c>
      <c r="DL154" s="69">
        <f t="shared" si="202"/>
        <v>18.052655833616061</v>
      </c>
      <c r="DM154" s="70">
        <f t="shared" si="203"/>
        <v>28.897588864445893</v>
      </c>
    </row>
    <row r="155" spans="1:117">
      <c r="A155" t="s">
        <v>430</v>
      </c>
      <c r="B155">
        <v>235937</v>
      </c>
      <c r="C155">
        <v>115282</v>
      </c>
      <c r="D155" s="51">
        <v>24407.41</v>
      </c>
      <c r="E155" s="32">
        <f t="shared" si="136"/>
        <v>2813735039.6199999</v>
      </c>
      <c r="F155">
        <v>4781</v>
      </c>
      <c r="G155" s="37">
        <f t="shared" si="137"/>
        <v>2.0263884002932987E-2</v>
      </c>
      <c r="H155">
        <v>0</v>
      </c>
      <c r="I155" s="3">
        <f t="shared" si="138"/>
        <v>0</v>
      </c>
      <c r="J155" s="11">
        <f>+'Seat capacity elasticities'!K185</f>
        <v>0</v>
      </c>
      <c r="K155" s="11">
        <f>+'Seat capacity elasticities'!L185</f>
        <v>0</v>
      </c>
      <c r="L155" s="11">
        <f>+'Seat capacity elasticities'!M185</f>
        <v>0</v>
      </c>
      <c r="M155" s="11">
        <f>+'Seat capacity elasticities'!N185</f>
        <v>0</v>
      </c>
      <c r="N155" s="32">
        <f t="shared" si="148"/>
        <v>0</v>
      </c>
      <c r="O155" s="33">
        <f t="shared" si="149"/>
        <v>0</v>
      </c>
      <c r="P155" s="40">
        <f t="shared" si="150"/>
        <v>0</v>
      </c>
      <c r="Q155" s="33">
        <f t="shared" si="151"/>
        <v>0</v>
      </c>
      <c r="R155" s="40">
        <f t="shared" si="152"/>
        <v>0</v>
      </c>
      <c r="S155" s="41">
        <f t="shared" si="153"/>
        <v>0</v>
      </c>
      <c r="T155" s="40">
        <f t="shared" si="154"/>
        <v>0</v>
      </c>
      <c r="U155" s="41">
        <f t="shared" si="155"/>
        <v>0</v>
      </c>
      <c r="V155" s="53"/>
      <c r="W155" s="53"/>
      <c r="X155" t="s">
        <v>430</v>
      </c>
      <c r="Y155">
        <v>235937</v>
      </c>
      <c r="Z155">
        <v>115282</v>
      </c>
      <c r="AA155" s="51">
        <v>24407.41</v>
      </c>
      <c r="AB155" s="32">
        <f t="shared" si="139"/>
        <v>2813735039.6199999</v>
      </c>
      <c r="AC155">
        <v>4781</v>
      </c>
      <c r="AD155" s="37">
        <f t="shared" si="140"/>
        <v>2.0263884002932987E-2</v>
      </c>
      <c r="AE155">
        <v>7.9836000000000004E-3</v>
      </c>
      <c r="AF155" s="3">
        <f t="shared" si="141"/>
        <v>7.9835999999999999E-5</v>
      </c>
      <c r="AG155" s="11">
        <f>+'Seat capacity elasticities'!R185</f>
        <v>2.0323926891354056E-2</v>
      </c>
      <c r="AH155" s="11">
        <f>+'Seat capacity elasticities'!S185</f>
        <v>3.851946326743181E-2</v>
      </c>
      <c r="AI155" s="11">
        <f>+'Seat capacity elasticities'!T185</f>
        <v>5.5762398691079726E-2</v>
      </c>
      <c r="AJ155" s="11">
        <f>+'Seat capacity elasticities'!U185</f>
        <v>4.561515386932715E-2</v>
      </c>
      <c r="AK155" s="32">
        <f t="shared" si="156"/>
        <v>571861.45236878085</v>
      </c>
      <c r="AL155" s="33">
        <f t="shared" si="157"/>
        <v>2.0323926891354055E-4</v>
      </c>
      <c r="AM155" s="40">
        <f t="shared" si="158"/>
        <v>1083835.6350292838</v>
      </c>
      <c r="AN155" s="33">
        <f t="shared" si="159"/>
        <v>3.8519463267431815E-4</v>
      </c>
      <c r="AO155" s="40">
        <f t="shared" si="160"/>
        <v>2666000.2814205219</v>
      </c>
      <c r="AP155" s="41">
        <f t="shared" si="161"/>
        <v>5.5762398691079726E-4</v>
      </c>
      <c r="AQ155" s="40">
        <f t="shared" si="162"/>
        <v>2180860.5064925309</v>
      </c>
      <c r="AR155" s="41">
        <f t="shared" si="163"/>
        <v>4.5615153869327143E-4</v>
      </c>
      <c r="AV155" t="s">
        <v>430</v>
      </c>
      <c r="AW155">
        <v>235937</v>
      </c>
      <c r="AX155">
        <v>115282</v>
      </c>
      <c r="AY155" s="51">
        <v>24407.41</v>
      </c>
      <c r="AZ155" s="32">
        <f t="shared" si="142"/>
        <v>2813735039.6199999</v>
      </c>
      <c r="BA155">
        <v>4781</v>
      </c>
      <c r="BB155" s="37">
        <f t="shared" si="143"/>
        <v>2.0263884002932987E-2</v>
      </c>
      <c r="BC155">
        <v>0</v>
      </c>
      <c r="BD155" s="3">
        <f t="shared" si="144"/>
        <v>0</v>
      </c>
      <c r="BE155" s="11">
        <f>+'Seat capacity elasticities'!Y185</f>
        <v>0</v>
      </c>
      <c r="BF155" s="11">
        <f>+'Seat capacity elasticities'!Z185</f>
        <v>0</v>
      </c>
      <c r="BG155" s="11">
        <f>+'Seat capacity elasticities'!AA185</f>
        <v>0</v>
      </c>
      <c r="BH155" s="11">
        <f>+'Seat capacity elasticities'!AB185</f>
        <v>0</v>
      </c>
      <c r="BI155" s="32">
        <f t="shared" si="164"/>
        <v>0</v>
      </c>
      <c r="BJ155" s="33">
        <f t="shared" si="165"/>
        <v>0</v>
      </c>
      <c r="BK155" s="40">
        <f t="shared" si="166"/>
        <v>0</v>
      </c>
      <c r="BL155" s="33">
        <f t="shared" si="167"/>
        <v>0</v>
      </c>
      <c r="BM155" s="40">
        <f t="shared" si="168"/>
        <v>0</v>
      </c>
      <c r="BN155" s="41">
        <f t="shared" si="169"/>
        <v>0</v>
      </c>
      <c r="BO155" s="40">
        <f t="shared" si="170"/>
        <v>0</v>
      </c>
      <c r="BP155" s="41">
        <f t="shared" si="171"/>
        <v>0</v>
      </c>
      <c r="BQ155" s="53"/>
      <c r="BR155" s="53"/>
      <c r="BS155" t="s">
        <v>430</v>
      </c>
      <c r="BT155">
        <v>235937</v>
      </c>
      <c r="BU155">
        <v>115282</v>
      </c>
      <c r="BV155" s="51">
        <v>24407.41</v>
      </c>
      <c r="BW155" s="32">
        <f t="shared" si="145"/>
        <v>2813735039.6199999</v>
      </c>
      <c r="BX155">
        <v>4781</v>
      </c>
      <c r="BY155" s="37">
        <f t="shared" si="146"/>
        <v>2.0263884002932987E-2</v>
      </c>
      <c r="BZ155">
        <v>7.9836000000000004E-3</v>
      </c>
      <c r="CA155" s="3">
        <f t="shared" si="147"/>
        <v>7.9835999999999999E-5</v>
      </c>
      <c r="CB155" s="11">
        <f>+'Seat capacity elasticities'!AF185</f>
        <v>7.1837103646135839E-2</v>
      </c>
      <c r="CC155" s="11">
        <f>+'Seat capacity elasticities'!AG185</f>
        <v>5.7403808376659884E-2</v>
      </c>
      <c r="CD155" s="11">
        <f>+'Seat capacity elasticities'!AH185</f>
        <v>0.19709819050925359</v>
      </c>
      <c r="CE155" s="11">
        <f>+'Seat capacity elasticities'!AI185</f>
        <v>6.7978194130255118E-2</v>
      </c>
      <c r="CF155" s="32">
        <f t="shared" si="172"/>
        <v>2021305.7567394609</v>
      </c>
      <c r="CG155" s="33">
        <f t="shared" si="173"/>
        <v>7.1837103646135844E-4</v>
      </c>
      <c r="CH155" s="40">
        <f t="shared" si="174"/>
        <v>1615191.0703703999</v>
      </c>
      <c r="CI155" s="33">
        <f t="shared" si="175"/>
        <v>5.7403808376659882E-4</v>
      </c>
      <c r="CJ155" s="40">
        <f t="shared" si="176"/>
        <v>9423264.4882474132</v>
      </c>
      <c r="CK155" s="41">
        <f t="shared" si="177"/>
        <v>1.9709819050925358E-3</v>
      </c>
      <c r="CL155" s="40">
        <f t="shared" si="178"/>
        <v>3250037.4613674972</v>
      </c>
      <c r="CM155" s="41">
        <f t="shared" si="179"/>
        <v>6.7978194130255117E-4</v>
      </c>
      <c r="CO155" s="70">
        <f t="shared" si="180"/>
        <v>0</v>
      </c>
      <c r="CP155" s="70">
        <f t="shared" si="181"/>
        <v>0</v>
      </c>
      <c r="CQ155" s="70">
        <f t="shared" si="182"/>
        <v>0</v>
      </c>
      <c r="CR155" s="70">
        <f t="shared" si="183"/>
        <v>0</v>
      </c>
      <c r="CS155" s="70">
        <f t="shared" si="184"/>
        <v>0</v>
      </c>
      <c r="CT155" s="70">
        <f t="shared" si="185"/>
        <v>0</v>
      </c>
      <c r="CU155" s="69">
        <f t="shared" si="186"/>
        <v>0</v>
      </c>
      <c r="CV155" s="69">
        <f t="shared" si="187"/>
        <v>0</v>
      </c>
      <c r="CW155" s="70">
        <f t="shared" si="188"/>
        <v>0</v>
      </c>
      <c r="CX155" s="69">
        <f t="shared" si="189"/>
        <v>0</v>
      </c>
      <c r="CY155" s="69">
        <f t="shared" si="190"/>
        <v>0</v>
      </c>
      <c r="CZ155" s="70">
        <f t="shared" si="191"/>
        <v>0</v>
      </c>
      <c r="DB155" s="70">
        <f t="shared" si="192"/>
        <v>4.9605441644730384</v>
      </c>
      <c r="DC155" s="70">
        <f t="shared" si="193"/>
        <v>17.533576419037324</v>
      </c>
      <c r="DD155" s="70">
        <f t="shared" si="194"/>
        <v>22.494120583510362</v>
      </c>
      <c r="DE155" s="70">
        <f t="shared" si="195"/>
        <v>9.4016033294814783</v>
      </c>
      <c r="DF155" s="70">
        <f t="shared" si="196"/>
        <v>14.010782866105723</v>
      </c>
      <c r="DG155" s="70">
        <f t="shared" si="197"/>
        <v>23.412386195587203</v>
      </c>
      <c r="DH155" s="69">
        <f t="shared" si="198"/>
        <v>23.125902408186203</v>
      </c>
      <c r="DI155" s="69">
        <f t="shared" si="199"/>
        <v>81.740987216108437</v>
      </c>
      <c r="DJ155" s="70">
        <f t="shared" si="200"/>
        <v>104.86688962429464</v>
      </c>
      <c r="DK155" s="69">
        <f t="shared" si="201"/>
        <v>18.917615121983751</v>
      </c>
      <c r="DL155" s="69">
        <f t="shared" si="202"/>
        <v>28.192063473634196</v>
      </c>
      <c r="DM155" s="70">
        <f t="shared" si="203"/>
        <v>47.10967859561795</v>
      </c>
    </row>
    <row r="156" spans="1:117">
      <c r="A156" t="s">
        <v>431</v>
      </c>
      <c r="B156">
        <v>201428</v>
      </c>
      <c r="C156">
        <v>91977</v>
      </c>
      <c r="D156" s="51">
        <v>26746.09</v>
      </c>
      <c r="E156" s="32">
        <f t="shared" si="136"/>
        <v>2460025119.9299998</v>
      </c>
      <c r="F156">
        <v>3628</v>
      </c>
      <c r="G156" s="37">
        <f t="shared" si="137"/>
        <v>1.8011398613896779E-2</v>
      </c>
      <c r="H156">
        <v>0</v>
      </c>
      <c r="I156" s="3">
        <f t="shared" si="138"/>
        <v>0</v>
      </c>
      <c r="J156" s="11">
        <f>+'Seat capacity elasticities'!K186</f>
        <v>0</v>
      </c>
      <c r="K156" s="11">
        <f>+'Seat capacity elasticities'!L186</f>
        <v>0</v>
      </c>
      <c r="L156" s="11">
        <f>+'Seat capacity elasticities'!M186</f>
        <v>0</v>
      </c>
      <c r="M156" s="11">
        <f>+'Seat capacity elasticities'!N186</f>
        <v>0</v>
      </c>
      <c r="N156" s="32">
        <f t="shared" si="148"/>
        <v>0</v>
      </c>
      <c r="O156" s="33">
        <f t="shared" si="149"/>
        <v>0</v>
      </c>
      <c r="P156" s="40">
        <f t="shared" si="150"/>
        <v>0</v>
      </c>
      <c r="Q156" s="33">
        <f t="shared" si="151"/>
        <v>0</v>
      </c>
      <c r="R156" s="40">
        <f t="shared" si="152"/>
        <v>0</v>
      </c>
      <c r="S156" s="41">
        <f t="shared" si="153"/>
        <v>0</v>
      </c>
      <c r="T156" s="40">
        <f t="shared" si="154"/>
        <v>0</v>
      </c>
      <c r="U156" s="41">
        <f t="shared" si="155"/>
        <v>0</v>
      </c>
      <c r="V156" s="53"/>
      <c r="W156" s="53"/>
      <c r="X156" t="s">
        <v>431</v>
      </c>
      <c r="Y156">
        <v>201428</v>
      </c>
      <c r="Z156">
        <v>91977</v>
      </c>
      <c r="AA156" s="51">
        <v>26746.09</v>
      </c>
      <c r="AB156" s="32">
        <f t="shared" si="139"/>
        <v>2460025119.9299998</v>
      </c>
      <c r="AC156">
        <v>3628</v>
      </c>
      <c r="AD156" s="37">
        <f t="shared" si="140"/>
        <v>1.8011398613896779E-2</v>
      </c>
      <c r="AE156">
        <v>2.7396E-3</v>
      </c>
      <c r="AF156" s="3">
        <f t="shared" si="141"/>
        <v>2.7396E-5</v>
      </c>
      <c r="AG156" s="11">
        <f>+'Seat capacity elasticities'!R186</f>
        <v>7.9076991450665584E-3</v>
      </c>
      <c r="AH156" s="11">
        <f>+'Seat capacity elasticities'!S186</f>
        <v>1.4987277231245722E-2</v>
      </c>
      <c r="AI156" s="11">
        <f>+'Seat capacity elasticities'!T186</f>
        <v>2.1696214260832437E-2</v>
      </c>
      <c r="AJ156" s="11">
        <f>+'Seat capacity elasticities'!U186</f>
        <v>1.7748091458054144E-2</v>
      </c>
      <c r="AK156" s="32">
        <f t="shared" si="156"/>
        <v>194531.38537712718</v>
      </c>
      <c r="AL156" s="33">
        <f t="shared" si="157"/>
        <v>7.9076991450665585E-5</v>
      </c>
      <c r="AM156" s="40">
        <f t="shared" si="158"/>
        <v>368690.78468219412</v>
      </c>
      <c r="AN156" s="33">
        <f t="shared" si="159"/>
        <v>1.4987277231245721E-4</v>
      </c>
      <c r="AO156" s="40">
        <f t="shared" si="160"/>
        <v>787138.65338300099</v>
      </c>
      <c r="AP156" s="41">
        <f t="shared" si="161"/>
        <v>2.1696214260832441E-4</v>
      </c>
      <c r="AQ156" s="40">
        <f t="shared" si="162"/>
        <v>643900.7580982045</v>
      </c>
      <c r="AR156" s="41">
        <f t="shared" si="163"/>
        <v>1.7748091458054147E-4</v>
      </c>
      <c r="AV156" t="s">
        <v>431</v>
      </c>
      <c r="AW156">
        <v>201428</v>
      </c>
      <c r="AX156">
        <v>91977</v>
      </c>
      <c r="AY156" s="51">
        <v>26746.09</v>
      </c>
      <c r="AZ156" s="32">
        <f t="shared" si="142"/>
        <v>2460025119.9299998</v>
      </c>
      <c r="BA156">
        <v>3628</v>
      </c>
      <c r="BB156" s="37">
        <f t="shared" si="143"/>
        <v>1.8011398613896779E-2</v>
      </c>
      <c r="BC156">
        <v>0</v>
      </c>
      <c r="BD156" s="3">
        <f t="shared" si="144"/>
        <v>0</v>
      </c>
      <c r="BE156" s="11">
        <f>+'Seat capacity elasticities'!Y186</f>
        <v>0</v>
      </c>
      <c r="BF156" s="11">
        <f>+'Seat capacity elasticities'!Z186</f>
        <v>0</v>
      </c>
      <c r="BG156" s="11">
        <f>+'Seat capacity elasticities'!AA186</f>
        <v>0</v>
      </c>
      <c r="BH156" s="11">
        <f>+'Seat capacity elasticities'!AB186</f>
        <v>0</v>
      </c>
      <c r="BI156" s="32">
        <f t="shared" si="164"/>
        <v>0</v>
      </c>
      <c r="BJ156" s="33">
        <f t="shared" si="165"/>
        <v>0</v>
      </c>
      <c r="BK156" s="40">
        <f t="shared" si="166"/>
        <v>0</v>
      </c>
      <c r="BL156" s="33">
        <f t="shared" si="167"/>
        <v>0</v>
      </c>
      <c r="BM156" s="40">
        <f t="shared" si="168"/>
        <v>0</v>
      </c>
      <c r="BN156" s="41">
        <f t="shared" si="169"/>
        <v>0</v>
      </c>
      <c r="BO156" s="40">
        <f t="shared" si="170"/>
        <v>0</v>
      </c>
      <c r="BP156" s="41">
        <f t="shared" si="171"/>
        <v>0</v>
      </c>
      <c r="BQ156" s="53"/>
      <c r="BR156" s="53"/>
      <c r="BS156" t="s">
        <v>431</v>
      </c>
      <c r="BT156">
        <v>201428</v>
      </c>
      <c r="BU156">
        <v>91977</v>
      </c>
      <c r="BV156" s="51">
        <v>26746.09</v>
      </c>
      <c r="BW156" s="32">
        <f t="shared" si="145"/>
        <v>2460025119.9299998</v>
      </c>
      <c r="BX156">
        <v>3628</v>
      </c>
      <c r="BY156" s="37">
        <f t="shared" si="146"/>
        <v>1.8011398613896779E-2</v>
      </c>
      <c r="BZ156">
        <v>2.7396E-3</v>
      </c>
      <c r="CA156" s="3">
        <f t="shared" si="147"/>
        <v>2.7396E-5</v>
      </c>
      <c r="CB156" s="11">
        <f>+'Seat capacity elasticities'!AF186</f>
        <v>2.8874429643526579E-2</v>
      </c>
      <c r="CC156" s="11">
        <f>+'Seat capacity elasticities'!AG186</f>
        <v>2.3073065896518856E-2</v>
      </c>
      <c r="CD156" s="11">
        <f>+'Seat capacity elasticities'!AH186</f>
        <v>7.9222261837834651E-2</v>
      </c>
      <c r="CE156" s="11">
        <f>+'Seat capacity elasticities'!AI186</f>
        <v>2.7323367509035489E-2</v>
      </c>
      <c r="CF156" s="32">
        <f t="shared" si="172"/>
        <v>710318.22246726812</v>
      </c>
      <c r="CG156" s="33">
        <f t="shared" si="173"/>
        <v>2.8874429643526578E-4</v>
      </c>
      <c r="CH156" s="40">
        <f t="shared" si="174"/>
        <v>567603.21699236589</v>
      </c>
      <c r="CI156" s="33">
        <f t="shared" si="175"/>
        <v>2.3073065896518858E-4</v>
      </c>
      <c r="CJ156" s="40">
        <f t="shared" si="176"/>
        <v>2874183.6594766411</v>
      </c>
      <c r="CK156" s="41">
        <f t="shared" si="177"/>
        <v>7.9222261837834655E-4</v>
      </c>
      <c r="CL156" s="40">
        <f t="shared" si="178"/>
        <v>991291.77322780748</v>
      </c>
      <c r="CM156" s="41">
        <f t="shared" si="179"/>
        <v>2.7323367509035488E-4</v>
      </c>
      <c r="CO156" s="70">
        <f t="shared" si="180"/>
        <v>0</v>
      </c>
      <c r="CP156" s="70">
        <f t="shared" si="181"/>
        <v>0</v>
      </c>
      <c r="CQ156" s="70">
        <f t="shared" si="182"/>
        <v>0</v>
      </c>
      <c r="CR156" s="70">
        <f t="shared" si="183"/>
        <v>0</v>
      </c>
      <c r="CS156" s="70">
        <f t="shared" si="184"/>
        <v>0</v>
      </c>
      <c r="CT156" s="70">
        <f t="shared" si="185"/>
        <v>0</v>
      </c>
      <c r="CU156" s="69">
        <f t="shared" si="186"/>
        <v>0</v>
      </c>
      <c r="CV156" s="69">
        <f t="shared" si="187"/>
        <v>0</v>
      </c>
      <c r="CW156" s="70">
        <f t="shared" si="188"/>
        <v>0</v>
      </c>
      <c r="CX156" s="69">
        <f t="shared" si="189"/>
        <v>0</v>
      </c>
      <c r="CY156" s="69">
        <f t="shared" si="190"/>
        <v>0</v>
      </c>
      <c r="CZ156" s="70">
        <f t="shared" si="191"/>
        <v>0</v>
      </c>
      <c r="DB156" s="70">
        <f t="shared" si="192"/>
        <v>2.1150003302687321</v>
      </c>
      <c r="DC156" s="70">
        <f t="shared" si="193"/>
        <v>7.7227809394442968</v>
      </c>
      <c r="DD156" s="70">
        <f t="shared" si="194"/>
        <v>9.8377812697130285</v>
      </c>
      <c r="DE156" s="70">
        <f t="shared" si="195"/>
        <v>4.0085106568184887</v>
      </c>
      <c r="DF156" s="70">
        <f t="shared" si="196"/>
        <v>6.17114297044224</v>
      </c>
      <c r="DG156" s="70">
        <f t="shared" si="197"/>
        <v>10.179653627260729</v>
      </c>
      <c r="DH156" s="69">
        <f t="shared" si="198"/>
        <v>8.5579944266827681</v>
      </c>
      <c r="DI156" s="69">
        <f t="shared" si="199"/>
        <v>31.248938968183797</v>
      </c>
      <c r="DJ156" s="70">
        <f t="shared" si="200"/>
        <v>39.806933394866562</v>
      </c>
      <c r="DK156" s="69">
        <f t="shared" si="201"/>
        <v>7.0006714515390209</v>
      </c>
      <c r="DL156" s="69">
        <f t="shared" si="202"/>
        <v>10.777604979808077</v>
      </c>
      <c r="DM156" s="70">
        <f t="shared" si="203"/>
        <v>17.778276431347098</v>
      </c>
    </row>
    <row r="157" spans="1:117">
      <c r="A157" t="s">
        <v>432</v>
      </c>
      <c r="B157">
        <v>1879093</v>
      </c>
      <c r="C157">
        <v>1165516</v>
      </c>
      <c r="D157" s="51">
        <v>37940.36</v>
      </c>
      <c r="E157" s="32">
        <f t="shared" si="136"/>
        <v>44220096625.760002</v>
      </c>
      <c r="F157">
        <v>88139</v>
      </c>
      <c r="G157" s="37">
        <f t="shared" si="137"/>
        <v>4.6905076012735934E-2</v>
      </c>
      <c r="H157">
        <v>0</v>
      </c>
      <c r="I157" s="3">
        <f t="shared" si="138"/>
        <v>0</v>
      </c>
      <c r="J157" s="11">
        <f>+'Seat capacity elasticities'!K187</f>
        <v>0</v>
      </c>
      <c r="K157" s="11">
        <f>+'Seat capacity elasticities'!L187</f>
        <v>0</v>
      </c>
      <c r="L157" s="11">
        <f>+'Seat capacity elasticities'!M187</f>
        <v>0</v>
      </c>
      <c r="M157" s="11">
        <f>+'Seat capacity elasticities'!N187</f>
        <v>0</v>
      </c>
      <c r="N157" s="32">
        <f t="shared" si="148"/>
        <v>0</v>
      </c>
      <c r="O157" s="33">
        <f t="shared" si="149"/>
        <v>0</v>
      </c>
      <c r="P157" s="40">
        <f t="shared" si="150"/>
        <v>0</v>
      </c>
      <c r="Q157" s="33">
        <f t="shared" si="151"/>
        <v>0</v>
      </c>
      <c r="R157" s="40">
        <f t="shared" si="152"/>
        <v>0</v>
      </c>
      <c r="S157" s="41">
        <f t="shared" si="153"/>
        <v>0</v>
      </c>
      <c r="T157" s="40">
        <f t="shared" si="154"/>
        <v>0</v>
      </c>
      <c r="U157" s="41">
        <f t="shared" si="155"/>
        <v>0</v>
      </c>
      <c r="V157" s="53"/>
      <c r="W157" s="53"/>
      <c r="X157" t="s">
        <v>432</v>
      </c>
      <c r="Y157">
        <v>1879093</v>
      </c>
      <c r="Z157">
        <v>1165516</v>
      </c>
      <c r="AA157" s="51">
        <v>37940.36</v>
      </c>
      <c r="AB157" s="32">
        <f t="shared" si="139"/>
        <v>44220096625.760002</v>
      </c>
      <c r="AC157">
        <v>88139</v>
      </c>
      <c r="AD157" s="37">
        <f t="shared" si="140"/>
        <v>4.6905076012735934E-2</v>
      </c>
      <c r="AE157">
        <v>1.04844E-2</v>
      </c>
      <c r="AF157" s="3">
        <f t="shared" si="141"/>
        <v>1.04844E-4</v>
      </c>
      <c r="AG157" s="11">
        <f>+'Seat capacity elasticities'!R187</f>
        <v>9.6754803935874874E-3</v>
      </c>
      <c r="AH157" s="11">
        <f>+'Seat capacity elasticities'!S187</f>
        <v>1.8337711683764066E-2</v>
      </c>
      <c r="AI157" s="11">
        <f>+'Seat capacity elasticities'!T187</f>
        <v>2.6546444401178669E-2</v>
      </c>
      <c r="AJ157" s="11">
        <f>+'Seat capacity elasticities'!U187</f>
        <v>2.1715711204457446E-2</v>
      </c>
      <c r="AK157" s="32">
        <f t="shared" si="156"/>
        <v>4278506.7790508512</v>
      </c>
      <c r="AL157" s="33">
        <f t="shared" si="157"/>
        <v>9.6754803935874878E-5</v>
      </c>
      <c r="AM157" s="40">
        <f t="shared" si="158"/>
        <v>8108953.8255137512</v>
      </c>
      <c r="AN157" s="33">
        <f t="shared" si="159"/>
        <v>1.8337711683764067E-4</v>
      </c>
      <c r="AO157" s="40">
        <f t="shared" si="160"/>
        <v>23397770.630754866</v>
      </c>
      <c r="AP157" s="41">
        <f t="shared" si="161"/>
        <v>2.6546444401178668E-4</v>
      </c>
      <c r="AQ157" s="40">
        <f t="shared" si="162"/>
        <v>19140010.698496748</v>
      </c>
      <c r="AR157" s="41">
        <f t="shared" si="163"/>
        <v>2.1715711204457446E-4</v>
      </c>
      <c r="AV157" t="s">
        <v>432</v>
      </c>
      <c r="AW157">
        <v>1879093</v>
      </c>
      <c r="AX157">
        <v>1165516</v>
      </c>
      <c r="AY157" s="51">
        <v>37940.36</v>
      </c>
      <c r="AZ157" s="32">
        <f t="shared" si="142"/>
        <v>44220096625.760002</v>
      </c>
      <c r="BA157">
        <v>88139</v>
      </c>
      <c r="BB157" s="37">
        <f t="shared" si="143"/>
        <v>4.6905076012735934E-2</v>
      </c>
      <c r="BC157">
        <v>0</v>
      </c>
      <c r="BD157" s="3">
        <f t="shared" si="144"/>
        <v>0</v>
      </c>
      <c r="BE157" s="11">
        <f>+'Seat capacity elasticities'!Y187</f>
        <v>0</v>
      </c>
      <c r="BF157" s="11">
        <f>+'Seat capacity elasticities'!Z187</f>
        <v>0</v>
      </c>
      <c r="BG157" s="11">
        <f>+'Seat capacity elasticities'!AA187</f>
        <v>0</v>
      </c>
      <c r="BH157" s="11">
        <f>+'Seat capacity elasticities'!AB187</f>
        <v>0</v>
      </c>
      <c r="BI157" s="32">
        <f t="shared" si="164"/>
        <v>0</v>
      </c>
      <c r="BJ157" s="33">
        <f t="shared" si="165"/>
        <v>0</v>
      </c>
      <c r="BK157" s="40">
        <f t="shared" si="166"/>
        <v>0</v>
      </c>
      <c r="BL157" s="33">
        <f t="shared" si="167"/>
        <v>0</v>
      </c>
      <c r="BM157" s="40">
        <f t="shared" si="168"/>
        <v>0</v>
      </c>
      <c r="BN157" s="41">
        <f t="shared" si="169"/>
        <v>0</v>
      </c>
      <c r="BO157" s="40">
        <f t="shared" si="170"/>
        <v>0</v>
      </c>
      <c r="BP157" s="41">
        <f t="shared" si="171"/>
        <v>0</v>
      </c>
      <c r="BQ157" s="53"/>
      <c r="BR157" s="53"/>
      <c r="BS157" t="s">
        <v>432</v>
      </c>
      <c r="BT157">
        <v>1879093</v>
      </c>
      <c r="BU157">
        <v>1165516</v>
      </c>
      <c r="BV157" s="51">
        <v>37940.36</v>
      </c>
      <c r="BW157" s="32">
        <f t="shared" si="145"/>
        <v>44220096625.760002</v>
      </c>
      <c r="BX157">
        <v>88139</v>
      </c>
      <c r="BY157" s="37">
        <f t="shared" si="146"/>
        <v>4.6905076012735934E-2</v>
      </c>
      <c r="BZ157">
        <v>1.04844E-2</v>
      </c>
      <c r="CA157" s="3">
        <f t="shared" si="147"/>
        <v>1.04844E-4</v>
      </c>
      <c r="CB157" s="11">
        <f>+'Seat capacity elasticities'!AF187</f>
        <v>1.1845172903107725E-2</v>
      </c>
      <c r="CC157" s="11">
        <f>+'Seat capacity elasticities'!AG187</f>
        <v>9.4652763127508859E-3</v>
      </c>
      <c r="CD157" s="11">
        <f>+'Seat capacity elasticities'!AH187</f>
        <v>3.2499391358707115E-2</v>
      </c>
      <c r="CE157" s="11">
        <f>+'Seat capacity elasticities'!AI187</f>
        <v>1.1208879844047103E-2</v>
      </c>
      <c r="CF157" s="32">
        <f t="shared" si="172"/>
        <v>5237946.9032425769</v>
      </c>
      <c r="CG157" s="33">
        <f t="shared" si="173"/>
        <v>1.1845172903107724E-4</v>
      </c>
      <c r="CH157" s="40">
        <f t="shared" si="174"/>
        <v>4185554.3313936149</v>
      </c>
      <c r="CI157" s="33">
        <f t="shared" si="175"/>
        <v>9.4652763127508845E-5</v>
      </c>
      <c r="CJ157" s="40">
        <f t="shared" si="176"/>
        <v>28644638.549650867</v>
      </c>
      <c r="CK157" s="41">
        <f t="shared" si="177"/>
        <v>3.2499391358707116E-4</v>
      </c>
      <c r="CL157" s="40">
        <f t="shared" si="178"/>
        <v>9879394.6057446767</v>
      </c>
      <c r="CM157" s="41">
        <f t="shared" si="179"/>
        <v>1.1208879844047104E-4</v>
      </c>
      <c r="CO157" s="70">
        <f t="shared" si="180"/>
        <v>0</v>
      </c>
      <c r="CP157" s="70">
        <f t="shared" si="181"/>
        <v>0</v>
      </c>
      <c r="CQ157" s="70">
        <f t="shared" si="182"/>
        <v>0</v>
      </c>
      <c r="CR157" s="70">
        <f t="shared" si="183"/>
        <v>0</v>
      </c>
      <c r="CS157" s="70">
        <f t="shared" si="184"/>
        <v>0</v>
      </c>
      <c r="CT157" s="70">
        <f t="shared" si="185"/>
        <v>0</v>
      </c>
      <c r="CU157" s="69">
        <f t="shared" si="186"/>
        <v>0</v>
      </c>
      <c r="CV157" s="69">
        <f t="shared" si="187"/>
        <v>0</v>
      </c>
      <c r="CW157" s="70">
        <f t="shared" si="188"/>
        <v>0</v>
      </c>
      <c r="CX157" s="69">
        <f t="shared" si="189"/>
        <v>0</v>
      </c>
      <c r="CY157" s="69">
        <f t="shared" si="190"/>
        <v>0</v>
      </c>
      <c r="CZ157" s="70">
        <f t="shared" si="191"/>
        <v>0</v>
      </c>
      <c r="DB157" s="70">
        <f t="shared" si="192"/>
        <v>3.67091209305651</v>
      </c>
      <c r="DC157" s="70">
        <f t="shared" si="193"/>
        <v>4.4941012420615216</v>
      </c>
      <c r="DD157" s="70">
        <f t="shared" si="194"/>
        <v>8.1650133351180312</v>
      </c>
      <c r="DE157" s="70">
        <f t="shared" si="195"/>
        <v>6.9573938285821484</v>
      </c>
      <c r="DF157" s="70">
        <f t="shared" si="196"/>
        <v>3.5911599080524117</v>
      </c>
      <c r="DG157" s="70">
        <f t="shared" si="197"/>
        <v>10.54855373663456</v>
      </c>
      <c r="DH157" s="69">
        <f t="shared" si="198"/>
        <v>20.075031686184374</v>
      </c>
      <c r="DI157" s="69">
        <f t="shared" si="199"/>
        <v>24.576787062254716</v>
      </c>
      <c r="DJ157" s="70">
        <f t="shared" si="200"/>
        <v>44.651818748439091</v>
      </c>
      <c r="DK157" s="69">
        <f t="shared" si="201"/>
        <v>16.4219201611104</v>
      </c>
      <c r="DL157" s="69">
        <f t="shared" si="202"/>
        <v>8.4764126839482916</v>
      </c>
      <c r="DM157" s="70">
        <f t="shared" si="203"/>
        <v>24.89833284505869</v>
      </c>
    </row>
    <row r="158" spans="1:117">
      <c r="A158" t="s">
        <v>433</v>
      </c>
      <c r="B158">
        <v>114752</v>
      </c>
      <c r="C158">
        <v>65768</v>
      </c>
      <c r="D158" s="51">
        <v>27093.68</v>
      </c>
      <c r="E158" s="32">
        <f t="shared" si="136"/>
        <v>1781897146.24</v>
      </c>
      <c r="F158">
        <v>2522</v>
      </c>
      <c r="G158" s="37">
        <f t="shared" si="137"/>
        <v>2.1977830451756834E-2</v>
      </c>
      <c r="H158">
        <v>0</v>
      </c>
      <c r="I158" s="3">
        <f t="shared" si="138"/>
        <v>0</v>
      </c>
      <c r="J158" s="11">
        <f>+'Seat capacity elasticities'!K188</f>
        <v>0</v>
      </c>
      <c r="K158" s="11">
        <f>+'Seat capacity elasticities'!L188</f>
        <v>0</v>
      </c>
      <c r="L158" s="11">
        <f>+'Seat capacity elasticities'!M188</f>
        <v>0</v>
      </c>
      <c r="M158" s="11">
        <f>+'Seat capacity elasticities'!N188</f>
        <v>0</v>
      </c>
      <c r="N158" s="32">
        <f t="shared" si="148"/>
        <v>0</v>
      </c>
      <c r="O158" s="33">
        <f t="shared" si="149"/>
        <v>0</v>
      </c>
      <c r="P158" s="40">
        <f t="shared" si="150"/>
        <v>0</v>
      </c>
      <c r="Q158" s="33">
        <f t="shared" si="151"/>
        <v>0</v>
      </c>
      <c r="R158" s="40">
        <f t="shared" si="152"/>
        <v>0</v>
      </c>
      <c r="S158" s="41">
        <f t="shared" si="153"/>
        <v>0</v>
      </c>
      <c r="T158" s="40">
        <f t="shared" si="154"/>
        <v>0</v>
      </c>
      <c r="U158" s="41">
        <f t="shared" si="155"/>
        <v>0</v>
      </c>
      <c r="V158" s="53"/>
      <c r="W158" s="53"/>
      <c r="X158" t="s">
        <v>433</v>
      </c>
      <c r="Y158">
        <v>114752</v>
      </c>
      <c r="Z158">
        <v>65768</v>
      </c>
      <c r="AA158" s="51">
        <v>27093.68</v>
      </c>
      <c r="AB158" s="32">
        <f t="shared" si="139"/>
        <v>1781897146.24</v>
      </c>
      <c r="AC158">
        <v>2522</v>
      </c>
      <c r="AD158" s="37">
        <f t="shared" si="140"/>
        <v>2.1977830451756834E-2</v>
      </c>
      <c r="AE158">
        <v>4.0119999999999999E-3</v>
      </c>
      <c r="AF158" s="3">
        <f t="shared" si="141"/>
        <v>4.0120000000000002E-5</v>
      </c>
      <c r="AG158" s="11">
        <f>+'Seat capacity elasticities'!R188</f>
        <v>8.4466353502115812E-3</v>
      </c>
      <c r="AH158" s="11">
        <f>+'Seat capacity elasticities'!S188</f>
        <v>1.6008710415322171E-2</v>
      </c>
      <c r="AI158" s="11">
        <f>+'Seat capacity elasticities'!T188</f>
        <v>2.3174883993360294E-2</v>
      </c>
      <c r="AJ158" s="11">
        <f>+'Seat capacity elasticities'!U188</f>
        <v>1.895768338656573E-2</v>
      </c>
      <c r="AK158" s="32">
        <f t="shared" si="156"/>
        <v>150510.35425871919</v>
      </c>
      <c r="AL158" s="33">
        <f t="shared" si="157"/>
        <v>8.4466353502115805E-5</v>
      </c>
      <c r="AM158" s="40">
        <f t="shared" si="158"/>
        <v>285258.75404045143</v>
      </c>
      <c r="AN158" s="33">
        <f t="shared" si="159"/>
        <v>1.6008710415322172E-4</v>
      </c>
      <c r="AO158" s="40">
        <f t="shared" si="160"/>
        <v>584470.57431254664</v>
      </c>
      <c r="AP158" s="41">
        <f t="shared" si="161"/>
        <v>2.3174883993360294E-4</v>
      </c>
      <c r="AQ158" s="40">
        <f t="shared" si="162"/>
        <v>478112.77500918781</v>
      </c>
      <c r="AR158" s="41">
        <f t="shared" si="163"/>
        <v>1.8957683386565733E-4</v>
      </c>
      <c r="AV158" t="s">
        <v>433</v>
      </c>
      <c r="AW158">
        <v>114752</v>
      </c>
      <c r="AX158">
        <v>65768</v>
      </c>
      <c r="AY158" s="51">
        <v>27093.68</v>
      </c>
      <c r="AZ158" s="32">
        <f t="shared" si="142"/>
        <v>1781897146.24</v>
      </c>
      <c r="BA158">
        <v>2522</v>
      </c>
      <c r="BB158" s="37">
        <f t="shared" si="143"/>
        <v>2.1977830451756834E-2</v>
      </c>
      <c r="BC158">
        <v>0</v>
      </c>
      <c r="BD158" s="3">
        <f t="shared" si="144"/>
        <v>0</v>
      </c>
      <c r="BE158" s="11">
        <f>+'Seat capacity elasticities'!Y188</f>
        <v>0</v>
      </c>
      <c r="BF158" s="11">
        <f>+'Seat capacity elasticities'!Z188</f>
        <v>0</v>
      </c>
      <c r="BG158" s="11">
        <f>+'Seat capacity elasticities'!AA188</f>
        <v>0</v>
      </c>
      <c r="BH158" s="11">
        <f>+'Seat capacity elasticities'!AB188</f>
        <v>0</v>
      </c>
      <c r="BI158" s="32">
        <f t="shared" si="164"/>
        <v>0</v>
      </c>
      <c r="BJ158" s="33">
        <f t="shared" si="165"/>
        <v>0</v>
      </c>
      <c r="BK158" s="40">
        <f t="shared" si="166"/>
        <v>0</v>
      </c>
      <c r="BL158" s="33">
        <f t="shared" si="167"/>
        <v>0</v>
      </c>
      <c r="BM158" s="40">
        <f t="shared" si="168"/>
        <v>0</v>
      </c>
      <c r="BN158" s="41">
        <f t="shared" si="169"/>
        <v>0</v>
      </c>
      <c r="BO158" s="40">
        <f t="shared" si="170"/>
        <v>0</v>
      </c>
      <c r="BP158" s="41">
        <f t="shared" si="171"/>
        <v>0</v>
      </c>
      <c r="BQ158" s="53"/>
      <c r="BR158" s="53"/>
      <c r="BS158" t="s">
        <v>433</v>
      </c>
      <c r="BT158">
        <v>114752</v>
      </c>
      <c r="BU158">
        <v>65768</v>
      </c>
      <c r="BV158" s="51">
        <v>27093.68</v>
      </c>
      <c r="BW158" s="32">
        <f t="shared" si="145"/>
        <v>1781897146.24</v>
      </c>
      <c r="BX158">
        <v>2522</v>
      </c>
      <c r="BY158" s="37">
        <f t="shared" si="146"/>
        <v>2.1977830451756834E-2</v>
      </c>
      <c r="BZ158">
        <v>4.0119999999999999E-3</v>
      </c>
      <c r="CA158" s="3">
        <f t="shared" si="147"/>
        <v>4.0120000000000002E-5</v>
      </c>
      <c r="CB158" s="11">
        <f>+'Seat capacity elasticities'!AF188</f>
        <v>7.4224410700430829E-2</v>
      </c>
      <c r="CC158" s="11">
        <f>+'Seat capacity elasticities'!AG188</f>
        <v>5.9311464862311779E-2</v>
      </c>
      <c r="CD158" s="11">
        <f>+'Seat capacity elasticities'!AH188</f>
        <v>0.20364820264378136</v>
      </c>
      <c r="CE158" s="11">
        <f>+'Seat capacity elasticities'!AI188</f>
        <v>7.0237261021158681E-2</v>
      </c>
      <c r="CF158" s="32">
        <f t="shared" si="172"/>
        <v>1322602.6560844341</v>
      </c>
      <c r="CG158" s="33">
        <f t="shared" si="173"/>
        <v>7.4224410700430828E-4</v>
      </c>
      <c r="CH158" s="40">
        <f t="shared" si="174"/>
        <v>1056869.299774674</v>
      </c>
      <c r="CI158" s="33">
        <f t="shared" si="175"/>
        <v>5.9311464862311784E-4</v>
      </c>
      <c r="CJ158" s="40">
        <f t="shared" si="176"/>
        <v>5136007.6706761671</v>
      </c>
      <c r="CK158" s="41">
        <f t="shared" si="177"/>
        <v>2.0364820264378142E-3</v>
      </c>
      <c r="CL158" s="40">
        <f t="shared" si="178"/>
        <v>1771383.7229536222</v>
      </c>
      <c r="CM158" s="41">
        <f t="shared" si="179"/>
        <v>7.0237261021158692E-4</v>
      </c>
      <c r="CO158" s="70">
        <f t="shared" si="180"/>
        <v>0</v>
      </c>
      <c r="CP158" s="70">
        <f t="shared" si="181"/>
        <v>0</v>
      </c>
      <c r="CQ158" s="70">
        <f t="shared" si="182"/>
        <v>0</v>
      </c>
      <c r="CR158" s="70">
        <f t="shared" si="183"/>
        <v>0</v>
      </c>
      <c r="CS158" s="70">
        <f t="shared" si="184"/>
        <v>0</v>
      </c>
      <c r="CT158" s="70">
        <f t="shared" si="185"/>
        <v>0</v>
      </c>
      <c r="CU158" s="69">
        <f t="shared" si="186"/>
        <v>0</v>
      </c>
      <c r="CV158" s="69">
        <f t="shared" si="187"/>
        <v>0</v>
      </c>
      <c r="CW158" s="70">
        <f t="shared" si="188"/>
        <v>0</v>
      </c>
      <c r="CX158" s="69">
        <f t="shared" si="189"/>
        <v>0</v>
      </c>
      <c r="CY158" s="69">
        <f t="shared" si="190"/>
        <v>0</v>
      </c>
      <c r="CZ158" s="70">
        <f t="shared" si="191"/>
        <v>0</v>
      </c>
      <c r="DB158" s="70">
        <f t="shared" si="192"/>
        <v>2.2885043525532049</v>
      </c>
      <c r="DC158" s="70">
        <f t="shared" si="193"/>
        <v>20.110124317060489</v>
      </c>
      <c r="DD158" s="70">
        <f t="shared" si="194"/>
        <v>22.398628669613693</v>
      </c>
      <c r="DE158" s="70">
        <f t="shared" si="195"/>
        <v>4.3373487720540602</v>
      </c>
      <c r="DF158" s="70">
        <f t="shared" si="196"/>
        <v>16.069658493107195</v>
      </c>
      <c r="DG158" s="70">
        <f t="shared" si="197"/>
        <v>20.407007265161255</v>
      </c>
      <c r="DH158" s="69">
        <f t="shared" si="198"/>
        <v>8.88685339849998</v>
      </c>
      <c r="DI158" s="69">
        <f t="shared" si="199"/>
        <v>78.092806086184268</v>
      </c>
      <c r="DJ158" s="70">
        <f t="shared" si="200"/>
        <v>86.979659484684248</v>
      </c>
      <c r="DK158" s="69">
        <f t="shared" si="201"/>
        <v>7.2696870059784064</v>
      </c>
      <c r="DL158" s="69">
        <f t="shared" si="202"/>
        <v>26.93382378897978</v>
      </c>
      <c r="DM158" s="70">
        <f t="shared" si="203"/>
        <v>34.203510794958184</v>
      </c>
    </row>
    <row r="159" spans="1:117">
      <c r="A159" t="s">
        <v>434</v>
      </c>
      <c r="B159">
        <v>112249</v>
      </c>
      <c r="C159">
        <v>67037</v>
      </c>
      <c r="D159" s="51">
        <v>28377.43</v>
      </c>
      <c r="E159" s="32">
        <f t="shared" si="136"/>
        <v>1902337774.9100001</v>
      </c>
      <c r="F159">
        <v>2054</v>
      </c>
      <c r="G159" s="37">
        <f t="shared" si="137"/>
        <v>1.8298603996472131E-2</v>
      </c>
      <c r="H159">
        <v>0</v>
      </c>
      <c r="I159" s="3">
        <f t="shared" si="138"/>
        <v>0</v>
      </c>
      <c r="J159" s="11">
        <f>+'Seat capacity elasticities'!K189</f>
        <v>0</v>
      </c>
      <c r="K159" s="11">
        <f>+'Seat capacity elasticities'!L189</f>
        <v>0</v>
      </c>
      <c r="L159" s="11">
        <f>+'Seat capacity elasticities'!M189</f>
        <v>0</v>
      </c>
      <c r="M159" s="11">
        <f>+'Seat capacity elasticities'!N189</f>
        <v>0</v>
      </c>
      <c r="N159" s="32">
        <f t="shared" si="148"/>
        <v>0</v>
      </c>
      <c r="O159" s="33">
        <f t="shared" si="149"/>
        <v>0</v>
      </c>
      <c r="P159" s="40">
        <f t="shared" si="150"/>
        <v>0</v>
      </c>
      <c r="Q159" s="33">
        <f t="shared" si="151"/>
        <v>0</v>
      </c>
      <c r="R159" s="40">
        <f t="shared" si="152"/>
        <v>0</v>
      </c>
      <c r="S159" s="41">
        <f t="shared" si="153"/>
        <v>0</v>
      </c>
      <c r="T159" s="40">
        <f t="shared" si="154"/>
        <v>0</v>
      </c>
      <c r="U159" s="41">
        <f t="shared" si="155"/>
        <v>0</v>
      </c>
      <c r="V159" s="53"/>
      <c r="W159" s="53"/>
      <c r="X159" t="s">
        <v>434</v>
      </c>
      <c r="Y159">
        <v>112249</v>
      </c>
      <c r="Z159">
        <v>67037</v>
      </c>
      <c r="AA159" s="51">
        <v>28377.43</v>
      </c>
      <c r="AB159" s="32">
        <f t="shared" si="139"/>
        <v>1902337774.9100001</v>
      </c>
      <c r="AC159">
        <v>2054</v>
      </c>
      <c r="AD159" s="37">
        <f t="shared" si="140"/>
        <v>1.8298603996472131E-2</v>
      </c>
      <c r="AE159">
        <v>2.5676000000000002E-3</v>
      </c>
      <c r="AF159" s="3">
        <f t="shared" si="141"/>
        <v>2.5676000000000003E-5</v>
      </c>
      <c r="AG159" s="11">
        <f>+'Seat capacity elasticities'!R189</f>
        <v>2.15210250471396E-2</v>
      </c>
      <c r="AH159" s="11">
        <f>+'Seat capacity elasticities'!S189</f>
        <v>4.078829540237261E-2</v>
      </c>
      <c r="AI159" s="11">
        <f>+'Seat capacity elasticities'!T189</f>
        <v>5.9046855725003955E-2</v>
      </c>
      <c r="AJ159" s="11">
        <f>+'Seat capacity elasticities'!U189</f>
        <v>4.8301928765967568E-2</v>
      </c>
      <c r="AK159" s="32">
        <f t="shared" si="156"/>
        <v>409402.58901957923</v>
      </c>
      <c r="AL159" s="33">
        <f t="shared" si="157"/>
        <v>2.1521025047139598E-4</v>
      </c>
      <c r="AM159" s="40">
        <f t="shared" si="158"/>
        <v>775931.15118121298</v>
      </c>
      <c r="AN159" s="33">
        <f t="shared" si="159"/>
        <v>4.078829540237261E-4</v>
      </c>
      <c r="AO159" s="40">
        <f t="shared" si="160"/>
        <v>1212822.4165915812</v>
      </c>
      <c r="AP159" s="41">
        <f t="shared" si="161"/>
        <v>5.9046855725003954E-4</v>
      </c>
      <c r="AQ159" s="40">
        <f t="shared" si="162"/>
        <v>992121.61685297405</v>
      </c>
      <c r="AR159" s="41">
        <f t="shared" si="163"/>
        <v>4.8301928765967582E-4</v>
      </c>
      <c r="AV159" t="s">
        <v>434</v>
      </c>
      <c r="AW159">
        <v>112249</v>
      </c>
      <c r="AX159">
        <v>67037</v>
      </c>
      <c r="AY159" s="51">
        <v>28377.43</v>
      </c>
      <c r="AZ159" s="32">
        <f t="shared" si="142"/>
        <v>1902337774.9100001</v>
      </c>
      <c r="BA159">
        <v>2054</v>
      </c>
      <c r="BB159" s="37">
        <f t="shared" si="143"/>
        <v>1.8298603996472131E-2</v>
      </c>
      <c r="BC159">
        <v>0</v>
      </c>
      <c r="BD159" s="3">
        <f t="shared" si="144"/>
        <v>0</v>
      </c>
      <c r="BE159" s="11">
        <f>+'Seat capacity elasticities'!Y189</f>
        <v>0</v>
      </c>
      <c r="BF159" s="11">
        <f>+'Seat capacity elasticities'!Z189</f>
        <v>0</v>
      </c>
      <c r="BG159" s="11">
        <f>+'Seat capacity elasticities'!AA189</f>
        <v>0</v>
      </c>
      <c r="BH159" s="11">
        <f>+'Seat capacity elasticities'!AB189</f>
        <v>0</v>
      </c>
      <c r="BI159" s="32">
        <f t="shared" si="164"/>
        <v>0</v>
      </c>
      <c r="BJ159" s="33">
        <f t="shared" si="165"/>
        <v>0</v>
      </c>
      <c r="BK159" s="40">
        <f t="shared" si="166"/>
        <v>0</v>
      </c>
      <c r="BL159" s="33">
        <f t="shared" si="167"/>
        <v>0</v>
      </c>
      <c r="BM159" s="40">
        <f t="shared" si="168"/>
        <v>0</v>
      </c>
      <c r="BN159" s="41">
        <f t="shared" si="169"/>
        <v>0</v>
      </c>
      <c r="BO159" s="40">
        <f t="shared" si="170"/>
        <v>0</v>
      </c>
      <c r="BP159" s="41">
        <f t="shared" si="171"/>
        <v>0</v>
      </c>
      <c r="BQ159" s="53"/>
      <c r="BR159" s="53"/>
      <c r="BS159" t="s">
        <v>434</v>
      </c>
      <c r="BT159">
        <v>112249</v>
      </c>
      <c r="BU159">
        <v>67037</v>
      </c>
      <c r="BV159" s="51">
        <v>28377.43</v>
      </c>
      <c r="BW159" s="32">
        <f t="shared" si="145"/>
        <v>1902337774.9100001</v>
      </c>
      <c r="BX159">
        <v>2054</v>
      </c>
      <c r="BY159" s="37">
        <f t="shared" si="146"/>
        <v>1.8298603996472131E-2</v>
      </c>
      <c r="BZ159">
        <v>2.5676000000000002E-3</v>
      </c>
      <c r="CA159" s="3">
        <f t="shared" si="147"/>
        <v>2.5676000000000003E-5</v>
      </c>
      <c r="CB159" s="11">
        <f>+'Seat capacity elasticities'!AF189</f>
        <v>4.8561375964233371E-2</v>
      </c>
      <c r="CC159" s="11">
        <f>+'Seat capacity elasticities'!AG189</f>
        <v>3.8804570046272135E-2</v>
      </c>
      <c r="CD159" s="11">
        <f>+'Seat capacity elasticities'!AH189</f>
        <v>0.13323698820511684</v>
      </c>
      <c r="CE159" s="11">
        <f>+'Seat capacity elasticities'!AI189</f>
        <v>4.5952780317953842E-2</v>
      </c>
      <c r="CF159" s="32">
        <f t="shared" si="172"/>
        <v>923801.39898367669</v>
      </c>
      <c r="CG159" s="33">
        <f t="shared" si="173"/>
        <v>4.8561375964233371E-4</v>
      </c>
      <c r="CH159" s="40">
        <f t="shared" si="174"/>
        <v>738193.99438164569</v>
      </c>
      <c r="CI159" s="33">
        <f t="shared" si="175"/>
        <v>3.8804570046272136E-4</v>
      </c>
      <c r="CJ159" s="40">
        <f t="shared" si="176"/>
        <v>2736687.7377331001</v>
      </c>
      <c r="CK159" s="41">
        <f t="shared" si="177"/>
        <v>1.3323698820511686E-3</v>
      </c>
      <c r="CL159" s="40">
        <f t="shared" si="178"/>
        <v>943870.107730772</v>
      </c>
      <c r="CM159" s="41">
        <f t="shared" si="179"/>
        <v>4.5952780317953844E-4</v>
      </c>
      <c r="CO159" s="70">
        <f t="shared" si="180"/>
        <v>0</v>
      </c>
      <c r="CP159" s="70">
        <f t="shared" si="181"/>
        <v>0</v>
      </c>
      <c r="CQ159" s="70">
        <f t="shared" si="182"/>
        <v>0</v>
      </c>
      <c r="CR159" s="70">
        <f t="shared" si="183"/>
        <v>0</v>
      </c>
      <c r="CS159" s="70">
        <f t="shared" si="184"/>
        <v>0</v>
      </c>
      <c r="CT159" s="70">
        <f t="shared" si="185"/>
        <v>0</v>
      </c>
      <c r="CU159" s="69">
        <f t="shared" si="186"/>
        <v>0</v>
      </c>
      <c r="CV159" s="69">
        <f t="shared" si="187"/>
        <v>0</v>
      </c>
      <c r="CW159" s="70">
        <f t="shared" si="188"/>
        <v>0</v>
      </c>
      <c r="CX159" s="69">
        <f t="shared" si="189"/>
        <v>0</v>
      </c>
      <c r="CY159" s="69">
        <f t="shared" si="190"/>
        <v>0</v>
      </c>
      <c r="CZ159" s="70">
        <f t="shared" si="191"/>
        <v>0</v>
      </c>
      <c r="DB159" s="70">
        <f t="shared" si="192"/>
        <v>6.1071138180345068</v>
      </c>
      <c r="DC159" s="70">
        <f t="shared" si="193"/>
        <v>13.780470471287151</v>
      </c>
      <c r="DD159" s="70">
        <f t="shared" si="194"/>
        <v>19.887584289321659</v>
      </c>
      <c r="DE159" s="70">
        <f t="shared" si="195"/>
        <v>11.574669976001505</v>
      </c>
      <c r="DF159" s="70">
        <f t="shared" si="196"/>
        <v>11.011739701681842</v>
      </c>
      <c r="DG159" s="70">
        <f t="shared" si="197"/>
        <v>22.586409677683349</v>
      </c>
      <c r="DH159" s="69">
        <f t="shared" si="198"/>
        <v>18.091836099341872</v>
      </c>
      <c r="DI159" s="69">
        <f t="shared" si="199"/>
        <v>40.823541294107734</v>
      </c>
      <c r="DJ159" s="70">
        <f t="shared" si="200"/>
        <v>58.915377393449603</v>
      </c>
      <c r="DK159" s="69">
        <f t="shared" si="201"/>
        <v>14.799612405879948</v>
      </c>
      <c r="DL159" s="69">
        <f t="shared" si="202"/>
        <v>14.079838115231469</v>
      </c>
      <c r="DM159" s="70">
        <f t="shared" si="203"/>
        <v>28.879450521111416</v>
      </c>
    </row>
    <row r="160" spans="1:117">
      <c r="A160" t="s">
        <v>435</v>
      </c>
      <c r="B160">
        <v>129302</v>
      </c>
      <c r="C160">
        <v>64007</v>
      </c>
      <c r="D160" s="51">
        <v>31198.04</v>
      </c>
      <c r="E160" s="32">
        <f t="shared" si="136"/>
        <v>1996892946.28</v>
      </c>
      <c r="F160">
        <v>3058</v>
      </c>
      <c r="G160" s="37">
        <f t="shared" si="137"/>
        <v>2.365005955050966E-2</v>
      </c>
      <c r="H160">
        <v>0</v>
      </c>
      <c r="I160" s="3">
        <f t="shared" si="138"/>
        <v>0</v>
      </c>
      <c r="J160" s="11">
        <f>+'Seat capacity elasticities'!K190</f>
        <v>0</v>
      </c>
      <c r="K160" s="11">
        <f>+'Seat capacity elasticities'!L190</f>
        <v>0</v>
      </c>
      <c r="L160" s="11">
        <f>+'Seat capacity elasticities'!M190</f>
        <v>0</v>
      </c>
      <c r="M160" s="11">
        <f>+'Seat capacity elasticities'!N190</f>
        <v>0</v>
      </c>
      <c r="N160" s="32">
        <f t="shared" si="148"/>
        <v>0</v>
      </c>
      <c r="O160" s="33">
        <f t="shared" si="149"/>
        <v>0</v>
      </c>
      <c r="P160" s="40">
        <f t="shared" si="150"/>
        <v>0</v>
      </c>
      <c r="Q160" s="33">
        <f t="shared" si="151"/>
        <v>0</v>
      </c>
      <c r="R160" s="40">
        <f t="shared" si="152"/>
        <v>0</v>
      </c>
      <c r="S160" s="41">
        <f t="shared" si="153"/>
        <v>0</v>
      </c>
      <c r="T160" s="40">
        <f t="shared" si="154"/>
        <v>0</v>
      </c>
      <c r="U160" s="41">
        <f t="shared" si="155"/>
        <v>0</v>
      </c>
      <c r="V160" s="53"/>
      <c r="W160" s="53"/>
      <c r="X160" t="s">
        <v>435</v>
      </c>
      <c r="Y160">
        <v>129302</v>
      </c>
      <c r="Z160">
        <v>64007</v>
      </c>
      <c r="AA160" s="51">
        <v>31198.04</v>
      </c>
      <c r="AB160" s="32">
        <f t="shared" si="139"/>
        <v>1996892946.28</v>
      </c>
      <c r="AC160">
        <v>3058</v>
      </c>
      <c r="AD160" s="37">
        <f t="shared" si="140"/>
        <v>2.365005955050966E-2</v>
      </c>
      <c r="AE160">
        <v>2.6678000000000001E-3</v>
      </c>
      <c r="AF160" s="3">
        <f t="shared" si="141"/>
        <v>2.6678000000000001E-5</v>
      </c>
      <c r="AG160" s="11">
        <f>+'Seat capacity elasticities'!R190</f>
        <v>4.6740241288092156E-3</v>
      </c>
      <c r="AH160" s="11">
        <f>+'Seat capacity elasticities'!S190</f>
        <v>8.8585686074942153E-3</v>
      </c>
      <c r="AI160" s="11">
        <f>+'Seat capacity elasticities'!T190</f>
        <v>1.282403732092059E-2</v>
      </c>
      <c r="AJ160" s="11">
        <f>+'Seat capacity elasticities'!U190</f>
        <v>1.0490410193085256E-2</v>
      </c>
      <c r="AK160" s="32">
        <f t="shared" si="156"/>
        <v>93335.258135616445</v>
      </c>
      <c r="AL160" s="33">
        <f t="shared" si="157"/>
        <v>4.6740241288092157E-5</v>
      </c>
      <c r="AM160" s="40">
        <f t="shared" si="158"/>
        <v>176896.13166442642</v>
      </c>
      <c r="AN160" s="33">
        <f t="shared" si="159"/>
        <v>8.8585686074942158E-5</v>
      </c>
      <c r="AO160" s="40">
        <f t="shared" si="160"/>
        <v>392159.06127375166</v>
      </c>
      <c r="AP160" s="41">
        <f t="shared" si="161"/>
        <v>1.282403732092059E-4</v>
      </c>
      <c r="AQ160" s="40">
        <f t="shared" si="162"/>
        <v>320796.74370454717</v>
      </c>
      <c r="AR160" s="41">
        <f t="shared" si="163"/>
        <v>1.0490410193085258E-4</v>
      </c>
      <c r="AV160" t="s">
        <v>435</v>
      </c>
      <c r="AW160">
        <v>129302</v>
      </c>
      <c r="AX160">
        <v>64007</v>
      </c>
      <c r="AY160" s="51">
        <v>31198.04</v>
      </c>
      <c r="AZ160" s="32">
        <f t="shared" si="142"/>
        <v>1996892946.28</v>
      </c>
      <c r="BA160">
        <v>3058</v>
      </c>
      <c r="BB160" s="37">
        <f t="shared" si="143"/>
        <v>2.365005955050966E-2</v>
      </c>
      <c r="BC160">
        <v>0</v>
      </c>
      <c r="BD160" s="3">
        <f t="shared" si="144"/>
        <v>0</v>
      </c>
      <c r="BE160" s="11">
        <f>+'Seat capacity elasticities'!Y190</f>
        <v>0</v>
      </c>
      <c r="BF160" s="11">
        <f>+'Seat capacity elasticities'!Z190</f>
        <v>0</v>
      </c>
      <c r="BG160" s="11">
        <f>+'Seat capacity elasticities'!AA190</f>
        <v>0</v>
      </c>
      <c r="BH160" s="11">
        <f>+'Seat capacity elasticities'!AB190</f>
        <v>0</v>
      </c>
      <c r="BI160" s="32">
        <f t="shared" si="164"/>
        <v>0</v>
      </c>
      <c r="BJ160" s="33">
        <f t="shared" si="165"/>
        <v>0</v>
      </c>
      <c r="BK160" s="40">
        <f t="shared" si="166"/>
        <v>0</v>
      </c>
      <c r="BL160" s="33">
        <f t="shared" si="167"/>
        <v>0</v>
      </c>
      <c r="BM160" s="40">
        <f t="shared" si="168"/>
        <v>0</v>
      </c>
      <c r="BN160" s="41">
        <f t="shared" si="169"/>
        <v>0</v>
      </c>
      <c r="BO160" s="40">
        <f t="shared" si="170"/>
        <v>0</v>
      </c>
      <c r="BP160" s="41">
        <f t="shared" si="171"/>
        <v>0</v>
      </c>
      <c r="BQ160" s="53"/>
      <c r="BR160" s="53"/>
      <c r="BS160" t="s">
        <v>435</v>
      </c>
      <c r="BT160">
        <v>129302</v>
      </c>
      <c r="BU160">
        <v>64007</v>
      </c>
      <c r="BV160" s="51">
        <v>31198.04</v>
      </c>
      <c r="BW160" s="32">
        <f t="shared" si="145"/>
        <v>1996892946.28</v>
      </c>
      <c r="BX160">
        <v>3058</v>
      </c>
      <c r="BY160" s="37">
        <f t="shared" si="146"/>
        <v>2.365005955050966E-2</v>
      </c>
      <c r="BZ160">
        <v>2.6678000000000001E-3</v>
      </c>
      <c r="CA160" s="3">
        <f t="shared" si="147"/>
        <v>2.6678000000000001E-5</v>
      </c>
      <c r="CB160" s="11">
        <f>+'Seat capacity elasticities'!AF190</f>
        <v>4.3802018390523695E-2</v>
      </c>
      <c r="CC160" s="11">
        <f>+'Seat capacity elasticities'!AG190</f>
        <v>3.5001448312647912E-2</v>
      </c>
      <c r="CD160" s="11">
        <f>+'Seat capacity elasticities'!AH190</f>
        <v>0.12017882302093144</v>
      </c>
      <c r="CE160" s="11">
        <f>+'Seat capacity elasticities'!AI190</f>
        <v>4.1449083528135686E-2</v>
      </c>
      <c r="CF160" s="32">
        <f t="shared" si="172"/>
        <v>874679.41556863603</v>
      </c>
      <c r="CG160" s="33">
        <f t="shared" si="173"/>
        <v>4.3802018390523697E-4</v>
      </c>
      <c r="CH160" s="40">
        <f t="shared" si="174"/>
        <v>698941.45245110628</v>
      </c>
      <c r="CI160" s="33">
        <f t="shared" si="175"/>
        <v>3.5001448312647914E-4</v>
      </c>
      <c r="CJ160" s="40">
        <f t="shared" si="176"/>
        <v>3675068.407980083</v>
      </c>
      <c r="CK160" s="41">
        <f t="shared" si="177"/>
        <v>1.2017882302093141E-3</v>
      </c>
      <c r="CL160" s="40">
        <f t="shared" si="178"/>
        <v>1267512.9742903893</v>
      </c>
      <c r="CM160" s="41">
        <f t="shared" si="179"/>
        <v>4.1449083528135683E-4</v>
      </c>
      <c r="CO160" s="70">
        <f t="shared" si="180"/>
        <v>0</v>
      </c>
      <c r="CP160" s="70">
        <f t="shared" si="181"/>
        <v>0</v>
      </c>
      <c r="CQ160" s="70">
        <f t="shared" si="182"/>
        <v>0</v>
      </c>
      <c r="CR160" s="70">
        <f t="shared" si="183"/>
        <v>0</v>
      </c>
      <c r="CS160" s="70">
        <f t="shared" si="184"/>
        <v>0</v>
      </c>
      <c r="CT160" s="70">
        <f t="shared" si="185"/>
        <v>0</v>
      </c>
      <c r="CU160" s="69">
        <f t="shared" si="186"/>
        <v>0</v>
      </c>
      <c r="CV160" s="69">
        <f t="shared" si="187"/>
        <v>0</v>
      </c>
      <c r="CW160" s="70">
        <f t="shared" si="188"/>
        <v>0</v>
      </c>
      <c r="CX160" s="69">
        <f t="shared" si="189"/>
        <v>0</v>
      </c>
      <c r="CY160" s="69">
        <f t="shared" si="190"/>
        <v>0</v>
      </c>
      <c r="CZ160" s="70">
        <f t="shared" si="191"/>
        <v>0</v>
      </c>
      <c r="DB160" s="70">
        <f t="shared" si="192"/>
        <v>1.4582039173155505</v>
      </c>
      <c r="DC160" s="70">
        <f t="shared" si="193"/>
        <v>13.665371218282939</v>
      </c>
      <c r="DD160" s="70">
        <f t="shared" si="194"/>
        <v>15.12357513559849</v>
      </c>
      <c r="DE160" s="70">
        <f t="shared" si="195"/>
        <v>2.7636997775934886</v>
      </c>
      <c r="DF160" s="70">
        <f t="shared" si="196"/>
        <v>10.919765845159221</v>
      </c>
      <c r="DG160" s="70">
        <f t="shared" si="197"/>
        <v>13.68346562275271</v>
      </c>
      <c r="DH160" s="69">
        <f t="shared" si="198"/>
        <v>6.1268152119885588</v>
      </c>
      <c r="DI160" s="69">
        <f t="shared" si="199"/>
        <v>57.416663927071774</v>
      </c>
      <c r="DJ160" s="70">
        <f t="shared" si="200"/>
        <v>63.543479139060331</v>
      </c>
      <c r="DK160" s="69">
        <f t="shared" si="201"/>
        <v>5.0119009437178308</v>
      </c>
      <c r="DL160" s="69">
        <f t="shared" si="202"/>
        <v>19.802724300316985</v>
      </c>
      <c r="DM160" s="70">
        <f t="shared" si="203"/>
        <v>24.814625244034815</v>
      </c>
    </row>
    <row r="161" spans="1:117">
      <c r="A161" t="s">
        <v>990</v>
      </c>
      <c r="B161">
        <v>60260</v>
      </c>
      <c r="C161">
        <v>36040</v>
      </c>
      <c r="D161" s="51">
        <v>32105.39</v>
      </c>
      <c r="E161" s="32">
        <f t="shared" si="136"/>
        <v>1157078255.5999999</v>
      </c>
      <c r="F161">
        <v>1523</v>
      </c>
      <c r="G161" s="37">
        <f t="shared" si="137"/>
        <v>2.5273813474941918E-2</v>
      </c>
      <c r="H161">
        <v>0</v>
      </c>
      <c r="I161" s="3">
        <f t="shared" si="138"/>
        <v>0</v>
      </c>
      <c r="J161" s="11">
        <f>+'Seat capacity elasticities'!K191</f>
        <v>0</v>
      </c>
      <c r="K161" s="11">
        <f>+'Seat capacity elasticities'!L191</f>
        <v>0</v>
      </c>
      <c r="L161" s="11">
        <f>+'Seat capacity elasticities'!M191</f>
        <v>0</v>
      </c>
      <c r="M161" s="11">
        <f>+'Seat capacity elasticities'!N191</f>
        <v>0</v>
      </c>
      <c r="N161" s="32">
        <f t="shared" si="148"/>
        <v>0</v>
      </c>
      <c r="O161" s="33">
        <f t="shared" si="149"/>
        <v>0</v>
      </c>
      <c r="P161" s="40">
        <f t="shared" si="150"/>
        <v>0</v>
      </c>
      <c r="Q161" s="33">
        <f t="shared" si="151"/>
        <v>0</v>
      </c>
      <c r="R161" s="40">
        <f t="shared" si="152"/>
        <v>0</v>
      </c>
      <c r="S161" s="41">
        <f t="shared" si="153"/>
        <v>0</v>
      </c>
      <c r="T161" s="40">
        <f t="shared" si="154"/>
        <v>0</v>
      </c>
      <c r="U161" s="41">
        <f t="shared" si="155"/>
        <v>0</v>
      </c>
      <c r="V161" s="53"/>
      <c r="W161" s="53"/>
      <c r="X161" t="s">
        <v>990</v>
      </c>
      <c r="Y161">
        <v>60260</v>
      </c>
      <c r="Z161">
        <v>36040</v>
      </c>
      <c r="AA161" s="51">
        <v>32105.39</v>
      </c>
      <c r="AB161" s="32">
        <f t="shared" si="139"/>
        <v>1157078255.5999999</v>
      </c>
      <c r="AC161">
        <v>1523</v>
      </c>
      <c r="AD161" s="37">
        <f t="shared" si="140"/>
        <v>2.5273813474941918E-2</v>
      </c>
      <c r="AE161">
        <v>6.1729999999999999E-4</v>
      </c>
      <c r="AF161" s="3">
        <f t="shared" si="141"/>
        <v>6.173E-6</v>
      </c>
      <c r="AG161" s="11">
        <f>+'Seat capacity elasticities'!R191</f>
        <v>2.0204195862260042E-3</v>
      </c>
      <c r="AH161" s="11">
        <f>+'Seat capacity elasticities'!S191</f>
        <v>3.8292539848458051E-3</v>
      </c>
      <c r="AI161" s="11">
        <f>+'Seat capacity elasticities'!T191</f>
        <v>5.5433894784540187E-3</v>
      </c>
      <c r="AJ161" s="11">
        <f>+'Seat capacity elasticities'!U191</f>
        <v>4.5346428767910852E-3</v>
      </c>
      <c r="AK161" s="32">
        <f t="shared" si="156"/>
        <v>23377.835704104586</v>
      </c>
      <c r="AL161" s="33">
        <f t="shared" si="157"/>
        <v>2.0204195862260043E-5</v>
      </c>
      <c r="AM161" s="40">
        <f t="shared" si="158"/>
        <v>44307.465210347327</v>
      </c>
      <c r="AN161" s="33">
        <f t="shared" si="159"/>
        <v>3.8292539848458049E-5</v>
      </c>
      <c r="AO161" s="40">
        <f t="shared" si="160"/>
        <v>84425.821756854697</v>
      </c>
      <c r="AP161" s="41">
        <f t="shared" si="161"/>
        <v>5.5433894784540179E-5</v>
      </c>
      <c r="AQ161" s="40">
        <f t="shared" si="162"/>
        <v>69062.611013528236</v>
      </c>
      <c r="AR161" s="41">
        <f t="shared" si="163"/>
        <v>4.5346428767910861E-5</v>
      </c>
      <c r="AV161" t="s">
        <v>990</v>
      </c>
      <c r="AW161">
        <v>60260</v>
      </c>
      <c r="AX161">
        <v>36040</v>
      </c>
      <c r="AY161" s="51">
        <v>32105.39</v>
      </c>
      <c r="AZ161" s="32">
        <f t="shared" si="142"/>
        <v>1157078255.5999999</v>
      </c>
      <c r="BA161">
        <v>1523</v>
      </c>
      <c r="BB161" s="37">
        <f t="shared" si="143"/>
        <v>2.5273813474941918E-2</v>
      </c>
      <c r="BC161">
        <v>0</v>
      </c>
      <c r="BD161" s="3">
        <f t="shared" si="144"/>
        <v>0</v>
      </c>
      <c r="BE161" s="11">
        <f>+'Seat capacity elasticities'!Y191</f>
        <v>0</v>
      </c>
      <c r="BF161" s="11">
        <f>+'Seat capacity elasticities'!Z191</f>
        <v>0</v>
      </c>
      <c r="BG161" s="11">
        <f>+'Seat capacity elasticities'!AA191</f>
        <v>0</v>
      </c>
      <c r="BH161" s="11">
        <f>+'Seat capacity elasticities'!AB191</f>
        <v>0</v>
      </c>
      <c r="BI161" s="32">
        <f t="shared" si="164"/>
        <v>0</v>
      </c>
      <c r="BJ161" s="33">
        <f t="shared" si="165"/>
        <v>0</v>
      </c>
      <c r="BK161" s="40">
        <f t="shared" si="166"/>
        <v>0</v>
      </c>
      <c r="BL161" s="33">
        <f t="shared" si="167"/>
        <v>0</v>
      </c>
      <c r="BM161" s="40">
        <f t="shared" si="168"/>
        <v>0</v>
      </c>
      <c r="BN161" s="41">
        <f t="shared" si="169"/>
        <v>0</v>
      </c>
      <c r="BO161" s="40">
        <f t="shared" si="170"/>
        <v>0</v>
      </c>
      <c r="BP161" s="41">
        <f t="shared" si="171"/>
        <v>0</v>
      </c>
      <c r="BQ161" s="53"/>
      <c r="BR161" s="53"/>
      <c r="BS161" t="s">
        <v>990</v>
      </c>
      <c r="BT161">
        <v>60260</v>
      </c>
      <c r="BU161">
        <v>36040</v>
      </c>
      <c r="BV161" s="51">
        <v>32105.39</v>
      </c>
      <c r="BW161" s="32">
        <f t="shared" si="145"/>
        <v>1157078255.5999999</v>
      </c>
      <c r="BX161">
        <v>1523</v>
      </c>
      <c r="BY161" s="37">
        <f t="shared" si="146"/>
        <v>2.5273813474941918E-2</v>
      </c>
      <c r="BZ161">
        <v>6.1729999999999999E-4</v>
      </c>
      <c r="CA161" s="3">
        <f t="shared" si="147"/>
        <v>6.173E-6</v>
      </c>
      <c r="CB161" s="11">
        <f>+'Seat capacity elasticities'!AF191</f>
        <v>2.1747695672914635E-2</v>
      </c>
      <c r="CC161" s="11">
        <f>+'Seat capacity elasticities'!AG191</f>
        <v>1.737821392676734E-2</v>
      </c>
      <c r="CD161" s="11">
        <f>+'Seat capacity elasticities'!AH191</f>
        <v>5.966876791124593E-2</v>
      </c>
      <c r="CE161" s="11">
        <f>+'Seat capacity elasticities'!AI191</f>
        <v>2.0579463860645533E-2</v>
      </c>
      <c r="CF161" s="32">
        <f t="shared" si="172"/>
        <v>251637.85772535735</v>
      </c>
      <c r="CG161" s="33">
        <f t="shared" si="173"/>
        <v>2.1747695672914638E-4</v>
      </c>
      <c r="CH161" s="40">
        <f t="shared" si="174"/>
        <v>201079.5345582758</v>
      </c>
      <c r="CI161" s="33">
        <f t="shared" si="175"/>
        <v>1.7378213926767341E-4</v>
      </c>
      <c r="CJ161" s="40">
        <f t="shared" si="176"/>
        <v>908755.33528827562</v>
      </c>
      <c r="CK161" s="41">
        <f t="shared" si="177"/>
        <v>5.9668767911245934E-4</v>
      </c>
      <c r="CL161" s="40">
        <f t="shared" si="178"/>
        <v>313425.23459763144</v>
      </c>
      <c r="CM161" s="41">
        <f t="shared" si="179"/>
        <v>2.0579463860645532E-4</v>
      </c>
      <c r="CO161" s="70">
        <f t="shared" si="180"/>
        <v>0</v>
      </c>
      <c r="CP161" s="70">
        <f t="shared" si="181"/>
        <v>0</v>
      </c>
      <c r="CQ161" s="70">
        <f t="shared" si="182"/>
        <v>0</v>
      </c>
      <c r="CR161" s="70">
        <f t="shared" si="183"/>
        <v>0</v>
      </c>
      <c r="CS161" s="70">
        <f t="shared" si="184"/>
        <v>0</v>
      </c>
      <c r="CT161" s="70">
        <f t="shared" si="185"/>
        <v>0</v>
      </c>
      <c r="CU161" s="69">
        <f t="shared" si="186"/>
        <v>0</v>
      </c>
      <c r="CV161" s="69">
        <f t="shared" si="187"/>
        <v>0</v>
      </c>
      <c r="CW161" s="70">
        <f t="shared" si="188"/>
        <v>0</v>
      </c>
      <c r="CX161" s="69">
        <f t="shared" si="189"/>
        <v>0</v>
      </c>
      <c r="CY161" s="69">
        <f t="shared" si="190"/>
        <v>0</v>
      </c>
      <c r="CZ161" s="70">
        <f t="shared" si="191"/>
        <v>0</v>
      </c>
      <c r="DB161" s="70">
        <f t="shared" si="192"/>
        <v>0.64866358779424493</v>
      </c>
      <c r="DC161" s="70">
        <f t="shared" si="193"/>
        <v>6.9821825118023684</v>
      </c>
      <c r="DD161" s="70">
        <f t="shared" si="194"/>
        <v>7.6308460995966136</v>
      </c>
      <c r="DE161" s="70">
        <f t="shared" si="195"/>
        <v>1.2293969259252866</v>
      </c>
      <c r="DF161" s="70">
        <f t="shared" si="196"/>
        <v>5.5793433562229691</v>
      </c>
      <c r="DG161" s="70">
        <f t="shared" si="197"/>
        <v>6.8087402821482552</v>
      </c>
      <c r="DH161" s="69">
        <f t="shared" si="198"/>
        <v>2.3425588722767672</v>
      </c>
      <c r="DI161" s="69">
        <f t="shared" si="199"/>
        <v>25.215186883692443</v>
      </c>
      <c r="DJ161" s="70">
        <f t="shared" si="200"/>
        <v>27.557745755969211</v>
      </c>
      <c r="DK161" s="69">
        <f t="shared" si="201"/>
        <v>1.9162766651922374</v>
      </c>
      <c r="DL161" s="69">
        <f t="shared" si="202"/>
        <v>8.6965936347844455</v>
      </c>
      <c r="DM161" s="70">
        <f t="shared" si="203"/>
        <v>10.612870299976683</v>
      </c>
    </row>
    <row r="162" spans="1:117">
      <c r="A162" t="s">
        <v>436</v>
      </c>
      <c r="B162">
        <v>107061</v>
      </c>
      <c r="C162">
        <v>65807</v>
      </c>
      <c r="D162" s="51">
        <v>33307.03</v>
      </c>
      <c r="E162" s="32">
        <f t="shared" si="136"/>
        <v>2191835723.21</v>
      </c>
      <c r="F162">
        <v>3316</v>
      </c>
      <c r="G162" s="37">
        <f t="shared" si="137"/>
        <v>3.0972996702814285E-2</v>
      </c>
      <c r="H162">
        <v>0</v>
      </c>
      <c r="I162" s="3">
        <f t="shared" si="138"/>
        <v>0</v>
      </c>
      <c r="J162" s="11">
        <f>+'Seat capacity elasticities'!K192</f>
        <v>0</v>
      </c>
      <c r="K162" s="11">
        <f>+'Seat capacity elasticities'!L192</f>
        <v>0</v>
      </c>
      <c r="L162" s="11">
        <f>+'Seat capacity elasticities'!M192</f>
        <v>0</v>
      </c>
      <c r="M162" s="11">
        <f>+'Seat capacity elasticities'!N192</f>
        <v>0</v>
      </c>
      <c r="N162" s="32">
        <f t="shared" si="148"/>
        <v>0</v>
      </c>
      <c r="O162" s="33">
        <f t="shared" si="149"/>
        <v>0</v>
      </c>
      <c r="P162" s="40">
        <f t="shared" si="150"/>
        <v>0</v>
      </c>
      <c r="Q162" s="33">
        <f t="shared" si="151"/>
        <v>0</v>
      </c>
      <c r="R162" s="40">
        <f t="shared" si="152"/>
        <v>0</v>
      </c>
      <c r="S162" s="41">
        <f t="shared" si="153"/>
        <v>0</v>
      </c>
      <c r="T162" s="40">
        <f t="shared" si="154"/>
        <v>0</v>
      </c>
      <c r="U162" s="41">
        <f t="shared" si="155"/>
        <v>0</v>
      </c>
      <c r="V162" s="53"/>
      <c r="W162" s="53"/>
      <c r="X162" t="s">
        <v>436</v>
      </c>
      <c r="Y162">
        <v>107061</v>
      </c>
      <c r="Z162">
        <v>65807</v>
      </c>
      <c r="AA162" s="51">
        <v>33307.03</v>
      </c>
      <c r="AB162" s="32">
        <f t="shared" si="139"/>
        <v>2191835723.21</v>
      </c>
      <c r="AC162">
        <v>3316</v>
      </c>
      <c r="AD162" s="37">
        <f t="shared" si="140"/>
        <v>3.0972996702814285E-2</v>
      </c>
      <c r="AE162">
        <v>2.6524000000000001E-3</v>
      </c>
      <c r="AF162" s="3">
        <f t="shared" si="141"/>
        <v>2.6524000000000002E-5</v>
      </c>
      <c r="AG162" s="11">
        <f>+'Seat capacity elasticities'!R192</f>
        <v>6.0272761853708808E-3</v>
      </c>
      <c r="AH162" s="11">
        <f>+'Seat capacity elasticities'!S192</f>
        <v>1.1423355578189269E-2</v>
      </c>
      <c r="AI162" s="11">
        <f>+'Seat capacity elasticities'!T192</f>
        <v>1.6536931050115052E-2</v>
      </c>
      <c r="AJ162" s="11">
        <f>+'Seat capacity elasticities'!U192</f>
        <v>1.3527657921539923E-2</v>
      </c>
      <c r="AK162" s="32">
        <f t="shared" si="156"/>
        <v>132107.99256748796</v>
      </c>
      <c r="AL162" s="33">
        <f t="shared" si="157"/>
        <v>6.0272761853708817E-5</v>
      </c>
      <c r="AM162" s="40">
        <f t="shared" si="158"/>
        <v>250381.18835205465</v>
      </c>
      <c r="AN162" s="33">
        <f t="shared" si="159"/>
        <v>1.1423355578189269E-4</v>
      </c>
      <c r="AO162" s="40">
        <f t="shared" si="160"/>
        <v>548364.63362181513</v>
      </c>
      <c r="AP162" s="41">
        <f t="shared" si="161"/>
        <v>1.6536931050115052E-4</v>
      </c>
      <c r="AQ162" s="40">
        <f t="shared" si="162"/>
        <v>448577.13667826389</v>
      </c>
      <c r="AR162" s="41">
        <f t="shared" si="163"/>
        <v>1.3527657921539923E-4</v>
      </c>
      <c r="AV162" t="s">
        <v>436</v>
      </c>
      <c r="AW162">
        <v>107061</v>
      </c>
      <c r="AX162">
        <v>65807</v>
      </c>
      <c r="AY162" s="51">
        <v>33307.03</v>
      </c>
      <c r="AZ162" s="32">
        <f t="shared" si="142"/>
        <v>2191835723.21</v>
      </c>
      <c r="BA162">
        <v>3316</v>
      </c>
      <c r="BB162" s="37">
        <f t="shared" si="143"/>
        <v>3.0972996702814285E-2</v>
      </c>
      <c r="BC162">
        <v>0</v>
      </c>
      <c r="BD162" s="3">
        <f t="shared" si="144"/>
        <v>0</v>
      </c>
      <c r="BE162" s="11">
        <f>+'Seat capacity elasticities'!Y192</f>
        <v>0</v>
      </c>
      <c r="BF162" s="11">
        <f>+'Seat capacity elasticities'!Z192</f>
        <v>0</v>
      </c>
      <c r="BG162" s="11">
        <f>+'Seat capacity elasticities'!AA192</f>
        <v>0</v>
      </c>
      <c r="BH162" s="11">
        <f>+'Seat capacity elasticities'!AB192</f>
        <v>0</v>
      </c>
      <c r="BI162" s="32">
        <f t="shared" si="164"/>
        <v>0</v>
      </c>
      <c r="BJ162" s="33">
        <f t="shared" si="165"/>
        <v>0</v>
      </c>
      <c r="BK162" s="40">
        <f t="shared" si="166"/>
        <v>0</v>
      </c>
      <c r="BL162" s="33">
        <f t="shared" si="167"/>
        <v>0</v>
      </c>
      <c r="BM162" s="40">
        <f t="shared" si="168"/>
        <v>0</v>
      </c>
      <c r="BN162" s="41">
        <f t="shared" si="169"/>
        <v>0</v>
      </c>
      <c r="BO162" s="40">
        <f t="shared" si="170"/>
        <v>0</v>
      </c>
      <c r="BP162" s="41">
        <f t="shared" si="171"/>
        <v>0</v>
      </c>
      <c r="BQ162" s="53"/>
      <c r="BR162" s="53"/>
      <c r="BS162" t="s">
        <v>436</v>
      </c>
      <c r="BT162">
        <v>107061</v>
      </c>
      <c r="BU162">
        <v>65807</v>
      </c>
      <c r="BV162" s="51">
        <v>33307.03</v>
      </c>
      <c r="BW162" s="32">
        <f t="shared" si="145"/>
        <v>2191835723.21</v>
      </c>
      <c r="BX162">
        <v>3316</v>
      </c>
      <c r="BY162" s="37">
        <f t="shared" si="146"/>
        <v>3.0972996702814285E-2</v>
      </c>
      <c r="BZ162">
        <v>2.6524000000000001E-3</v>
      </c>
      <c r="CA162" s="3">
        <f t="shared" si="147"/>
        <v>2.6524000000000002E-5</v>
      </c>
      <c r="CB162" s="11">
        <f>+'Seat capacity elasticities'!AF192</f>
        <v>5.2596133748808317E-2</v>
      </c>
      <c r="CC162" s="11">
        <f>+'Seat capacity elasticities'!AG192</f>
        <v>4.202867640574999E-2</v>
      </c>
      <c r="CD162" s="11">
        <f>+'Seat capacity elasticities'!AH192</f>
        <v>0.14430708176568346</v>
      </c>
      <c r="CE162" s="11">
        <f>+'Seat capacity elasticities'!AI192</f>
        <v>4.9770801006809202E-2</v>
      </c>
      <c r="CF162" s="32">
        <f t="shared" si="172"/>
        <v>1152820.8485336918</v>
      </c>
      <c r="CG162" s="33">
        <f t="shared" si="173"/>
        <v>5.2596133748808319E-4</v>
      </c>
      <c r="CH162" s="40">
        <f t="shared" si="174"/>
        <v>921199.54345356103</v>
      </c>
      <c r="CI162" s="33">
        <f t="shared" si="175"/>
        <v>4.2028676405749996E-4</v>
      </c>
      <c r="CJ162" s="40">
        <f t="shared" si="176"/>
        <v>4785222.8313500648</v>
      </c>
      <c r="CK162" s="41">
        <f t="shared" si="177"/>
        <v>1.4430708176568351E-3</v>
      </c>
      <c r="CL162" s="40">
        <f t="shared" si="178"/>
        <v>1650399.7613857931</v>
      </c>
      <c r="CM162" s="41">
        <f t="shared" si="179"/>
        <v>4.97708010068092E-4</v>
      </c>
      <c r="CO162" s="70">
        <f t="shared" si="180"/>
        <v>0</v>
      </c>
      <c r="CP162" s="70">
        <f t="shared" si="181"/>
        <v>0</v>
      </c>
      <c r="CQ162" s="70">
        <f t="shared" si="182"/>
        <v>0</v>
      </c>
      <c r="CR162" s="70">
        <f t="shared" si="183"/>
        <v>0</v>
      </c>
      <c r="CS162" s="70">
        <f t="shared" si="184"/>
        <v>0</v>
      </c>
      <c r="CT162" s="70">
        <f t="shared" si="185"/>
        <v>0</v>
      </c>
      <c r="CU162" s="69">
        <f t="shared" si="186"/>
        <v>0</v>
      </c>
      <c r="CV162" s="69">
        <f t="shared" si="187"/>
        <v>0</v>
      </c>
      <c r="CW162" s="70">
        <f t="shared" si="188"/>
        <v>0</v>
      </c>
      <c r="CX162" s="69">
        <f t="shared" si="189"/>
        <v>0</v>
      </c>
      <c r="CY162" s="69">
        <f t="shared" si="190"/>
        <v>0</v>
      </c>
      <c r="CZ162" s="70">
        <f t="shared" si="191"/>
        <v>0</v>
      </c>
      <c r="DB162" s="70">
        <f t="shared" si="192"/>
        <v>2.007506687244335</v>
      </c>
      <c r="DC162" s="70">
        <f t="shared" si="193"/>
        <v>17.518210046555712</v>
      </c>
      <c r="DD162" s="70">
        <f t="shared" si="194"/>
        <v>19.525716733800046</v>
      </c>
      <c r="DE162" s="70">
        <f t="shared" si="195"/>
        <v>3.8047804694341734</v>
      </c>
      <c r="DF162" s="70">
        <f t="shared" si="196"/>
        <v>13.998503859066073</v>
      </c>
      <c r="DG162" s="70">
        <f t="shared" si="197"/>
        <v>17.803284328500247</v>
      </c>
      <c r="DH162" s="69">
        <f t="shared" si="198"/>
        <v>8.3329225404868037</v>
      </c>
      <c r="DI162" s="69">
        <f t="shared" si="199"/>
        <v>72.716015489994447</v>
      </c>
      <c r="DJ162" s="70">
        <f t="shared" si="200"/>
        <v>81.048938030481253</v>
      </c>
      <c r="DK162" s="69">
        <f t="shared" si="201"/>
        <v>6.8165565468455318</v>
      </c>
      <c r="DL162" s="69">
        <f t="shared" si="202"/>
        <v>25.079395222176867</v>
      </c>
      <c r="DM162" s="70">
        <f t="shared" si="203"/>
        <v>31.8959517690224</v>
      </c>
    </row>
    <row r="163" spans="1:117">
      <c r="A163" t="s">
        <v>437</v>
      </c>
      <c r="B163">
        <v>464042</v>
      </c>
      <c r="C163">
        <v>324154</v>
      </c>
      <c r="D163" s="51">
        <v>37015.699999999997</v>
      </c>
      <c r="E163" s="32">
        <f t="shared" si="136"/>
        <v>11998787217.799999</v>
      </c>
      <c r="F163">
        <v>19463</v>
      </c>
      <c r="G163" s="37">
        <f t="shared" si="137"/>
        <v>4.1942324186172802E-2</v>
      </c>
      <c r="H163">
        <v>0</v>
      </c>
      <c r="I163" s="3">
        <f t="shared" si="138"/>
        <v>0</v>
      </c>
      <c r="J163" s="11">
        <f>+'Seat capacity elasticities'!K193</f>
        <v>0</v>
      </c>
      <c r="K163" s="11">
        <f>+'Seat capacity elasticities'!L193</f>
        <v>0</v>
      </c>
      <c r="L163" s="11">
        <f>+'Seat capacity elasticities'!M193</f>
        <v>0</v>
      </c>
      <c r="M163" s="11">
        <f>+'Seat capacity elasticities'!N193</f>
        <v>0</v>
      </c>
      <c r="N163" s="32">
        <f t="shared" si="148"/>
        <v>0</v>
      </c>
      <c r="O163" s="33">
        <f t="shared" si="149"/>
        <v>0</v>
      </c>
      <c r="P163" s="40">
        <f t="shared" si="150"/>
        <v>0</v>
      </c>
      <c r="Q163" s="33">
        <f t="shared" si="151"/>
        <v>0</v>
      </c>
      <c r="R163" s="40">
        <f t="shared" si="152"/>
        <v>0</v>
      </c>
      <c r="S163" s="41">
        <f t="shared" si="153"/>
        <v>0</v>
      </c>
      <c r="T163" s="40">
        <f t="shared" si="154"/>
        <v>0</v>
      </c>
      <c r="U163" s="41">
        <f t="shared" si="155"/>
        <v>0</v>
      </c>
      <c r="V163" s="53"/>
      <c r="W163" s="53"/>
      <c r="X163" t="s">
        <v>437</v>
      </c>
      <c r="Y163">
        <v>464042</v>
      </c>
      <c r="Z163">
        <v>324154</v>
      </c>
      <c r="AA163" s="51">
        <v>37015.699999999997</v>
      </c>
      <c r="AB163" s="32">
        <f t="shared" si="139"/>
        <v>11998787217.799999</v>
      </c>
      <c r="AC163">
        <v>19463</v>
      </c>
      <c r="AD163" s="37">
        <f t="shared" si="140"/>
        <v>4.1942324186172802E-2</v>
      </c>
      <c r="AE163">
        <v>3.8858999999999999E-3</v>
      </c>
      <c r="AF163" s="3">
        <f t="shared" si="141"/>
        <v>3.8859000000000002E-5</v>
      </c>
      <c r="AG163" s="11">
        <f>+'Seat capacity elasticities'!R193</f>
        <v>6.9818506660247262E-3</v>
      </c>
      <c r="AH163" s="11">
        <f>+'Seat capacity elasticities'!S193</f>
        <v>1.3232538264199404E-2</v>
      </c>
      <c r="AI163" s="11">
        <f>+'Seat capacity elasticities'!T193</f>
        <v>1.915598016671044E-2</v>
      </c>
      <c r="AJ163" s="11">
        <f>+'Seat capacity elasticities'!U193</f>
        <v>1.56701111023414E-2</v>
      </c>
      <c r="AK163" s="32">
        <f t="shared" si="156"/>
        <v>837737.40528085898</v>
      </c>
      <c r="AL163" s="33">
        <f t="shared" si="157"/>
        <v>6.981850666024726E-5</v>
      </c>
      <c r="AM163" s="40">
        <f t="shared" si="158"/>
        <v>1587744.1098352519</v>
      </c>
      <c r="AN163" s="33">
        <f t="shared" si="159"/>
        <v>1.3232538264199405E-4</v>
      </c>
      <c r="AO163" s="40">
        <f t="shared" si="160"/>
        <v>3728328.4198468537</v>
      </c>
      <c r="AP163" s="41">
        <f t="shared" si="161"/>
        <v>1.9155980166710444E-4</v>
      </c>
      <c r="AQ163" s="40">
        <f t="shared" si="162"/>
        <v>3049873.7238487066</v>
      </c>
      <c r="AR163" s="41">
        <f t="shared" si="163"/>
        <v>1.5670111102341399E-4</v>
      </c>
      <c r="AV163" t="s">
        <v>437</v>
      </c>
      <c r="AW163">
        <v>464042</v>
      </c>
      <c r="AX163">
        <v>324154</v>
      </c>
      <c r="AY163" s="51">
        <v>37015.699999999997</v>
      </c>
      <c r="AZ163" s="32">
        <f t="shared" si="142"/>
        <v>11998787217.799999</v>
      </c>
      <c r="BA163">
        <v>19463</v>
      </c>
      <c r="BB163" s="37">
        <f t="shared" si="143"/>
        <v>4.1942324186172802E-2</v>
      </c>
      <c r="BC163">
        <v>0</v>
      </c>
      <c r="BD163" s="3">
        <f t="shared" si="144"/>
        <v>0</v>
      </c>
      <c r="BE163" s="11">
        <f>+'Seat capacity elasticities'!Y193</f>
        <v>0</v>
      </c>
      <c r="BF163" s="11">
        <f>+'Seat capacity elasticities'!Z193</f>
        <v>0</v>
      </c>
      <c r="BG163" s="11">
        <f>+'Seat capacity elasticities'!AA193</f>
        <v>0</v>
      </c>
      <c r="BH163" s="11">
        <f>+'Seat capacity elasticities'!AB193</f>
        <v>0</v>
      </c>
      <c r="BI163" s="32">
        <f t="shared" si="164"/>
        <v>0</v>
      </c>
      <c r="BJ163" s="33">
        <f t="shared" si="165"/>
        <v>0</v>
      </c>
      <c r="BK163" s="40">
        <f t="shared" si="166"/>
        <v>0</v>
      </c>
      <c r="BL163" s="33">
        <f t="shared" si="167"/>
        <v>0</v>
      </c>
      <c r="BM163" s="40">
        <f t="shared" si="168"/>
        <v>0</v>
      </c>
      <c r="BN163" s="41">
        <f t="shared" si="169"/>
        <v>0</v>
      </c>
      <c r="BO163" s="40">
        <f t="shared" si="170"/>
        <v>0</v>
      </c>
      <c r="BP163" s="41">
        <f t="shared" si="171"/>
        <v>0</v>
      </c>
      <c r="BQ163" s="53"/>
      <c r="BR163" s="53"/>
      <c r="BS163" t="s">
        <v>437</v>
      </c>
      <c r="BT163">
        <v>464042</v>
      </c>
      <c r="BU163">
        <v>324154</v>
      </c>
      <c r="BV163" s="51">
        <v>37015.699999999997</v>
      </c>
      <c r="BW163" s="32">
        <f t="shared" si="145"/>
        <v>11998787217.799999</v>
      </c>
      <c r="BX163">
        <v>19463</v>
      </c>
      <c r="BY163" s="37">
        <f t="shared" si="146"/>
        <v>4.1942324186172802E-2</v>
      </c>
      <c r="BZ163">
        <v>3.8858999999999999E-3</v>
      </c>
      <c r="CA163" s="3">
        <f t="shared" si="147"/>
        <v>3.8859000000000002E-5</v>
      </c>
      <c r="CB163" s="11">
        <f>+'Seat capacity elasticities'!AF193</f>
        <v>1.7777898721957036E-2</v>
      </c>
      <c r="CC163" s="11">
        <f>+'Seat capacity elasticities'!AG193</f>
        <v>1.4206016665174702E-2</v>
      </c>
      <c r="CD163" s="11">
        <f>+'Seat capacity elasticities'!AH193</f>
        <v>4.8776906240748541E-2</v>
      </c>
      <c r="CE163" s="11">
        <f>+'Seat capacity elasticities'!AI193</f>
        <v>1.6822914471917413E-2</v>
      </c>
      <c r="CF163" s="32">
        <f t="shared" si="172"/>
        <v>2133132.2394436104</v>
      </c>
      <c r="CG163" s="33">
        <f t="shared" si="173"/>
        <v>1.7777898721957038E-4</v>
      </c>
      <c r="CH163" s="40">
        <f t="shared" si="174"/>
        <v>1704549.7117795197</v>
      </c>
      <c r="CI163" s="33">
        <f t="shared" si="175"/>
        <v>1.4206016665174701E-4</v>
      </c>
      <c r="CJ163" s="40">
        <f t="shared" si="176"/>
        <v>9493449.2616368886</v>
      </c>
      <c r="CK163" s="41">
        <f t="shared" si="177"/>
        <v>4.8776906240748541E-4</v>
      </c>
      <c r="CL163" s="40">
        <f t="shared" si="178"/>
        <v>3274243.843669286</v>
      </c>
      <c r="CM163" s="41">
        <f t="shared" si="179"/>
        <v>1.6822914471917411E-4</v>
      </c>
      <c r="CO163" s="70">
        <f t="shared" si="180"/>
        <v>0</v>
      </c>
      <c r="CP163" s="70">
        <f t="shared" si="181"/>
        <v>0</v>
      </c>
      <c r="CQ163" s="70">
        <f t="shared" si="182"/>
        <v>0</v>
      </c>
      <c r="CR163" s="70">
        <f t="shared" si="183"/>
        <v>0</v>
      </c>
      <c r="CS163" s="70">
        <f t="shared" si="184"/>
        <v>0</v>
      </c>
      <c r="CT163" s="70">
        <f t="shared" si="185"/>
        <v>0</v>
      </c>
      <c r="CU163" s="69">
        <f t="shared" si="186"/>
        <v>0</v>
      </c>
      <c r="CV163" s="69">
        <f t="shared" si="187"/>
        <v>0</v>
      </c>
      <c r="CW163" s="70">
        <f t="shared" si="188"/>
        <v>0</v>
      </c>
      <c r="CX163" s="69">
        <f t="shared" si="189"/>
        <v>0</v>
      </c>
      <c r="CY163" s="69">
        <f t="shared" si="190"/>
        <v>0</v>
      </c>
      <c r="CZ163" s="70">
        <f t="shared" si="191"/>
        <v>0</v>
      </c>
      <c r="DB163" s="70">
        <f t="shared" si="192"/>
        <v>2.5843808969837143</v>
      </c>
      <c r="DC163" s="70">
        <f t="shared" si="193"/>
        <v>6.5806136572234504</v>
      </c>
      <c r="DD163" s="70">
        <f t="shared" si="194"/>
        <v>9.1649945542071656</v>
      </c>
      <c r="DE163" s="70">
        <f t="shared" si="195"/>
        <v>4.8981166662612585</v>
      </c>
      <c r="DF163" s="70">
        <f t="shared" si="196"/>
        <v>5.2584565107310715</v>
      </c>
      <c r="DG163" s="70">
        <f t="shared" si="197"/>
        <v>10.15657317699233</v>
      </c>
      <c r="DH163" s="69">
        <f t="shared" si="198"/>
        <v>11.501719614278564</v>
      </c>
      <c r="DI163" s="69">
        <f t="shared" si="199"/>
        <v>29.286849033597885</v>
      </c>
      <c r="DJ163" s="70">
        <f t="shared" si="200"/>
        <v>40.788568647876446</v>
      </c>
      <c r="DK163" s="69">
        <f t="shared" si="201"/>
        <v>9.4087184605116914</v>
      </c>
      <c r="DL163" s="69">
        <f t="shared" si="202"/>
        <v>10.100889835292133</v>
      </c>
      <c r="DM163" s="70">
        <f t="shared" si="203"/>
        <v>19.509608295803822</v>
      </c>
    </row>
    <row r="164" spans="1:117">
      <c r="A164" t="s">
        <v>991</v>
      </c>
      <c r="B164">
        <v>104826</v>
      </c>
      <c r="C164">
        <v>67234</v>
      </c>
      <c r="D164" s="51">
        <v>33530.730000000003</v>
      </c>
      <c r="E164" s="32">
        <f t="shared" si="136"/>
        <v>2254405100.8200002</v>
      </c>
      <c r="F164">
        <v>3740</v>
      </c>
      <c r="G164" s="37">
        <f t="shared" si="137"/>
        <v>3.5678171446015303E-2</v>
      </c>
      <c r="H164">
        <v>0</v>
      </c>
      <c r="I164" s="3">
        <f t="shared" si="138"/>
        <v>0</v>
      </c>
      <c r="J164" s="11">
        <f>+'Seat capacity elasticities'!K194</f>
        <v>0</v>
      </c>
      <c r="K164" s="11">
        <f>+'Seat capacity elasticities'!L194</f>
        <v>0</v>
      </c>
      <c r="L164" s="11">
        <f>+'Seat capacity elasticities'!M194</f>
        <v>0</v>
      </c>
      <c r="M164" s="11">
        <f>+'Seat capacity elasticities'!N194</f>
        <v>0</v>
      </c>
      <c r="N164" s="32">
        <f t="shared" si="148"/>
        <v>0</v>
      </c>
      <c r="O164" s="33">
        <f t="shared" si="149"/>
        <v>0</v>
      </c>
      <c r="P164" s="40">
        <f t="shared" si="150"/>
        <v>0</v>
      </c>
      <c r="Q164" s="33">
        <f t="shared" si="151"/>
        <v>0</v>
      </c>
      <c r="R164" s="40">
        <f t="shared" si="152"/>
        <v>0</v>
      </c>
      <c r="S164" s="41">
        <f t="shared" si="153"/>
        <v>0</v>
      </c>
      <c r="T164" s="40">
        <f t="shared" si="154"/>
        <v>0</v>
      </c>
      <c r="U164" s="41">
        <f t="shared" si="155"/>
        <v>0</v>
      </c>
      <c r="V164" s="53"/>
      <c r="W164" s="53"/>
      <c r="X164" t="s">
        <v>991</v>
      </c>
      <c r="Y164">
        <v>104826</v>
      </c>
      <c r="Z164">
        <v>67234</v>
      </c>
      <c r="AA164" s="51">
        <v>33530.730000000003</v>
      </c>
      <c r="AB164" s="32">
        <f t="shared" si="139"/>
        <v>2254405100.8200002</v>
      </c>
      <c r="AC164">
        <v>3740</v>
      </c>
      <c r="AD164" s="37">
        <f t="shared" si="140"/>
        <v>3.5678171446015303E-2</v>
      </c>
      <c r="AE164">
        <v>2.1641E-3</v>
      </c>
      <c r="AF164" s="3">
        <f t="shared" si="141"/>
        <v>2.1641000000000002E-5</v>
      </c>
      <c r="AG164" s="11">
        <f>+'Seat capacity elasticities'!R194</f>
        <v>5.4561000480988862E-3</v>
      </c>
      <c r="AH164" s="11">
        <f>+'Seat capacity elasticities'!S194</f>
        <v>1.0340818804833634E-2</v>
      </c>
      <c r="AI164" s="11">
        <f>+'Seat capacity elasticities'!T194</f>
        <v>1.4969805186119688E-2</v>
      </c>
      <c r="AJ164" s="11">
        <f>+'Seat capacity elasticities'!U194</f>
        <v>1.2245706479408251E-2</v>
      </c>
      <c r="AK164" s="32">
        <f t="shared" si="156"/>
        <v>123002.59779018376</v>
      </c>
      <c r="AL164" s="33">
        <f t="shared" si="157"/>
        <v>5.456100048098886E-5</v>
      </c>
      <c r="AM164" s="40">
        <f t="shared" si="158"/>
        <v>233123.94660272321</v>
      </c>
      <c r="AN164" s="33">
        <f t="shared" si="159"/>
        <v>1.0340818804833634E-4</v>
      </c>
      <c r="AO164" s="40">
        <f t="shared" si="160"/>
        <v>559870.71396087646</v>
      </c>
      <c r="AP164" s="41">
        <f t="shared" si="161"/>
        <v>1.4969805186119693E-4</v>
      </c>
      <c r="AQ164" s="40">
        <f t="shared" si="162"/>
        <v>457989.4223298686</v>
      </c>
      <c r="AR164" s="41">
        <f t="shared" si="163"/>
        <v>1.224570647940825E-4</v>
      </c>
      <c r="AV164" t="s">
        <v>991</v>
      </c>
      <c r="AW164">
        <v>104826</v>
      </c>
      <c r="AX164">
        <v>67234</v>
      </c>
      <c r="AY164" s="51">
        <v>33530.730000000003</v>
      </c>
      <c r="AZ164" s="32">
        <f t="shared" si="142"/>
        <v>2254405100.8200002</v>
      </c>
      <c r="BA164">
        <v>3740</v>
      </c>
      <c r="BB164" s="37">
        <f t="shared" si="143"/>
        <v>3.5678171446015303E-2</v>
      </c>
      <c r="BC164">
        <v>0</v>
      </c>
      <c r="BD164" s="3">
        <f t="shared" si="144"/>
        <v>0</v>
      </c>
      <c r="BE164" s="11">
        <f>+'Seat capacity elasticities'!Y194</f>
        <v>0</v>
      </c>
      <c r="BF164" s="11">
        <f>+'Seat capacity elasticities'!Z194</f>
        <v>0</v>
      </c>
      <c r="BG164" s="11">
        <f>+'Seat capacity elasticities'!AA194</f>
        <v>0</v>
      </c>
      <c r="BH164" s="11">
        <f>+'Seat capacity elasticities'!AB194</f>
        <v>0</v>
      </c>
      <c r="BI164" s="32">
        <f t="shared" si="164"/>
        <v>0</v>
      </c>
      <c r="BJ164" s="33">
        <f t="shared" si="165"/>
        <v>0</v>
      </c>
      <c r="BK164" s="40">
        <f t="shared" si="166"/>
        <v>0</v>
      </c>
      <c r="BL164" s="33">
        <f t="shared" si="167"/>
        <v>0</v>
      </c>
      <c r="BM164" s="40">
        <f t="shared" si="168"/>
        <v>0</v>
      </c>
      <c r="BN164" s="41">
        <f t="shared" si="169"/>
        <v>0</v>
      </c>
      <c r="BO164" s="40">
        <f t="shared" si="170"/>
        <v>0</v>
      </c>
      <c r="BP164" s="41">
        <f t="shared" si="171"/>
        <v>0</v>
      </c>
      <c r="BQ164" s="53"/>
      <c r="BR164" s="53"/>
      <c r="BS164" t="s">
        <v>991</v>
      </c>
      <c r="BT164">
        <v>104826</v>
      </c>
      <c r="BU164">
        <v>67234</v>
      </c>
      <c r="BV164" s="51">
        <v>33530.730000000003</v>
      </c>
      <c r="BW164" s="32">
        <f t="shared" si="145"/>
        <v>2254405100.8200002</v>
      </c>
      <c r="BX164">
        <v>3740</v>
      </c>
      <c r="BY164" s="37">
        <f t="shared" si="146"/>
        <v>3.5678171446015303E-2</v>
      </c>
      <c r="BZ164">
        <v>2.1641E-3</v>
      </c>
      <c r="CA164" s="3">
        <f t="shared" si="147"/>
        <v>2.1641000000000002E-5</v>
      </c>
      <c r="CB164" s="11">
        <f>+'Seat capacity elasticities'!AF194</f>
        <v>4.3828278067956535E-2</v>
      </c>
      <c r="CC164" s="11">
        <f>+'Seat capacity elasticities'!AG194</f>
        <v>3.5022431974500598E-2</v>
      </c>
      <c r="CD164" s="11">
        <f>+'Seat capacity elasticities'!AH194</f>
        <v>0.12025087123338254</v>
      </c>
      <c r="CE164" s="11">
        <f>+'Seat capacity elasticities'!AI194</f>
        <v>4.1473932601382289E-2</v>
      </c>
      <c r="CF164" s="32">
        <f t="shared" si="172"/>
        <v>988066.93636558554</v>
      </c>
      <c r="CG164" s="33">
        <f t="shared" si="173"/>
        <v>4.3828278067956533E-4</v>
      </c>
      <c r="CH164" s="40">
        <f t="shared" si="174"/>
        <v>789547.49286435614</v>
      </c>
      <c r="CI164" s="33">
        <f t="shared" si="175"/>
        <v>3.5022431974500597E-4</v>
      </c>
      <c r="CJ164" s="40">
        <f t="shared" si="176"/>
        <v>4497382.5841285074</v>
      </c>
      <c r="CK164" s="41">
        <f t="shared" si="177"/>
        <v>1.2025087123338255E-3</v>
      </c>
      <c r="CL164" s="40">
        <f t="shared" si="178"/>
        <v>1551125.0792916978</v>
      </c>
      <c r="CM164" s="41">
        <f t="shared" si="179"/>
        <v>4.1473932601382294E-4</v>
      </c>
      <c r="CO164" s="70">
        <f t="shared" si="180"/>
        <v>0</v>
      </c>
      <c r="CP164" s="70">
        <f t="shared" si="181"/>
        <v>0</v>
      </c>
      <c r="CQ164" s="70">
        <f t="shared" si="182"/>
        <v>0</v>
      </c>
      <c r="CR164" s="70">
        <f t="shared" si="183"/>
        <v>0</v>
      </c>
      <c r="CS164" s="70">
        <f t="shared" si="184"/>
        <v>0</v>
      </c>
      <c r="CT164" s="70">
        <f t="shared" si="185"/>
        <v>0</v>
      </c>
      <c r="CU164" s="69">
        <f t="shared" si="186"/>
        <v>0</v>
      </c>
      <c r="CV164" s="69">
        <f t="shared" si="187"/>
        <v>0</v>
      </c>
      <c r="CW164" s="70">
        <f t="shared" si="188"/>
        <v>0</v>
      </c>
      <c r="CX164" s="69">
        <f t="shared" si="189"/>
        <v>0</v>
      </c>
      <c r="CY164" s="69">
        <f t="shared" si="190"/>
        <v>0</v>
      </c>
      <c r="CZ164" s="70">
        <f t="shared" si="191"/>
        <v>0</v>
      </c>
      <c r="DB164" s="70">
        <f t="shared" si="192"/>
        <v>1.8294701756579077</v>
      </c>
      <c r="DC164" s="70">
        <f t="shared" si="193"/>
        <v>14.695941582615724</v>
      </c>
      <c r="DD164" s="70">
        <f t="shared" si="194"/>
        <v>16.525411758273631</v>
      </c>
      <c r="DE164" s="70">
        <f t="shared" si="195"/>
        <v>3.4673520332379928</v>
      </c>
      <c r="DF164" s="70">
        <f t="shared" si="196"/>
        <v>11.743277104803465</v>
      </c>
      <c r="DG164" s="70">
        <f t="shared" si="197"/>
        <v>15.210629138041458</v>
      </c>
      <c r="DH164" s="69">
        <f t="shared" si="198"/>
        <v>8.3271962691625738</v>
      </c>
      <c r="DI164" s="69">
        <f t="shared" si="199"/>
        <v>66.89149216361524</v>
      </c>
      <c r="DJ164" s="70">
        <f t="shared" si="200"/>
        <v>75.21868843277781</v>
      </c>
      <c r="DK164" s="69">
        <f t="shared" si="201"/>
        <v>6.8118723016608946</v>
      </c>
      <c r="DL164" s="69">
        <f t="shared" si="202"/>
        <v>23.070545844240975</v>
      </c>
      <c r="DM164" s="70">
        <f t="shared" si="203"/>
        <v>29.88241814590187</v>
      </c>
    </row>
    <row r="165" spans="1:117">
      <c r="A165" t="s">
        <v>438</v>
      </c>
      <c r="B165">
        <v>294665</v>
      </c>
      <c r="C165">
        <v>216925</v>
      </c>
      <c r="D165" s="51">
        <v>33709.550000000003</v>
      </c>
      <c r="E165" s="32">
        <f t="shared" si="136"/>
        <v>7312444133.750001</v>
      </c>
      <c r="F165">
        <v>11109</v>
      </c>
      <c r="G165" s="37">
        <f t="shared" si="137"/>
        <v>3.7700439482123767E-2</v>
      </c>
      <c r="H165">
        <v>0</v>
      </c>
      <c r="I165" s="3">
        <f t="shared" si="138"/>
        <v>0</v>
      </c>
      <c r="J165" s="11">
        <f>+'Seat capacity elasticities'!K195</f>
        <v>0</v>
      </c>
      <c r="K165" s="11">
        <f>+'Seat capacity elasticities'!L195</f>
        <v>0</v>
      </c>
      <c r="L165" s="11">
        <f>+'Seat capacity elasticities'!M195</f>
        <v>0</v>
      </c>
      <c r="M165" s="11">
        <f>+'Seat capacity elasticities'!N195</f>
        <v>0</v>
      </c>
      <c r="N165" s="32">
        <f t="shared" si="148"/>
        <v>0</v>
      </c>
      <c r="O165" s="33">
        <f t="shared" si="149"/>
        <v>0</v>
      </c>
      <c r="P165" s="40">
        <f t="shared" si="150"/>
        <v>0</v>
      </c>
      <c r="Q165" s="33">
        <f t="shared" si="151"/>
        <v>0</v>
      </c>
      <c r="R165" s="40">
        <f t="shared" si="152"/>
        <v>0</v>
      </c>
      <c r="S165" s="41">
        <f t="shared" si="153"/>
        <v>0</v>
      </c>
      <c r="T165" s="40">
        <f t="shared" si="154"/>
        <v>0</v>
      </c>
      <c r="U165" s="41">
        <f t="shared" si="155"/>
        <v>0</v>
      </c>
      <c r="V165" s="53"/>
      <c r="W165" s="53"/>
      <c r="X165" t="s">
        <v>438</v>
      </c>
      <c r="Y165">
        <v>294665</v>
      </c>
      <c r="Z165">
        <v>216925</v>
      </c>
      <c r="AA165" s="51">
        <v>33709.550000000003</v>
      </c>
      <c r="AB165" s="32">
        <f t="shared" si="139"/>
        <v>7312444133.750001</v>
      </c>
      <c r="AC165">
        <v>11109</v>
      </c>
      <c r="AD165" s="37">
        <f t="shared" si="140"/>
        <v>3.7700439482123767E-2</v>
      </c>
      <c r="AE165">
        <v>6.8602000000000003E-3</v>
      </c>
      <c r="AF165" s="3">
        <f t="shared" si="141"/>
        <v>6.8602000000000005E-5</v>
      </c>
      <c r="AG165" s="11">
        <f>+'Seat capacity elasticities'!R195</f>
        <v>1.4428057124822575E-2</v>
      </c>
      <c r="AH165" s="11">
        <f>+'Seat capacity elasticities'!S195</f>
        <v>2.7345159201317325E-2</v>
      </c>
      <c r="AI165" s="11">
        <f>+'Seat capacity elasticities'!T195</f>
        <v>3.9586005107816458E-2</v>
      </c>
      <c r="AJ165" s="11">
        <f>+'Seat capacity elasticities'!U195</f>
        <v>3.2382425369981045E-2</v>
      </c>
      <c r="AK165" s="32">
        <f t="shared" si="156"/>
        <v>1055043.6168381874</v>
      </c>
      <c r="AL165" s="33">
        <f t="shared" si="157"/>
        <v>1.4428057124822575E-4</v>
      </c>
      <c r="AM165" s="40">
        <f t="shared" si="158"/>
        <v>1999599.4898813271</v>
      </c>
      <c r="AN165" s="33">
        <f t="shared" si="159"/>
        <v>2.7345159201317321E-4</v>
      </c>
      <c r="AO165" s="40">
        <f t="shared" si="160"/>
        <v>4397609.3074273309</v>
      </c>
      <c r="AP165" s="41">
        <f t="shared" si="161"/>
        <v>3.9586005107816464E-4</v>
      </c>
      <c r="AQ165" s="40">
        <f t="shared" si="162"/>
        <v>3597363.6343511944</v>
      </c>
      <c r="AR165" s="41">
        <f t="shared" si="163"/>
        <v>3.2382425369981046E-4</v>
      </c>
      <c r="AV165" t="s">
        <v>438</v>
      </c>
      <c r="AW165">
        <v>294665</v>
      </c>
      <c r="AX165">
        <v>216925</v>
      </c>
      <c r="AY165" s="51">
        <v>33709.550000000003</v>
      </c>
      <c r="AZ165" s="32">
        <f t="shared" si="142"/>
        <v>7312444133.750001</v>
      </c>
      <c r="BA165">
        <v>11109</v>
      </c>
      <c r="BB165" s="37">
        <f t="shared" si="143"/>
        <v>3.7700439482123767E-2</v>
      </c>
      <c r="BC165">
        <v>0</v>
      </c>
      <c r="BD165" s="3">
        <f t="shared" si="144"/>
        <v>0</v>
      </c>
      <c r="BE165" s="11">
        <f>+'Seat capacity elasticities'!Y195</f>
        <v>0</v>
      </c>
      <c r="BF165" s="11">
        <f>+'Seat capacity elasticities'!Z195</f>
        <v>0</v>
      </c>
      <c r="BG165" s="11">
        <f>+'Seat capacity elasticities'!AA195</f>
        <v>0</v>
      </c>
      <c r="BH165" s="11">
        <f>+'Seat capacity elasticities'!AB195</f>
        <v>0</v>
      </c>
      <c r="BI165" s="32">
        <f t="shared" si="164"/>
        <v>0</v>
      </c>
      <c r="BJ165" s="33">
        <f t="shared" si="165"/>
        <v>0</v>
      </c>
      <c r="BK165" s="40">
        <f t="shared" si="166"/>
        <v>0</v>
      </c>
      <c r="BL165" s="33">
        <f t="shared" si="167"/>
        <v>0</v>
      </c>
      <c r="BM165" s="40">
        <f t="shared" si="168"/>
        <v>0</v>
      </c>
      <c r="BN165" s="41">
        <f t="shared" si="169"/>
        <v>0</v>
      </c>
      <c r="BO165" s="40">
        <f t="shared" si="170"/>
        <v>0</v>
      </c>
      <c r="BP165" s="41">
        <f t="shared" si="171"/>
        <v>0</v>
      </c>
      <c r="BQ165" s="53"/>
      <c r="BR165" s="53"/>
      <c r="BS165" t="s">
        <v>438</v>
      </c>
      <c r="BT165">
        <v>294665</v>
      </c>
      <c r="BU165">
        <v>216925</v>
      </c>
      <c r="BV165" s="51">
        <v>33709.550000000003</v>
      </c>
      <c r="BW165" s="32">
        <f t="shared" si="145"/>
        <v>7312444133.750001</v>
      </c>
      <c r="BX165">
        <v>11109</v>
      </c>
      <c r="BY165" s="37">
        <f t="shared" si="146"/>
        <v>3.7700439482123767E-2</v>
      </c>
      <c r="BZ165">
        <v>6.8602000000000003E-3</v>
      </c>
      <c r="CA165" s="3">
        <f t="shared" si="147"/>
        <v>6.8602000000000005E-5</v>
      </c>
      <c r="CB165" s="11">
        <f>+'Seat capacity elasticities'!AF195</f>
        <v>4.9425869791951751E-2</v>
      </c>
      <c r="CC165" s="11">
        <f>+'Seat capacity elasticities'!AG195</f>
        <v>3.9495372368615209E-2</v>
      </c>
      <c r="CD165" s="11">
        <f>+'Seat capacity elasticities'!AH195</f>
        <v>0.13560888462773765</v>
      </c>
      <c r="CE165" s="11">
        <f>+'Seat capacity elasticities'!AI195</f>
        <v>4.6770835699675911E-2</v>
      </c>
      <c r="CF165" s="32">
        <f t="shared" si="172"/>
        <v>3614239.1161564896</v>
      </c>
      <c r="CG165" s="33">
        <f t="shared" si="173"/>
        <v>4.9425869791951756E-4</v>
      </c>
      <c r="CH165" s="40">
        <f t="shared" si="174"/>
        <v>2888077.0398715213</v>
      </c>
      <c r="CI165" s="33">
        <f t="shared" si="175"/>
        <v>3.9495372368615204E-4</v>
      </c>
      <c r="CJ165" s="40">
        <f t="shared" si="176"/>
        <v>15064790.993295377</v>
      </c>
      <c r="CK165" s="41">
        <f t="shared" si="177"/>
        <v>1.3560888462773766E-3</v>
      </c>
      <c r="CL165" s="40">
        <f t="shared" si="178"/>
        <v>5195772.1378769968</v>
      </c>
      <c r="CM165" s="41">
        <f t="shared" si="179"/>
        <v>4.6770835699675909E-4</v>
      </c>
      <c r="CO165" s="70">
        <f t="shared" si="180"/>
        <v>0</v>
      </c>
      <c r="CP165" s="70">
        <f t="shared" si="181"/>
        <v>0</v>
      </c>
      <c r="CQ165" s="70">
        <f t="shared" si="182"/>
        <v>0</v>
      </c>
      <c r="CR165" s="70">
        <f t="shared" si="183"/>
        <v>0</v>
      </c>
      <c r="CS165" s="70">
        <f t="shared" si="184"/>
        <v>0</v>
      </c>
      <c r="CT165" s="70">
        <f t="shared" si="185"/>
        <v>0</v>
      </c>
      <c r="CU165" s="69">
        <f t="shared" si="186"/>
        <v>0</v>
      </c>
      <c r="CV165" s="69">
        <f t="shared" si="187"/>
        <v>0</v>
      </c>
      <c r="CW165" s="70">
        <f t="shared" si="188"/>
        <v>0</v>
      </c>
      <c r="CX165" s="69">
        <f t="shared" si="189"/>
        <v>0</v>
      </c>
      <c r="CY165" s="69">
        <f t="shared" si="190"/>
        <v>0</v>
      </c>
      <c r="CZ165" s="70">
        <f t="shared" si="191"/>
        <v>0</v>
      </c>
      <c r="DB165" s="70">
        <f t="shared" si="192"/>
        <v>4.8636331305206291</v>
      </c>
      <c r="DC165" s="70">
        <f t="shared" si="193"/>
        <v>16.661238290452875</v>
      </c>
      <c r="DD165" s="70">
        <f t="shared" si="194"/>
        <v>21.524871420973504</v>
      </c>
      <c r="DE165" s="70">
        <f t="shared" si="195"/>
        <v>9.2179301135476646</v>
      </c>
      <c r="DF165" s="70">
        <f t="shared" si="196"/>
        <v>13.313712296284528</v>
      </c>
      <c r="DG165" s="70">
        <f t="shared" si="197"/>
        <v>22.531642409832195</v>
      </c>
      <c r="DH165" s="69">
        <f t="shared" si="198"/>
        <v>20.272487299422984</v>
      </c>
      <c r="DI165" s="69">
        <f t="shared" si="199"/>
        <v>69.447002389283753</v>
      </c>
      <c r="DJ165" s="70">
        <f t="shared" si="200"/>
        <v>89.719489688706744</v>
      </c>
      <c r="DK165" s="69">
        <f t="shared" si="201"/>
        <v>16.583444205837015</v>
      </c>
      <c r="DL165" s="69">
        <f t="shared" si="202"/>
        <v>23.951928721341464</v>
      </c>
      <c r="DM165" s="70">
        <f t="shared" si="203"/>
        <v>40.535372927178479</v>
      </c>
    </row>
    <row r="166" spans="1:117">
      <c r="A166" t="s">
        <v>297</v>
      </c>
      <c r="B166">
        <v>675921</v>
      </c>
      <c r="C166">
        <v>436103</v>
      </c>
      <c r="D166" s="51">
        <v>36943.61</v>
      </c>
      <c r="E166" s="32">
        <f t="shared" si="136"/>
        <v>16111219151.83</v>
      </c>
      <c r="F166">
        <v>25560</v>
      </c>
      <c r="G166" s="37">
        <f t="shared" si="137"/>
        <v>3.7815070104346517E-2</v>
      </c>
      <c r="H166">
        <v>3.301E-4</v>
      </c>
      <c r="I166" s="3">
        <f t="shared" si="138"/>
        <v>3.3010000000000002E-6</v>
      </c>
      <c r="J166" s="11">
        <f>+'Seat capacity elasticities'!K196</f>
        <v>7.9592238090444266E-4</v>
      </c>
      <c r="K166" s="11">
        <f>+'Seat capacity elasticities'!L196</f>
        <v>3.9492659393059138E-3</v>
      </c>
      <c r="L166" s="11">
        <f>+'Seat capacity elasticities'!M196</f>
        <v>2.1837581569941387E-3</v>
      </c>
      <c r="M166" s="11">
        <f>+'Seat capacity elasticities'!N196</f>
        <v>4.6767622965464776E-3</v>
      </c>
      <c r="N166" s="32">
        <f t="shared" si="148"/>
        <v>128232.79906597789</v>
      </c>
      <c r="O166" s="33">
        <f t="shared" si="149"/>
        <v>7.9592238090444271E-6</v>
      </c>
      <c r="P166" s="40">
        <f t="shared" si="150"/>
        <v>636274.89037015336</v>
      </c>
      <c r="Q166" s="33">
        <f t="shared" si="151"/>
        <v>3.9492659393059137E-5</v>
      </c>
      <c r="R166" s="40">
        <f t="shared" si="152"/>
        <v>558168.58492770197</v>
      </c>
      <c r="S166" s="41">
        <f t="shared" si="153"/>
        <v>2.1837581569941393E-5</v>
      </c>
      <c r="T166" s="40">
        <f t="shared" si="154"/>
        <v>1195380.4429972796</v>
      </c>
      <c r="U166" s="41">
        <f t="shared" si="155"/>
        <v>4.6767622965464772E-5</v>
      </c>
      <c r="V166" s="53"/>
      <c r="W166" s="53"/>
      <c r="X166" t="s">
        <v>297</v>
      </c>
      <c r="Y166">
        <v>675921</v>
      </c>
      <c r="Z166">
        <v>436103</v>
      </c>
      <c r="AA166" s="51">
        <v>36943.61</v>
      </c>
      <c r="AB166" s="32">
        <f t="shared" si="139"/>
        <v>16111219151.83</v>
      </c>
      <c r="AC166">
        <v>25560</v>
      </c>
      <c r="AD166" s="37">
        <f t="shared" si="140"/>
        <v>3.7815070104346517E-2</v>
      </c>
      <c r="AE166">
        <v>2.9543E-3</v>
      </c>
      <c r="AF166" s="3">
        <f t="shared" si="141"/>
        <v>2.9543000000000002E-5</v>
      </c>
      <c r="AG166" s="11">
        <f>+'Seat capacity elasticities'!R196</f>
        <v>6.5484749733480362E-3</v>
      </c>
      <c r="AH166" s="11">
        <f>+'Seat capacity elasticities'!S196</f>
        <v>1.2411171450379625E-2</v>
      </c>
      <c r="AI166" s="11">
        <f>+'Seat capacity elasticities'!T196</f>
        <v>1.796693494492602E-2</v>
      </c>
      <c r="AJ166" s="11">
        <f>+'Seat capacity elasticities'!U196</f>
        <v>1.4697439875449556E-2</v>
      </c>
      <c r="AK166" s="32">
        <f t="shared" si="156"/>
        <v>1055039.1540588434</v>
      </c>
      <c r="AL166" s="33">
        <f t="shared" si="157"/>
        <v>6.5484749733480362E-5</v>
      </c>
      <c r="AM166" s="40">
        <f t="shared" si="158"/>
        <v>1999591.0316800191</v>
      </c>
      <c r="AN166" s="33">
        <f t="shared" si="159"/>
        <v>1.2411171450379623E-4</v>
      </c>
      <c r="AO166" s="40">
        <f t="shared" si="160"/>
        <v>4592348.5719230901</v>
      </c>
      <c r="AP166" s="41">
        <f t="shared" si="161"/>
        <v>1.7966934944926017E-4</v>
      </c>
      <c r="AQ166" s="40">
        <f t="shared" si="162"/>
        <v>3756665.6321649067</v>
      </c>
      <c r="AR166" s="41">
        <f t="shared" si="163"/>
        <v>1.4697439875449559E-4</v>
      </c>
      <c r="AV166" t="s">
        <v>297</v>
      </c>
      <c r="AW166">
        <v>675921</v>
      </c>
      <c r="AX166">
        <v>436103</v>
      </c>
      <c r="AY166" s="51">
        <v>36943.61</v>
      </c>
      <c r="AZ166" s="32">
        <f t="shared" si="142"/>
        <v>16111219151.83</v>
      </c>
      <c r="BA166">
        <v>25560</v>
      </c>
      <c r="BB166" s="37">
        <f t="shared" si="143"/>
        <v>3.7815070104346517E-2</v>
      </c>
      <c r="BC166">
        <v>3.301E-4</v>
      </c>
      <c r="BD166" s="3">
        <f t="shared" si="144"/>
        <v>3.3010000000000002E-6</v>
      </c>
      <c r="BE166" s="11">
        <f>+'Seat capacity elasticities'!Y196</f>
        <v>9.8778020769749453E-3</v>
      </c>
      <c r="BF166" s="11">
        <f>+'Seat capacity elasticities'!Z196</f>
        <v>2.6945091935749087E-2</v>
      </c>
      <c r="BG166" s="11">
        <f>+'Seat capacity elasticities'!AA196</f>
        <v>2.7101550824913209E-2</v>
      </c>
      <c r="BH166" s="11">
        <f>+'Seat capacity elasticities'!AB196</f>
        <v>3.1908661502860765E-2</v>
      </c>
      <c r="BI166" s="32">
        <f t="shared" si="164"/>
        <v>1591434.3400054488</v>
      </c>
      <c r="BJ166" s="33">
        <f t="shared" si="165"/>
        <v>9.8778020769749441E-5</v>
      </c>
      <c r="BK166" s="40">
        <f t="shared" si="166"/>
        <v>4341182.8124306081</v>
      </c>
      <c r="BL166" s="33">
        <f t="shared" si="167"/>
        <v>2.6945091935749087E-4</v>
      </c>
      <c r="BM166" s="40">
        <f t="shared" si="168"/>
        <v>6927156.3908478171</v>
      </c>
      <c r="BN166" s="41">
        <f t="shared" si="169"/>
        <v>2.7101550824913212E-4</v>
      </c>
      <c r="BO166" s="40">
        <f t="shared" si="170"/>
        <v>8155853.880131213</v>
      </c>
      <c r="BP166" s="41">
        <f t="shared" si="171"/>
        <v>3.1908661502860769E-4</v>
      </c>
      <c r="BQ166" s="53"/>
      <c r="BR166" s="53"/>
      <c r="BS166" t="s">
        <v>297</v>
      </c>
      <c r="BT166">
        <v>675921</v>
      </c>
      <c r="BU166">
        <v>436103</v>
      </c>
      <c r="BV166" s="51">
        <v>36943.61</v>
      </c>
      <c r="BW166" s="32">
        <f t="shared" si="145"/>
        <v>16111219151.83</v>
      </c>
      <c r="BX166">
        <v>25560</v>
      </c>
      <c r="BY166" s="37">
        <f t="shared" si="146"/>
        <v>3.7815070104346517E-2</v>
      </c>
      <c r="BZ166">
        <v>2.9543E-3</v>
      </c>
      <c r="CA166" s="3">
        <f t="shared" si="147"/>
        <v>2.9543000000000002E-5</v>
      </c>
      <c r="CB166" s="11">
        <f>+'Seat capacity elasticities'!AF196</f>
        <v>9.2790764371645119E-3</v>
      </c>
      <c r="CC166" s="11">
        <f>+'Seat capacity elasticities'!AG196</f>
        <v>7.414752247462352E-3</v>
      </c>
      <c r="CD166" s="11">
        <f>+'Seat capacity elasticities'!AH196</f>
        <v>2.5458837878140902E-2</v>
      </c>
      <c r="CE166" s="11">
        <f>+'Seat capacity elasticities'!AI196</f>
        <v>8.7806276614685753E-3</v>
      </c>
      <c r="CF166" s="32">
        <f t="shared" si="172"/>
        <v>1494972.3400573935</v>
      </c>
      <c r="CG166" s="33">
        <f t="shared" si="173"/>
        <v>9.2790764371645105E-5</v>
      </c>
      <c r="CH166" s="40">
        <f t="shared" si="174"/>
        <v>1194606.9841538998</v>
      </c>
      <c r="CI166" s="33">
        <f t="shared" si="175"/>
        <v>7.4147522474623522E-5</v>
      </c>
      <c r="CJ166" s="40">
        <f t="shared" si="176"/>
        <v>6507278.9616528144</v>
      </c>
      <c r="CK166" s="41">
        <f t="shared" si="177"/>
        <v>2.54588378781409E-4</v>
      </c>
      <c r="CL166" s="40">
        <f t="shared" si="178"/>
        <v>2244328.430271368</v>
      </c>
      <c r="CM166" s="41">
        <f t="shared" si="179"/>
        <v>8.7806276614685753E-5</v>
      </c>
      <c r="CO166" s="70">
        <f t="shared" si="180"/>
        <v>0.29404246030405179</v>
      </c>
      <c r="CP166" s="70">
        <f t="shared" si="181"/>
        <v>3.6492166758895235</v>
      </c>
      <c r="CQ166" s="70">
        <f t="shared" si="182"/>
        <v>3.9432591361935754</v>
      </c>
      <c r="CR166" s="70">
        <f t="shared" si="183"/>
        <v>1.4590014064800136</v>
      </c>
      <c r="CS166" s="70">
        <f t="shared" si="184"/>
        <v>9.9544896788845936</v>
      </c>
      <c r="CT166" s="70">
        <f t="shared" si="185"/>
        <v>11.413491085364607</v>
      </c>
      <c r="CU166" s="69">
        <f t="shared" si="186"/>
        <v>1.2799008145500077</v>
      </c>
      <c r="CV166" s="69">
        <f t="shared" si="187"/>
        <v>15.884220908473038</v>
      </c>
      <c r="CW166" s="70">
        <f t="shared" si="188"/>
        <v>17.164121723023047</v>
      </c>
      <c r="CX166" s="69">
        <f t="shared" si="189"/>
        <v>2.7410507219562343</v>
      </c>
      <c r="CY166" s="69">
        <f t="shared" si="190"/>
        <v>18.70166882624337</v>
      </c>
      <c r="CZ166" s="70">
        <f t="shared" si="191"/>
        <v>21.442719548199605</v>
      </c>
      <c r="DB166" s="70">
        <f t="shared" si="192"/>
        <v>2.4192430551013024</v>
      </c>
      <c r="DC166" s="70">
        <f t="shared" si="193"/>
        <v>3.4280258105479522</v>
      </c>
      <c r="DD166" s="70">
        <f t="shared" si="194"/>
        <v>5.8472688656492551</v>
      </c>
      <c r="DE166" s="70">
        <f t="shared" si="195"/>
        <v>4.5851347770595918</v>
      </c>
      <c r="DF166" s="70">
        <f t="shared" si="196"/>
        <v>2.7392771527687261</v>
      </c>
      <c r="DG166" s="70">
        <f t="shared" si="197"/>
        <v>7.3244119298283179</v>
      </c>
      <c r="DH166" s="69">
        <f t="shared" si="198"/>
        <v>10.530421877224166</v>
      </c>
      <c r="DI166" s="69">
        <f t="shared" si="199"/>
        <v>14.921426730962214</v>
      </c>
      <c r="DJ166" s="70">
        <f t="shared" si="200"/>
        <v>25.451848608186381</v>
      </c>
      <c r="DK166" s="69">
        <f t="shared" si="201"/>
        <v>8.614170579346867</v>
      </c>
      <c r="DL166" s="69">
        <f t="shared" si="202"/>
        <v>5.1463265106439717</v>
      </c>
      <c r="DM166" s="70">
        <f t="shared" si="203"/>
        <v>13.760497089990839</v>
      </c>
    </row>
    <row r="167" spans="1:117">
      <c r="A167" t="s">
        <v>439</v>
      </c>
      <c r="B167">
        <v>124362</v>
      </c>
      <c r="C167">
        <v>71973</v>
      </c>
      <c r="D167" s="51">
        <v>28090.81</v>
      </c>
      <c r="E167" s="32">
        <f t="shared" si="136"/>
        <v>2021779868.1300001</v>
      </c>
      <c r="F167">
        <v>2474</v>
      </c>
      <c r="G167" s="37">
        <f t="shared" si="137"/>
        <v>1.989353661086184E-2</v>
      </c>
      <c r="H167">
        <v>0</v>
      </c>
      <c r="I167" s="3">
        <f t="shared" si="138"/>
        <v>0</v>
      </c>
      <c r="J167" s="11">
        <f>+'Seat capacity elasticities'!K197</f>
        <v>0</v>
      </c>
      <c r="K167" s="11">
        <f>+'Seat capacity elasticities'!L197</f>
        <v>0</v>
      </c>
      <c r="L167" s="11">
        <f>+'Seat capacity elasticities'!M197</f>
        <v>0</v>
      </c>
      <c r="M167" s="11">
        <f>+'Seat capacity elasticities'!N197</f>
        <v>0</v>
      </c>
      <c r="N167" s="32">
        <f t="shared" si="148"/>
        <v>0</v>
      </c>
      <c r="O167" s="33">
        <f t="shared" si="149"/>
        <v>0</v>
      </c>
      <c r="P167" s="40">
        <f t="shared" si="150"/>
        <v>0</v>
      </c>
      <c r="Q167" s="33">
        <f t="shared" si="151"/>
        <v>0</v>
      </c>
      <c r="R167" s="40">
        <f t="shared" si="152"/>
        <v>0</v>
      </c>
      <c r="S167" s="41">
        <f t="shared" si="153"/>
        <v>0</v>
      </c>
      <c r="T167" s="40">
        <f t="shared" si="154"/>
        <v>0</v>
      </c>
      <c r="U167" s="41">
        <f t="shared" si="155"/>
        <v>0</v>
      </c>
      <c r="V167" s="53"/>
      <c r="W167" s="53"/>
      <c r="X167" t="s">
        <v>439</v>
      </c>
      <c r="Y167">
        <v>124362</v>
      </c>
      <c r="Z167">
        <v>71973</v>
      </c>
      <c r="AA167" s="51">
        <v>28090.81</v>
      </c>
      <c r="AB167" s="32">
        <f t="shared" si="139"/>
        <v>2021779868.1300001</v>
      </c>
      <c r="AC167">
        <v>2474</v>
      </c>
      <c r="AD167" s="37">
        <f t="shared" si="140"/>
        <v>1.989353661086184E-2</v>
      </c>
      <c r="AE167">
        <v>1.23307E-2</v>
      </c>
      <c r="AF167" s="3">
        <f t="shared" si="141"/>
        <v>1.2330699999999999E-4</v>
      </c>
      <c r="AG167" s="11">
        <f>+'Seat capacity elasticities'!R197</f>
        <v>2.5097165111083536E-2</v>
      </c>
      <c r="AH167" s="11">
        <f>+'Seat capacity elasticities'!S197</f>
        <v>4.7566070020863299E-2</v>
      </c>
      <c r="AI167" s="11">
        <f>+'Seat capacity elasticities'!T197</f>
        <v>6.8858647958207536E-2</v>
      </c>
      <c r="AJ167" s="11">
        <f>+'Seat capacity elasticities'!U197</f>
        <v>5.6328240814180225E-2</v>
      </c>
      <c r="AK167" s="32">
        <f t="shared" si="156"/>
        <v>507409.43168723315</v>
      </c>
      <c r="AL167" s="33">
        <f t="shared" si="157"/>
        <v>2.5097165111083539E-4</v>
      </c>
      <c r="AM167" s="40">
        <f t="shared" si="158"/>
        <v>961681.22774243366</v>
      </c>
      <c r="AN167" s="33">
        <f t="shared" si="159"/>
        <v>4.7566070020863308E-4</v>
      </c>
      <c r="AO167" s="40">
        <f t="shared" si="160"/>
        <v>1703562.9504860546</v>
      </c>
      <c r="AP167" s="41">
        <f t="shared" si="161"/>
        <v>6.8858647958207537E-4</v>
      </c>
      <c r="AQ167" s="40">
        <f t="shared" si="162"/>
        <v>1393560.6777428188</v>
      </c>
      <c r="AR167" s="41">
        <f t="shared" si="163"/>
        <v>5.6328240814180227E-4</v>
      </c>
      <c r="AV167" t="s">
        <v>439</v>
      </c>
      <c r="AW167">
        <v>124362</v>
      </c>
      <c r="AX167">
        <v>71973</v>
      </c>
      <c r="AY167" s="51">
        <v>28090.81</v>
      </c>
      <c r="AZ167" s="32">
        <f t="shared" si="142"/>
        <v>2021779868.1300001</v>
      </c>
      <c r="BA167">
        <v>2474</v>
      </c>
      <c r="BB167" s="37">
        <f t="shared" si="143"/>
        <v>1.989353661086184E-2</v>
      </c>
      <c r="BC167">
        <v>0</v>
      </c>
      <c r="BD167" s="3">
        <f t="shared" si="144"/>
        <v>0</v>
      </c>
      <c r="BE167" s="11">
        <f>+'Seat capacity elasticities'!Y197</f>
        <v>0</v>
      </c>
      <c r="BF167" s="11">
        <f>+'Seat capacity elasticities'!Z197</f>
        <v>0</v>
      </c>
      <c r="BG167" s="11">
        <f>+'Seat capacity elasticities'!AA197</f>
        <v>0</v>
      </c>
      <c r="BH167" s="11">
        <f>+'Seat capacity elasticities'!AB197</f>
        <v>0</v>
      </c>
      <c r="BI167" s="32">
        <f t="shared" si="164"/>
        <v>0</v>
      </c>
      <c r="BJ167" s="33">
        <f t="shared" si="165"/>
        <v>0</v>
      </c>
      <c r="BK167" s="40">
        <f t="shared" si="166"/>
        <v>0</v>
      </c>
      <c r="BL167" s="33">
        <f t="shared" si="167"/>
        <v>0</v>
      </c>
      <c r="BM167" s="40">
        <f t="shared" si="168"/>
        <v>0</v>
      </c>
      <c r="BN167" s="41">
        <f t="shared" si="169"/>
        <v>0</v>
      </c>
      <c r="BO167" s="40">
        <f t="shared" si="170"/>
        <v>0</v>
      </c>
      <c r="BP167" s="41">
        <f t="shared" si="171"/>
        <v>0</v>
      </c>
      <c r="BQ167" s="53"/>
      <c r="BR167" s="53"/>
      <c r="BS167" t="s">
        <v>439</v>
      </c>
      <c r="BT167">
        <v>124362</v>
      </c>
      <c r="BU167">
        <v>71973</v>
      </c>
      <c r="BV167" s="51">
        <v>28090.81</v>
      </c>
      <c r="BW167" s="32">
        <f t="shared" si="145"/>
        <v>2021779868.1300001</v>
      </c>
      <c r="BX167">
        <v>2474</v>
      </c>
      <c r="BY167" s="37">
        <f t="shared" si="146"/>
        <v>1.989353661086184E-2</v>
      </c>
      <c r="BZ167">
        <v>1.23307E-2</v>
      </c>
      <c r="CA167" s="3">
        <f t="shared" si="147"/>
        <v>1.2330699999999999E-4</v>
      </c>
      <c r="CB167" s="11">
        <f>+'Seat capacity elasticities'!AF197</f>
        <v>0.21049710696548399</v>
      </c>
      <c r="CC167" s="11">
        <f>+'Seat capacity elasticities'!AG197</f>
        <v>0.16820465997083514</v>
      </c>
      <c r="CD167" s="11">
        <f>+'Seat capacity elasticities'!AH197</f>
        <v>0.57753718878616545</v>
      </c>
      <c r="CE167" s="11">
        <f>+'Seat capacity elasticities'!AI197</f>
        <v>0.1991897289128311</v>
      </c>
      <c r="CF167" s="32">
        <f t="shared" si="172"/>
        <v>4255788.1316242283</v>
      </c>
      <c r="CG167" s="33">
        <f t="shared" si="173"/>
        <v>2.1049710696548402E-3</v>
      </c>
      <c r="CH167" s="40">
        <f t="shared" si="174"/>
        <v>3400727.9525468661</v>
      </c>
      <c r="CI167" s="33">
        <f t="shared" si="175"/>
        <v>1.6820465997083515E-3</v>
      </c>
      <c r="CJ167" s="40">
        <f t="shared" si="176"/>
        <v>14288270.050569734</v>
      </c>
      <c r="CK167" s="41">
        <f t="shared" si="177"/>
        <v>5.7753718878616545E-3</v>
      </c>
      <c r="CL167" s="40">
        <f t="shared" si="178"/>
        <v>4927953.8933034418</v>
      </c>
      <c r="CM167" s="41">
        <f t="shared" si="179"/>
        <v>1.991897289128311E-3</v>
      </c>
      <c r="CO167" s="70">
        <f t="shared" si="180"/>
        <v>0</v>
      </c>
      <c r="CP167" s="70">
        <f t="shared" si="181"/>
        <v>0</v>
      </c>
      <c r="CQ167" s="70">
        <f t="shared" si="182"/>
        <v>0</v>
      </c>
      <c r="CR167" s="70">
        <f t="shared" si="183"/>
        <v>0</v>
      </c>
      <c r="CS167" s="70">
        <f t="shared" si="184"/>
        <v>0</v>
      </c>
      <c r="CT167" s="70">
        <f t="shared" si="185"/>
        <v>0</v>
      </c>
      <c r="CU167" s="69">
        <f t="shared" si="186"/>
        <v>0</v>
      </c>
      <c r="CV167" s="69">
        <f t="shared" si="187"/>
        <v>0</v>
      </c>
      <c r="CW167" s="70">
        <f t="shared" si="188"/>
        <v>0</v>
      </c>
      <c r="CX167" s="69">
        <f t="shared" si="189"/>
        <v>0</v>
      </c>
      <c r="CY167" s="69">
        <f t="shared" si="190"/>
        <v>0</v>
      </c>
      <c r="CZ167" s="70">
        <f t="shared" si="191"/>
        <v>0</v>
      </c>
      <c r="DB167" s="70">
        <f t="shared" si="192"/>
        <v>7.0499969667407658</v>
      </c>
      <c r="DC167" s="70">
        <f t="shared" si="193"/>
        <v>59.13034237317089</v>
      </c>
      <c r="DD167" s="70">
        <f t="shared" si="194"/>
        <v>66.180339339911654</v>
      </c>
      <c r="DE167" s="70">
        <f t="shared" si="195"/>
        <v>13.361694354027673</v>
      </c>
      <c r="DF167" s="70">
        <f t="shared" si="196"/>
        <v>47.25005144355336</v>
      </c>
      <c r="DG167" s="70">
        <f t="shared" si="197"/>
        <v>60.611745797581037</v>
      </c>
      <c r="DH167" s="69">
        <f t="shared" si="198"/>
        <v>23.669472586748569</v>
      </c>
      <c r="DI167" s="69">
        <f t="shared" si="199"/>
        <v>198.52264113722831</v>
      </c>
      <c r="DJ167" s="70">
        <f t="shared" si="200"/>
        <v>222.19211372397689</v>
      </c>
      <c r="DK167" s="69">
        <f t="shared" si="201"/>
        <v>19.362270264443872</v>
      </c>
      <c r="DL167" s="69">
        <f t="shared" si="202"/>
        <v>68.469480128707175</v>
      </c>
      <c r="DM167" s="70">
        <f t="shared" si="203"/>
        <v>87.831750393151054</v>
      </c>
    </row>
    <row r="168" spans="1:117">
      <c r="A168" t="s">
        <v>992</v>
      </c>
      <c r="B168">
        <v>204496</v>
      </c>
      <c r="C168">
        <v>134466</v>
      </c>
      <c r="D168" s="51">
        <v>35428.879999999997</v>
      </c>
      <c r="E168" s="32">
        <f t="shared" si="136"/>
        <v>4763979778.0799999</v>
      </c>
      <c r="F168">
        <v>9038</v>
      </c>
      <c r="G168" s="37">
        <f t="shared" si="137"/>
        <v>4.419646350050857E-2</v>
      </c>
      <c r="H168">
        <v>0</v>
      </c>
      <c r="I168" s="3">
        <f t="shared" si="138"/>
        <v>0</v>
      </c>
      <c r="J168" s="11">
        <f>+'Seat capacity elasticities'!K198</f>
        <v>0</v>
      </c>
      <c r="K168" s="11">
        <f>+'Seat capacity elasticities'!L198</f>
        <v>0</v>
      </c>
      <c r="L168" s="11">
        <f>+'Seat capacity elasticities'!M198</f>
        <v>0</v>
      </c>
      <c r="M168" s="11">
        <f>+'Seat capacity elasticities'!N198</f>
        <v>0</v>
      </c>
      <c r="N168" s="32">
        <f t="shared" si="148"/>
        <v>0</v>
      </c>
      <c r="O168" s="33">
        <f t="shared" si="149"/>
        <v>0</v>
      </c>
      <c r="P168" s="40">
        <f t="shared" si="150"/>
        <v>0</v>
      </c>
      <c r="Q168" s="33">
        <f t="shared" si="151"/>
        <v>0</v>
      </c>
      <c r="R168" s="40">
        <f t="shared" si="152"/>
        <v>0</v>
      </c>
      <c r="S168" s="41">
        <f t="shared" si="153"/>
        <v>0</v>
      </c>
      <c r="T168" s="40">
        <f t="shared" si="154"/>
        <v>0</v>
      </c>
      <c r="U168" s="41">
        <f t="shared" si="155"/>
        <v>0</v>
      </c>
      <c r="V168" s="53"/>
      <c r="W168" s="53"/>
      <c r="X168" t="s">
        <v>992</v>
      </c>
      <c r="Y168">
        <v>204496</v>
      </c>
      <c r="Z168">
        <v>134466</v>
      </c>
      <c r="AA168" s="51">
        <v>35428.879999999997</v>
      </c>
      <c r="AB168" s="32">
        <f t="shared" si="139"/>
        <v>4763979778.0799999</v>
      </c>
      <c r="AC168">
        <v>9038</v>
      </c>
      <c r="AD168" s="37">
        <f t="shared" si="140"/>
        <v>4.419646350050857E-2</v>
      </c>
      <c r="AE168">
        <v>8.4769999999999995E-4</v>
      </c>
      <c r="AF168" s="3">
        <f t="shared" si="141"/>
        <v>8.4770000000000003E-6</v>
      </c>
      <c r="AG168" s="11">
        <f>+'Seat capacity elasticities'!R198</f>
        <v>2.7410555571106806E-3</v>
      </c>
      <c r="AH168" s="11">
        <f>+'Seat capacity elasticities'!S198</f>
        <v>5.1950584850327759E-3</v>
      </c>
      <c r="AI168" s="11">
        <f>+'Seat capacity elasticities'!T198</f>
        <v>7.520585644058185E-3</v>
      </c>
      <c r="AJ168" s="11">
        <f>+'Seat capacity elasticities'!U198</f>
        <v>6.1520429428019718E-3</v>
      </c>
      <c r="AK168" s="32">
        <f t="shared" si="156"/>
        <v>130583.33244669091</v>
      </c>
      <c r="AL168" s="33">
        <f t="shared" si="157"/>
        <v>2.7410555571106806E-5</v>
      </c>
      <c r="AM168" s="40">
        <f t="shared" si="158"/>
        <v>247491.53568639065</v>
      </c>
      <c r="AN168" s="33">
        <f t="shared" si="159"/>
        <v>5.1950584850327763E-5</v>
      </c>
      <c r="AO168" s="40">
        <f t="shared" si="160"/>
        <v>679710.53050997877</v>
      </c>
      <c r="AP168" s="41">
        <f t="shared" si="161"/>
        <v>7.5205856440581861E-5</v>
      </c>
      <c r="AQ168" s="40">
        <f t="shared" si="162"/>
        <v>556021.64117044222</v>
      </c>
      <c r="AR168" s="41">
        <f t="shared" si="163"/>
        <v>6.1520429428019722E-5</v>
      </c>
      <c r="AV168" t="s">
        <v>992</v>
      </c>
      <c r="AW168">
        <v>204496</v>
      </c>
      <c r="AX168">
        <v>134466</v>
      </c>
      <c r="AY168" s="51">
        <v>35428.879999999997</v>
      </c>
      <c r="AZ168" s="32">
        <f t="shared" si="142"/>
        <v>4763979778.0799999</v>
      </c>
      <c r="BA168">
        <v>9038</v>
      </c>
      <c r="BB168" s="37">
        <f t="shared" si="143"/>
        <v>4.419646350050857E-2</v>
      </c>
      <c r="BC168">
        <v>0</v>
      </c>
      <c r="BD168" s="3">
        <f t="shared" si="144"/>
        <v>0</v>
      </c>
      <c r="BE168" s="11">
        <f>+'Seat capacity elasticities'!Y198</f>
        <v>0</v>
      </c>
      <c r="BF168" s="11">
        <f>+'Seat capacity elasticities'!Z198</f>
        <v>0</v>
      </c>
      <c r="BG168" s="11">
        <f>+'Seat capacity elasticities'!AA198</f>
        <v>0</v>
      </c>
      <c r="BH168" s="11">
        <f>+'Seat capacity elasticities'!AB198</f>
        <v>0</v>
      </c>
      <c r="BI168" s="32">
        <f t="shared" si="164"/>
        <v>0</v>
      </c>
      <c r="BJ168" s="33">
        <f t="shared" si="165"/>
        <v>0</v>
      </c>
      <c r="BK168" s="40">
        <f t="shared" si="166"/>
        <v>0</v>
      </c>
      <c r="BL168" s="33">
        <f t="shared" si="167"/>
        <v>0</v>
      </c>
      <c r="BM168" s="40">
        <f t="shared" si="168"/>
        <v>0</v>
      </c>
      <c r="BN168" s="41">
        <f t="shared" si="169"/>
        <v>0</v>
      </c>
      <c r="BO168" s="40">
        <f t="shared" si="170"/>
        <v>0</v>
      </c>
      <c r="BP168" s="41">
        <f t="shared" si="171"/>
        <v>0</v>
      </c>
      <c r="BQ168" s="53"/>
      <c r="BR168" s="53"/>
      <c r="BS168" t="s">
        <v>992</v>
      </c>
      <c r="BT168">
        <v>204496</v>
      </c>
      <c r="BU168">
        <v>134466</v>
      </c>
      <c r="BV168" s="51">
        <v>35428.879999999997</v>
      </c>
      <c r="BW168" s="32">
        <f t="shared" si="145"/>
        <v>4763979778.0799999</v>
      </c>
      <c r="BX168">
        <v>9038</v>
      </c>
      <c r="BY168" s="37">
        <f t="shared" si="146"/>
        <v>4.419646350050857E-2</v>
      </c>
      <c r="BZ168">
        <v>8.4769999999999995E-4</v>
      </c>
      <c r="CA168" s="3">
        <f t="shared" si="147"/>
        <v>8.4770000000000003E-6</v>
      </c>
      <c r="CB168" s="11">
        <f>+'Seat capacity elasticities'!AF198</f>
        <v>8.8004212915360879E-3</v>
      </c>
      <c r="CC168" s="11">
        <f>+'Seat capacity elasticities'!AG198</f>
        <v>7.0322670571698219E-3</v>
      </c>
      <c r="CD168" s="11">
        <f>+'Seat capacity elasticities'!AH198</f>
        <v>2.4145560222265078E-2</v>
      </c>
      <c r="CE168" s="11">
        <f>+'Seat capacity elasticities'!AI198</f>
        <v>8.3276846729642626E-3</v>
      </c>
      <c r="CF168" s="32">
        <f t="shared" si="172"/>
        <v>419250.29071462597</v>
      </c>
      <c r="CG168" s="33">
        <f t="shared" si="173"/>
        <v>8.8004212915360872E-5</v>
      </c>
      <c r="CH168" s="40">
        <f t="shared" si="174"/>
        <v>335015.78054415184</v>
      </c>
      <c r="CI168" s="33">
        <f t="shared" si="175"/>
        <v>7.0322670571698221E-5</v>
      </c>
      <c r="CJ168" s="40">
        <f t="shared" si="176"/>
        <v>2182275.7328883177</v>
      </c>
      <c r="CK168" s="41">
        <f t="shared" si="177"/>
        <v>2.4145560222265077E-4</v>
      </c>
      <c r="CL168" s="40">
        <f t="shared" si="178"/>
        <v>752656.14074251009</v>
      </c>
      <c r="CM168" s="41">
        <f t="shared" si="179"/>
        <v>8.3276846729642625E-5</v>
      </c>
      <c r="CO168" s="70">
        <f t="shared" si="180"/>
        <v>0</v>
      </c>
      <c r="CP168" s="70">
        <f t="shared" si="181"/>
        <v>0</v>
      </c>
      <c r="CQ168" s="70">
        <f t="shared" si="182"/>
        <v>0</v>
      </c>
      <c r="CR168" s="70">
        <f t="shared" si="183"/>
        <v>0</v>
      </c>
      <c r="CS168" s="70">
        <f t="shared" si="184"/>
        <v>0</v>
      </c>
      <c r="CT168" s="70">
        <f t="shared" si="185"/>
        <v>0</v>
      </c>
      <c r="CU168" s="69">
        <f t="shared" si="186"/>
        <v>0</v>
      </c>
      <c r="CV168" s="69">
        <f t="shared" si="187"/>
        <v>0</v>
      </c>
      <c r="CW168" s="70">
        <f t="shared" si="188"/>
        <v>0</v>
      </c>
      <c r="CX168" s="69">
        <f t="shared" si="189"/>
        <v>0</v>
      </c>
      <c r="CY168" s="69">
        <f t="shared" si="190"/>
        <v>0</v>
      </c>
      <c r="CZ168" s="70">
        <f t="shared" si="191"/>
        <v>0</v>
      </c>
      <c r="DB168" s="70">
        <f t="shared" si="192"/>
        <v>0.97112528406207455</v>
      </c>
      <c r="DC168" s="70">
        <f t="shared" si="193"/>
        <v>3.1178906988727704</v>
      </c>
      <c r="DD168" s="70">
        <f t="shared" si="194"/>
        <v>4.0890159829348445</v>
      </c>
      <c r="DE168" s="70">
        <f t="shared" si="195"/>
        <v>1.8405510365920801</v>
      </c>
      <c r="DF168" s="70">
        <f t="shared" si="196"/>
        <v>2.4914534569642277</v>
      </c>
      <c r="DG168" s="70">
        <f t="shared" si="197"/>
        <v>4.3320044935563082</v>
      </c>
      <c r="DH168" s="69">
        <f t="shared" si="198"/>
        <v>5.0548877077475254</v>
      </c>
      <c r="DI168" s="69">
        <f t="shared" si="199"/>
        <v>16.22920093472192</v>
      </c>
      <c r="DJ168" s="70">
        <f t="shared" si="200"/>
        <v>21.284088642469445</v>
      </c>
      <c r="DK168" s="69">
        <f t="shared" si="201"/>
        <v>4.1350351848827378</v>
      </c>
      <c r="DL168" s="69">
        <f t="shared" si="202"/>
        <v>5.5973713856477483</v>
      </c>
      <c r="DM168" s="70">
        <f t="shared" si="203"/>
        <v>9.7324065705304861</v>
      </c>
    </row>
    <row r="169" spans="1:117">
      <c r="A169" t="s">
        <v>440</v>
      </c>
      <c r="B169">
        <v>101537</v>
      </c>
      <c r="C169">
        <v>48337</v>
      </c>
      <c r="D169" s="51">
        <v>37439.56</v>
      </c>
      <c r="E169" s="32">
        <f t="shared" si="136"/>
        <v>1809716011.7199998</v>
      </c>
      <c r="F169">
        <v>2519</v>
      </c>
      <c r="G169" s="37">
        <f t="shared" si="137"/>
        <v>2.4808690428119798E-2</v>
      </c>
      <c r="H169">
        <v>0</v>
      </c>
      <c r="I169" s="3">
        <f t="shared" si="138"/>
        <v>0</v>
      </c>
      <c r="J169" s="11">
        <f>+'Seat capacity elasticities'!K199</f>
        <v>0</v>
      </c>
      <c r="K169" s="11">
        <f>+'Seat capacity elasticities'!L199</f>
        <v>0</v>
      </c>
      <c r="L169" s="11">
        <f>+'Seat capacity elasticities'!M199</f>
        <v>0</v>
      </c>
      <c r="M169" s="11">
        <f>+'Seat capacity elasticities'!N199</f>
        <v>0</v>
      </c>
      <c r="N169" s="32">
        <f t="shared" si="148"/>
        <v>0</v>
      </c>
      <c r="O169" s="33">
        <f t="shared" si="149"/>
        <v>0</v>
      </c>
      <c r="P169" s="40">
        <f t="shared" si="150"/>
        <v>0</v>
      </c>
      <c r="Q169" s="33">
        <f t="shared" si="151"/>
        <v>0</v>
      </c>
      <c r="R169" s="40">
        <f t="shared" si="152"/>
        <v>0</v>
      </c>
      <c r="S169" s="41">
        <f t="shared" si="153"/>
        <v>0</v>
      </c>
      <c r="T169" s="40">
        <f t="shared" si="154"/>
        <v>0</v>
      </c>
      <c r="U169" s="41">
        <f t="shared" si="155"/>
        <v>0</v>
      </c>
      <c r="V169" s="53"/>
      <c r="W169" s="53"/>
      <c r="X169" t="s">
        <v>440</v>
      </c>
      <c r="Y169">
        <v>101537</v>
      </c>
      <c r="Z169">
        <v>48337</v>
      </c>
      <c r="AA169" s="51">
        <v>37439.56</v>
      </c>
      <c r="AB169" s="32">
        <f t="shared" si="139"/>
        <v>1809716011.7199998</v>
      </c>
      <c r="AC169">
        <v>2519</v>
      </c>
      <c r="AD169" s="37">
        <f t="shared" si="140"/>
        <v>2.4808690428119798E-2</v>
      </c>
      <c r="AE169">
        <v>2.3768000000000001E-3</v>
      </c>
      <c r="AF169" s="3">
        <f t="shared" si="141"/>
        <v>2.3768E-5</v>
      </c>
      <c r="AG169" s="11">
        <f>+'Seat capacity elasticities'!R199</f>
        <v>5.8394705964918258E-3</v>
      </c>
      <c r="AH169" s="11">
        <f>+'Seat capacity elasticities'!S199</f>
        <v>1.1067412038295768E-2</v>
      </c>
      <c r="AI169" s="11">
        <f>+'Seat capacity elasticities'!T199</f>
        <v>1.6021652178100317E-2</v>
      </c>
      <c r="AJ169" s="11">
        <f>+'Seat capacity elasticities'!U199</f>
        <v>1.3106145834823937E-2</v>
      </c>
      <c r="AK169" s="32">
        <f t="shared" si="156"/>
        <v>105677.83438439395</v>
      </c>
      <c r="AL169" s="33">
        <f t="shared" si="157"/>
        <v>5.8394705964918255E-5</v>
      </c>
      <c r="AM169" s="40">
        <f t="shared" si="158"/>
        <v>200288.72774006531</v>
      </c>
      <c r="AN169" s="33">
        <f t="shared" si="159"/>
        <v>1.1067412038295768E-4</v>
      </c>
      <c r="AO169" s="40">
        <f t="shared" si="160"/>
        <v>403585.41836634692</v>
      </c>
      <c r="AP169" s="41">
        <f t="shared" si="161"/>
        <v>1.6021652178100314E-4</v>
      </c>
      <c r="AQ169" s="40">
        <f t="shared" si="162"/>
        <v>330143.81357921503</v>
      </c>
      <c r="AR169" s="41">
        <f t="shared" si="163"/>
        <v>1.3106145834823941E-4</v>
      </c>
      <c r="AV169" t="s">
        <v>440</v>
      </c>
      <c r="AW169">
        <v>101537</v>
      </c>
      <c r="AX169">
        <v>48337</v>
      </c>
      <c r="AY169" s="51">
        <v>37439.56</v>
      </c>
      <c r="AZ169" s="32">
        <f t="shared" si="142"/>
        <v>1809716011.7199998</v>
      </c>
      <c r="BA169">
        <v>2519</v>
      </c>
      <c r="BB169" s="37">
        <f t="shared" si="143"/>
        <v>2.4808690428119798E-2</v>
      </c>
      <c r="BC169">
        <v>0</v>
      </c>
      <c r="BD169" s="3">
        <f t="shared" si="144"/>
        <v>0</v>
      </c>
      <c r="BE169" s="11">
        <f>+'Seat capacity elasticities'!Y199</f>
        <v>0</v>
      </c>
      <c r="BF169" s="11">
        <f>+'Seat capacity elasticities'!Z199</f>
        <v>0</v>
      </c>
      <c r="BG169" s="11">
        <f>+'Seat capacity elasticities'!AA199</f>
        <v>0</v>
      </c>
      <c r="BH169" s="11">
        <f>+'Seat capacity elasticities'!AB199</f>
        <v>0</v>
      </c>
      <c r="BI169" s="32">
        <f t="shared" si="164"/>
        <v>0</v>
      </c>
      <c r="BJ169" s="33">
        <f t="shared" si="165"/>
        <v>0</v>
      </c>
      <c r="BK169" s="40">
        <f t="shared" si="166"/>
        <v>0</v>
      </c>
      <c r="BL169" s="33">
        <f t="shared" si="167"/>
        <v>0</v>
      </c>
      <c r="BM169" s="40">
        <f t="shared" si="168"/>
        <v>0</v>
      </c>
      <c r="BN169" s="41">
        <f t="shared" si="169"/>
        <v>0</v>
      </c>
      <c r="BO169" s="40">
        <f t="shared" si="170"/>
        <v>0</v>
      </c>
      <c r="BP169" s="41">
        <f t="shared" si="171"/>
        <v>0</v>
      </c>
      <c r="BQ169" s="53"/>
      <c r="BR169" s="53"/>
      <c r="BS169" t="s">
        <v>440</v>
      </c>
      <c r="BT169">
        <v>101537</v>
      </c>
      <c r="BU169">
        <v>48337</v>
      </c>
      <c r="BV169" s="51">
        <v>37439.56</v>
      </c>
      <c r="BW169" s="32">
        <f t="shared" si="145"/>
        <v>1809716011.7199998</v>
      </c>
      <c r="BX169">
        <v>2519</v>
      </c>
      <c r="BY169" s="37">
        <f t="shared" si="146"/>
        <v>2.4808690428119798E-2</v>
      </c>
      <c r="BZ169">
        <v>2.3768000000000001E-3</v>
      </c>
      <c r="CA169" s="3">
        <f t="shared" si="147"/>
        <v>2.3768E-5</v>
      </c>
      <c r="CB169" s="11">
        <f>+'Seat capacity elasticities'!AF199</f>
        <v>4.9695196087114799E-2</v>
      </c>
      <c r="CC169" s="11">
        <f>+'Seat capacity elasticities'!AG199</f>
        <v>3.9710586432847146E-2</v>
      </c>
      <c r="CD169" s="11">
        <f>+'Seat capacity elasticities'!AH199</f>
        <v>0.13634783041952075</v>
      </c>
      <c r="CE169" s="11">
        <f>+'Seat capacity elasticities'!AI199</f>
        <v>4.7025694459950571E-2</v>
      </c>
      <c r="CF169" s="32">
        <f t="shared" si="172"/>
        <v>899341.92064416735</v>
      </c>
      <c r="CG169" s="33">
        <f t="shared" si="173"/>
        <v>4.9695196087114798E-4</v>
      </c>
      <c r="CH169" s="40">
        <f t="shared" si="174"/>
        <v>718648.84102314478</v>
      </c>
      <c r="CI169" s="33">
        <f t="shared" si="175"/>
        <v>3.9710586432847151E-4</v>
      </c>
      <c r="CJ169" s="40">
        <f t="shared" si="176"/>
        <v>3434601.8482677285</v>
      </c>
      <c r="CK169" s="41">
        <f t="shared" si="177"/>
        <v>1.3634783041952079E-3</v>
      </c>
      <c r="CL169" s="40">
        <f t="shared" si="178"/>
        <v>1184577.2434461548</v>
      </c>
      <c r="CM169" s="41">
        <f t="shared" si="179"/>
        <v>4.7025694459950561E-4</v>
      </c>
      <c r="CO169" s="70">
        <f t="shared" si="180"/>
        <v>0</v>
      </c>
      <c r="CP169" s="70">
        <f t="shared" si="181"/>
        <v>0</v>
      </c>
      <c r="CQ169" s="70">
        <f t="shared" si="182"/>
        <v>0</v>
      </c>
      <c r="CR169" s="70">
        <f t="shared" si="183"/>
        <v>0</v>
      </c>
      <c r="CS169" s="70">
        <f t="shared" si="184"/>
        <v>0</v>
      </c>
      <c r="CT169" s="70">
        <f t="shared" si="185"/>
        <v>0</v>
      </c>
      <c r="CU169" s="69">
        <f t="shared" si="186"/>
        <v>0</v>
      </c>
      <c r="CV169" s="69">
        <f t="shared" si="187"/>
        <v>0</v>
      </c>
      <c r="CW169" s="70">
        <f t="shared" si="188"/>
        <v>0</v>
      </c>
      <c r="CX169" s="69">
        <f t="shared" si="189"/>
        <v>0</v>
      </c>
      <c r="CY169" s="69">
        <f t="shared" si="190"/>
        <v>0</v>
      </c>
      <c r="CZ169" s="70">
        <f t="shared" si="191"/>
        <v>0</v>
      </c>
      <c r="DB169" s="70">
        <f t="shared" si="192"/>
        <v>2.1862720976559147</v>
      </c>
      <c r="DC169" s="70">
        <f t="shared" si="193"/>
        <v>18.605662756152995</v>
      </c>
      <c r="DD169" s="70">
        <f t="shared" si="194"/>
        <v>20.791934853808911</v>
      </c>
      <c r="DE169" s="70">
        <f t="shared" si="195"/>
        <v>4.1435903705249668</v>
      </c>
      <c r="DF169" s="70">
        <f t="shared" si="196"/>
        <v>14.867468833877666</v>
      </c>
      <c r="DG169" s="70">
        <f t="shared" si="197"/>
        <v>19.011059204402635</v>
      </c>
      <c r="DH169" s="69">
        <f t="shared" si="198"/>
        <v>8.349409735116927</v>
      </c>
      <c r="DI169" s="69">
        <f t="shared" si="199"/>
        <v>71.055337490281332</v>
      </c>
      <c r="DJ169" s="70">
        <f t="shared" si="200"/>
        <v>79.404747225398253</v>
      </c>
      <c r="DK169" s="69">
        <f t="shared" si="201"/>
        <v>6.8300435190271429</v>
      </c>
      <c r="DL169" s="69">
        <f t="shared" si="202"/>
        <v>24.506635567911843</v>
      </c>
      <c r="DM169" s="70">
        <f t="shared" si="203"/>
        <v>31.336679086938986</v>
      </c>
    </row>
    <row r="170" spans="1:117">
      <c r="A170" t="s">
        <v>299</v>
      </c>
      <c r="B170">
        <v>12768395</v>
      </c>
      <c r="C170">
        <v>7823094</v>
      </c>
      <c r="D170" s="51">
        <v>47279</v>
      </c>
      <c r="E170" s="32">
        <f t="shared" si="136"/>
        <v>369868061226</v>
      </c>
      <c r="F170">
        <v>655355</v>
      </c>
      <c r="G170" s="37">
        <f t="shared" si="137"/>
        <v>5.1326341329509306E-2</v>
      </c>
      <c r="H170">
        <v>2.9537999999999999E-3</v>
      </c>
      <c r="I170" s="3">
        <f t="shared" si="138"/>
        <v>2.9538000000000001E-5</v>
      </c>
      <c r="J170" s="11">
        <f>+'Seat capacity elasticities'!K200</f>
        <v>3.1134487635766876E-3</v>
      </c>
      <c r="K170" s="11">
        <f>+'Seat capacity elasticities'!L200</f>
        <v>1.5448538011703112E-2</v>
      </c>
      <c r="L170" s="11">
        <f>+'Seat capacity elasticities'!M200</f>
        <v>8.5423142971779165E-3</v>
      </c>
      <c r="M170" s="11">
        <f>+'Seat capacity elasticities'!N200</f>
        <v>1.8294321329648422E-2</v>
      </c>
      <c r="N170" s="32">
        <f t="shared" si="148"/>
        <v>11515652.579105964</v>
      </c>
      <c r="O170" s="33">
        <f t="shared" si="149"/>
        <v>3.113448763576688E-5</v>
      </c>
      <c r="P170" s="40">
        <f t="shared" si="150"/>
        <v>57139208.03164795</v>
      </c>
      <c r="Q170" s="33">
        <f t="shared" si="151"/>
        <v>1.5448538011703114E-4</v>
      </c>
      <c r="R170" s="40">
        <f t="shared" si="152"/>
        <v>55982483.862270333</v>
      </c>
      <c r="S170" s="41">
        <f t="shared" si="153"/>
        <v>8.5423142971779162E-5</v>
      </c>
      <c r="T170" s="40">
        <f t="shared" si="154"/>
        <v>119892749.54991741</v>
      </c>
      <c r="U170" s="41">
        <f t="shared" si="155"/>
        <v>1.8294321329648423E-4</v>
      </c>
      <c r="V170" s="53"/>
      <c r="W170" s="53"/>
      <c r="X170" t="s">
        <v>299</v>
      </c>
      <c r="Y170">
        <v>12768395</v>
      </c>
      <c r="Z170">
        <v>7823094</v>
      </c>
      <c r="AA170" s="51">
        <v>47279</v>
      </c>
      <c r="AB170" s="32">
        <f t="shared" si="139"/>
        <v>369868061226</v>
      </c>
      <c r="AC170">
        <v>655355</v>
      </c>
      <c r="AD170" s="37">
        <f t="shared" si="140"/>
        <v>5.1326341329509306E-2</v>
      </c>
      <c r="AE170">
        <v>1.6263699999999999E-2</v>
      </c>
      <c r="AF170" s="3">
        <f t="shared" si="141"/>
        <v>1.6263699999999998E-4</v>
      </c>
      <c r="AG170" s="11">
        <f>+'Seat capacity elasticities'!R200</f>
        <v>1.5759425324040979E-2</v>
      </c>
      <c r="AH170" s="11">
        <f>+'Seat capacity elasticities'!S200</f>
        <v>2.9868470209045692E-2</v>
      </c>
      <c r="AI170" s="11">
        <f>+'Seat capacity elasticities'!T200</f>
        <v>4.3238856484733378E-2</v>
      </c>
      <c r="AJ170" s="11">
        <f>+'Seat capacity elasticities'!U200</f>
        <v>3.5370556826501476E-2</v>
      </c>
      <c r="AK170" s="32">
        <f t="shared" si="156"/>
        <v>58289080.906389639</v>
      </c>
      <c r="AL170" s="33">
        <f t="shared" si="157"/>
        <v>1.5759425324040978E-4</v>
      </c>
      <c r="AM170" s="40">
        <f t="shared" si="158"/>
        <v>110473931.6800627</v>
      </c>
      <c r="AN170" s="33">
        <f t="shared" si="159"/>
        <v>2.9868470209045691E-4</v>
      </c>
      <c r="AO170" s="40">
        <f t="shared" si="160"/>
        <v>283368007.91552448</v>
      </c>
      <c r="AP170" s="41">
        <f t="shared" si="161"/>
        <v>4.3238856484733386E-4</v>
      </c>
      <c r="AQ170" s="40">
        <f t="shared" si="162"/>
        <v>231802712.69031873</v>
      </c>
      <c r="AR170" s="41">
        <f t="shared" si="163"/>
        <v>3.5370556826501475E-4</v>
      </c>
      <c r="AV170" t="s">
        <v>299</v>
      </c>
      <c r="AW170">
        <v>12768395</v>
      </c>
      <c r="AX170">
        <v>7823094</v>
      </c>
      <c r="AY170" s="51">
        <v>47279</v>
      </c>
      <c r="AZ170" s="32">
        <f t="shared" si="142"/>
        <v>369868061226</v>
      </c>
      <c r="BA170">
        <v>655355</v>
      </c>
      <c r="BB170" s="37">
        <f t="shared" si="143"/>
        <v>5.1326341329509306E-2</v>
      </c>
      <c r="BC170">
        <v>2.9537999999999999E-3</v>
      </c>
      <c r="BD170" s="3">
        <f t="shared" si="144"/>
        <v>2.9538000000000001E-5</v>
      </c>
      <c r="BE170" s="11">
        <f>+'Seat capacity elasticities'!Y200</f>
        <v>4.6790265758432066E-3</v>
      </c>
      <c r="BF170" s="11">
        <f>+'Seat capacity elasticities'!Z200</f>
        <v>1.2763649268676094E-2</v>
      </c>
      <c r="BG170" s="11">
        <f>+'Seat capacity elasticities'!AA200</f>
        <v>1.2837762446356812E-2</v>
      </c>
      <c r="BH170" s="11">
        <f>+'Seat capacity elasticities'!AB200</f>
        <v>1.5114847818169058E-2</v>
      </c>
      <c r="BI170" s="32">
        <f t="shared" si="164"/>
        <v>17306224.880320564</v>
      </c>
      <c r="BJ170" s="33">
        <f t="shared" si="165"/>
        <v>4.679026575843207E-5</v>
      </c>
      <c r="BK170" s="40">
        <f t="shared" si="166"/>
        <v>47208662.091738798</v>
      </c>
      <c r="BL170" s="33">
        <f t="shared" si="167"/>
        <v>1.2763649268676095E-4</v>
      </c>
      <c r="BM170" s="40">
        <f t="shared" si="168"/>
        <v>84132918.08032167</v>
      </c>
      <c r="BN170" s="41">
        <f t="shared" si="169"/>
        <v>1.2837762446356809E-4</v>
      </c>
      <c r="BO170" s="40">
        <f t="shared" si="170"/>
        <v>99055910.91876182</v>
      </c>
      <c r="BP170" s="41">
        <f t="shared" si="171"/>
        <v>1.5114847818169057E-4</v>
      </c>
      <c r="BQ170" s="53"/>
      <c r="BR170" s="53"/>
      <c r="BS170" t="s">
        <v>299</v>
      </c>
      <c r="BT170">
        <v>12768395</v>
      </c>
      <c r="BU170">
        <v>7823094</v>
      </c>
      <c r="BV170" s="51">
        <v>47279</v>
      </c>
      <c r="BW170" s="32">
        <f t="shared" si="145"/>
        <v>369868061226</v>
      </c>
      <c r="BX170">
        <v>655355</v>
      </c>
      <c r="BY170" s="37">
        <f t="shared" si="146"/>
        <v>5.1326341329509306E-2</v>
      </c>
      <c r="BZ170">
        <v>1.6263699999999999E-2</v>
      </c>
      <c r="CA170" s="3">
        <f t="shared" si="147"/>
        <v>1.6263699999999998E-4</v>
      </c>
      <c r="CB170" s="11">
        <f>+'Seat capacity elasticities'!AF200</f>
        <v>2.7041398153787597E-3</v>
      </c>
      <c r="CC170" s="11">
        <f>+'Seat capacity elasticities'!AG200</f>
        <v>2.1608321592465614E-3</v>
      </c>
      <c r="CD170" s="11">
        <f>+'Seat capacity elasticities'!AH200</f>
        <v>7.4193005764904597E-3</v>
      </c>
      <c r="CE170" s="11">
        <f>+'Seat capacity elasticities'!AI200</f>
        <v>2.5588801885814542E-3</v>
      </c>
      <c r="CF170" s="32">
        <f t="shared" si="172"/>
        <v>10001749.507981755</v>
      </c>
      <c r="CG170" s="33">
        <f t="shared" si="173"/>
        <v>2.70413981537876E-5</v>
      </c>
      <c r="CH170" s="40">
        <f t="shared" si="174"/>
        <v>7992228.0137531701</v>
      </c>
      <c r="CI170" s="33">
        <f t="shared" si="175"/>
        <v>2.1608321592465616E-5</v>
      </c>
      <c r="CJ170" s="40">
        <f t="shared" si="176"/>
        <v>48622757.293059051</v>
      </c>
      <c r="CK170" s="41">
        <f t="shared" si="177"/>
        <v>7.4193005764904598E-5</v>
      </c>
      <c r="CL170" s="40">
        <f t="shared" si="178"/>
        <v>16769749.259877987</v>
      </c>
      <c r="CM170" s="41">
        <f t="shared" si="179"/>
        <v>2.5588801885814541E-5</v>
      </c>
      <c r="CO170" s="70">
        <f t="shared" si="180"/>
        <v>1.4720074409314223</v>
      </c>
      <c r="CP170" s="70">
        <f t="shared" si="181"/>
        <v>2.21219697479291</v>
      </c>
      <c r="CQ170" s="70">
        <f t="shared" si="182"/>
        <v>3.6842044157243325</v>
      </c>
      <c r="CR170" s="70">
        <f t="shared" si="183"/>
        <v>7.3039142865531144</v>
      </c>
      <c r="CS170" s="70">
        <f t="shared" si="184"/>
        <v>6.0345257377373702</v>
      </c>
      <c r="CT170" s="70">
        <f t="shared" si="185"/>
        <v>13.338440024290485</v>
      </c>
      <c r="CU170" s="69">
        <f t="shared" si="186"/>
        <v>7.1560540960226646</v>
      </c>
      <c r="CV170" s="69">
        <f t="shared" si="187"/>
        <v>10.754430162838599</v>
      </c>
      <c r="CW170" s="70">
        <f t="shared" si="188"/>
        <v>17.910484258861263</v>
      </c>
      <c r="CX170" s="69">
        <f t="shared" si="189"/>
        <v>15.325490087415211</v>
      </c>
      <c r="CY170" s="69">
        <f t="shared" si="190"/>
        <v>12.661986538671504</v>
      </c>
      <c r="CZ170" s="70">
        <f t="shared" si="191"/>
        <v>27.987476626086718</v>
      </c>
      <c r="DB170" s="70">
        <f t="shared" si="192"/>
        <v>7.4508986989533348</v>
      </c>
      <c r="DC170" s="70">
        <f t="shared" si="193"/>
        <v>1.2784902633129238</v>
      </c>
      <c r="DD170" s="70">
        <f t="shared" si="194"/>
        <v>8.7293889622662579</v>
      </c>
      <c r="DE170" s="70">
        <f t="shared" si="195"/>
        <v>14.121514030134714</v>
      </c>
      <c r="DF170" s="70">
        <f t="shared" si="196"/>
        <v>1.0216198365701818</v>
      </c>
      <c r="DG170" s="70">
        <f t="shared" si="197"/>
        <v>15.143133866704895</v>
      </c>
      <c r="DH170" s="69">
        <f t="shared" si="198"/>
        <v>36.221986839928611</v>
      </c>
      <c r="DI170" s="69">
        <f t="shared" si="199"/>
        <v>6.2152848084222239</v>
      </c>
      <c r="DJ170" s="70">
        <f t="shared" si="200"/>
        <v>42.437271648350837</v>
      </c>
      <c r="DK170" s="69">
        <f t="shared" si="201"/>
        <v>29.630567227022805</v>
      </c>
      <c r="DL170" s="69">
        <f t="shared" si="202"/>
        <v>2.143621086475247</v>
      </c>
      <c r="DM170" s="70">
        <f t="shared" si="203"/>
        <v>31.774188313498051</v>
      </c>
    </row>
    <row r="171" spans="1:117">
      <c r="A171" t="s">
        <v>441</v>
      </c>
      <c r="B171">
        <v>1249739</v>
      </c>
      <c r="C171">
        <v>780659</v>
      </c>
      <c r="D171" s="51">
        <v>36665.47</v>
      </c>
      <c r="E171" s="32">
        <f t="shared" si="136"/>
        <v>28623229144.73</v>
      </c>
      <c r="F171">
        <v>50792</v>
      </c>
      <c r="G171" s="37">
        <f t="shared" si="137"/>
        <v>4.0642086067570908E-2</v>
      </c>
      <c r="H171">
        <v>0</v>
      </c>
      <c r="I171" s="3">
        <f t="shared" si="138"/>
        <v>0</v>
      </c>
      <c r="J171" s="11">
        <f>+'Seat capacity elasticities'!K201</f>
        <v>0</v>
      </c>
      <c r="K171" s="11">
        <f>+'Seat capacity elasticities'!L201</f>
        <v>0</v>
      </c>
      <c r="L171" s="11">
        <f>+'Seat capacity elasticities'!M201</f>
        <v>0</v>
      </c>
      <c r="M171" s="11">
        <f>+'Seat capacity elasticities'!N201</f>
        <v>0</v>
      </c>
      <c r="N171" s="32">
        <f t="shared" si="148"/>
        <v>0</v>
      </c>
      <c r="O171" s="33">
        <f t="shared" si="149"/>
        <v>0</v>
      </c>
      <c r="P171" s="40">
        <f t="shared" si="150"/>
        <v>0</v>
      </c>
      <c r="Q171" s="33">
        <f t="shared" si="151"/>
        <v>0</v>
      </c>
      <c r="R171" s="40">
        <f t="shared" si="152"/>
        <v>0</v>
      </c>
      <c r="S171" s="41">
        <f t="shared" si="153"/>
        <v>0</v>
      </c>
      <c r="T171" s="40">
        <f t="shared" si="154"/>
        <v>0</v>
      </c>
      <c r="U171" s="41">
        <f t="shared" si="155"/>
        <v>0</v>
      </c>
      <c r="V171" s="53"/>
      <c r="W171" s="53"/>
      <c r="X171" t="s">
        <v>441</v>
      </c>
      <c r="Y171">
        <v>1249739</v>
      </c>
      <c r="Z171">
        <v>780659</v>
      </c>
      <c r="AA171" s="51">
        <v>36665.47</v>
      </c>
      <c r="AB171" s="32">
        <f t="shared" si="139"/>
        <v>28623229144.73</v>
      </c>
      <c r="AC171">
        <v>50792</v>
      </c>
      <c r="AD171" s="37">
        <f t="shared" si="140"/>
        <v>4.0642086067570908E-2</v>
      </c>
      <c r="AE171">
        <v>7.9044000000000007E-3</v>
      </c>
      <c r="AF171" s="3">
        <f t="shared" si="141"/>
        <v>7.9044000000000011E-5</v>
      </c>
      <c r="AG171" s="11">
        <f>+'Seat capacity elasticities'!R201</f>
        <v>2.0856535655597315E-2</v>
      </c>
      <c r="AH171" s="11">
        <f>+'Seat capacity elasticities'!S201</f>
        <v>3.9528904200763847E-2</v>
      </c>
      <c r="AI171" s="11">
        <f>+'Seat capacity elasticities'!T201</f>
        <v>5.722370793593487E-2</v>
      </c>
      <c r="AJ171" s="11">
        <f>+'Seat capacity elasticities'!U201</f>
        <v>4.6810544448272984E-2</v>
      </c>
      <c r="AK171" s="32">
        <f t="shared" si="156"/>
        <v>5969813.9923539348</v>
      </c>
      <c r="AL171" s="33">
        <f t="shared" si="157"/>
        <v>2.0856535655597316E-4</v>
      </c>
      <c r="AM171" s="40">
        <f t="shared" si="158"/>
        <v>11314448.82778544</v>
      </c>
      <c r="AN171" s="33">
        <f t="shared" si="159"/>
        <v>3.9528904200763853E-4</v>
      </c>
      <c r="AO171" s="40">
        <f t="shared" si="160"/>
        <v>29065065.734820038</v>
      </c>
      <c r="AP171" s="41">
        <f t="shared" si="161"/>
        <v>5.7223707935934859E-4</v>
      </c>
      <c r="AQ171" s="40">
        <f t="shared" si="162"/>
        <v>23776011.736166816</v>
      </c>
      <c r="AR171" s="41">
        <f t="shared" si="163"/>
        <v>4.6810544448272988E-4</v>
      </c>
      <c r="AV171" t="s">
        <v>441</v>
      </c>
      <c r="AW171">
        <v>1249739</v>
      </c>
      <c r="AX171">
        <v>780659</v>
      </c>
      <c r="AY171" s="51">
        <v>36665.47</v>
      </c>
      <c r="AZ171" s="32">
        <f t="shared" si="142"/>
        <v>28623229144.73</v>
      </c>
      <c r="BA171">
        <v>50792</v>
      </c>
      <c r="BB171" s="37">
        <f t="shared" si="143"/>
        <v>4.0642086067570908E-2</v>
      </c>
      <c r="BC171">
        <v>0</v>
      </c>
      <c r="BD171" s="3">
        <f t="shared" si="144"/>
        <v>0</v>
      </c>
      <c r="BE171" s="11">
        <f>+'Seat capacity elasticities'!Y201</f>
        <v>0</v>
      </c>
      <c r="BF171" s="11">
        <f>+'Seat capacity elasticities'!Z201</f>
        <v>0</v>
      </c>
      <c r="BG171" s="11">
        <f>+'Seat capacity elasticities'!AA201</f>
        <v>0</v>
      </c>
      <c r="BH171" s="11">
        <f>+'Seat capacity elasticities'!AB201</f>
        <v>0</v>
      </c>
      <c r="BI171" s="32">
        <f t="shared" si="164"/>
        <v>0</v>
      </c>
      <c r="BJ171" s="33">
        <f t="shared" si="165"/>
        <v>0</v>
      </c>
      <c r="BK171" s="40">
        <f t="shared" si="166"/>
        <v>0</v>
      </c>
      <c r="BL171" s="33">
        <f t="shared" si="167"/>
        <v>0</v>
      </c>
      <c r="BM171" s="40">
        <f t="shared" si="168"/>
        <v>0</v>
      </c>
      <c r="BN171" s="41">
        <f t="shared" si="169"/>
        <v>0</v>
      </c>
      <c r="BO171" s="40">
        <f t="shared" si="170"/>
        <v>0</v>
      </c>
      <c r="BP171" s="41">
        <f t="shared" si="171"/>
        <v>0</v>
      </c>
      <c r="BQ171" s="53"/>
      <c r="BR171" s="53"/>
      <c r="BS171" t="s">
        <v>441</v>
      </c>
      <c r="BT171">
        <v>1249739</v>
      </c>
      <c r="BU171">
        <v>780659</v>
      </c>
      <c r="BV171" s="51">
        <v>36665.47</v>
      </c>
      <c r="BW171" s="32">
        <f t="shared" si="145"/>
        <v>28623229144.73</v>
      </c>
      <c r="BX171">
        <v>50792</v>
      </c>
      <c r="BY171" s="37">
        <f t="shared" si="146"/>
        <v>4.0642086067570908E-2</v>
      </c>
      <c r="BZ171">
        <v>7.9044000000000007E-3</v>
      </c>
      <c r="CA171" s="3">
        <f t="shared" si="147"/>
        <v>7.9044000000000011E-5</v>
      </c>
      <c r="CB171" s="11">
        <f>+'Seat capacity elasticities'!AF201</f>
        <v>1.3427516170667481E-2</v>
      </c>
      <c r="CC171" s="11">
        <f>+'Seat capacity elasticities'!AG201</f>
        <v>1.0729699919868069E-2</v>
      </c>
      <c r="CD171" s="11">
        <f>+'Seat capacity elasticities'!AH201</f>
        <v>3.6840838591001027E-2</v>
      </c>
      <c r="CE171" s="11">
        <f>+'Seat capacity elasticities'!AI201</f>
        <v>1.2706223589317452E-2</v>
      </c>
      <c r="CF171" s="32">
        <f t="shared" si="172"/>
        <v>3843388.7219758281</v>
      </c>
      <c r="CG171" s="33">
        <f t="shared" si="173"/>
        <v>1.3427516170667482E-4</v>
      </c>
      <c r="CH171" s="40">
        <f t="shared" si="174"/>
        <v>3071186.594605749</v>
      </c>
      <c r="CI171" s="33">
        <f t="shared" si="175"/>
        <v>1.072969991986807E-4</v>
      </c>
      <c r="CJ171" s="40">
        <f t="shared" si="176"/>
        <v>18712198.737141244</v>
      </c>
      <c r="CK171" s="41">
        <f t="shared" si="177"/>
        <v>3.6840838591001036E-4</v>
      </c>
      <c r="CL171" s="40">
        <f t="shared" si="178"/>
        <v>6453745.0854861196</v>
      </c>
      <c r="CM171" s="41">
        <f t="shared" si="179"/>
        <v>1.2706223589317451E-4</v>
      </c>
      <c r="CO171" s="70">
        <f t="shared" si="180"/>
        <v>0</v>
      </c>
      <c r="CP171" s="70">
        <f t="shared" si="181"/>
        <v>0</v>
      </c>
      <c r="CQ171" s="70">
        <f t="shared" si="182"/>
        <v>0</v>
      </c>
      <c r="CR171" s="70">
        <f t="shared" si="183"/>
        <v>0</v>
      </c>
      <c r="CS171" s="70">
        <f t="shared" si="184"/>
        <v>0</v>
      </c>
      <c r="CT171" s="70">
        <f t="shared" si="185"/>
        <v>0</v>
      </c>
      <c r="CU171" s="69">
        <f t="shared" si="186"/>
        <v>0</v>
      </c>
      <c r="CV171" s="69">
        <f t="shared" si="187"/>
        <v>0</v>
      </c>
      <c r="CW171" s="70">
        <f t="shared" si="188"/>
        <v>0</v>
      </c>
      <c r="CX171" s="69">
        <f t="shared" si="189"/>
        <v>0</v>
      </c>
      <c r="CY171" s="69">
        <f t="shared" si="190"/>
        <v>0</v>
      </c>
      <c r="CZ171" s="70">
        <f t="shared" si="191"/>
        <v>0</v>
      </c>
      <c r="DB171" s="70">
        <f t="shared" si="192"/>
        <v>7.6471468238423368</v>
      </c>
      <c r="DC171" s="70">
        <f t="shared" si="193"/>
        <v>4.9232619133012339</v>
      </c>
      <c r="DD171" s="70">
        <f t="shared" si="194"/>
        <v>12.57040873714357</v>
      </c>
      <c r="DE171" s="70">
        <f t="shared" si="195"/>
        <v>14.49345851105981</v>
      </c>
      <c r="DF171" s="70">
        <f t="shared" si="196"/>
        <v>3.9340949052092515</v>
      </c>
      <c r="DG171" s="70">
        <f t="shared" si="197"/>
        <v>18.427553416269063</v>
      </c>
      <c r="DH171" s="69">
        <f t="shared" si="198"/>
        <v>37.231448987099412</v>
      </c>
      <c r="DI171" s="69">
        <f t="shared" si="199"/>
        <v>23.969747017764792</v>
      </c>
      <c r="DJ171" s="70">
        <f t="shared" si="200"/>
        <v>61.201196004864201</v>
      </c>
      <c r="DK171" s="69">
        <f t="shared" si="201"/>
        <v>30.456334630314664</v>
      </c>
      <c r="DL171" s="69">
        <f t="shared" si="202"/>
        <v>8.2670475655646314</v>
      </c>
      <c r="DM171" s="70">
        <f t="shared" si="203"/>
        <v>38.723382195879296</v>
      </c>
    </row>
    <row r="172" spans="1:117">
      <c r="A172" t="s">
        <v>442</v>
      </c>
      <c r="B172">
        <v>271582</v>
      </c>
      <c r="C172">
        <v>170988</v>
      </c>
      <c r="D172" s="51">
        <v>29547.81</v>
      </c>
      <c r="E172" s="32">
        <f t="shared" si="136"/>
        <v>5052320936.2800007</v>
      </c>
      <c r="F172">
        <v>7693</v>
      </c>
      <c r="G172" s="37">
        <f t="shared" si="137"/>
        <v>2.8326619584508547E-2</v>
      </c>
      <c r="H172">
        <v>0</v>
      </c>
      <c r="I172" s="3">
        <f t="shared" si="138"/>
        <v>0</v>
      </c>
      <c r="J172" s="11">
        <f>+'Seat capacity elasticities'!K202</f>
        <v>0</v>
      </c>
      <c r="K172" s="11">
        <f>+'Seat capacity elasticities'!L202</f>
        <v>0</v>
      </c>
      <c r="L172" s="11">
        <f>+'Seat capacity elasticities'!M202</f>
        <v>0</v>
      </c>
      <c r="M172" s="11">
        <f>+'Seat capacity elasticities'!N202</f>
        <v>0</v>
      </c>
      <c r="N172" s="32">
        <f t="shared" si="148"/>
        <v>0</v>
      </c>
      <c r="O172" s="33">
        <f t="shared" si="149"/>
        <v>0</v>
      </c>
      <c r="P172" s="40">
        <f t="shared" si="150"/>
        <v>0</v>
      </c>
      <c r="Q172" s="33">
        <f t="shared" si="151"/>
        <v>0</v>
      </c>
      <c r="R172" s="40">
        <f t="shared" si="152"/>
        <v>0</v>
      </c>
      <c r="S172" s="41">
        <f t="shared" si="153"/>
        <v>0</v>
      </c>
      <c r="T172" s="40">
        <f t="shared" si="154"/>
        <v>0</v>
      </c>
      <c r="U172" s="41">
        <f t="shared" si="155"/>
        <v>0</v>
      </c>
      <c r="V172" s="53"/>
      <c r="W172" s="53"/>
      <c r="X172" t="s">
        <v>442</v>
      </c>
      <c r="Y172">
        <v>271582</v>
      </c>
      <c r="Z172">
        <v>170988</v>
      </c>
      <c r="AA172" s="51">
        <v>29547.81</v>
      </c>
      <c r="AB172" s="32">
        <f t="shared" si="139"/>
        <v>5052320936.2800007</v>
      </c>
      <c r="AC172">
        <v>7693</v>
      </c>
      <c r="AD172" s="37">
        <f t="shared" si="140"/>
        <v>2.8326619584508547E-2</v>
      </c>
      <c r="AE172">
        <v>8.8243000000000002E-3</v>
      </c>
      <c r="AF172" s="3">
        <f t="shared" si="141"/>
        <v>8.8243000000000002E-5</v>
      </c>
      <c r="AG172" s="11">
        <f>+'Seat capacity elasticities'!R202</f>
        <v>2.0827391815619878E-2</v>
      </c>
      <c r="AH172" s="11">
        <f>+'Seat capacity elasticities'!S202</f>
        <v>3.9473668562519139E-2</v>
      </c>
      <c r="AI172" s="11">
        <f>+'Seat capacity elasticities'!T202</f>
        <v>5.7143746497729631E-2</v>
      </c>
      <c r="AJ172" s="11">
        <f>+'Seat capacity elasticities'!U202</f>
        <v>4.674513382403582E-2</v>
      </c>
      <c r="AK172" s="32">
        <f t="shared" si="156"/>
        <v>1052266.6771816304</v>
      </c>
      <c r="AL172" s="33">
        <f t="shared" si="157"/>
        <v>2.0827391815619878E-4</v>
      </c>
      <c r="AM172" s="40">
        <f t="shared" si="158"/>
        <v>1994336.4211019312</v>
      </c>
      <c r="AN172" s="33">
        <f t="shared" si="159"/>
        <v>3.9473668562519141E-4</v>
      </c>
      <c r="AO172" s="40">
        <f t="shared" si="160"/>
        <v>4396068.4180703405</v>
      </c>
      <c r="AP172" s="41">
        <f t="shared" si="161"/>
        <v>5.714374649772963E-4</v>
      </c>
      <c r="AQ172" s="40">
        <f t="shared" si="162"/>
        <v>3596103.1450830763</v>
      </c>
      <c r="AR172" s="41">
        <f t="shared" si="163"/>
        <v>4.6745133824035827E-4</v>
      </c>
      <c r="AV172" t="s">
        <v>442</v>
      </c>
      <c r="AW172">
        <v>271582</v>
      </c>
      <c r="AX172">
        <v>170988</v>
      </c>
      <c r="AY172" s="51">
        <v>29547.81</v>
      </c>
      <c r="AZ172" s="32">
        <f t="shared" si="142"/>
        <v>5052320936.2800007</v>
      </c>
      <c r="BA172">
        <v>7693</v>
      </c>
      <c r="BB172" s="37">
        <f t="shared" si="143"/>
        <v>2.8326619584508547E-2</v>
      </c>
      <c r="BC172">
        <v>0</v>
      </c>
      <c r="BD172" s="3">
        <f t="shared" si="144"/>
        <v>0</v>
      </c>
      <c r="BE172" s="11">
        <f>+'Seat capacity elasticities'!Y202</f>
        <v>0</v>
      </c>
      <c r="BF172" s="11">
        <f>+'Seat capacity elasticities'!Z202</f>
        <v>0</v>
      </c>
      <c r="BG172" s="11">
        <f>+'Seat capacity elasticities'!AA202</f>
        <v>0</v>
      </c>
      <c r="BH172" s="11">
        <f>+'Seat capacity elasticities'!AB202</f>
        <v>0</v>
      </c>
      <c r="BI172" s="32">
        <f t="shared" si="164"/>
        <v>0</v>
      </c>
      <c r="BJ172" s="33">
        <f t="shared" si="165"/>
        <v>0</v>
      </c>
      <c r="BK172" s="40">
        <f t="shared" si="166"/>
        <v>0</v>
      </c>
      <c r="BL172" s="33">
        <f t="shared" si="167"/>
        <v>0</v>
      </c>
      <c r="BM172" s="40">
        <f t="shared" si="168"/>
        <v>0</v>
      </c>
      <c r="BN172" s="41">
        <f t="shared" si="169"/>
        <v>0</v>
      </c>
      <c r="BO172" s="40">
        <f t="shared" si="170"/>
        <v>0</v>
      </c>
      <c r="BP172" s="41">
        <f t="shared" si="171"/>
        <v>0</v>
      </c>
      <c r="BQ172" s="53"/>
      <c r="BR172" s="53"/>
      <c r="BS172" t="s">
        <v>442</v>
      </c>
      <c r="BT172">
        <v>271582</v>
      </c>
      <c r="BU172">
        <v>170988</v>
      </c>
      <c r="BV172" s="51">
        <v>29547.81</v>
      </c>
      <c r="BW172" s="32">
        <f t="shared" si="145"/>
        <v>5052320936.2800007</v>
      </c>
      <c r="BX172">
        <v>7693</v>
      </c>
      <c r="BY172" s="37">
        <f t="shared" si="146"/>
        <v>2.8326619584508547E-2</v>
      </c>
      <c r="BZ172">
        <v>8.8243000000000002E-3</v>
      </c>
      <c r="CA172" s="3">
        <f t="shared" si="147"/>
        <v>8.8243000000000002E-5</v>
      </c>
      <c r="CB172" s="11">
        <f>+'Seat capacity elasticities'!AF202</f>
        <v>6.8980347772433642E-2</v>
      </c>
      <c r="CC172" s="11">
        <f>+'Seat capacity elasticities'!AG202</f>
        <v>5.5121023319502034E-2</v>
      </c>
      <c r="CD172" s="11">
        <f>+'Seat capacity elasticities'!AH202</f>
        <v>0.18926015995324752</v>
      </c>
      <c r="CE172" s="11">
        <f>+'Seat capacity elasticities'!AI202</f>
        <v>6.5274896036252417E-2</v>
      </c>
      <c r="CF172" s="32">
        <f t="shared" si="172"/>
        <v>3485108.5524254204</v>
      </c>
      <c r="CG172" s="33">
        <f t="shared" si="173"/>
        <v>6.8980347772433655E-4</v>
      </c>
      <c r="CH172" s="40">
        <f t="shared" si="174"/>
        <v>2784891.001462983</v>
      </c>
      <c r="CI172" s="33">
        <f t="shared" si="175"/>
        <v>5.5121023319502037E-4</v>
      </c>
      <c r="CJ172" s="40">
        <f t="shared" si="176"/>
        <v>14559784.105203332</v>
      </c>
      <c r="CK172" s="41">
        <f t="shared" si="177"/>
        <v>1.8926015995324754E-3</v>
      </c>
      <c r="CL172" s="40">
        <f t="shared" si="178"/>
        <v>5021597.7520688986</v>
      </c>
      <c r="CM172" s="41">
        <f t="shared" si="179"/>
        <v>6.5274896036252418E-4</v>
      </c>
      <c r="CO172" s="70">
        <f t="shared" si="180"/>
        <v>0</v>
      </c>
      <c r="CP172" s="70">
        <f t="shared" si="181"/>
        <v>0</v>
      </c>
      <c r="CQ172" s="70">
        <f t="shared" si="182"/>
        <v>0</v>
      </c>
      <c r="CR172" s="70">
        <f t="shared" si="183"/>
        <v>0</v>
      </c>
      <c r="CS172" s="70">
        <f t="shared" si="184"/>
        <v>0</v>
      </c>
      <c r="CT172" s="70">
        <f t="shared" si="185"/>
        <v>0</v>
      </c>
      <c r="CU172" s="69">
        <f t="shared" si="186"/>
        <v>0</v>
      </c>
      <c r="CV172" s="69">
        <f t="shared" si="187"/>
        <v>0</v>
      </c>
      <c r="CW172" s="70">
        <f t="shared" si="188"/>
        <v>0</v>
      </c>
      <c r="CX172" s="69">
        <f t="shared" si="189"/>
        <v>0</v>
      </c>
      <c r="CY172" s="69">
        <f t="shared" si="190"/>
        <v>0</v>
      </c>
      <c r="CZ172" s="70">
        <f t="shared" si="191"/>
        <v>0</v>
      </c>
      <c r="DB172" s="70">
        <f t="shared" si="192"/>
        <v>6.1540381616349125</v>
      </c>
      <c r="DC172" s="70">
        <f t="shared" si="193"/>
        <v>20.382182097137932</v>
      </c>
      <c r="DD172" s="70">
        <f t="shared" si="194"/>
        <v>26.536220258772843</v>
      </c>
      <c r="DE172" s="70">
        <f t="shared" si="195"/>
        <v>11.663604586882888</v>
      </c>
      <c r="DF172" s="70">
        <f t="shared" si="196"/>
        <v>16.287055240502159</v>
      </c>
      <c r="DG172" s="70">
        <f t="shared" si="197"/>
        <v>27.950659827385046</v>
      </c>
      <c r="DH172" s="69">
        <f t="shared" si="198"/>
        <v>25.709806641813113</v>
      </c>
      <c r="DI172" s="69">
        <f t="shared" si="199"/>
        <v>85.150911790320563</v>
      </c>
      <c r="DJ172" s="70">
        <f t="shared" si="200"/>
        <v>110.86071843213368</v>
      </c>
      <c r="DK172" s="69">
        <f t="shared" si="201"/>
        <v>21.031318835725759</v>
      </c>
      <c r="DL172" s="69">
        <f t="shared" si="202"/>
        <v>29.368129646927848</v>
      </c>
      <c r="DM172" s="70">
        <f t="shared" si="203"/>
        <v>50.399448482653611</v>
      </c>
    </row>
    <row r="173" spans="1:117">
      <c r="A173" t="s">
        <v>443</v>
      </c>
      <c r="B173">
        <v>245579</v>
      </c>
      <c r="C173">
        <v>142156</v>
      </c>
      <c r="D173" s="51">
        <v>34554.089999999997</v>
      </c>
      <c r="E173" s="32">
        <f t="shared" si="136"/>
        <v>4912071218.04</v>
      </c>
      <c r="F173">
        <v>7537</v>
      </c>
      <c r="G173" s="37">
        <f t="shared" si="137"/>
        <v>3.0690734956979219E-2</v>
      </c>
      <c r="H173">
        <v>0</v>
      </c>
      <c r="I173" s="3">
        <f t="shared" si="138"/>
        <v>0</v>
      </c>
      <c r="J173" s="11">
        <f>+'Seat capacity elasticities'!K203</f>
        <v>0</v>
      </c>
      <c r="K173" s="11">
        <f>+'Seat capacity elasticities'!L203</f>
        <v>0</v>
      </c>
      <c r="L173" s="11">
        <f>+'Seat capacity elasticities'!M203</f>
        <v>0</v>
      </c>
      <c r="M173" s="11">
        <f>+'Seat capacity elasticities'!N203</f>
        <v>0</v>
      </c>
      <c r="N173" s="32">
        <f t="shared" si="148"/>
        <v>0</v>
      </c>
      <c r="O173" s="33">
        <f t="shared" si="149"/>
        <v>0</v>
      </c>
      <c r="P173" s="40">
        <f t="shared" si="150"/>
        <v>0</v>
      </c>
      <c r="Q173" s="33">
        <f t="shared" si="151"/>
        <v>0</v>
      </c>
      <c r="R173" s="40">
        <f t="shared" si="152"/>
        <v>0</v>
      </c>
      <c r="S173" s="41">
        <f t="shared" si="153"/>
        <v>0</v>
      </c>
      <c r="T173" s="40">
        <f t="shared" si="154"/>
        <v>0</v>
      </c>
      <c r="U173" s="41">
        <f t="shared" si="155"/>
        <v>0</v>
      </c>
      <c r="V173" s="53"/>
      <c r="W173" s="53"/>
      <c r="X173" t="s">
        <v>443</v>
      </c>
      <c r="Y173">
        <v>245579</v>
      </c>
      <c r="Z173">
        <v>142156</v>
      </c>
      <c r="AA173" s="51">
        <v>34554.089999999997</v>
      </c>
      <c r="AB173" s="32">
        <f t="shared" si="139"/>
        <v>4912071218.04</v>
      </c>
      <c r="AC173">
        <v>7537</v>
      </c>
      <c r="AD173" s="37">
        <f t="shared" si="140"/>
        <v>3.0690734956979219E-2</v>
      </c>
      <c r="AE173">
        <v>2.02905E-2</v>
      </c>
      <c r="AF173" s="3">
        <f t="shared" si="141"/>
        <v>2.02905E-4</v>
      </c>
      <c r="AG173" s="11">
        <f>+'Seat capacity elasticities'!R203</f>
        <v>6.7066824612288398E-2</v>
      </c>
      <c r="AH173" s="11">
        <f>+'Seat capacity elasticities'!S203</f>
        <v>0.12711018401740667</v>
      </c>
      <c r="AI173" s="11">
        <f>+'Seat capacity elasticities'!T203</f>
        <v>0.1840100603080837</v>
      </c>
      <c r="AJ173" s="11">
        <f>+'Seat capacity elasticities'!U203</f>
        <v>0.15052521791535003</v>
      </c>
      <c r="AK173" s="32">
        <f t="shared" si="156"/>
        <v>3294370.1886335853</v>
      </c>
      <c r="AL173" s="33">
        <f t="shared" si="157"/>
        <v>6.7066824612288403E-4</v>
      </c>
      <c r="AM173" s="40">
        <f t="shared" si="158"/>
        <v>6243742.7643167134</v>
      </c>
      <c r="AN173" s="33">
        <f t="shared" si="159"/>
        <v>1.2711018401740668E-3</v>
      </c>
      <c r="AO173" s="40">
        <f t="shared" si="160"/>
        <v>13868838.24542027</v>
      </c>
      <c r="AP173" s="41">
        <f t="shared" si="161"/>
        <v>1.8401006030808371E-3</v>
      </c>
      <c r="AQ173" s="40">
        <f t="shared" si="162"/>
        <v>11345085.67427993</v>
      </c>
      <c r="AR173" s="41">
        <f t="shared" si="163"/>
        <v>1.5052521791535001E-3</v>
      </c>
      <c r="AV173" t="s">
        <v>443</v>
      </c>
      <c r="AW173">
        <v>245579</v>
      </c>
      <c r="AX173">
        <v>142156</v>
      </c>
      <c r="AY173" s="51">
        <v>34554.089999999997</v>
      </c>
      <c r="AZ173" s="32">
        <f t="shared" si="142"/>
        <v>4912071218.04</v>
      </c>
      <c r="BA173">
        <v>7537</v>
      </c>
      <c r="BB173" s="37">
        <f t="shared" si="143"/>
        <v>3.0690734956979219E-2</v>
      </c>
      <c r="BC173">
        <v>0</v>
      </c>
      <c r="BD173" s="3">
        <f t="shared" si="144"/>
        <v>0</v>
      </c>
      <c r="BE173" s="11">
        <f>+'Seat capacity elasticities'!Y203</f>
        <v>0</v>
      </c>
      <c r="BF173" s="11">
        <f>+'Seat capacity elasticities'!Z203</f>
        <v>0</v>
      </c>
      <c r="BG173" s="11">
        <f>+'Seat capacity elasticities'!AA203</f>
        <v>0</v>
      </c>
      <c r="BH173" s="11">
        <f>+'Seat capacity elasticities'!AB203</f>
        <v>0</v>
      </c>
      <c r="BI173" s="32">
        <f t="shared" si="164"/>
        <v>0</v>
      </c>
      <c r="BJ173" s="33">
        <f t="shared" si="165"/>
        <v>0</v>
      </c>
      <c r="BK173" s="40">
        <f t="shared" si="166"/>
        <v>0</v>
      </c>
      <c r="BL173" s="33">
        <f t="shared" si="167"/>
        <v>0</v>
      </c>
      <c r="BM173" s="40">
        <f t="shared" si="168"/>
        <v>0</v>
      </c>
      <c r="BN173" s="41">
        <f t="shared" si="169"/>
        <v>0</v>
      </c>
      <c r="BO173" s="40">
        <f t="shared" si="170"/>
        <v>0</v>
      </c>
      <c r="BP173" s="41">
        <f t="shared" si="171"/>
        <v>0</v>
      </c>
      <c r="BQ173" s="53"/>
      <c r="BR173" s="53"/>
      <c r="BS173" t="s">
        <v>443</v>
      </c>
      <c r="BT173">
        <v>245579</v>
      </c>
      <c r="BU173">
        <v>142156</v>
      </c>
      <c r="BV173" s="51">
        <v>34554.089999999997</v>
      </c>
      <c r="BW173" s="32">
        <f t="shared" si="145"/>
        <v>4912071218.04</v>
      </c>
      <c r="BX173">
        <v>7537</v>
      </c>
      <c r="BY173" s="37">
        <f t="shared" si="146"/>
        <v>3.0690734956979219E-2</v>
      </c>
      <c r="BZ173">
        <v>2.02905E-2</v>
      </c>
      <c r="CA173" s="3">
        <f t="shared" si="147"/>
        <v>2.02905E-4</v>
      </c>
      <c r="CB173" s="11">
        <f>+'Seat capacity elasticities'!AF203</f>
        <v>0.17540728235214922</v>
      </c>
      <c r="CC173" s="11">
        <f>+'Seat capacity elasticities'!AG203</f>
        <v>0.14016497760840707</v>
      </c>
      <c r="CD173" s="11">
        <f>+'Seat capacity elasticities'!AH203</f>
        <v>0.48126185771708813</v>
      </c>
      <c r="CE173" s="11">
        <f>+'Seat capacity elasticities'!AI203</f>
        <v>0.16598484190469259</v>
      </c>
      <c r="CF173" s="32">
        <f t="shared" si="172"/>
        <v>8616130.6307660788</v>
      </c>
      <c r="CG173" s="33">
        <f t="shared" si="173"/>
        <v>1.7540728235214923E-3</v>
      </c>
      <c r="CH173" s="40">
        <f t="shared" si="174"/>
        <v>6885003.5228747744</v>
      </c>
      <c r="CI173" s="33">
        <f t="shared" si="175"/>
        <v>1.4016497760840707E-3</v>
      </c>
      <c r="CJ173" s="40">
        <f t="shared" si="176"/>
        <v>36272706.216136932</v>
      </c>
      <c r="CK173" s="41">
        <f t="shared" si="177"/>
        <v>4.8126185771708817E-3</v>
      </c>
      <c r="CL173" s="40">
        <f t="shared" si="178"/>
        <v>12510277.53435668</v>
      </c>
      <c r="CM173" s="41">
        <f t="shared" si="179"/>
        <v>1.6598484190469259E-3</v>
      </c>
      <c r="CO173" s="70">
        <f t="shared" si="180"/>
        <v>0</v>
      </c>
      <c r="CP173" s="70">
        <f t="shared" si="181"/>
        <v>0</v>
      </c>
      <c r="CQ173" s="70">
        <f t="shared" si="182"/>
        <v>0</v>
      </c>
      <c r="CR173" s="70">
        <f t="shared" si="183"/>
        <v>0</v>
      </c>
      <c r="CS173" s="70">
        <f t="shared" si="184"/>
        <v>0</v>
      </c>
      <c r="CT173" s="70">
        <f t="shared" si="185"/>
        <v>0</v>
      </c>
      <c r="CU173" s="69">
        <f t="shared" si="186"/>
        <v>0</v>
      </c>
      <c r="CV173" s="69">
        <f t="shared" si="187"/>
        <v>0</v>
      </c>
      <c r="CW173" s="70">
        <f t="shared" si="188"/>
        <v>0</v>
      </c>
      <c r="CX173" s="69">
        <f t="shared" si="189"/>
        <v>0</v>
      </c>
      <c r="CY173" s="69">
        <f t="shared" si="190"/>
        <v>0</v>
      </c>
      <c r="CZ173" s="70">
        <f t="shared" si="191"/>
        <v>0</v>
      </c>
      <c r="DB173" s="70">
        <f t="shared" si="192"/>
        <v>23.174330936672284</v>
      </c>
      <c r="DC173" s="70">
        <f t="shared" si="193"/>
        <v>60.61039021051576</v>
      </c>
      <c r="DD173" s="70">
        <f t="shared" si="194"/>
        <v>83.784721147188037</v>
      </c>
      <c r="DE173" s="70">
        <f t="shared" si="195"/>
        <v>43.921767384540317</v>
      </c>
      <c r="DF173" s="70">
        <f t="shared" si="196"/>
        <v>48.432732511288826</v>
      </c>
      <c r="DG173" s="70">
        <f t="shared" si="197"/>
        <v>92.35449989582915</v>
      </c>
      <c r="DH173" s="69">
        <f t="shared" si="198"/>
        <v>97.560695612005617</v>
      </c>
      <c r="DI173" s="69">
        <f t="shared" si="199"/>
        <v>255.16127505090839</v>
      </c>
      <c r="DJ173" s="70">
        <f t="shared" si="200"/>
        <v>352.72197066291403</v>
      </c>
      <c r="DK173" s="69">
        <f t="shared" si="201"/>
        <v>79.807293918511562</v>
      </c>
      <c r="DL173" s="69">
        <f t="shared" si="202"/>
        <v>88.003865713418222</v>
      </c>
      <c r="DM173" s="70">
        <f t="shared" si="203"/>
        <v>167.8111596319298</v>
      </c>
    </row>
    <row r="174" spans="1:117">
      <c r="A174" t="s">
        <v>444</v>
      </c>
      <c r="B174">
        <v>230735</v>
      </c>
      <c r="C174">
        <v>136624</v>
      </c>
      <c r="D174" s="51">
        <v>34164.980000000003</v>
      </c>
      <c r="E174" s="32">
        <f t="shared" si="136"/>
        <v>4667756227.5200005</v>
      </c>
      <c r="F174">
        <v>6573</v>
      </c>
      <c r="G174" s="37">
        <f t="shared" si="137"/>
        <v>2.8487225605131429E-2</v>
      </c>
      <c r="H174">
        <v>0</v>
      </c>
      <c r="I174" s="3">
        <f t="shared" si="138"/>
        <v>0</v>
      </c>
      <c r="J174" s="11">
        <f>+'Seat capacity elasticities'!K204</f>
        <v>0</v>
      </c>
      <c r="K174" s="11">
        <f>+'Seat capacity elasticities'!L204</f>
        <v>0</v>
      </c>
      <c r="L174" s="11">
        <f>+'Seat capacity elasticities'!M204</f>
        <v>0</v>
      </c>
      <c r="M174" s="11">
        <f>+'Seat capacity elasticities'!N204</f>
        <v>0</v>
      </c>
      <c r="N174" s="32">
        <f t="shared" si="148"/>
        <v>0</v>
      </c>
      <c r="O174" s="33">
        <f t="shared" si="149"/>
        <v>0</v>
      </c>
      <c r="P174" s="40">
        <f t="shared" si="150"/>
        <v>0</v>
      </c>
      <c r="Q174" s="33">
        <f t="shared" si="151"/>
        <v>0</v>
      </c>
      <c r="R174" s="40">
        <f t="shared" si="152"/>
        <v>0</v>
      </c>
      <c r="S174" s="41">
        <f t="shared" si="153"/>
        <v>0</v>
      </c>
      <c r="T174" s="40">
        <f t="shared" si="154"/>
        <v>0</v>
      </c>
      <c r="U174" s="41">
        <f t="shared" si="155"/>
        <v>0</v>
      </c>
      <c r="V174" s="53"/>
      <c r="W174" s="53"/>
      <c r="X174" t="s">
        <v>444</v>
      </c>
      <c r="Y174">
        <v>230735</v>
      </c>
      <c r="Z174">
        <v>136624</v>
      </c>
      <c r="AA174" s="51">
        <v>34164.980000000003</v>
      </c>
      <c r="AB174" s="32">
        <f t="shared" si="139"/>
        <v>4667756227.5200005</v>
      </c>
      <c r="AC174">
        <v>6573</v>
      </c>
      <c r="AD174" s="37">
        <f t="shared" si="140"/>
        <v>2.8487225605131429E-2</v>
      </c>
      <c r="AE174">
        <v>2.8609E-3</v>
      </c>
      <c r="AF174" s="3">
        <f t="shared" si="141"/>
        <v>2.8609E-5</v>
      </c>
      <c r="AG174" s="11">
        <f>+'Seat capacity elasticities'!R204</f>
        <v>8.8028646255473783E-3</v>
      </c>
      <c r="AH174" s="11">
        <f>+'Seat capacity elasticities'!S204</f>
        <v>1.6683863428784272E-2</v>
      </c>
      <c r="AI174" s="11">
        <f>+'Seat capacity elasticities'!T204</f>
        <v>2.4152263954570426E-2</v>
      </c>
      <c r="AJ174" s="11">
        <f>+'Seat capacity elasticities'!U204</f>
        <v>1.9757206691981374E-2</v>
      </c>
      <c r="AK174" s="32">
        <f t="shared" si="156"/>
        <v>410896.26175914292</v>
      </c>
      <c r="AL174" s="33">
        <f t="shared" si="157"/>
        <v>8.8028646255473782E-5</v>
      </c>
      <c r="AM174" s="40">
        <f t="shared" si="158"/>
        <v>778762.07418800972</v>
      </c>
      <c r="AN174" s="33">
        <f t="shared" si="159"/>
        <v>1.6683863428784273E-4</v>
      </c>
      <c r="AO174" s="40">
        <f t="shared" si="160"/>
        <v>1587528.3097339142</v>
      </c>
      <c r="AP174" s="41">
        <f t="shared" si="161"/>
        <v>2.4152263954570427E-4</v>
      </c>
      <c r="AQ174" s="40">
        <f t="shared" si="162"/>
        <v>1298641.1958639356</v>
      </c>
      <c r="AR174" s="41">
        <f t="shared" si="163"/>
        <v>1.9757206691981371E-4</v>
      </c>
      <c r="AV174" t="s">
        <v>444</v>
      </c>
      <c r="AW174">
        <v>230735</v>
      </c>
      <c r="AX174">
        <v>136624</v>
      </c>
      <c r="AY174" s="51">
        <v>34164.980000000003</v>
      </c>
      <c r="AZ174" s="32">
        <f t="shared" si="142"/>
        <v>4667756227.5200005</v>
      </c>
      <c r="BA174">
        <v>6573</v>
      </c>
      <c r="BB174" s="37">
        <f t="shared" si="143"/>
        <v>2.8487225605131429E-2</v>
      </c>
      <c r="BC174">
        <v>0</v>
      </c>
      <c r="BD174" s="3">
        <f t="shared" si="144"/>
        <v>0</v>
      </c>
      <c r="BE174" s="11">
        <f>+'Seat capacity elasticities'!Y204</f>
        <v>0</v>
      </c>
      <c r="BF174" s="11">
        <f>+'Seat capacity elasticities'!Z204</f>
        <v>0</v>
      </c>
      <c r="BG174" s="11">
        <f>+'Seat capacity elasticities'!AA204</f>
        <v>0</v>
      </c>
      <c r="BH174" s="11">
        <f>+'Seat capacity elasticities'!AB204</f>
        <v>0</v>
      </c>
      <c r="BI174" s="32">
        <f t="shared" si="164"/>
        <v>0</v>
      </c>
      <c r="BJ174" s="33">
        <f t="shared" si="165"/>
        <v>0</v>
      </c>
      <c r="BK174" s="40">
        <f t="shared" si="166"/>
        <v>0</v>
      </c>
      <c r="BL174" s="33">
        <f t="shared" si="167"/>
        <v>0</v>
      </c>
      <c r="BM174" s="40">
        <f t="shared" si="168"/>
        <v>0</v>
      </c>
      <c r="BN174" s="41">
        <f t="shared" si="169"/>
        <v>0</v>
      </c>
      <c r="BO174" s="40">
        <f t="shared" si="170"/>
        <v>0</v>
      </c>
      <c r="BP174" s="41">
        <f t="shared" si="171"/>
        <v>0</v>
      </c>
      <c r="BQ174" s="53"/>
      <c r="BR174" s="53"/>
      <c r="BS174" t="s">
        <v>444</v>
      </c>
      <c r="BT174">
        <v>230735</v>
      </c>
      <c r="BU174">
        <v>136624</v>
      </c>
      <c r="BV174" s="51">
        <v>34164.980000000003</v>
      </c>
      <c r="BW174" s="32">
        <f t="shared" si="145"/>
        <v>4667756227.5200005</v>
      </c>
      <c r="BX174">
        <v>6573</v>
      </c>
      <c r="BY174" s="37">
        <f t="shared" si="146"/>
        <v>2.8487225605131429E-2</v>
      </c>
      <c r="BZ174">
        <v>2.8609E-3</v>
      </c>
      <c r="CA174" s="3">
        <f t="shared" si="147"/>
        <v>2.8609E-5</v>
      </c>
      <c r="CB174" s="11">
        <f>+'Seat capacity elasticities'!AF204</f>
        <v>2.6322994793297021E-2</v>
      </c>
      <c r="CC174" s="11">
        <f>+'Seat capacity elasticities'!AG204</f>
        <v>2.1034257679116736E-2</v>
      </c>
      <c r="CD174" s="11">
        <f>+'Seat capacity elasticities'!AH204</f>
        <v>7.2221935172944896E-2</v>
      </c>
      <c r="CE174" s="11">
        <f>+'Seat capacity elasticities'!AI204</f>
        <v>2.4908989356848769E-2</v>
      </c>
      <c r="CF174" s="32">
        <f t="shared" si="172"/>
        <v>1228693.2287338872</v>
      </c>
      <c r="CG174" s="33">
        <f t="shared" si="173"/>
        <v>2.6322994793297021E-4</v>
      </c>
      <c r="CH174" s="40">
        <f t="shared" si="174"/>
        <v>981827.87272957526</v>
      </c>
      <c r="CI174" s="33">
        <f t="shared" si="175"/>
        <v>2.1034257679116735E-4</v>
      </c>
      <c r="CJ174" s="40">
        <f t="shared" si="176"/>
        <v>4747147.7989176679</v>
      </c>
      <c r="CK174" s="41">
        <f t="shared" si="177"/>
        <v>7.2221935172944892E-4</v>
      </c>
      <c r="CL174" s="40">
        <f t="shared" si="178"/>
        <v>1637267.8704256697</v>
      </c>
      <c r="CM174" s="41">
        <f t="shared" si="179"/>
        <v>2.4908989356848768E-4</v>
      </c>
      <c r="CO174" s="70">
        <f t="shared" si="180"/>
        <v>0</v>
      </c>
      <c r="CP174" s="70">
        <f t="shared" si="181"/>
        <v>0</v>
      </c>
      <c r="CQ174" s="70">
        <f t="shared" si="182"/>
        <v>0</v>
      </c>
      <c r="CR174" s="70">
        <f t="shared" si="183"/>
        <v>0</v>
      </c>
      <c r="CS174" s="70">
        <f t="shared" si="184"/>
        <v>0</v>
      </c>
      <c r="CT174" s="70">
        <f t="shared" si="185"/>
        <v>0</v>
      </c>
      <c r="CU174" s="69">
        <f t="shared" si="186"/>
        <v>0</v>
      </c>
      <c r="CV174" s="69">
        <f t="shared" si="187"/>
        <v>0</v>
      </c>
      <c r="CW174" s="70">
        <f t="shared" si="188"/>
        <v>0</v>
      </c>
      <c r="CX174" s="69">
        <f t="shared" si="189"/>
        <v>0</v>
      </c>
      <c r="CY174" s="69">
        <f t="shared" si="190"/>
        <v>0</v>
      </c>
      <c r="CZ174" s="70">
        <f t="shared" si="191"/>
        <v>0</v>
      </c>
      <c r="DB174" s="70">
        <f t="shared" si="192"/>
        <v>3.0074969387453367</v>
      </c>
      <c r="DC174" s="70">
        <f t="shared" si="193"/>
        <v>8.9932459065309693</v>
      </c>
      <c r="DD174" s="70">
        <f t="shared" si="194"/>
        <v>12.000742845276307</v>
      </c>
      <c r="DE174" s="70">
        <f t="shared" si="195"/>
        <v>5.7000386036714614</v>
      </c>
      <c r="DF174" s="70">
        <f t="shared" si="196"/>
        <v>7.1863499292186974</v>
      </c>
      <c r="DG174" s="70">
        <f t="shared" si="197"/>
        <v>12.886388532890159</v>
      </c>
      <c r="DH174" s="69">
        <f t="shared" si="198"/>
        <v>11.619688412972202</v>
      </c>
      <c r="DI174" s="69">
        <f t="shared" si="199"/>
        <v>34.746075352190452</v>
      </c>
      <c r="DJ174" s="70">
        <f t="shared" si="200"/>
        <v>46.365763765162654</v>
      </c>
      <c r="DK174" s="69">
        <f t="shared" si="201"/>
        <v>9.5052201360224817</v>
      </c>
      <c r="DL174" s="69">
        <f t="shared" si="202"/>
        <v>11.983750076309212</v>
      </c>
      <c r="DM174" s="70">
        <f t="shared" si="203"/>
        <v>21.488970212331694</v>
      </c>
    </row>
    <row r="175" spans="1:117">
      <c r="A175" t="s">
        <v>993</v>
      </c>
      <c r="B175">
        <v>147577</v>
      </c>
      <c r="C175">
        <v>60184</v>
      </c>
      <c r="D175" s="51">
        <v>34748.39</v>
      </c>
      <c r="E175" s="32">
        <f t="shared" si="136"/>
        <v>2091297103.76</v>
      </c>
      <c r="F175">
        <v>2911</v>
      </c>
      <c r="G175" s="37">
        <f t="shared" si="137"/>
        <v>1.9725295947200443E-2</v>
      </c>
      <c r="H175">
        <v>0</v>
      </c>
      <c r="I175" s="3">
        <f t="shared" si="138"/>
        <v>0</v>
      </c>
      <c r="J175" s="11">
        <f>+'Seat capacity elasticities'!K205</f>
        <v>0</v>
      </c>
      <c r="K175" s="11">
        <f>+'Seat capacity elasticities'!L205</f>
        <v>0</v>
      </c>
      <c r="L175" s="11">
        <f>+'Seat capacity elasticities'!M205</f>
        <v>0</v>
      </c>
      <c r="M175" s="11">
        <f>+'Seat capacity elasticities'!N205</f>
        <v>0</v>
      </c>
      <c r="N175" s="32">
        <f t="shared" si="148"/>
        <v>0</v>
      </c>
      <c r="O175" s="33">
        <f t="shared" si="149"/>
        <v>0</v>
      </c>
      <c r="P175" s="40">
        <f t="shared" si="150"/>
        <v>0</v>
      </c>
      <c r="Q175" s="33">
        <f t="shared" si="151"/>
        <v>0</v>
      </c>
      <c r="R175" s="40">
        <f t="shared" si="152"/>
        <v>0</v>
      </c>
      <c r="S175" s="41">
        <f t="shared" si="153"/>
        <v>0</v>
      </c>
      <c r="T175" s="40">
        <f t="shared" si="154"/>
        <v>0</v>
      </c>
      <c r="U175" s="41">
        <f t="shared" si="155"/>
        <v>0</v>
      </c>
      <c r="V175" s="53"/>
      <c r="W175" s="53"/>
      <c r="X175" t="s">
        <v>993</v>
      </c>
      <c r="Y175">
        <v>147577</v>
      </c>
      <c r="Z175">
        <v>60184</v>
      </c>
      <c r="AA175" s="51">
        <v>34748.39</v>
      </c>
      <c r="AB175" s="32">
        <f t="shared" si="139"/>
        <v>2091297103.76</v>
      </c>
      <c r="AC175">
        <v>2911</v>
      </c>
      <c r="AD175" s="37">
        <f t="shared" si="140"/>
        <v>1.9725295947200443E-2</v>
      </c>
      <c r="AE175">
        <v>1.4874000000000001E-3</v>
      </c>
      <c r="AF175" s="3">
        <f t="shared" si="141"/>
        <v>1.4874E-5</v>
      </c>
      <c r="AG175" s="11">
        <f>+'Seat capacity elasticities'!R205</f>
        <v>5.7276362266375155E-3</v>
      </c>
      <c r="AH175" s="11">
        <f>+'Seat capacity elasticities'!S205</f>
        <v>1.0855454972878847E-2</v>
      </c>
      <c r="AI175" s="11">
        <f>+'Seat capacity elasticities'!T205</f>
        <v>1.5714814195828562E-2</v>
      </c>
      <c r="AJ175" s="11">
        <f>+'Seat capacity elasticities'!U205</f>
        <v>1.2855144046830214E-2</v>
      </c>
      <c r="AK175" s="32">
        <f t="shared" si="156"/>
        <v>119781.89052157891</v>
      </c>
      <c r="AL175" s="33">
        <f t="shared" si="157"/>
        <v>5.7276362266375154E-5</v>
      </c>
      <c r="AM175" s="40">
        <f t="shared" si="158"/>
        <v>227019.81544778621</v>
      </c>
      <c r="AN175" s="33">
        <f t="shared" si="159"/>
        <v>1.0855454972878847E-4</v>
      </c>
      <c r="AO175" s="40">
        <f t="shared" si="160"/>
        <v>457458.24124056939</v>
      </c>
      <c r="AP175" s="41">
        <f t="shared" si="161"/>
        <v>1.5714814195828562E-4</v>
      </c>
      <c r="AQ175" s="40">
        <f t="shared" si="162"/>
        <v>374213.24320322747</v>
      </c>
      <c r="AR175" s="41">
        <f t="shared" si="163"/>
        <v>1.285514404683021E-4</v>
      </c>
      <c r="AV175" t="s">
        <v>993</v>
      </c>
      <c r="AW175">
        <v>147577</v>
      </c>
      <c r="AX175">
        <v>60184</v>
      </c>
      <c r="AY175" s="51">
        <v>34748.39</v>
      </c>
      <c r="AZ175" s="32">
        <f t="shared" si="142"/>
        <v>2091297103.76</v>
      </c>
      <c r="BA175">
        <v>2911</v>
      </c>
      <c r="BB175" s="37">
        <f t="shared" si="143"/>
        <v>1.9725295947200443E-2</v>
      </c>
      <c r="BC175">
        <v>0</v>
      </c>
      <c r="BD175" s="3">
        <f t="shared" si="144"/>
        <v>0</v>
      </c>
      <c r="BE175" s="11">
        <f>+'Seat capacity elasticities'!Y205</f>
        <v>0</v>
      </c>
      <c r="BF175" s="11">
        <f>+'Seat capacity elasticities'!Z205</f>
        <v>0</v>
      </c>
      <c r="BG175" s="11">
        <f>+'Seat capacity elasticities'!AA205</f>
        <v>0</v>
      </c>
      <c r="BH175" s="11">
        <f>+'Seat capacity elasticities'!AB205</f>
        <v>0</v>
      </c>
      <c r="BI175" s="32">
        <f t="shared" si="164"/>
        <v>0</v>
      </c>
      <c r="BJ175" s="33">
        <f t="shared" si="165"/>
        <v>0</v>
      </c>
      <c r="BK175" s="40">
        <f t="shared" si="166"/>
        <v>0</v>
      </c>
      <c r="BL175" s="33">
        <f t="shared" si="167"/>
        <v>0</v>
      </c>
      <c r="BM175" s="40">
        <f t="shared" si="168"/>
        <v>0</v>
      </c>
      <c r="BN175" s="41">
        <f t="shared" si="169"/>
        <v>0</v>
      </c>
      <c r="BO175" s="40">
        <f t="shared" si="170"/>
        <v>0</v>
      </c>
      <c r="BP175" s="41">
        <f t="shared" si="171"/>
        <v>0</v>
      </c>
      <c r="BQ175" s="53"/>
      <c r="BR175" s="53"/>
      <c r="BS175" t="s">
        <v>993</v>
      </c>
      <c r="BT175">
        <v>147577</v>
      </c>
      <c r="BU175">
        <v>60184</v>
      </c>
      <c r="BV175" s="51">
        <v>34748.39</v>
      </c>
      <c r="BW175" s="32">
        <f t="shared" si="145"/>
        <v>2091297103.76</v>
      </c>
      <c r="BX175">
        <v>2911</v>
      </c>
      <c r="BY175" s="37">
        <f t="shared" si="146"/>
        <v>1.9725295947200443E-2</v>
      </c>
      <c r="BZ175">
        <v>1.4874000000000001E-3</v>
      </c>
      <c r="CA175" s="3">
        <f t="shared" si="147"/>
        <v>1.4874E-5</v>
      </c>
      <c r="CB175" s="11">
        <f>+'Seat capacity elasticities'!AF205</f>
        <v>2.1397113825280145E-2</v>
      </c>
      <c r="CC175" s="11">
        <f>+'Seat capacity elasticities'!AG205</f>
        <v>1.7098069931805092E-2</v>
      </c>
      <c r="CD175" s="11">
        <f>+'Seat capacity elasticities'!AH205</f>
        <v>5.870688269751953E-2</v>
      </c>
      <c r="CE175" s="11">
        <f>+'Seat capacity elasticities'!AI205</f>
        <v>2.0247714392927083E-2</v>
      </c>
      <c r="CF175" s="32">
        <f t="shared" si="172"/>
        <v>447477.2217163142</v>
      </c>
      <c r="CG175" s="33">
        <f t="shared" si="173"/>
        <v>2.1397113825280143E-4</v>
      </c>
      <c r="CH175" s="40">
        <f t="shared" si="174"/>
        <v>357571.44128269929</v>
      </c>
      <c r="CI175" s="33">
        <f t="shared" si="175"/>
        <v>1.7098069931805092E-4</v>
      </c>
      <c r="CJ175" s="40">
        <f t="shared" si="176"/>
        <v>1708957.3553247934</v>
      </c>
      <c r="CK175" s="41">
        <f t="shared" si="177"/>
        <v>5.870688269751953E-4</v>
      </c>
      <c r="CL175" s="40">
        <f t="shared" si="178"/>
        <v>589410.96597810742</v>
      </c>
      <c r="CM175" s="41">
        <f t="shared" si="179"/>
        <v>2.0247714392927085E-4</v>
      </c>
      <c r="CO175" s="70">
        <f t="shared" si="180"/>
        <v>0</v>
      </c>
      <c r="CP175" s="70">
        <f t="shared" si="181"/>
        <v>0</v>
      </c>
      <c r="CQ175" s="70">
        <f t="shared" si="182"/>
        <v>0</v>
      </c>
      <c r="CR175" s="70">
        <f t="shared" si="183"/>
        <v>0</v>
      </c>
      <c r="CS175" s="70">
        <f t="shared" si="184"/>
        <v>0</v>
      </c>
      <c r="CT175" s="70">
        <f t="shared" si="185"/>
        <v>0</v>
      </c>
      <c r="CU175" s="69">
        <f t="shared" si="186"/>
        <v>0</v>
      </c>
      <c r="CV175" s="69">
        <f t="shared" si="187"/>
        <v>0</v>
      </c>
      <c r="CW175" s="70">
        <f t="shared" si="188"/>
        <v>0</v>
      </c>
      <c r="CX175" s="69">
        <f t="shared" si="189"/>
        <v>0</v>
      </c>
      <c r="CY175" s="69">
        <f t="shared" si="190"/>
        <v>0</v>
      </c>
      <c r="CZ175" s="70">
        <f t="shared" si="191"/>
        <v>0</v>
      </c>
      <c r="DB175" s="70">
        <f t="shared" si="192"/>
        <v>1.9902613738132877</v>
      </c>
      <c r="DC175" s="70">
        <f t="shared" si="193"/>
        <v>7.4351525607522628</v>
      </c>
      <c r="DD175" s="70">
        <f t="shared" si="194"/>
        <v>9.425413934565551</v>
      </c>
      <c r="DE175" s="70">
        <f t="shared" si="195"/>
        <v>3.7720958302503358</v>
      </c>
      <c r="DF175" s="70">
        <f t="shared" si="196"/>
        <v>5.9413040223763671</v>
      </c>
      <c r="DG175" s="70">
        <f t="shared" si="197"/>
        <v>9.7133998526267025</v>
      </c>
      <c r="DH175" s="69">
        <f t="shared" si="198"/>
        <v>7.6009943048080784</v>
      </c>
      <c r="DI175" s="69">
        <f t="shared" si="199"/>
        <v>28.395542923780297</v>
      </c>
      <c r="DJ175" s="70">
        <f t="shared" si="200"/>
        <v>35.996537228588373</v>
      </c>
      <c r="DK175" s="69">
        <f t="shared" si="201"/>
        <v>6.2178194072050292</v>
      </c>
      <c r="DL175" s="69">
        <f t="shared" si="202"/>
        <v>9.7934827525273729</v>
      </c>
      <c r="DM175" s="70">
        <f t="shared" si="203"/>
        <v>16.011302159732402</v>
      </c>
    </row>
    <row r="176" spans="1:117">
      <c r="A176" t="s">
        <v>445</v>
      </c>
      <c r="B176">
        <v>562065</v>
      </c>
      <c r="C176">
        <v>444450</v>
      </c>
      <c r="D176" s="51">
        <v>40185.86</v>
      </c>
      <c r="E176" s="32">
        <f t="shared" si="136"/>
        <v>17860605477</v>
      </c>
      <c r="F176">
        <v>27389</v>
      </c>
      <c r="G176" s="37">
        <f t="shared" si="137"/>
        <v>4.8729239500769482E-2</v>
      </c>
      <c r="H176">
        <v>0</v>
      </c>
      <c r="I176" s="3">
        <f t="shared" si="138"/>
        <v>0</v>
      </c>
      <c r="J176" s="11">
        <f>+'Seat capacity elasticities'!K206</f>
        <v>0</v>
      </c>
      <c r="K176" s="11">
        <f>+'Seat capacity elasticities'!L206</f>
        <v>0</v>
      </c>
      <c r="L176" s="11">
        <f>+'Seat capacity elasticities'!M206</f>
        <v>0</v>
      </c>
      <c r="M176" s="11">
        <f>+'Seat capacity elasticities'!N206</f>
        <v>0</v>
      </c>
      <c r="N176" s="32">
        <f t="shared" si="148"/>
        <v>0</v>
      </c>
      <c r="O176" s="33">
        <f t="shared" si="149"/>
        <v>0</v>
      </c>
      <c r="P176" s="40">
        <f t="shared" si="150"/>
        <v>0</v>
      </c>
      <c r="Q176" s="33">
        <f t="shared" si="151"/>
        <v>0</v>
      </c>
      <c r="R176" s="40">
        <f t="shared" si="152"/>
        <v>0</v>
      </c>
      <c r="S176" s="41">
        <f t="shared" si="153"/>
        <v>0</v>
      </c>
      <c r="T176" s="40">
        <f t="shared" si="154"/>
        <v>0</v>
      </c>
      <c r="U176" s="41">
        <f t="shared" si="155"/>
        <v>0</v>
      </c>
      <c r="V176" s="53"/>
      <c r="W176" s="53"/>
      <c r="X176" t="s">
        <v>445</v>
      </c>
      <c r="Y176">
        <v>562065</v>
      </c>
      <c r="Z176">
        <v>444450</v>
      </c>
      <c r="AA176" s="51">
        <v>40185.86</v>
      </c>
      <c r="AB176" s="32">
        <f t="shared" si="139"/>
        <v>17860605477</v>
      </c>
      <c r="AC176">
        <v>27389</v>
      </c>
      <c r="AD176" s="37">
        <f t="shared" si="140"/>
        <v>4.8729239500769482E-2</v>
      </c>
      <c r="AE176">
        <v>1.47724E-2</v>
      </c>
      <c r="AF176" s="3">
        <f t="shared" si="141"/>
        <v>1.4772400000000001E-4</v>
      </c>
      <c r="AG176" s="11">
        <f>+'Seat capacity elasticities'!R206</f>
        <v>1.685003949178383E-2</v>
      </c>
      <c r="AH176" s="11">
        <f>+'Seat capacity elasticities'!S206</f>
        <v>3.1935485732073512E-2</v>
      </c>
      <c r="AI176" s="11">
        <f>+'Seat capacity elasticities'!T206</f>
        <v>4.6231155284316643E-2</v>
      </c>
      <c r="AJ176" s="11">
        <f>+'Seat capacity elasticities'!U206</f>
        <v>3.7818338366929161E-2</v>
      </c>
      <c r="AK176" s="32">
        <f t="shared" si="156"/>
        <v>3009519.076346206</v>
      </c>
      <c r="AL176" s="33">
        <f t="shared" si="157"/>
        <v>1.6850039491783832E-4</v>
      </c>
      <c r="AM176" s="40">
        <f t="shared" si="158"/>
        <v>5703871.1137692761</v>
      </c>
      <c r="AN176" s="33">
        <f t="shared" si="159"/>
        <v>3.1935485732073517E-4</v>
      </c>
      <c r="AO176" s="40">
        <f t="shared" si="160"/>
        <v>12662251.120821485</v>
      </c>
      <c r="AP176" s="41">
        <f t="shared" si="161"/>
        <v>4.6231155284316645E-4</v>
      </c>
      <c r="AQ176" s="40">
        <f t="shared" si="162"/>
        <v>10358064.695318228</v>
      </c>
      <c r="AR176" s="41">
        <f t="shared" si="163"/>
        <v>3.7818338366929158E-4</v>
      </c>
      <c r="AV176" t="s">
        <v>445</v>
      </c>
      <c r="AW176">
        <v>562065</v>
      </c>
      <c r="AX176">
        <v>444450</v>
      </c>
      <c r="AY176" s="51">
        <v>40185.86</v>
      </c>
      <c r="AZ176" s="32">
        <f t="shared" si="142"/>
        <v>17860605477</v>
      </c>
      <c r="BA176">
        <v>27389</v>
      </c>
      <c r="BB176" s="37">
        <f t="shared" si="143"/>
        <v>4.8729239500769482E-2</v>
      </c>
      <c r="BC176">
        <v>0</v>
      </c>
      <c r="BD176" s="3">
        <f t="shared" si="144"/>
        <v>0</v>
      </c>
      <c r="BE176" s="11">
        <f>+'Seat capacity elasticities'!Y206</f>
        <v>0</v>
      </c>
      <c r="BF176" s="11">
        <f>+'Seat capacity elasticities'!Z206</f>
        <v>0</v>
      </c>
      <c r="BG176" s="11">
        <f>+'Seat capacity elasticities'!AA206</f>
        <v>0</v>
      </c>
      <c r="BH176" s="11">
        <f>+'Seat capacity elasticities'!AB206</f>
        <v>0</v>
      </c>
      <c r="BI176" s="32">
        <f t="shared" si="164"/>
        <v>0</v>
      </c>
      <c r="BJ176" s="33">
        <f t="shared" si="165"/>
        <v>0</v>
      </c>
      <c r="BK176" s="40">
        <f t="shared" si="166"/>
        <v>0</v>
      </c>
      <c r="BL176" s="33">
        <f t="shared" si="167"/>
        <v>0</v>
      </c>
      <c r="BM176" s="40">
        <f t="shared" si="168"/>
        <v>0</v>
      </c>
      <c r="BN176" s="41">
        <f t="shared" si="169"/>
        <v>0</v>
      </c>
      <c r="BO176" s="40">
        <f t="shared" si="170"/>
        <v>0</v>
      </c>
      <c r="BP176" s="41">
        <f t="shared" si="171"/>
        <v>0</v>
      </c>
      <c r="BQ176" s="53"/>
      <c r="BR176" s="53"/>
      <c r="BS176" t="s">
        <v>445</v>
      </c>
      <c r="BT176">
        <v>562065</v>
      </c>
      <c r="BU176">
        <v>444450</v>
      </c>
      <c r="BV176" s="51">
        <v>40185.86</v>
      </c>
      <c r="BW176" s="32">
        <f t="shared" si="145"/>
        <v>17860605477</v>
      </c>
      <c r="BX176">
        <v>27389</v>
      </c>
      <c r="BY176" s="37">
        <f t="shared" si="146"/>
        <v>4.8729239500769482E-2</v>
      </c>
      <c r="BZ176">
        <v>1.47724E-2</v>
      </c>
      <c r="CA176" s="3">
        <f t="shared" si="147"/>
        <v>1.4772400000000001E-4</v>
      </c>
      <c r="CB176" s="11">
        <f>+'Seat capacity elasticities'!AF206</f>
        <v>5.5796969754885226E-2</v>
      </c>
      <c r="CC176" s="11">
        <f>+'Seat capacity elasticities'!AG206</f>
        <v>4.4586410047727572E-2</v>
      </c>
      <c r="CD176" s="11">
        <f>+'Seat capacity elasticities'!AH206</f>
        <v>0.15308915889426994</v>
      </c>
      <c r="CE176" s="11">
        <f>+'Seat capacity elasticities'!AI206</f>
        <v>5.2799696109151077E-2</v>
      </c>
      <c r="CF176" s="32">
        <f t="shared" si="172"/>
        <v>9965676.6360410638</v>
      </c>
      <c r="CG176" s="33">
        <f t="shared" si="173"/>
        <v>5.5796969754885229E-4</v>
      </c>
      <c r="CH176" s="40">
        <f t="shared" si="174"/>
        <v>7963402.7949821092</v>
      </c>
      <c r="CI176" s="33">
        <f t="shared" si="175"/>
        <v>4.4586410047727572E-4</v>
      </c>
      <c r="CJ176" s="40">
        <f t="shared" si="176"/>
        <v>41929589.729551591</v>
      </c>
      <c r="CK176" s="41">
        <f t="shared" si="177"/>
        <v>1.5308915889426994E-3</v>
      </c>
      <c r="CL176" s="40">
        <f t="shared" si="178"/>
        <v>14461308.767335389</v>
      </c>
      <c r="CM176" s="41">
        <f t="shared" si="179"/>
        <v>5.2799696109151082E-4</v>
      </c>
      <c r="CO176" s="70">
        <f t="shared" si="180"/>
        <v>0</v>
      </c>
      <c r="CP176" s="70">
        <f t="shared" si="181"/>
        <v>0</v>
      </c>
      <c r="CQ176" s="70">
        <f t="shared" si="182"/>
        <v>0</v>
      </c>
      <c r="CR176" s="70">
        <f t="shared" si="183"/>
        <v>0</v>
      </c>
      <c r="CS176" s="70">
        <f t="shared" si="184"/>
        <v>0</v>
      </c>
      <c r="CT176" s="70">
        <f t="shared" si="185"/>
        <v>0</v>
      </c>
      <c r="CU176" s="69">
        <f t="shared" si="186"/>
        <v>0</v>
      </c>
      <c r="CV176" s="69">
        <f t="shared" si="187"/>
        <v>0</v>
      </c>
      <c r="CW176" s="70">
        <f t="shared" si="188"/>
        <v>0</v>
      </c>
      <c r="CX176" s="69">
        <f t="shared" si="189"/>
        <v>0</v>
      </c>
      <c r="CY176" s="69">
        <f t="shared" si="190"/>
        <v>0</v>
      </c>
      <c r="CZ176" s="70">
        <f t="shared" si="191"/>
        <v>0</v>
      </c>
      <c r="DB176" s="70">
        <f t="shared" si="192"/>
        <v>6.7713332801129624</v>
      </c>
      <c r="DC176" s="70">
        <f t="shared" si="193"/>
        <v>22.422492149940521</v>
      </c>
      <c r="DD176" s="70">
        <f t="shared" si="194"/>
        <v>29.193825430053483</v>
      </c>
      <c r="DE176" s="70">
        <f t="shared" si="195"/>
        <v>12.833549586611039</v>
      </c>
      <c r="DF176" s="70">
        <f t="shared" si="196"/>
        <v>17.917432320805737</v>
      </c>
      <c r="DG176" s="70">
        <f t="shared" si="197"/>
        <v>30.750981907416776</v>
      </c>
      <c r="DH176" s="69">
        <f t="shared" si="198"/>
        <v>28.489708900487084</v>
      </c>
      <c r="DI176" s="69">
        <f t="shared" si="199"/>
        <v>94.34039763652062</v>
      </c>
      <c r="DJ176" s="70">
        <f t="shared" si="200"/>
        <v>122.83010653700771</v>
      </c>
      <c r="DK176" s="69">
        <f t="shared" si="201"/>
        <v>23.305354247537917</v>
      </c>
      <c r="DL176" s="69">
        <f t="shared" si="202"/>
        <v>32.537538007279537</v>
      </c>
      <c r="DM176" s="70">
        <f t="shared" si="203"/>
        <v>55.842892254817457</v>
      </c>
    </row>
    <row r="177" spans="1:117">
      <c r="A177" t="s">
        <v>446</v>
      </c>
      <c r="B177">
        <v>125081</v>
      </c>
      <c r="C177">
        <v>69186</v>
      </c>
      <c r="D177" s="51">
        <v>30875.86</v>
      </c>
      <c r="E177" s="32">
        <f t="shared" si="136"/>
        <v>2136177249.96</v>
      </c>
      <c r="F177">
        <v>3274</v>
      </c>
      <c r="G177" s="37">
        <f t="shared" si="137"/>
        <v>2.6175038575003397E-2</v>
      </c>
      <c r="H177">
        <v>0</v>
      </c>
      <c r="I177" s="3">
        <f t="shared" si="138"/>
        <v>0</v>
      </c>
      <c r="J177" s="11">
        <f>+'Seat capacity elasticities'!K207</f>
        <v>0</v>
      </c>
      <c r="K177" s="11">
        <f>+'Seat capacity elasticities'!L207</f>
        <v>0</v>
      </c>
      <c r="L177" s="11">
        <f>+'Seat capacity elasticities'!M207</f>
        <v>0</v>
      </c>
      <c r="M177" s="11">
        <f>+'Seat capacity elasticities'!N207</f>
        <v>0</v>
      </c>
      <c r="N177" s="32">
        <f t="shared" si="148"/>
        <v>0</v>
      </c>
      <c r="O177" s="33">
        <f t="shared" si="149"/>
        <v>0</v>
      </c>
      <c r="P177" s="40">
        <f t="shared" si="150"/>
        <v>0</v>
      </c>
      <c r="Q177" s="33">
        <f t="shared" si="151"/>
        <v>0</v>
      </c>
      <c r="R177" s="40">
        <f t="shared" si="152"/>
        <v>0</v>
      </c>
      <c r="S177" s="41">
        <f t="shared" si="153"/>
        <v>0</v>
      </c>
      <c r="T177" s="40">
        <f t="shared" si="154"/>
        <v>0</v>
      </c>
      <c r="U177" s="41">
        <f t="shared" si="155"/>
        <v>0</v>
      </c>
      <c r="V177" s="53"/>
      <c r="W177" s="53"/>
      <c r="X177" t="s">
        <v>446</v>
      </c>
      <c r="Y177">
        <v>125081</v>
      </c>
      <c r="Z177">
        <v>69186</v>
      </c>
      <c r="AA177" s="51">
        <v>30875.86</v>
      </c>
      <c r="AB177" s="32">
        <f t="shared" si="139"/>
        <v>2136177249.96</v>
      </c>
      <c r="AC177">
        <v>3274</v>
      </c>
      <c r="AD177" s="37">
        <f t="shared" si="140"/>
        <v>2.6175038575003397E-2</v>
      </c>
      <c r="AE177">
        <v>2.4039999999999999E-3</v>
      </c>
      <c r="AF177" s="3">
        <f t="shared" si="141"/>
        <v>2.404E-5</v>
      </c>
      <c r="AG177" s="11">
        <f>+'Seat capacity elasticities'!R207</f>
        <v>7.7000761805243222E-3</v>
      </c>
      <c r="AH177" s="11">
        <f>+'Seat capacity elasticities'!S207</f>
        <v>1.4593774282779489E-2</v>
      </c>
      <c r="AI177" s="11">
        <f>+'Seat capacity elasticities'!T207</f>
        <v>2.1126562805770705E-2</v>
      </c>
      <c r="AJ177" s="11">
        <f>+'Seat capacity elasticities'!U207</f>
        <v>1.7282101124344133E-2</v>
      </c>
      <c r="AK177" s="32">
        <f t="shared" si="156"/>
        <v>164487.27559794948</v>
      </c>
      <c r="AL177" s="33">
        <f t="shared" si="157"/>
        <v>7.7000761805243225E-5</v>
      </c>
      <c r="AM177" s="40">
        <f t="shared" si="158"/>
        <v>311748.88613924861</v>
      </c>
      <c r="AN177" s="33">
        <f t="shared" si="159"/>
        <v>1.4593774282779489E-4</v>
      </c>
      <c r="AO177" s="40">
        <f t="shared" si="160"/>
        <v>691683.66626093292</v>
      </c>
      <c r="AP177" s="41">
        <f t="shared" si="161"/>
        <v>2.1126562805770706E-4</v>
      </c>
      <c r="AQ177" s="40">
        <f t="shared" si="162"/>
        <v>565815.990811027</v>
      </c>
      <c r="AR177" s="41">
        <f t="shared" si="163"/>
        <v>1.7282101124344135E-4</v>
      </c>
      <c r="AV177" t="s">
        <v>446</v>
      </c>
      <c r="AW177">
        <v>125081</v>
      </c>
      <c r="AX177">
        <v>69186</v>
      </c>
      <c r="AY177" s="51">
        <v>30875.86</v>
      </c>
      <c r="AZ177" s="32">
        <f t="shared" si="142"/>
        <v>2136177249.96</v>
      </c>
      <c r="BA177">
        <v>3274</v>
      </c>
      <c r="BB177" s="37">
        <f t="shared" si="143"/>
        <v>2.6175038575003397E-2</v>
      </c>
      <c r="BC177">
        <v>0</v>
      </c>
      <c r="BD177" s="3">
        <f t="shared" si="144"/>
        <v>0</v>
      </c>
      <c r="BE177" s="11">
        <f>+'Seat capacity elasticities'!Y207</f>
        <v>0</v>
      </c>
      <c r="BF177" s="11">
        <f>+'Seat capacity elasticities'!Z207</f>
        <v>0</v>
      </c>
      <c r="BG177" s="11">
        <f>+'Seat capacity elasticities'!AA207</f>
        <v>0</v>
      </c>
      <c r="BH177" s="11">
        <f>+'Seat capacity elasticities'!AB207</f>
        <v>0</v>
      </c>
      <c r="BI177" s="32">
        <f t="shared" si="164"/>
        <v>0</v>
      </c>
      <c r="BJ177" s="33">
        <f t="shared" si="165"/>
        <v>0</v>
      </c>
      <c r="BK177" s="40">
        <f t="shared" si="166"/>
        <v>0</v>
      </c>
      <c r="BL177" s="33">
        <f t="shared" si="167"/>
        <v>0</v>
      </c>
      <c r="BM177" s="40">
        <f t="shared" si="168"/>
        <v>0</v>
      </c>
      <c r="BN177" s="41">
        <f t="shared" si="169"/>
        <v>0</v>
      </c>
      <c r="BO177" s="40">
        <f t="shared" si="170"/>
        <v>0</v>
      </c>
      <c r="BP177" s="41">
        <f t="shared" si="171"/>
        <v>0</v>
      </c>
      <c r="BQ177" s="53"/>
      <c r="BR177" s="53"/>
      <c r="BS177" t="s">
        <v>446</v>
      </c>
      <c r="BT177">
        <v>125081</v>
      </c>
      <c r="BU177">
        <v>69186</v>
      </c>
      <c r="BV177" s="51">
        <v>30875.86</v>
      </c>
      <c r="BW177" s="32">
        <f t="shared" si="145"/>
        <v>2136177249.96</v>
      </c>
      <c r="BX177">
        <v>3274</v>
      </c>
      <c r="BY177" s="37">
        <f t="shared" si="146"/>
        <v>2.6175038575003397E-2</v>
      </c>
      <c r="BZ177">
        <v>2.4039999999999999E-3</v>
      </c>
      <c r="CA177" s="3">
        <f t="shared" si="147"/>
        <v>2.404E-5</v>
      </c>
      <c r="CB177" s="11">
        <f>+'Seat capacity elasticities'!AF207</f>
        <v>4.0802729487078609E-2</v>
      </c>
      <c r="CC177" s="11">
        <f>+'Seat capacity elasticities'!AG207</f>
        <v>3.2604767534317763E-2</v>
      </c>
      <c r="CD177" s="11">
        <f>+'Seat capacity elasticities'!AH207</f>
        <v>0.11194972711256225</v>
      </c>
      <c r="CE177" s="11">
        <f>+'Seat capacity elasticities'!AI207</f>
        <v>3.8610908922218405E-2</v>
      </c>
      <c r="CF177" s="32">
        <f t="shared" si="172"/>
        <v>871618.62466569385</v>
      </c>
      <c r="CG177" s="33">
        <f t="shared" si="173"/>
        <v>4.0802729487078609E-4</v>
      </c>
      <c r="CH177" s="40">
        <f t="shared" si="174"/>
        <v>696495.62647044007</v>
      </c>
      <c r="CI177" s="33">
        <f t="shared" si="175"/>
        <v>3.2604767534317764E-4</v>
      </c>
      <c r="CJ177" s="40">
        <f t="shared" si="176"/>
        <v>3665234.0656652879</v>
      </c>
      <c r="CK177" s="41">
        <f t="shared" si="177"/>
        <v>1.1194972711256225E-3</v>
      </c>
      <c r="CL177" s="40">
        <f t="shared" si="178"/>
        <v>1264121.1581134307</v>
      </c>
      <c r="CM177" s="41">
        <f t="shared" si="179"/>
        <v>3.861090892221841E-4</v>
      </c>
      <c r="CO177" s="70">
        <f t="shared" si="180"/>
        <v>0</v>
      </c>
      <c r="CP177" s="70">
        <f t="shared" si="181"/>
        <v>0</v>
      </c>
      <c r="CQ177" s="70">
        <f t="shared" si="182"/>
        <v>0</v>
      </c>
      <c r="CR177" s="70">
        <f t="shared" si="183"/>
        <v>0</v>
      </c>
      <c r="CS177" s="70">
        <f t="shared" si="184"/>
        <v>0</v>
      </c>
      <c r="CT177" s="70">
        <f t="shared" si="185"/>
        <v>0</v>
      </c>
      <c r="CU177" s="69">
        <f t="shared" si="186"/>
        <v>0</v>
      </c>
      <c r="CV177" s="69">
        <f t="shared" si="187"/>
        <v>0</v>
      </c>
      <c r="CW177" s="70">
        <f t="shared" si="188"/>
        <v>0</v>
      </c>
      <c r="CX177" s="69">
        <f t="shared" si="189"/>
        <v>0</v>
      </c>
      <c r="CY177" s="69">
        <f t="shared" si="190"/>
        <v>0</v>
      </c>
      <c r="CZ177" s="70">
        <f t="shared" si="191"/>
        <v>0</v>
      </c>
      <c r="DB177" s="70">
        <f t="shared" si="192"/>
        <v>2.3774647413920373</v>
      </c>
      <c r="DC177" s="70">
        <f t="shared" si="193"/>
        <v>12.59819363260911</v>
      </c>
      <c r="DD177" s="70">
        <f t="shared" si="194"/>
        <v>14.975658374001148</v>
      </c>
      <c r="DE177" s="70">
        <f t="shared" si="195"/>
        <v>4.5059533162669991</v>
      </c>
      <c r="DF177" s="70">
        <f t="shared" si="196"/>
        <v>10.067002377221405</v>
      </c>
      <c r="DG177" s="70">
        <f t="shared" si="197"/>
        <v>14.572955693488403</v>
      </c>
      <c r="DH177" s="69">
        <f t="shared" si="198"/>
        <v>9.9974513089488184</v>
      </c>
      <c r="DI177" s="69">
        <f t="shared" si="199"/>
        <v>52.976527992155752</v>
      </c>
      <c r="DJ177" s="70">
        <f t="shared" si="200"/>
        <v>62.973979301104571</v>
      </c>
      <c r="DK177" s="69">
        <f t="shared" si="201"/>
        <v>8.1781862054610333</v>
      </c>
      <c r="DL177" s="69">
        <f t="shared" si="202"/>
        <v>18.271343308088785</v>
      </c>
      <c r="DM177" s="70">
        <f t="shared" si="203"/>
        <v>26.44952951354982</v>
      </c>
    </row>
    <row r="178" spans="1:117">
      <c r="A178" t="s">
        <v>447</v>
      </c>
      <c r="B178">
        <v>721275</v>
      </c>
      <c r="C178">
        <v>306067</v>
      </c>
      <c r="D178" s="51">
        <v>24364.82</v>
      </c>
      <c r="E178" s="32">
        <f t="shared" si="136"/>
        <v>7457267362.9399996</v>
      </c>
      <c r="F178">
        <v>10714</v>
      </c>
      <c r="G178" s="37">
        <f t="shared" si="137"/>
        <v>1.485425115247305E-2</v>
      </c>
      <c r="H178">
        <v>0</v>
      </c>
      <c r="I178" s="3">
        <f t="shared" si="138"/>
        <v>0</v>
      </c>
      <c r="J178" s="11">
        <f>+'Seat capacity elasticities'!K208</f>
        <v>0</v>
      </c>
      <c r="K178" s="11">
        <f>+'Seat capacity elasticities'!L208</f>
        <v>0</v>
      </c>
      <c r="L178" s="11">
        <f>+'Seat capacity elasticities'!M208</f>
        <v>0</v>
      </c>
      <c r="M178" s="11">
        <f>+'Seat capacity elasticities'!N208</f>
        <v>0</v>
      </c>
      <c r="N178" s="32">
        <f t="shared" si="148"/>
        <v>0</v>
      </c>
      <c r="O178" s="33">
        <f t="shared" si="149"/>
        <v>0</v>
      </c>
      <c r="P178" s="40">
        <f t="shared" si="150"/>
        <v>0</v>
      </c>
      <c r="Q178" s="33">
        <f t="shared" si="151"/>
        <v>0</v>
      </c>
      <c r="R178" s="40">
        <f t="shared" si="152"/>
        <v>0</v>
      </c>
      <c r="S178" s="41">
        <f t="shared" si="153"/>
        <v>0</v>
      </c>
      <c r="T178" s="40">
        <f t="shared" si="154"/>
        <v>0</v>
      </c>
      <c r="U178" s="41">
        <f t="shared" si="155"/>
        <v>0</v>
      </c>
      <c r="V178" s="53"/>
      <c r="W178" s="53"/>
      <c r="X178" t="s">
        <v>447</v>
      </c>
      <c r="Y178">
        <v>721275</v>
      </c>
      <c r="Z178">
        <v>306067</v>
      </c>
      <c r="AA178" s="51">
        <v>24364.82</v>
      </c>
      <c r="AB178" s="32">
        <f t="shared" si="139"/>
        <v>7457267362.9399996</v>
      </c>
      <c r="AC178">
        <v>10714</v>
      </c>
      <c r="AD178" s="37">
        <f t="shared" si="140"/>
        <v>1.485425115247305E-2</v>
      </c>
      <c r="AE178">
        <v>9.1330000000000003E-4</v>
      </c>
      <c r="AF178" s="3">
        <f t="shared" si="141"/>
        <v>9.1330000000000005E-6</v>
      </c>
      <c r="AG178" s="11">
        <f>+'Seat capacity elasticities'!R208</f>
        <v>2.5307402340227266E-3</v>
      </c>
      <c r="AH178" s="11">
        <f>+'Seat capacity elasticities'!S208</f>
        <v>4.7964527723881982E-3</v>
      </c>
      <c r="AI178" s="11">
        <f>+'Seat capacity elasticities'!T208</f>
        <v>6.9435472124811277E-3</v>
      </c>
      <c r="AJ178" s="11">
        <f>+'Seat capacity elasticities'!U208</f>
        <v>5.6800098620386555E-3</v>
      </c>
      <c r="AK178" s="32">
        <f t="shared" si="156"/>
        <v>188724.06551256817</v>
      </c>
      <c r="AL178" s="33">
        <f t="shared" si="157"/>
        <v>2.5307402340227266E-5</v>
      </c>
      <c r="AM178" s="40">
        <f t="shared" si="158"/>
        <v>357684.30717413593</v>
      </c>
      <c r="AN178" s="33">
        <f t="shared" si="159"/>
        <v>4.7964527723881985E-5</v>
      </c>
      <c r="AO178" s="40">
        <f t="shared" si="160"/>
        <v>743931.64834522805</v>
      </c>
      <c r="AP178" s="41">
        <f t="shared" si="161"/>
        <v>6.943547212481128E-5</v>
      </c>
      <c r="AQ178" s="40">
        <f t="shared" si="162"/>
        <v>608556.25661882164</v>
      </c>
      <c r="AR178" s="41">
        <f t="shared" si="163"/>
        <v>5.6800098620386561E-5</v>
      </c>
      <c r="AV178" t="s">
        <v>447</v>
      </c>
      <c r="AW178">
        <v>721275</v>
      </c>
      <c r="AX178">
        <v>306067</v>
      </c>
      <c r="AY178" s="51">
        <v>24364.82</v>
      </c>
      <c r="AZ178" s="32">
        <f t="shared" si="142"/>
        <v>7457267362.9399996</v>
      </c>
      <c r="BA178">
        <v>10714</v>
      </c>
      <c r="BB178" s="37">
        <f t="shared" si="143"/>
        <v>1.485425115247305E-2</v>
      </c>
      <c r="BC178">
        <v>0</v>
      </c>
      <c r="BD178" s="3">
        <f t="shared" si="144"/>
        <v>0</v>
      </c>
      <c r="BE178" s="11">
        <f>+'Seat capacity elasticities'!Y208</f>
        <v>0</v>
      </c>
      <c r="BF178" s="11">
        <f>+'Seat capacity elasticities'!Z208</f>
        <v>0</v>
      </c>
      <c r="BG178" s="11">
        <f>+'Seat capacity elasticities'!AA208</f>
        <v>0</v>
      </c>
      <c r="BH178" s="11">
        <f>+'Seat capacity elasticities'!AB208</f>
        <v>0</v>
      </c>
      <c r="BI178" s="32">
        <f t="shared" si="164"/>
        <v>0</v>
      </c>
      <c r="BJ178" s="33">
        <f t="shared" si="165"/>
        <v>0</v>
      </c>
      <c r="BK178" s="40">
        <f t="shared" si="166"/>
        <v>0</v>
      </c>
      <c r="BL178" s="33">
        <f t="shared" si="167"/>
        <v>0</v>
      </c>
      <c r="BM178" s="40">
        <f t="shared" si="168"/>
        <v>0</v>
      </c>
      <c r="BN178" s="41">
        <f t="shared" si="169"/>
        <v>0</v>
      </c>
      <c r="BO178" s="40">
        <f t="shared" si="170"/>
        <v>0</v>
      </c>
      <c r="BP178" s="41">
        <f t="shared" si="171"/>
        <v>0</v>
      </c>
      <c r="BQ178" s="53"/>
      <c r="BR178" s="53"/>
      <c r="BS178" t="s">
        <v>447</v>
      </c>
      <c r="BT178">
        <v>721275</v>
      </c>
      <c r="BU178">
        <v>306067</v>
      </c>
      <c r="BV178" s="51">
        <v>24364.82</v>
      </c>
      <c r="BW178" s="32">
        <f t="shared" si="145"/>
        <v>7457267362.9399996</v>
      </c>
      <c r="BX178">
        <v>10714</v>
      </c>
      <c r="BY178" s="37">
        <f t="shared" si="146"/>
        <v>1.485425115247305E-2</v>
      </c>
      <c r="BZ178">
        <v>9.1330000000000003E-4</v>
      </c>
      <c r="CA178" s="3">
        <f t="shared" si="147"/>
        <v>9.1330000000000005E-6</v>
      </c>
      <c r="CB178" s="11">
        <f>+'Seat capacity elasticities'!AF208</f>
        <v>2.6881820426890657E-3</v>
      </c>
      <c r="CC178" s="11">
        <f>+'Seat capacity elasticities'!AG208</f>
        <v>2.1480805743537487E-3</v>
      </c>
      <c r="CD178" s="11">
        <f>+'Seat capacity elasticities'!AH208</f>
        <v>7.3755175178472562E-3</v>
      </c>
      <c r="CE178" s="11">
        <f>+'Seat capacity elasticities'!AI208</f>
        <v>2.5437796275241762E-3</v>
      </c>
      <c r="CF178" s="32">
        <f t="shared" si="172"/>
        <v>200464.92212586553</v>
      </c>
      <c r="CG178" s="33">
        <f t="shared" si="173"/>
        <v>2.6881820426890662E-5</v>
      </c>
      <c r="CH178" s="40">
        <f t="shared" si="174"/>
        <v>160188.11160093622</v>
      </c>
      <c r="CI178" s="33">
        <f t="shared" si="175"/>
        <v>2.1480805743537491E-5</v>
      </c>
      <c r="CJ178" s="40">
        <f t="shared" si="176"/>
        <v>790212.94686215487</v>
      </c>
      <c r="CK178" s="41">
        <f t="shared" si="177"/>
        <v>7.3755175178472546E-5</v>
      </c>
      <c r="CL178" s="40">
        <f t="shared" si="178"/>
        <v>272540.54929294024</v>
      </c>
      <c r="CM178" s="41">
        <f t="shared" si="179"/>
        <v>2.5437796275241762E-5</v>
      </c>
      <c r="CO178" s="70">
        <f t="shared" si="180"/>
        <v>0</v>
      </c>
      <c r="CP178" s="70">
        <f t="shared" si="181"/>
        <v>0</v>
      </c>
      <c r="CQ178" s="70">
        <f t="shared" si="182"/>
        <v>0</v>
      </c>
      <c r="CR178" s="70">
        <f t="shared" si="183"/>
        <v>0</v>
      </c>
      <c r="CS178" s="70">
        <f t="shared" si="184"/>
        <v>0</v>
      </c>
      <c r="CT178" s="70">
        <f t="shared" si="185"/>
        <v>0</v>
      </c>
      <c r="CU178" s="69">
        <f t="shared" si="186"/>
        <v>0</v>
      </c>
      <c r="CV178" s="69">
        <f t="shared" si="187"/>
        <v>0</v>
      </c>
      <c r="CW178" s="70">
        <f t="shared" si="188"/>
        <v>0</v>
      </c>
      <c r="CX178" s="69">
        <f t="shared" si="189"/>
        <v>0</v>
      </c>
      <c r="CY178" s="69">
        <f t="shared" si="190"/>
        <v>0</v>
      </c>
      <c r="CZ178" s="70">
        <f t="shared" si="191"/>
        <v>0</v>
      </c>
      <c r="DB178" s="70">
        <f t="shared" si="192"/>
        <v>0.61661030268721606</v>
      </c>
      <c r="DC178" s="70">
        <f t="shared" si="193"/>
        <v>0.65497071597351408</v>
      </c>
      <c r="DD178" s="70">
        <f t="shared" si="194"/>
        <v>1.2715810186607301</v>
      </c>
      <c r="DE178" s="70">
        <f t="shared" si="195"/>
        <v>1.1686470843773942</v>
      </c>
      <c r="DF178" s="70">
        <f t="shared" si="196"/>
        <v>0.52337596539625708</v>
      </c>
      <c r="DG178" s="70">
        <f t="shared" si="197"/>
        <v>1.6920230497736513</v>
      </c>
      <c r="DH178" s="69">
        <f t="shared" si="198"/>
        <v>2.4306169836840561</v>
      </c>
      <c r="DI178" s="69">
        <f t="shared" si="199"/>
        <v>2.5818299485477194</v>
      </c>
      <c r="DJ178" s="70">
        <f t="shared" si="200"/>
        <v>5.0124469322317751</v>
      </c>
      <c r="DK178" s="69">
        <f t="shared" si="201"/>
        <v>1.9883105876125868</v>
      </c>
      <c r="DL178" s="69">
        <f t="shared" si="202"/>
        <v>0.8904604197543029</v>
      </c>
      <c r="DM178" s="70">
        <f t="shared" si="203"/>
        <v>2.8787710073668897</v>
      </c>
    </row>
    <row r="179" spans="1:117">
      <c r="A179" t="s">
        <v>448</v>
      </c>
      <c r="B179">
        <v>200298</v>
      </c>
      <c r="C179">
        <v>120099</v>
      </c>
      <c r="D179" s="51">
        <v>31390.06</v>
      </c>
      <c r="E179" s="32">
        <f t="shared" si="136"/>
        <v>3769914815.9400001</v>
      </c>
      <c r="F179">
        <v>5439</v>
      </c>
      <c r="G179" s="37">
        <f t="shared" si="137"/>
        <v>2.7154539735793667E-2</v>
      </c>
      <c r="H179">
        <v>0</v>
      </c>
      <c r="I179" s="3">
        <f t="shared" si="138"/>
        <v>0</v>
      </c>
      <c r="J179" s="11">
        <f>+'Seat capacity elasticities'!K209</f>
        <v>0</v>
      </c>
      <c r="K179" s="11">
        <f>+'Seat capacity elasticities'!L209</f>
        <v>0</v>
      </c>
      <c r="L179" s="11">
        <f>+'Seat capacity elasticities'!M209</f>
        <v>0</v>
      </c>
      <c r="M179" s="11">
        <f>+'Seat capacity elasticities'!N209</f>
        <v>0</v>
      </c>
      <c r="N179" s="32">
        <f t="shared" si="148"/>
        <v>0</v>
      </c>
      <c r="O179" s="33">
        <f t="shared" si="149"/>
        <v>0</v>
      </c>
      <c r="P179" s="40">
        <f t="shared" si="150"/>
        <v>0</v>
      </c>
      <c r="Q179" s="33">
        <f t="shared" si="151"/>
        <v>0</v>
      </c>
      <c r="R179" s="40">
        <f t="shared" si="152"/>
        <v>0</v>
      </c>
      <c r="S179" s="41">
        <f t="shared" si="153"/>
        <v>0</v>
      </c>
      <c r="T179" s="40">
        <f t="shared" si="154"/>
        <v>0</v>
      </c>
      <c r="U179" s="41">
        <f t="shared" si="155"/>
        <v>0</v>
      </c>
      <c r="V179" s="53"/>
      <c r="W179" s="53"/>
      <c r="X179" t="s">
        <v>448</v>
      </c>
      <c r="Y179">
        <v>200298</v>
      </c>
      <c r="Z179">
        <v>120099</v>
      </c>
      <c r="AA179" s="51">
        <v>31390.06</v>
      </c>
      <c r="AB179" s="32">
        <f t="shared" si="139"/>
        <v>3769914815.9400001</v>
      </c>
      <c r="AC179">
        <v>5439</v>
      </c>
      <c r="AD179" s="37">
        <f t="shared" si="140"/>
        <v>2.7154539735793667E-2</v>
      </c>
      <c r="AE179">
        <v>4.2551999999999998E-3</v>
      </c>
      <c r="AF179" s="3">
        <f t="shared" si="141"/>
        <v>4.2552000000000002E-5</v>
      </c>
      <c r="AG179" s="11">
        <f>+'Seat capacity elasticities'!R209</f>
        <v>7.9752839756720394E-3</v>
      </c>
      <c r="AH179" s="11">
        <f>+'Seat capacity elasticities'!S209</f>
        <v>1.5115369179906041E-2</v>
      </c>
      <c r="AI179" s="11">
        <f>+'Seat capacity elasticities'!T209</f>
        <v>2.1881645565020758E-2</v>
      </c>
      <c r="AJ179" s="11">
        <f>+'Seat capacity elasticities'!U209</f>
        <v>1.7899779291993996E-2</v>
      </c>
      <c r="AK179" s="32">
        <f t="shared" si="156"/>
        <v>300661.41221214889</v>
      </c>
      <c r="AL179" s="33">
        <f t="shared" si="157"/>
        <v>7.9752839756720397E-5</v>
      </c>
      <c r="AM179" s="40">
        <f t="shared" si="158"/>
        <v>569836.54219730629</v>
      </c>
      <c r="AN179" s="33">
        <f t="shared" si="159"/>
        <v>1.511536917990604E-4</v>
      </c>
      <c r="AO179" s="40">
        <f t="shared" si="160"/>
        <v>1190142.702281479</v>
      </c>
      <c r="AP179" s="41">
        <f t="shared" si="161"/>
        <v>2.1881645565020757E-4</v>
      </c>
      <c r="AQ179" s="40">
        <f t="shared" si="162"/>
        <v>973568.99569155357</v>
      </c>
      <c r="AR179" s="41">
        <f t="shared" si="163"/>
        <v>1.7899779291993999E-4</v>
      </c>
      <c r="AV179" t="s">
        <v>448</v>
      </c>
      <c r="AW179">
        <v>200298</v>
      </c>
      <c r="AX179">
        <v>120099</v>
      </c>
      <c r="AY179" s="51">
        <v>31390.06</v>
      </c>
      <c r="AZ179" s="32">
        <f t="shared" si="142"/>
        <v>3769914815.9400001</v>
      </c>
      <c r="BA179">
        <v>5439</v>
      </c>
      <c r="BB179" s="37">
        <f t="shared" si="143"/>
        <v>2.7154539735793667E-2</v>
      </c>
      <c r="BC179">
        <v>0</v>
      </c>
      <c r="BD179" s="3">
        <f t="shared" si="144"/>
        <v>0</v>
      </c>
      <c r="BE179" s="11">
        <f>+'Seat capacity elasticities'!Y209</f>
        <v>0</v>
      </c>
      <c r="BF179" s="11">
        <f>+'Seat capacity elasticities'!Z209</f>
        <v>0</v>
      </c>
      <c r="BG179" s="11">
        <f>+'Seat capacity elasticities'!AA209</f>
        <v>0</v>
      </c>
      <c r="BH179" s="11">
        <f>+'Seat capacity elasticities'!AB209</f>
        <v>0</v>
      </c>
      <c r="BI179" s="32">
        <f t="shared" si="164"/>
        <v>0</v>
      </c>
      <c r="BJ179" s="33">
        <f t="shared" si="165"/>
        <v>0</v>
      </c>
      <c r="BK179" s="40">
        <f t="shared" si="166"/>
        <v>0</v>
      </c>
      <c r="BL179" s="33">
        <f t="shared" si="167"/>
        <v>0</v>
      </c>
      <c r="BM179" s="40">
        <f t="shared" si="168"/>
        <v>0</v>
      </c>
      <c r="BN179" s="41">
        <f t="shared" si="169"/>
        <v>0</v>
      </c>
      <c r="BO179" s="40">
        <f t="shared" si="170"/>
        <v>0</v>
      </c>
      <c r="BP179" s="41">
        <f t="shared" si="171"/>
        <v>0</v>
      </c>
      <c r="BQ179" s="53"/>
      <c r="BR179" s="53"/>
      <c r="BS179" t="s">
        <v>448</v>
      </c>
      <c r="BT179">
        <v>200298</v>
      </c>
      <c r="BU179">
        <v>120099</v>
      </c>
      <c r="BV179" s="51">
        <v>31390.06</v>
      </c>
      <c r="BW179" s="32">
        <f t="shared" si="145"/>
        <v>3769914815.9400001</v>
      </c>
      <c r="BX179">
        <v>5439</v>
      </c>
      <c r="BY179" s="37">
        <f t="shared" si="146"/>
        <v>2.7154539735793667E-2</v>
      </c>
      <c r="BZ179">
        <v>4.2551999999999998E-3</v>
      </c>
      <c r="CA179" s="3">
        <f t="shared" si="147"/>
        <v>4.2552000000000002E-5</v>
      </c>
      <c r="CB179" s="11">
        <f>+'Seat capacity elasticities'!AF209</f>
        <v>4.5101341721119841E-2</v>
      </c>
      <c r="CC179" s="11">
        <f>+'Seat capacity elasticities'!AG209</f>
        <v>3.6039715499146273E-2</v>
      </c>
      <c r="CD179" s="11">
        <f>+'Seat capacity elasticities'!AH209</f>
        <v>0.12374375345866816</v>
      </c>
      <c r="CE179" s="11">
        <f>+'Seat capacity elasticities'!AI209</f>
        <v>4.2678610459515327E-2</v>
      </c>
      <c r="CF179" s="32">
        <f t="shared" si="172"/>
        <v>1700282.1637322255</v>
      </c>
      <c r="CG179" s="33">
        <f t="shared" si="173"/>
        <v>4.5101341721119842E-4</v>
      </c>
      <c r="CH179" s="40">
        <f t="shared" si="174"/>
        <v>1358666.5742249398</v>
      </c>
      <c r="CI179" s="33">
        <f t="shared" si="175"/>
        <v>3.6039715499146268E-4</v>
      </c>
      <c r="CJ179" s="40">
        <f t="shared" si="176"/>
        <v>6730422.7506169602</v>
      </c>
      <c r="CK179" s="41">
        <f t="shared" si="177"/>
        <v>1.2374375345866814E-3</v>
      </c>
      <c r="CL179" s="40">
        <f t="shared" si="178"/>
        <v>2321289.6228930387</v>
      </c>
      <c r="CM179" s="41">
        <f t="shared" si="179"/>
        <v>4.267861045951533E-4</v>
      </c>
      <c r="CO179" s="70">
        <f t="shared" si="180"/>
        <v>0</v>
      </c>
      <c r="CP179" s="70">
        <f t="shared" si="181"/>
        <v>0</v>
      </c>
      <c r="CQ179" s="70">
        <f t="shared" si="182"/>
        <v>0</v>
      </c>
      <c r="CR179" s="70">
        <f t="shared" si="183"/>
        <v>0</v>
      </c>
      <c r="CS179" s="70">
        <f t="shared" si="184"/>
        <v>0</v>
      </c>
      <c r="CT179" s="70">
        <f t="shared" si="185"/>
        <v>0</v>
      </c>
      <c r="CU179" s="69">
        <f t="shared" si="186"/>
        <v>0</v>
      </c>
      <c r="CV179" s="69">
        <f t="shared" si="187"/>
        <v>0</v>
      </c>
      <c r="CW179" s="70">
        <f t="shared" si="188"/>
        <v>0</v>
      </c>
      <c r="CX179" s="69">
        <f t="shared" si="189"/>
        <v>0</v>
      </c>
      <c r="CY179" s="69">
        <f t="shared" si="190"/>
        <v>0</v>
      </c>
      <c r="CZ179" s="70">
        <f t="shared" si="191"/>
        <v>0</v>
      </c>
      <c r="DB179" s="70">
        <f t="shared" si="192"/>
        <v>2.5034464251338386</v>
      </c>
      <c r="DC179" s="70">
        <f t="shared" si="193"/>
        <v>14.157338227064551</v>
      </c>
      <c r="DD179" s="70">
        <f t="shared" si="194"/>
        <v>16.660784652198391</v>
      </c>
      <c r="DE179" s="70">
        <f t="shared" si="195"/>
        <v>4.7447234547940145</v>
      </c>
      <c r="DF179" s="70">
        <f t="shared" si="196"/>
        <v>11.312888319011314</v>
      </c>
      <c r="DG179" s="70">
        <f t="shared" si="197"/>
        <v>16.057611773805327</v>
      </c>
      <c r="DH179" s="69">
        <f t="shared" si="198"/>
        <v>9.9096803660436716</v>
      </c>
      <c r="DI179" s="69">
        <f t="shared" si="199"/>
        <v>56.0406227413797</v>
      </c>
      <c r="DJ179" s="70">
        <f t="shared" si="200"/>
        <v>65.950303107423366</v>
      </c>
      <c r="DK179" s="69">
        <f t="shared" si="201"/>
        <v>8.1063871946606856</v>
      </c>
      <c r="DL179" s="69">
        <f t="shared" si="202"/>
        <v>19.328134479829462</v>
      </c>
      <c r="DM179" s="70">
        <f t="shared" si="203"/>
        <v>27.434521674490149</v>
      </c>
    </row>
    <row r="180" spans="1:117">
      <c r="A180" t="s">
        <v>301</v>
      </c>
      <c r="B180">
        <v>1298529</v>
      </c>
      <c r="C180">
        <v>819373</v>
      </c>
      <c r="D180" s="51">
        <v>39486.449999999997</v>
      </c>
      <c r="E180" s="32">
        <f t="shared" si="136"/>
        <v>32354130995.849998</v>
      </c>
      <c r="F180">
        <v>56599</v>
      </c>
      <c r="G180" s="37">
        <f t="shared" si="137"/>
        <v>4.3587012688973449E-2</v>
      </c>
      <c r="H180">
        <v>5.2070000000000003E-4</v>
      </c>
      <c r="I180" s="3">
        <f t="shared" si="138"/>
        <v>5.2070000000000003E-6</v>
      </c>
      <c r="J180" s="11">
        <f>+'Seat capacity elasticities'!K210</f>
        <v>1.2727252041148077E-3</v>
      </c>
      <c r="K180" s="11">
        <f>+'Seat capacity elasticities'!L210</f>
        <v>6.3151010943995941E-3</v>
      </c>
      <c r="L180" s="11">
        <f>+'Seat capacity elasticities'!M210</f>
        <v>3.4919536286182446E-3</v>
      </c>
      <c r="M180" s="11">
        <f>+'Seat capacity elasticities'!N210</f>
        <v>7.4784091907363617E-3</v>
      </c>
      <c r="N180" s="32">
        <f t="shared" si="148"/>
        <v>411779.17975650413</v>
      </c>
      <c r="O180" s="33">
        <f t="shared" si="149"/>
        <v>1.2727252041148076E-5</v>
      </c>
      <c r="P180" s="40">
        <f t="shared" si="150"/>
        <v>2043196.0806024014</v>
      </c>
      <c r="Q180" s="33">
        <f t="shared" si="151"/>
        <v>6.3151010943995932E-5</v>
      </c>
      <c r="R180" s="40">
        <f t="shared" si="152"/>
        <v>1976410.8342616407</v>
      </c>
      <c r="S180" s="41">
        <f t="shared" si="153"/>
        <v>3.4919536286182457E-5</v>
      </c>
      <c r="T180" s="40">
        <f t="shared" si="154"/>
        <v>4232704.8178648734</v>
      </c>
      <c r="U180" s="41">
        <f t="shared" si="155"/>
        <v>7.4784091907363618E-5</v>
      </c>
      <c r="V180" s="53"/>
      <c r="W180" s="53"/>
      <c r="X180" t="s">
        <v>301</v>
      </c>
      <c r="Y180">
        <v>1298529</v>
      </c>
      <c r="Z180">
        <v>819373</v>
      </c>
      <c r="AA180" s="51">
        <v>39486.449999999997</v>
      </c>
      <c r="AB180" s="32">
        <f t="shared" si="139"/>
        <v>32354130995.849998</v>
      </c>
      <c r="AC180">
        <v>56599</v>
      </c>
      <c r="AD180" s="37">
        <f t="shared" si="140"/>
        <v>4.3587012688973449E-2</v>
      </c>
      <c r="AE180">
        <v>4.2126999999999998E-3</v>
      </c>
      <c r="AF180" s="3">
        <f t="shared" si="141"/>
        <v>4.2126999999999998E-5</v>
      </c>
      <c r="AG180" s="11">
        <f>+'Seat capacity elasticities'!R210</f>
        <v>9.4660323565218616E-3</v>
      </c>
      <c r="AH180" s="11">
        <f>+'Seat capacity elasticities'!S210</f>
        <v>1.7940749718032077E-2</v>
      </c>
      <c r="AI180" s="11">
        <f>+'Seat capacity elasticities'!T210</f>
        <v>2.597178552691919E-2</v>
      </c>
      <c r="AJ180" s="11">
        <f>+'Seat capacity elasticities'!U210</f>
        <v>2.1245624666090618E-2</v>
      </c>
      <c r="AK180" s="32">
        <f t="shared" si="156"/>
        <v>3062652.5087386295</v>
      </c>
      <c r="AL180" s="33">
        <f t="shared" si="157"/>
        <v>9.466032356521861E-5</v>
      </c>
      <c r="AM180" s="40">
        <f t="shared" si="158"/>
        <v>5804573.665409687</v>
      </c>
      <c r="AN180" s="33">
        <f t="shared" si="159"/>
        <v>1.7940749718032076E-4</v>
      </c>
      <c r="AO180" s="40">
        <f t="shared" si="160"/>
        <v>14699770.890380995</v>
      </c>
      <c r="AP180" s="41">
        <f t="shared" si="161"/>
        <v>2.5971785526919197E-4</v>
      </c>
      <c r="AQ180" s="40">
        <f t="shared" si="162"/>
        <v>12024811.10476063</v>
      </c>
      <c r="AR180" s="41">
        <f t="shared" si="163"/>
        <v>2.1245624666090619E-4</v>
      </c>
      <c r="AV180" t="s">
        <v>301</v>
      </c>
      <c r="AW180">
        <v>1298529</v>
      </c>
      <c r="AX180">
        <v>819373</v>
      </c>
      <c r="AY180" s="51">
        <v>39486.449999999997</v>
      </c>
      <c r="AZ180" s="32">
        <f t="shared" si="142"/>
        <v>32354130995.849998</v>
      </c>
      <c r="BA180">
        <v>56599</v>
      </c>
      <c r="BB180" s="37">
        <f t="shared" si="143"/>
        <v>4.3587012688973449E-2</v>
      </c>
      <c r="BC180">
        <v>5.2070000000000003E-4</v>
      </c>
      <c r="BD180" s="3">
        <f t="shared" si="144"/>
        <v>5.2070000000000003E-6</v>
      </c>
      <c r="BE180" s="11">
        <f>+'Seat capacity elasticities'!Y210</f>
        <v>8.1104819051858491E-3</v>
      </c>
      <c r="BF180" s="11">
        <f>+'Seat capacity elasticities'!Z210</f>
        <v>2.2124120211708957E-2</v>
      </c>
      <c r="BG180" s="11">
        <f>+'Seat capacity elasticities'!AA210</f>
        <v>2.2252585732639874E-2</v>
      </c>
      <c r="BH180" s="11">
        <f>+'Seat capacity elasticities'!AB210</f>
        <v>2.6199616040181662E-2</v>
      </c>
      <c r="BI180" s="32">
        <f t="shared" si="164"/>
        <v>2624075.9399985401</v>
      </c>
      <c r="BJ180" s="33">
        <f t="shared" si="165"/>
        <v>8.1104819051858483E-5</v>
      </c>
      <c r="BK180" s="40">
        <f t="shared" si="166"/>
        <v>7158066.8349756412</v>
      </c>
      <c r="BL180" s="33">
        <f t="shared" si="167"/>
        <v>2.2124120211708954E-4</v>
      </c>
      <c r="BM180" s="40">
        <f t="shared" si="168"/>
        <v>12594740.998816842</v>
      </c>
      <c r="BN180" s="41">
        <f t="shared" si="169"/>
        <v>2.2252585732639876E-4</v>
      </c>
      <c r="BO180" s="40">
        <f t="shared" si="170"/>
        <v>14828720.682582421</v>
      </c>
      <c r="BP180" s="41">
        <f t="shared" si="171"/>
        <v>2.6199616040181668E-4</v>
      </c>
      <c r="BQ180" s="53"/>
      <c r="BR180" s="53"/>
      <c r="BS180" t="s">
        <v>301</v>
      </c>
      <c r="BT180">
        <v>1298529</v>
      </c>
      <c r="BU180">
        <v>819373</v>
      </c>
      <c r="BV180" s="51">
        <v>39486.449999999997</v>
      </c>
      <c r="BW180" s="32">
        <f t="shared" si="145"/>
        <v>32354130995.849998</v>
      </c>
      <c r="BX180">
        <v>56599</v>
      </c>
      <c r="BY180" s="37">
        <f t="shared" si="146"/>
        <v>4.3587012688973449E-2</v>
      </c>
      <c r="BZ180">
        <v>4.2126999999999998E-3</v>
      </c>
      <c r="CA180" s="3">
        <f t="shared" si="147"/>
        <v>4.2126999999999998E-5</v>
      </c>
      <c r="CB180" s="11">
        <f>+'Seat capacity elasticities'!AF210</f>
        <v>6.8873947779570285E-3</v>
      </c>
      <c r="CC180" s="11">
        <f>+'Seat capacity elasticities'!AG210</f>
        <v>5.503600089388069E-3</v>
      </c>
      <c r="CD180" s="11">
        <f>+'Seat capacity elasticities'!AH210</f>
        <v>1.8896823217499428E-2</v>
      </c>
      <c r="CE180" s="11">
        <f>+'Seat capacity elasticities'!AI210</f>
        <v>6.5174211584858709E-3</v>
      </c>
      <c r="CF180" s="32">
        <f t="shared" si="172"/>
        <v>2228356.7286615488</v>
      </c>
      <c r="CG180" s="33">
        <f t="shared" si="173"/>
        <v>6.8873947779570269E-5</v>
      </c>
      <c r="CH180" s="40">
        <f t="shared" si="174"/>
        <v>1780641.9824083333</v>
      </c>
      <c r="CI180" s="33">
        <f t="shared" si="175"/>
        <v>5.5036000893880686E-5</v>
      </c>
      <c r="CJ180" s="40">
        <f t="shared" si="176"/>
        <v>10695412.972872503</v>
      </c>
      <c r="CK180" s="41">
        <f t="shared" si="177"/>
        <v>1.8896823217499432E-4</v>
      </c>
      <c r="CL180" s="40">
        <f t="shared" si="178"/>
        <v>3688795.2014914183</v>
      </c>
      <c r="CM180" s="41">
        <f t="shared" si="179"/>
        <v>6.5174211584858707E-5</v>
      </c>
      <c r="CO180" s="70">
        <f t="shared" si="180"/>
        <v>0.50255400136019146</v>
      </c>
      <c r="CP180" s="70">
        <f t="shared" si="181"/>
        <v>3.2025413822502573</v>
      </c>
      <c r="CQ180" s="70">
        <f t="shared" si="182"/>
        <v>3.7050953836104488</v>
      </c>
      <c r="CR180" s="70">
        <f t="shared" si="183"/>
        <v>2.4936092360895481</v>
      </c>
      <c r="CS180" s="70">
        <f t="shared" si="184"/>
        <v>8.7360296653363498</v>
      </c>
      <c r="CT180" s="70">
        <f t="shared" si="185"/>
        <v>11.229638901425897</v>
      </c>
      <c r="CU180" s="69">
        <f t="shared" si="186"/>
        <v>2.412101490117005</v>
      </c>
      <c r="CV180" s="69">
        <f t="shared" si="187"/>
        <v>15.371193581942341</v>
      </c>
      <c r="CW180" s="70">
        <f t="shared" si="188"/>
        <v>17.783295072059346</v>
      </c>
      <c r="CX180" s="69">
        <f t="shared" si="189"/>
        <v>5.1657850794020224</v>
      </c>
      <c r="CY180" s="69">
        <f t="shared" si="190"/>
        <v>18.097643786874137</v>
      </c>
      <c r="CZ180" s="70">
        <f t="shared" si="191"/>
        <v>23.263428866276158</v>
      </c>
      <c r="DB180" s="70">
        <f t="shared" si="192"/>
        <v>3.7378001334418265</v>
      </c>
      <c r="DC180" s="70">
        <f t="shared" si="193"/>
        <v>2.7195876953006124</v>
      </c>
      <c r="DD180" s="70">
        <f t="shared" si="194"/>
        <v>6.4573878287424389</v>
      </c>
      <c r="DE180" s="70">
        <f t="shared" si="195"/>
        <v>7.0841651670358763</v>
      </c>
      <c r="DF180" s="70">
        <f t="shared" si="196"/>
        <v>2.173176297496175</v>
      </c>
      <c r="DG180" s="70">
        <f t="shared" si="197"/>
        <v>9.2573414645320504</v>
      </c>
      <c r="DH180" s="69">
        <f t="shared" si="198"/>
        <v>17.940267607525506</v>
      </c>
      <c r="DI180" s="69">
        <f t="shared" si="199"/>
        <v>13.053167449833596</v>
      </c>
      <c r="DJ180" s="70">
        <f t="shared" si="200"/>
        <v>30.9934350573591</v>
      </c>
      <c r="DK180" s="69">
        <f t="shared" si="201"/>
        <v>14.675625270494184</v>
      </c>
      <c r="DL180" s="69">
        <f t="shared" si="202"/>
        <v>4.5019730958811408</v>
      </c>
      <c r="DM180" s="70">
        <f t="shared" si="203"/>
        <v>19.177598366375324</v>
      </c>
    </row>
    <row r="181" spans="1:117">
      <c r="A181" t="s">
        <v>449</v>
      </c>
      <c r="B181">
        <v>244356</v>
      </c>
      <c r="C181">
        <v>93314</v>
      </c>
      <c r="D181" s="51">
        <v>31168.04</v>
      </c>
      <c r="E181" s="32">
        <f t="shared" si="136"/>
        <v>2908414484.5599999</v>
      </c>
      <c r="F181">
        <v>5179</v>
      </c>
      <c r="G181" s="37">
        <f t="shared" si="137"/>
        <v>2.1194486732472293E-2</v>
      </c>
      <c r="H181">
        <v>0</v>
      </c>
      <c r="I181" s="3">
        <f t="shared" si="138"/>
        <v>0</v>
      </c>
      <c r="J181" s="11">
        <f>+'Seat capacity elasticities'!K211</f>
        <v>0</v>
      </c>
      <c r="K181" s="11">
        <f>+'Seat capacity elasticities'!L211</f>
        <v>0</v>
      </c>
      <c r="L181" s="11">
        <f>+'Seat capacity elasticities'!M211</f>
        <v>0</v>
      </c>
      <c r="M181" s="11">
        <f>+'Seat capacity elasticities'!N211</f>
        <v>0</v>
      </c>
      <c r="N181" s="32">
        <f t="shared" si="148"/>
        <v>0</v>
      </c>
      <c r="O181" s="33">
        <f t="shared" si="149"/>
        <v>0</v>
      </c>
      <c r="P181" s="40">
        <f t="shared" si="150"/>
        <v>0</v>
      </c>
      <c r="Q181" s="33">
        <f t="shared" si="151"/>
        <v>0</v>
      </c>
      <c r="R181" s="40">
        <f t="shared" si="152"/>
        <v>0</v>
      </c>
      <c r="S181" s="41">
        <f t="shared" si="153"/>
        <v>0</v>
      </c>
      <c r="T181" s="40">
        <f t="shared" si="154"/>
        <v>0</v>
      </c>
      <c r="U181" s="41">
        <f t="shared" si="155"/>
        <v>0</v>
      </c>
      <c r="V181" s="53"/>
      <c r="W181" s="53"/>
      <c r="X181" t="s">
        <v>449</v>
      </c>
      <c r="Y181">
        <v>244356</v>
      </c>
      <c r="Z181">
        <v>93314</v>
      </c>
      <c r="AA181" s="51">
        <v>31168.04</v>
      </c>
      <c r="AB181" s="32">
        <f t="shared" si="139"/>
        <v>2908414484.5599999</v>
      </c>
      <c r="AC181">
        <v>5179</v>
      </c>
      <c r="AD181" s="37">
        <f t="shared" si="140"/>
        <v>2.1194486732472293E-2</v>
      </c>
      <c r="AE181">
        <v>6.5450999999999999E-3</v>
      </c>
      <c r="AF181" s="3">
        <f t="shared" si="141"/>
        <v>6.5450999999999994E-5</v>
      </c>
      <c r="AG181" s="11">
        <f>+'Seat capacity elasticities'!R211</f>
        <v>1.4364189966816071E-2</v>
      </c>
      <c r="AH181" s="11">
        <f>+'Seat capacity elasticities'!S211</f>
        <v>2.7224113270578748E-2</v>
      </c>
      <c r="AI181" s="11">
        <f>+'Seat capacity elasticities'!T211</f>
        <v>3.9410773916174056E-2</v>
      </c>
      <c r="AJ181" s="11">
        <f>+'Seat capacity elasticities'!U211</f>
        <v>3.2239081504632727E-2</v>
      </c>
      <c r="AK181" s="32">
        <f t="shared" si="156"/>
        <v>417770.18158459291</v>
      </c>
      <c r="AL181" s="33">
        <f t="shared" si="157"/>
        <v>1.4364189966816073E-4</v>
      </c>
      <c r="AM181" s="40">
        <f t="shared" si="158"/>
        <v>791790.05365453346</v>
      </c>
      <c r="AN181" s="33">
        <f t="shared" si="159"/>
        <v>2.7224113270578749E-4</v>
      </c>
      <c r="AO181" s="40">
        <f t="shared" si="160"/>
        <v>2041083.9811186544</v>
      </c>
      <c r="AP181" s="41">
        <f t="shared" si="161"/>
        <v>3.9410773916174054E-4</v>
      </c>
      <c r="AQ181" s="40">
        <f t="shared" si="162"/>
        <v>1669662.0311249287</v>
      </c>
      <c r="AR181" s="41">
        <f t="shared" si="163"/>
        <v>3.2239081504632723E-4</v>
      </c>
      <c r="AV181" t="s">
        <v>449</v>
      </c>
      <c r="AW181">
        <v>244356</v>
      </c>
      <c r="AX181">
        <v>93314</v>
      </c>
      <c r="AY181" s="51">
        <v>31168.04</v>
      </c>
      <c r="AZ181" s="32">
        <f t="shared" si="142"/>
        <v>2908414484.5599999</v>
      </c>
      <c r="BA181">
        <v>5179</v>
      </c>
      <c r="BB181" s="37">
        <f t="shared" si="143"/>
        <v>2.1194486732472293E-2</v>
      </c>
      <c r="BC181">
        <v>0</v>
      </c>
      <c r="BD181" s="3">
        <f t="shared" si="144"/>
        <v>0</v>
      </c>
      <c r="BE181" s="11">
        <f>+'Seat capacity elasticities'!Y211</f>
        <v>0</v>
      </c>
      <c r="BF181" s="11">
        <f>+'Seat capacity elasticities'!Z211</f>
        <v>0</v>
      </c>
      <c r="BG181" s="11">
        <f>+'Seat capacity elasticities'!AA211</f>
        <v>0</v>
      </c>
      <c r="BH181" s="11">
        <f>+'Seat capacity elasticities'!AB211</f>
        <v>0</v>
      </c>
      <c r="BI181" s="32">
        <f t="shared" si="164"/>
        <v>0</v>
      </c>
      <c r="BJ181" s="33">
        <f t="shared" si="165"/>
        <v>0</v>
      </c>
      <c r="BK181" s="40">
        <f t="shared" si="166"/>
        <v>0</v>
      </c>
      <c r="BL181" s="33">
        <f t="shared" si="167"/>
        <v>0</v>
      </c>
      <c r="BM181" s="40">
        <f t="shared" si="168"/>
        <v>0</v>
      </c>
      <c r="BN181" s="41">
        <f t="shared" si="169"/>
        <v>0</v>
      </c>
      <c r="BO181" s="40">
        <f t="shared" si="170"/>
        <v>0</v>
      </c>
      <c r="BP181" s="41">
        <f t="shared" si="171"/>
        <v>0</v>
      </c>
      <c r="BQ181" s="53"/>
      <c r="BR181" s="53"/>
      <c r="BS181" t="s">
        <v>449</v>
      </c>
      <c r="BT181">
        <v>244356</v>
      </c>
      <c r="BU181">
        <v>93314</v>
      </c>
      <c r="BV181" s="51">
        <v>31168.04</v>
      </c>
      <c r="BW181" s="32">
        <f t="shared" si="145"/>
        <v>2908414484.5599999</v>
      </c>
      <c r="BX181">
        <v>5179</v>
      </c>
      <c r="BY181" s="37">
        <f t="shared" si="146"/>
        <v>2.1194486732472293E-2</v>
      </c>
      <c r="BZ181">
        <v>6.5450999999999999E-3</v>
      </c>
      <c r="CA181" s="3">
        <f t="shared" si="147"/>
        <v>6.5450999999999994E-5</v>
      </c>
      <c r="CB181" s="11">
        <f>+'Seat capacity elasticities'!AF211</f>
        <v>5.6864257986235366E-2</v>
      </c>
      <c r="CC181" s="11">
        <f>+'Seat capacity elasticities'!AG211</f>
        <v>4.543926193074449E-2</v>
      </c>
      <c r="CD181" s="11">
        <f>+'Seat capacity elasticities'!AH211</f>
        <v>0.15601745873479742</v>
      </c>
      <c r="CE181" s="11">
        <f>+'Seat capacity elasticities'!AI211</f>
        <v>5.3809652286407952E-2</v>
      </c>
      <c r="CF181" s="32">
        <f t="shared" si="172"/>
        <v>1653848.3158092361</v>
      </c>
      <c r="CG181" s="33">
        <f t="shared" si="173"/>
        <v>5.6864257986235373E-4</v>
      </c>
      <c r="CH181" s="40">
        <f t="shared" si="174"/>
        <v>1321562.0756709308</v>
      </c>
      <c r="CI181" s="33">
        <f t="shared" si="175"/>
        <v>4.5439261930744498E-4</v>
      </c>
      <c r="CJ181" s="40">
        <f t="shared" si="176"/>
        <v>8080144.1878751582</v>
      </c>
      <c r="CK181" s="41">
        <f t="shared" si="177"/>
        <v>1.5601745873479742E-3</v>
      </c>
      <c r="CL181" s="40">
        <f t="shared" si="178"/>
        <v>2786801.8919130675</v>
      </c>
      <c r="CM181" s="41">
        <f t="shared" si="179"/>
        <v>5.3809652286407946E-4</v>
      </c>
      <c r="CO181" s="70">
        <f t="shared" si="180"/>
        <v>0</v>
      </c>
      <c r="CP181" s="70">
        <f t="shared" si="181"/>
        <v>0</v>
      </c>
      <c r="CQ181" s="70">
        <f t="shared" si="182"/>
        <v>0</v>
      </c>
      <c r="CR181" s="70">
        <f t="shared" si="183"/>
        <v>0</v>
      </c>
      <c r="CS181" s="70">
        <f t="shared" si="184"/>
        <v>0</v>
      </c>
      <c r="CT181" s="70">
        <f t="shared" si="185"/>
        <v>0</v>
      </c>
      <c r="CU181" s="69">
        <f t="shared" si="186"/>
        <v>0</v>
      </c>
      <c r="CV181" s="69">
        <f t="shared" si="187"/>
        <v>0</v>
      </c>
      <c r="CW181" s="70">
        <f t="shared" si="188"/>
        <v>0</v>
      </c>
      <c r="CX181" s="69">
        <f t="shared" si="189"/>
        <v>0</v>
      </c>
      <c r="CY181" s="69">
        <f t="shared" si="190"/>
        <v>0</v>
      </c>
      <c r="CZ181" s="70">
        <f t="shared" si="191"/>
        <v>0</v>
      </c>
      <c r="DB181" s="70">
        <f t="shared" si="192"/>
        <v>4.4770364745332198</v>
      </c>
      <c r="DC181" s="70">
        <f t="shared" si="193"/>
        <v>17.723474674853037</v>
      </c>
      <c r="DD181" s="70">
        <f t="shared" si="194"/>
        <v>22.200511149386259</v>
      </c>
      <c r="DE181" s="70">
        <f t="shared" si="195"/>
        <v>8.4852225138192932</v>
      </c>
      <c r="DF181" s="70">
        <f t="shared" si="196"/>
        <v>14.162527334279217</v>
      </c>
      <c r="DG181" s="70">
        <f t="shared" si="197"/>
        <v>22.64774984809851</v>
      </c>
      <c r="DH181" s="69">
        <f t="shared" si="198"/>
        <v>21.873287835894445</v>
      </c>
      <c r="DI181" s="69">
        <f t="shared" si="199"/>
        <v>86.590910130046495</v>
      </c>
      <c r="DJ181" s="70">
        <f t="shared" si="200"/>
        <v>108.46419796594094</v>
      </c>
      <c r="DK181" s="69">
        <f t="shared" si="201"/>
        <v>17.892942442987426</v>
      </c>
      <c r="DL181" s="69">
        <f t="shared" si="202"/>
        <v>29.864777974506158</v>
      </c>
      <c r="DM181" s="70">
        <f t="shared" si="203"/>
        <v>47.757720417493587</v>
      </c>
    </row>
    <row r="182" spans="1:117">
      <c r="A182" t="s">
        <v>303</v>
      </c>
      <c r="B182">
        <v>5501752</v>
      </c>
      <c r="C182">
        <v>3273236</v>
      </c>
      <c r="D182" s="51">
        <v>40292.35</v>
      </c>
      <c r="E182" s="32">
        <f t="shared" si="136"/>
        <v>131886370544.59999</v>
      </c>
      <c r="F182">
        <v>233919</v>
      </c>
      <c r="G182" s="37">
        <f t="shared" si="137"/>
        <v>4.2517183617145959E-2</v>
      </c>
      <c r="H182">
        <v>2.5428E-3</v>
      </c>
      <c r="I182" s="3">
        <f t="shared" si="138"/>
        <v>2.5428000000000001E-5</v>
      </c>
      <c r="J182" s="11">
        <f>+'Seat capacity elasticities'!K212</f>
        <v>3.0161327840556177E-3</v>
      </c>
      <c r="K182" s="11">
        <f>+'Seat capacity elasticities'!L212</f>
        <v>1.4965668459981214E-2</v>
      </c>
      <c r="L182" s="11">
        <f>+'Seat capacity elasticities'!M212</f>
        <v>8.2753101656399628E-3</v>
      </c>
      <c r="M182" s="11">
        <f>+'Seat capacity elasticities'!N212</f>
        <v>1.7722502123661964E-2</v>
      </c>
      <c r="N182" s="32">
        <f t="shared" si="148"/>
        <v>3977868.0596967516</v>
      </c>
      <c r="O182" s="33">
        <f t="shared" si="149"/>
        <v>3.0161327840556177E-5</v>
      </c>
      <c r="P182" s="40">
        <f t="shared" si="150"/>
        <v>19737676.959607154</v>
      </c>
      <c r="Q182" s="33">
        <f t="shared" si="151"/>
        <v>1.4965668459981213E-4</v>
      </c>
      <c r="R182" s="40">
        <f t="shared" si="152"/>
        <v>19357522.786363348</v>
      </c>
      <c r="S182" s="41">
        <f t="shared" si="153"/>
        <v>8.2753101656399646E-5</v>
      </c>
      <c r="T182" s="40">
        <f t="shared" si="154"/>
        <v>41456299.74264884</v>
      </c>
      <c r="U182" s="41">
        <f t="shared" si="155"/>
        <v>1.7722502123661968E-4</v>
      </c>
      <c r="V182" s="53"/>
      <c r="W182" s="53"/>
      <c r="X182" t="s">
        <v>303</v>
      </c>
      <c r="Y182">
        <v>5501752</v>
      </c>
      <c r="Z182">
        <v>3273236</v>
      </c>
      <c r="AA182" s="51">
        <v>40292.35</v>
      </c>
      <c r="AB182" s="32">
        <f t="shared" si="139"/>
        <v>131886370544.59999</v>
      </c>
      <c r="AC182">
        <v>233919</v>
      </c>
      <c r="AD182" s="37">
        <f t="shared" si="140"/>
        <v>4.2517183617145959E-2</v>
      </c>
      <c r="AE182">
        <v>1.09204E-2</v>
      </c>
      <c r="AF182" s="3">
        <f t="shared" si="141"/>
        <v>1.0920400000000001E-4</v>
      </c>
      <c r="AG182" s="11">
        <f>+'Seat capacity elasticities'!R212</f>
        <v>1.1907955026471267E-2</v>
      </c>
      <c r="AH182" s="11">
        <f>+'Seat capacity elasticities'!S212</f>
        <v>2.2568868638644789E-2</v>
      </c>
      <c r="AI182" s="11">
        <f>+'Seat capacity elasticities'!T212</f>
        <v>3.267164555999337E-2</v>
      </c>
      <c r="AJ182" s="11">
        <f>+'Seat capacity elasticities'!U212</f>
        <v>2.672629180892146E-2</v>
      </c>
      <c r="AK182" s="32">
        <f t="shared" si="156"/>
        <v>15704969.690496216</v>
      </c>
      <c r="AL182" s="33">
        <f t="shared" si="157"/>
        <v>1.1907955026471268E-4</v>
      </c>
      <c r="AM182" s="40">
        <f t="shared" si="158"/>
        <v>29765261.720487084</v>
      </c>
      <c r="AN182" s="33">
        <f t="shared" si="159"/>
        <v>2.2568868638644788E-4</v>
      </c>
      <c r="AO182" s="40">
        <f t="shared" si="160"/>
        <v>76425186.577480897</v>
      </c>
      <c r="AP182" s="41">
        <f t="shared" si="161"/>
        <v>3.2671645559993376E-4</v>
      </c>
      <c r="AQ182" s="40">
        <f t="shared" si="162"/>
        <v>62517874.536511004</v>
      </c>
      <c r="AR182" s="41">
        <f t="shared" si="163"/>
        <v>2.6726291808921467E-4</v>
      </c>
      <c r="AV182" t="s">
        <v>303</v>
      </c>
      <c r="AW182">
        <v>5501752</v>
      </c>
      <c r="AX182">
        <v>3273236</v>
      </c>
      <c r="AY182" s="51">
        <v>40292.35</v>
      </c>
      <c r="AZ182" s="32">
        <f t="shared" si="142"/>
        <v>131886370544.59999</v>
      </c>
      <c r="BA182">
        <v>233919</v>
      </c>
      <c r="BB182" s="37">
        <f t="shared" si="143"/>
        <v>4.2517183617145959E-2</v>
      </c>
      <c r="BC182">
        <v>2.5428E-3</v>
      </c>
      <c r="BD182" s="3">
        <f t="shared" si="144"/>
        <v>2.5428000000000001E-5</v>
      </c>
      <c r="BE182" s="11">
        <f>+'Seat capacity elasticities'!Y212</f>
        <v>9.3480694002916701E-3</v>
      </c>
      <c r="BF182" s="11">
        <f>+'Seat capacity elasticities'!Z212</f>
        <v>2.550006443232572E-2</v>
      </c>
      <c r="BG182" s="11">
        <f>+'Seat capacity elasticities'!AA212</f>
        <v>2.5648132650619746E-2</v>
      </c>
      <c r="BH182" s="11">
        <f>+'Seat capacity elasticities'!AB212</f>
        <v>3.0197444722490984E-2</v>
      </c>
      <c r="BI182" s="32">
        <f t="shared" si="164"/>
        <v>12328829.448035037</v>
      </c>
      <c r="BJ182" s="33">
        <f t="shared" si="165"/>
        <v>9.3480694002916691E-5</v>
      </c>
      <c r="BK182" s="40">
        <f t="shared" si="166"/>
        <v>33631109.466328844</v>
      </c>
      <c r="BL182" s="33">
        <f t="shared" si="167"/>
        <v>2.550006443232572E-4</v>
      </c>
      <c r="BM182" s="40">
        <f t="shared" si="168"/>
        <v>59995855.415003218</v>
      </c>
      <c r="BN182" s="41">
        <f t="shared" si="169"/>
        <v>2.5648132650619754E-4</v>
      </c>
      <c r="BO182" s="40">
        <f t="shared" si="170"/>
        <v>70637560.720403701</v>
      </c>
      <c r="BP182" s="41">
        <f t="shared" si="171"/>
        <v>3.0197444722490993E-4</v>
      </c>
      <c r="BQ182" s="53"/>
      <c r="BR182" s="53"/>
      <c r="BS182" t="s">
        <v>303</v>
      </c>
      <c r="BT182">
        <v>5501752</v>
      </c>
      <c r="BU182">
        <v>3273236</v>
      </c>
      <c r="BV182" s="51">
        <v>40292.35</v>
      </c>
      <c r="BW182" s="32">
        <f t="shared" si="145"/>
        <v>131886370544.59999</v>
      </c>
      <c r="BX182">
        <v>233919</v>
      </c>
      <c r="BY182" s="37">
        <f t="shared" si="146"/>
        <v>4.2517183617145959E-2</v>
      </c>
      <c r="BZ182">
        <v>1.09204E-2</v>
      </c>
      <c r="CA182" s="3">
        <f t="shared" si="147"/>
        <v>1.0920400000000001E-4</v>
      </c>
      <c r="CB182" s="11">
        <f>+'Seat capacity elasticities'!AF212</f>
        <v>4.2138942614634257E-3</v>
      </c>
      <c r="CC182" s="11">
        <f>+'Seat capacity elasticities'!AG212</f>
        <v>3.3672512730482948E-3</v>
      </c>
      <c r="CD182" s="11">
        <f>+'Seat capacity elasticities'!AH212</f>
        <v>1.1561587143365356E-2</v>
      </c>
      <c r="CE182" s="11">
        <f>+'Seat capacity elasticities'!AI212</f>
        <v>3.9875344022940332E-3</v>
      </c>
      <c r="CF182" s="32">
        <f t="shared" si="172"/>
        <v>5557552.2000312889</v>
      </c>
      <c r="CG182" s="33">
        <f t="shared" si="173"/>
        <v>4.2138942614634258E-5</v>
      </c>
      <c r="CH182" s="40">
        <f t="shared" si="174"/>
        <v>4440945.4911402343</v>
      </c>
      <c r="CI182" s="33">
        <f t="shared" si="175"/>
        <v>3.3672512730482948E-5</v>
      </c>
      <c r="CJ182" s="40">
        <f t="shared" si="176"/>
        <v>27044749.029888812</v>
      </c>
      <c r="CK182" s="41">
        <f t="shared" si="177"/>
        <v>1.1561587143365359E-4</v>
      </c>
      <c r="CL182" s="40">
        <f t="shared" si="178"/>
        <v>9327600.5985021796</v>
      </c>
      <c r="CM182" s="41">
        <f t="shared" si="179"/>
        <v>3.987534402294033E-5</v>
      </c>
      <c r="CO182" s="70">
        <f t="shared" si="180"/>
        <v>1.2152707778164336</v>
      </c>
      <c r="CP182" s="70">
        <f t="shared" si="181"/>
        <v>3.7665568410084203</v>
      </c>
      <c r="CQ182" s="70">
        <f t="shared" si="182"/>
        <v>4.9818276188248536</v>
      </c>
      <c r="CR182" s="70">
        <f t="shared" si="183"/>
        <v>6.0300195157352396</v>
      </c>
      <c r="CS182" s="70">
        <f t="shared" si="184"/>
        <v>10.27457521129819</v>
      </c>
      <c r="CT182" s="70">
        <f t="shared" si="185"/>
        <v>16.304594727033429</v>
      </c>
      <c r="CU182" s="69">
        <f t="shared" si="186"/>
        <v>5.9138793494765878</v>
      </c>
      <c r="CV182" s="69">
        <f t="shared" si="187"/>
        <v>18.32921775729071</v>
      </c>
      <c r="CW182" s="70">
        <f t="shared" si="188"/>
        <v>24.243097106767298</v>
      </c>
      <c r="CX182" s="69">
        <f t="shared" si="189"/>
        <v>12.665233958886203</v>
      </c>
      <c r="CY182" s="69">
        <f t="shared" si="190"/>
        <v>21.580344564340518</v>
      </c>
      <c r="CZ182" s="70">
        <f t="shared" si="191"/>
        <v>34.245578523226719</v>
      </c>
      <c r="DB182" s="70">
        <f t="shared" si="192"/>
        <v>4.7979949171083955</v>
      </c>
      <c r="DC182" s="70">
        <f t="shared" si="193"/>
        <v>1.6978770244587584</v>
      </c>
      <c r="DD182" s="70">
        <f t="shared" si="194"/>
        <v>6.4958719415671542</v>
      </c>
      <c r="DE182" s="70">
        <f t="shared" si="195"/>
        <v>9.0935275429229918</v>
      </c>
      <c r="DF182" s="70">
        <f t="shared" si="196"/>
        <v>1.3567446683160744</v>
      </c>
      <c r="DG182" s="70">
        <f t="shared" si="197"/>
        <v>10.450272211239067</v>
      </c>
      <c r="DH182" s="69">
        <f t="shared" si="198"/>
        <v>23.348510946806432</v>
      </c>
      <c r="DI182" s="69">
        <f t="shared" si="199"/>
        <v>8.2623889722246773</v>
      </c>
      <c r="DJ182" s="70">
        <f t="shared" si="200"/>
        <v>31.610899919031109</v>
      </c>
      <c r="DK182" s="69">
        <f t="shared" si="201"/>
        <v>19.099714941578</v>
      </c>
      <c r="DL182" s="69">
        <f t="shared" si="202"/>
        <v>2.8496572194923249</v>
      </c>
      <c r="DM182" s="70">
        <f t="shared" si="203"/>
        <v>21.949372161070325</v>
      </c>
    </row>
    <row r="183" spans="1:117">
      <c r="A183" t="s">
        <v>994</v>
      </c>
      <c r="B183">
        <v>110754</v>
      </c>
      <c r="C183">
        <v>59313</v>
      </c>
      <c r="D183" s="51">
        <v>31934.83</v>
      </c>
      <c r="E183" s="32">
        <f t="shared" si="136"/>
        <v>1894150571.7900002</v>
      </c>
      <c r="F183">
        <v>2919</v>
      </c>
      <c r="G183" s="37">
        <f t="shared" si="137"/>
        <v>2.6355707243079257E-2</v>
      </c>
      <c r="H183">
        <v>0</v>
      </c>
      <c r="I183" s="3">
        <f t="shared" si="138"/>
        <v>0</v>
      </c>
      <c r="J183" s="11">
        <f>+'Seat capacity elasticities'!K213</f>
        <v>0</v>
      </c>
      <c r="K183" s="11">
        <f>+'Seat capacity elasticities'!L213</f>
        <v>0</v>
      </c>
      <c r="L183" s="11">
        <f>+'Seat capacity elasticities'!M213</f>
        <v>0</v>
      </c>
      <c r="M183" s="11">
        <f>+'Seat capacity elasticities'!N213</f>
        <v>0</v>
      </c>
      <c r="N183" s="32">
        <f t="shared" si="148"/>
        <v>0</v>
      </c>
      <c r="O183" s="33">
        <f t="shared" si="149"/>
        <v>0</v>
      </c>
      <c r="P183" s="40">
        <f t="shared" si="150"/>
        <v>0</v>
      </c>
      <c r="Q183" s="33">
        <f t="shared" si="151"/>
        <v>0</v>
      </c>
      <c r="R183" s="40">
        <f t="shared" si="152"/>
        <v>0</v>
      </c>
      <c r="S183" s="41">
        <f t="shared" si="153"/>
        <v>0</v>
      </c>
      <c r="T183" s="40">
        <f t="shared" si="154"/>
        <v>0</v>
      </c>
      <c r="U183" s="41">
        <f t="shared" si="155"/>
        <v>0</v>
      </c>
      <c r="V183" s="53"/>
      <c r="W183" s="53"/>
      <c r="X183" t="s">
        <v>994</v>
      </c>
      <c r="Y183">
        <v>110754</v>
      </c>
      <c r="Z183">
        <v>59313</v>
      </c>
      <c r="AA183" s="51">
        <v>31934.83</v>
      </c>
      <c r="AB183" s="32">
        <f t="shared" si="139"/>
        <v>1894150571.7900002</v>
      </c>
      <c r="AC183">
        <v>2919</v>
      </c>
      <c r="AD183" s="37">
        <f t="shared" si="140"/>
        <v>2.6355707243079257E-2</v>
      </c>
      <c r="AE183">
        <v>1.5583999999999999E-3</v>
      </c>
      <c r="AF183" s="3">
        <f t="shared" si="141"/>
        <v>1.5583999999999999E-5</v>
      </c>
      <c r="AG183" s="11">
        <f>+'Seat capacity elasticities'!R213</f>
        <v>4.949132358336804E-3</v>
      </c>
      <c r="AH183" s="11">
        <f>+'Seat capacity elasticities'!S213</f>
        <v>9.3799748002297446E-3</v>
      </c>
      <c r="AI183" s="11">
        <f>+'Seat capacity elasticities'!T213</f>
        <v>1.3578846903739967E-2</v>
      </c>
      <c r="AJ183" s="11">
        <f>+'Seat capacity elasticities'!U213</f>
        <v>1.1107864895008908E-2</v>
      </c>
      <c r="AK183" s="32">
        <f t="shared" si="156"/>
        <v>93744.018864080499</v>
      </c>
      <c r="AL183" s="33">
        <f t="shared" si="157"/>
        <v>4.9491323583368045E-5</v>
      </c>
      <c r="AM183" s="40">
        <f t="shared" si="158"/>
        <v>177670.84631230964</v>
      </c>
      <c r="AN183" s="33">
        <f t="shared" si="159"/>
        <v>9.3799748002297445E-5</v>
      </c>
      <c r="AO183" s="40">
        <f t="shared" si="160"/>
        <v>396366.54112016968</v>
      </c>
      <c r="AP183" s="41">
        <f t="shared" si="161"/>
        <v>1.3578846903739968E-4</v>
      </c>
      <c r="AQ183" s="40">
        <f t="shared" si="162"/>
        <v>324238.57628531003</v>
      </c>
      <c r="AR183" s="41">
        <f t="shared" si="163"/>
        <v>1.1107864895008907E-4</v>
      </c>
      <c r="AV183" t="s">
        <v>994</v>
      </c>
      <c r="AW183">
        <v>110754</v>
      </c>
      <c r="AX183">
        <v>59313</v>
      </c>
      <c r="AY183" s="51">
        <v>31934.83</v>
      </c>
      <c r="AZ183" s="32">
        <f t="shared" si="142"/>
        <v>1894150571.7900002</v>
      </c>
      <c r="BA183">
        <v>2919</v>
      </c>
      <c r="BB183" s="37">
        <f t="shared" si="143"/>
        <v>2.6355707243079257E-2</v>
      </c>
      <c r="BC183">
        <v>0</v>
      </c>
      <c r="BD183" s="3">
        <f t="shared" si="144"/>
        <v>0</v>
      </c>
      <c r="BE183" s="11">
        <f>+'Seat capacity elasticities'!Y213</f>
        <v>0</v>
      </c>
      <c r="BF183" s="11">
        <f>+'Seat capacity elasticities'!Z213</f>
        <v>0</v>
      </c>
      <c r="BG183" s="11">
        <f>+'Seat capacity elasticities'!AA213</f>
        <v>0</v>
      </c>
      <c r="BH183" s="11">
        <f>+'Seat capacity elasticities'!AB213</f>
        <v>0</v>
      </c>
      <c r="BI183" s="32">
        <f t="shared" si="164"/>
        <v>0</v>
      </c>
      <c r="BJ183" s="33">
        <f t="shared" si="165"/>
        <v>0</v>
      </c>
      <c r="BK183" s="40">
        <f t="shared" si="166"/>
        <v>0</v>
      </c>
      <c r="BL183" s="33">
        <f t="shared" si="167"/>
        <v>0</v>
      </c>
      <c r="BM183" s="40">
        <f t="shared" si="168"/>
        <v>0</v>
      </c>
      <c r="BN183" s="41">
        <f t="shared" si="169"/>
        <v>0</v>
      </c>
      <c r="BO183" s="40">
        <f t="shared" si="170"/>
        <v>0</v>
      </c>
      <c r="BP183" s="41">
        <f t="shared" si="171"/>
        <v>0</v>
      </c>
      <c r="BQ183" s="53"/>
      <c r="BR183" s="53"/>
      <c r="BS183" t="s">
        <v>994</v>
      </c>
      <c r="BT183">
        <v>110754</v>
      </c>
      <c r="BU183">
        <v>59313</v>
      </c>
      <c r="BV183" s="51">
        <v>31934.83</v>
      </c>
      <c r="BW183" s="32">
        <f t="shared" si="145"/>
        <v>1894150571.7900002</v>
      </c>
      <c r="BX183">
        <v>2919</v>
      </c>
      <c r="BY183" s="37">
        <f t="shared" si="146"/>
        <v>2.6355707243079257E-2</v>
      </c>
      <c r="BZ183">
        <v>1.5583999999999999E-3</v>
      </c>
      <c r="CA183" s="3">
        <f t="shared" si="147"/>
        <v>1.5583999999999999E-5</v>
      </c>
      <c r="CB183" s="11">
        <f>+'Seat capacity elasticities'!AF213</f>
        <v>2.9872090529796558E-2</v>
      </c>
      <c r="CC183" s="11">
        <f>+'Seat capacity elasticities'!AG213</f>
        <v>2.3870279751665856E-2</v>
      </c>
      <c r="CD183" s="11">
        <f>+'Seat capacity elasticities'!AH213</f>
        <v>8.1959526363340737E-2</v>
      </c>
      <c r="CE183" s="11">
        <f>+'Seat capacity elasticities'!AI213</f>
        <v>2.8267436548025354E-2</v>
      </c>
      <c r="CF183" s="32">
        <f t="shared" si="172"/>
        <v>565822.37357576808</v>
      </c>
      <c r="CG183" s="33">
        <f t="shared" si="173"/>
        <v>2.9872090529796565E-4</v>
      </c>
      <c r="CH183" s="40">
        <f t="shared" si="174"/>
        <v>452139.04040405148</v>
      </c>
      <c r="CI183" s="33">
        <f t="shared" si="175"/>
        <v>2.3870279751665857E-4</v>
      </c>
      <c r="CJ183" s="40">
        <f t="shared" si="176"/>
        <v>2392398.5745459162</v>
      </c>
      <c r="CK183" s="41">
        <f t="shared" si="177"/>
        <v>8.1959526363340742E-4</v>
      </c>
      <c r="CL183" s="40">
        <f t="shared" si="178"/>
        <v>825126.47283686011</v>
      </c>
      <c r="CM183" s="41">
        <f t="shared" si="179"/>
        <v>2.8267436548025355E-4</v>
      </c>
      <c r="CO183" s="70">
        <f t="shared" si="180"/>
        <v>0</v>
      </c>
      <c r="CP183" s="70">
        <f t="shared" si="181"/>
        <v>0</v>
      </c>
      <c r="CQ183" s="70">
        <f t="shared" si="182"/>
        <v>0</v>
      </c>
      <c r="CR183" s="70">
        <f t="shared" si="183"/>
        <v>0</v>
      </c>
      <c r="CS183" s="70">
        <f t="shared" si="184"/>
        <v>0</v>
      </c>
      <c r="CT183" s="70">
        <f t="shared" si="185"/>
        <v>0</v>
      </c>
      <c r="CU183" s="69">
        <f t="shared" si="186"/>
        <v>0</v>
      </c>
      <c r="CV183" s="69">
        <f t="shared" si="187"/>
        <v>0</v>
      </c>
      <c r="CW183" s="70">
        <f t="shared" si="188"/>
        <v>0</v>
      </c>
      <c r="CX183" s="69">
        <f t="shared" si="189"/>
        <v>0</v>
      </c>
      <c r="CY183" s="69">
        <f t="shared" si="190"/>
        <v>0</v>
      </c>
      <c r="CZ183" s="70">
        <f t="shared" si="191"/>
        <v>0</v>
      </c>
      <c r="DB183" s="70">
        <f t="shared" si="192"/>
        <v>1.5804970051098495</v>
      </c>
      <c r="DC183" s="70">
        <f t="shared" si="193"/>
        <v>9.5396013281366319</v>
      </c>
      <c r="DD183" s="70">
        <f t="shared" si="194"/>
        <v>11.120098333246482</v>
      </c>
      <c r="DE183" s="70">
        <f t="shared" si="195"/>
        <v>2.9954790064962089</v>
      </c>
      <c r="DF183" s="70">
        <f t="shared" si="196"/>
        <v>7.6229332592189145</v>
      </c>
      <c r="DG183" s="70">
        <f t="shared" si="197"/>
        <v>10.618412265715124</v>
      </c>
      <c r="DH183" s="69">
        <f t="shared" si="198"/>
        <v>6.682625075787259</v>
      </c>
      <c r="DI183" s="69">
        <f t="shared" si="199"/>
        <v>40.335147009018534</v>
      </c>
      <c r="DJ183" s="70">
        <f t="shared" si="200"/>
        <v>47.017772084805792</v>
      </c>
      <c r="DK183" s="69">
        <f t="shared" si="201"/>
        <v>5.4665684805238319</v>
      </c>
      <c r="DL183" s="69">
        <f t="shared" si="202"/>
        <v>13.911393334291978</v>
      </c>
      <c r="DM183" s="70">
        <f t="shared" si="203"/>
        <v>19.377961814815809</v>
      </c>
    </row>
    <row r="184" spans="1:117">
      <c r="A184" t="s">
        <v>450</v>
      </c>
      <c r="B184">
        <v>1550451</v>
      </c>
      <c r="C184">
        <v>1027088</v>
      </c>
      <c r="D184" s="51">
        <v>43313.95</v>
      </c>
      <c r="E184" s="32">
        <f t="shared" si="136"/>
        <v>44487238277.599998</v>
      </c>
      <c r="F184">
        <v>75696</v>
      </c>
      <c r="G184" s="37">
        <f t="shared" si="137"/>
        <v>4.8821923427441433E-2</v>
      </c>
      <c r="H184">
        <v>0</v>
      </c>
      <c r="I184" s="3">
        <f t="shared" si="138"/>
        <v>0</v>
      </c>
      <c r="J184" s="11">
        <f>+'Seat capacity elasticities'!K214</f>
        <v>0</v>
      </c>
      <c r="K184" s="11">
        <f>+'Seat capacity elasticities'!L214</f>
        <v>0</v>
      </c>
      <c r="L184" s="11">
        <f>+'Seat capacity elasticities'!M214</f>
        <v>0</v>
      </c>
      <c r="M184" s="11">
        <f>+'Seat capacity elasticities'!N214</f>
        <v>0</v>
      </c>
      <c r="N184" s="32">
        <f t="shared" si="148"/>
        <v>0</v>
      </c>
      <c r="O184" s="33">
        <f t="shared" si="149"/>
        <v>0</v>
      </c>
      <c r="P184" s="40">
        <f t="shared" si="150"/>
        <v>0</v>
      </c>
      <c r="Q184" s="33">
        <f t="shared" si="151"/>
        <v>0</v>
      </c>
      <c r="R184" s="40">
        <f t="shared" si="152"/>
        <v>0</v>
      </c>
      <c r="S184" s="41">
        <f t="shared" si="153"/>
        <v>0</v>
      </c>
      <c r="T184" s="40">
        <f t="shared" si="154"/>
        <v>0</v>
      </c>
      <c r="U184" s="41">
        <f t="shared" si="155"/>
        <v>0</v>
      </c>
      <c r="V184" s="53"/>
      <c r="W184" s="53"/>
      <c r="X184" t="s">
        <v>450</v>
      </c>
      <c r="Y184">
        <v>1550451</v>
      </c>
      <c r="Z184">
        <v>1027088</v>
      </c>
      <c r="AA184" s="51">
        <v>43313.95</v>
      </c>
      <c r="AB184" s="32">
        <f t="shared" si="139"/>
        <v>44487238277.599998</v>
      </c>
      <c r="AC184">
        <v>75696</v>
      </c>
      <c r="AD184" s="37">
        <f t="shared" si="140"/>
        <v>4.8821923427441433E-2</v>
      </c>
      <c r="AE184">
        <v>1.35149E-2</v>
      </c>
      <c r="AF184" s="3">
        <f t="shared" si="141"/>
        <v>1.3514899999999999E-4</v>
      </c>
      <c r="AG184" s="11">
        <f>+'Seat capacity elasticities'!R214</f>
        <v>1.6931495087810496E-2</v>
      </c>
      <c r="AH184" s="11">
        <f>+'Seat capacity elasticities'!S214</f>
        <v>3.2089866618004108E-2</v>
      </c>
      <c r="AI184" s="11">
        <f>+'Seat capacity elasticities'!T214</f>
        <v>4.6454643562223751E-2</v>
      </c>
      <c r="AJ184" s="11">
        <f>+'Seat capacity elasticities'!U214</f>
        <v>3.8001157837110125E-2</v>
      </c>
      <c r="AK184" s="32">
        <f t="shared" si="156"/>
        <v>7532354.563674395</v>
      </c>
      <c r="AL184" s="33">
        <f t="shared" si="157"/>
        <v>1.6931495087810496E-4</v>
      </c>
      <c r="AM184" s="40">
        <f t="shared" si="158"/>
        <v>14275895.425315509</v>
      </c>
      <c r="AN184" s="33">
        <f t="shared" si="159"/>
        <v>3.2089866618004111E-4</v>
      </c>
      <c r="AO184" s="40">
        <f t="shared" si="160"/>
        <v>35164306.990860894</v>
      </c>
      <c r="AP184" s="41">
        <f t="shared" si="161"/>
        <v>4.6454643562223754E-4</v>
      </c>
      <c r="AQ184" s="40">
        <f t="shared" si="162"/>
        <v>28765356.436378881</v>
      </c>
      <c r="AR184" s="41">
        <f t="shared" si="163"/>
        <v>3.8001157837110126E-4</v>
      </c>
      <c r="AV184" t="s">
        <v>450</v>
      </c>
      <c r="AW184">
        <v>1550451</v>
      </c>
      <c r="AX184">
        <v>1027088</v>
      </c>
      <c r="AY184" s="51">
        <v>43313.95</v>
      </c>
      <c r="AZ184" s="32">
        <f t="shared" si="142"/>
        <v>44487238277.599998</v>
      </c>
      <c r="BA184">
        <v>75696</v>
      </c>
      <c r="BB184" s="37">
        <f t="shared" si="143"/>
        <v>4.8821923427441433E-2</v>
      </c>
      <c r="BC184">
        <v>0</v>
      </c>
      <c r="BD184" s="3">
        <f t="shared" si="144"/>
        <v>0</v>
      </c>
      <c r="BE184" s="11">
        <f>+'Seat capacity elasticities'!Y214</f>
        <v>0</v>
      </c>
      <c r="BF184" s="11">
        <f>+'Seat capacity elasticities'!Z214</f>
        <v>0</v>
      </c>
      <c r="BG184" s="11">
        <f>+'Seat capacity elasticities'!AA214</f>
        <v>0</v>
      </c>
      <c r="BH184" s="11">
        <f>+'Seat capacity elasticities'!AB214</f>
        <v>0</v>
      </c>
      <c r="BI184" s="32">
        <f t="shared" si="164"/>
        <v>0</v>
      </c>
      <c r="BJ184" s="33">
        <f t="shared" si="165"/>
        <v>0</v>
      </c>
      <c r="BK184" s="40">
        <f t="shared" si="166"/>
        <v>0</v>
      </c>
      <c r="BL184" s="33">
        <f t="shared" si="167"/>
        <v>0</v>
      </c>
      <c r="BM184" s="40">
        <f t="shared" si="168"/>
        <v>0</v>
      </c>
      <c r="BN184" s="41">
        <f t="shared" si="169"/>
        <v>0</v>
      </c>
      <c r="BO184" s="40">
        <f t="shared" si="170"/>
        <v>0</v>
      </c>
      <c r="BP184" s="41">
        <f t="shared" si="171"/>
        <v>0</v>
      </c>
      <c r="BQ184" s="53"/>
      <c r="BR184" s="53"/>
      <c r="BS184" t="s">
        <v>450</v>
      </c>
      <c r="BT184">
        <v>1550451</v>
      </c>
      <c r="BU184">
        <v>1027088</v>
      </c>
      <c r="BV184" s="51">
        <v>43313.95</v>
      </c>
      <c r="BW184" s="32">
        <f t="shared" si="145"/>
        <v>44487238277.599998</v>
      </c>
      <c r="BX184">
        <v>75696</v>
      </c>
      <c r="BY184" s="37">
        <f t="shared" si="146"/>
        <v>4.8821923427441433E-2</v>
      </c>
      <c r="BZ184">
        <v>1.35149E-2</v>
      </c>
      <c r="CA184" s="3">
        <f t="shared" si="147"/>
        <v>1.3514899999999999E-4</v>
      </c>
      <c r="CB184" s="11">
        <f>+'Seat capacity elasticities'!AF214</f>
        <v>1.8505502759516207E-2</v>
      </c>
      <c r="CC184" s="11">
        <f>+'Seat capacity elasticities'!AG214</f>
        <v>1.4787432683168318E-2</v>
      </c>
      <c r="CD184" s="11">
        <f>+'Seat capacity elasticities'!AH214</f>
        <v>5.0773220567625697E-2</v>
      </c>
      <c r="CE184" s="11">
        <f>+'Seat capacity elasticities'!AI214</f>
        <v>1.7511433440594061E-2</v>
      </c>
      <c r="CF184" s="32">
        <f t="shared" si="172"/>
        <v>8232587.1070938185</v>
      </c>
      <c r="CG184" s="33">
        <f t="shared" si="173"/>
        <v>1.8505502759516207E-4</v>
      </c>
      <c r="CH184" s="40">
        <f t="shared" si="174"/>
        <v>6578520.4129007896</v>
      </c>
      <c r="CI184" s="33">
        <f t="shared" si="175"/>
        <v>1.4787432683168321E-4</v>
      </c>
      <c r="CJ184" s="40">
        <f t="shared" si="176"/>
        <v>38433297.040869944</v>
      </c>
      <c r="CK184" s="41">
        <f t="shared" si="177"/>
        <v>5.0773220567625695E-4</v>
      </c>
      <c r="CL184" s="40">
        <f t="shared" si="178"/>
        <v>13255454.657192081</v>
      </c>
      <c r="CM184" s="41">
        <f t="shared" si="179"/>
        <v>1.7511433440594061E-4</v>
      </c>
      <c r="CO184" s="70">
        <f t="shared" si="180"/>
        <v>0</v>
      </c>
      <c r="CP184" s="70">
        <f t="shared" si="181"/>
        <v>0</v>
      </c>
      <c r="CQ184" s="70">
        <f t="shared" si="182"/>
        <v>0</v>
      </c>
      <c r="CR184" s="70">
        <f t="shared" si="183"/>
        <v>0</v>
      </c>
      <c r="CS184" s="70">
        <f t="shared" si="184"/>
        <v>0</v>
      </c>
      <c r="CT184" s="70">
        <f t="shared" si="185"/>
        <v>0</v>
      </c>
      <c r="CU184" s="69">
        <f t="shared" si="186"/>
        <v>0</v>
      </c>
      <c r="CV184" s="69">
        <f t="shared" si="187"/>
        <v>0</v>
      </c>
      <c r="CW184" s="70">
        <f t="shared" si="188"/>
        <v>0</v>
      </c>
      <c r="CX184" s="69">
        <f t="shared" si="189"/>
        <v>0</v>
      </c>
      <c r="CY184" s="69">
        <f t="shared" si="190"/>
        <v>0</v>
      </c>
      <c r="CZ184" s="70">
        <f t="shared" si="191"/>
        <v>0</v>
      </c>
      <c r="DB184" s="70">
        <f t="shared" si="192"/>
        <v>7.3336993165866948</v>
      </c>
      <c r="DC184" s="70">
        <f t="shared" si="193"/>
        <v>8.0154642125054707</v>
      </c>
      <c r="DD184" s="70">
        <f t="shared" si="194"/>
        <v>15.349163529092166</v>
      </c>
      <c r="DE184" s="70">
        <f t="shared" si="195"/>
        <v>13.899388781988991</v>
      </c>
      <c r="DF184" s="70">
        <f t="shared" si="196"/>
        <v>6.4050211986711849</v>
      </c>
      <c r="DG184" s="70">
        <f t="shared" si="197"/>
        <v>20.304409980660175</v>
      </c>
      <c r="DH184" s="69">
        <f t="shared" si="198"/>
        <v>34.236897900531304</v>
      </c>
      <c r="DI184" s="69">
        <f t="shared" si="199"/>
        <v>37.419672940264071</v>
      </c>
      <c r="DJ184" s="70">
        <f t="shared" si="200"/>
        <v>71.656570840795382</v>
      </c>
      <c r="DK184" s="69">
        <f t="shared" si="201"/>
        <v>28.006710658073001</v>
      </c>
      <c r="DL184" s="69">
        <f t="shared" si="202"/>
        <v>12.905860702483215</v>
      </c>
      <c r="DM184" s="70">
        <f t="shared" si="203"/>
        <v>40.912571360556214</v>
      </c>
    </row>
    <row r="185" spans="1:117">
      <c r="A185" t="s">
        <v>305</v>
      </c>
      <c r="B185">
        <v>3237612</v>
      </c>
      <c r="C185">
        <v>2285862</v>
      </c>
      <c r="D185" s="51">
        <v>48866.68</v>
      </c>
      <c r="E185" s="32">
        <f t="shared" si="136"/>
        <v>111702486878.16</v>
      </c>
      <c r="F185">
        <v>175976</v>
      </c>
      <c r="G185" s="37">
        <f t="shared" si="137"/>
        <v>5.4353640893349792E-2</v>
      </c>
      <c r="H185">
        <v>5.5610000000000002E-4</v>
      </c>
      <c r="I185" s="3">
        <f t="shared" si="138"/>
        <v>5.5610000000000006E-6</v>
      </c>
      <c r="J185" s="11">
        <f>+'Seat capacity elasticities'!K215</f>
        <v>7.546447274330172E-4</v>
      </c>
      <c r="K185" s="11">
        <f>+'Seat capacity elasticities'!L215</f>
        <v>3.7444514563610694E-3</v>
      </c>
      <c r="L185" s="11">
        <f>+'Seat capacity elasticities'!M215</f>
        <v>2.0705053893469065E-3</v>
      </c>
      <c r="M185" s="11">
        <f>+'Seat capacity elasticities'!N215</f>
        <v>4.4342188299012668E-3</v>
      </c>
      <c r="N185" s="32">
        <f t="shared" si="148"/>
        <v>842956.92763759231</v>
      </c>
      <c r="O185" s="33">
        <f t="shared" si="149"/>
        <v>7.5464472743301714E-6</v>
      </c>
      <c r="P185" s="40">
        <f t="shared" si="150"/>
        <v>4182645.3967007943</v>
      </c>
      <c r="Q185" s="33">
        <f t="shared" si="151"/>
        <v>3.744451456361069E-5</v>
      </c>
      <c r="R185" s="40">
        <f t="shared" si="152"/>
        <v>3643592.5639571124</v>
      </c>
      <c r="S185" s="41">
        <f t="shared" si="153"/>
        <v>2.0705053893469066E-5</v>
      </c>
      <c r="T185" s="40">
        <f t="shared" si="154"/>
        <v>7803160.928107054</v>
      </c>
      <c r="U185" s="41">
        <f t="shared" si="155"/>
        <v>4.434218829901267E-5</v>
      </c>
      <c r="V185" s="53"/>
      <c r="W185" s="53"/>
      <c r="X185" t="s">
        <v>305</v>
      </c>
      <c r="Y185">
        <v>3237612</v>
      </c>
      <c r="Z185">
        <v>2285862</v>
      </c>
      <c r="AA185" s="51">
        <v>48866.68</v>
      </c>
      <c r="AB185" s="32">
        <f t="shared" si="139"/>
        <v>111702486878.16</v>
      </c>
      <c r="AC185">
        <v>175976</v>
      </c>
      <c r="AD185" s="37">
        <f t="shared" si="140"/>
        <v>5.4353640893349792E-2</v>
      </c>
      <c r="AE185">
        <v>1.73385E-2</v>
      </c>
      <c r="AF185" s="3">
        <f t="shared" si="141"/>
        <v>1.7338499999999999E-4</v>
      </c>
      <c r="AG185" s="11">
        <f>+'Seat capacity elasticities'!R215</f>
        <v>2.1630250782835071E-2</v>
      </c>
      <c r="AH185" s="11">
        <f>+'Seat capacity elasticities'!S215</f>
        <v>4.0995308384483363E-2</v>
      </c>
      <c r="AI185" s="11">
        <f>+'Seat capacity elasticities'!T215</f>
        <v>5.9346536443879612E-2</v>
      </c>
      <c r="AJ185" s="11">
        <f>+'Seat capacity elasticities'!U215</f>
        <v>4.8547075718467135E-2</v>
      </c>
      <c r="AK185" s="32">
        <f t="shared" si="156"/>
        <v>24161528.042409446</v>
      </c>
      <c r="AL185" s="33">
        <f t="shared" si="157"/>
        <v>2.1630250782835072E-4</v>
      </c>
      <c r="AM185" s="40">
        <f t="shared" si="158"/>
        <v>45792778.968838751</v>
      </c>
      <c r="AN185" s="33">
        <f t="shared" si="159"/>
        <v>4.0995308384483359E-4</v>
      </c>
      <c r="AO185" s="40">
        <f t="shared" si="160"/>
        <v>104435660.97248158</v>
      </c>
      <c r="AP185" s="41">
        <f t="shared" si="161"/>
        <v>5.9346536443879603E-4</v>
      </c>
      <c r="AQ185" s="40">
        <f t="shared" si="162"/>
        <v>85431201.966329738</v>
      </c>
      <c r="AR185" s="41">
        <f t="shared" si="163"/>
        <v>4.8547075718467141E-4</v>
      </c>
      <c r="AV185" t="s">
        <v>305</v>
      </c>
      <c r="AW185">
        <v>3237612</v>
      </c>
      <c r="AX185">
        <v>2285862</v>
      </c>
      <c r="AY185" s="51">
        <v>48866.68</v>
      </c>
      <c r="AZ185" s="32">
        <f t="shared" si="142"/>
        <v>111702486878.16</v>
      </c>
      <c r="BA185">
        <v>175976</v>
      </c>
      <c r="BB185" s="37">
        <f t="shared" si="143"/>
        <v>5.4353640893349792E-2</v>
      </c>
      <c r="BC185">
        <v>5.5610000000000002E-4</v>
      </c>
      <c r="BD185" s="3">
        <f t="shared" si="144"/>
        <v>5.5610000000000006E-6</v>
      </c>
      <c r="BE185" s="11">
        <f>+'Seat capacity elasticities'!Y215</f>
        <v>3.4740721139946053E-3</v>
      </c>
      <c r="BF185" s="11">
        <f>+'Seat capacity elasticities'!Z215</f>
        <v>9.4767228350534465E-3</v>
      </c>
      <c r="BG185" s="11">
        <f>+'Seat capacity elasticities'!AA215</f>
        <v>9.5317502044617343E-3</v>
      </c>
      <c r="BH185" s="11">
        <f>+'Seat capacity elasticities'!AB215</f>
        <v>1.1222434936247503E-2</v>
      </c>
      <c r="BI185" s="32">
        <f t="shared" si="164"/>
        <v>3880624.9472726397</v>
      </c>
      <c r="BJ185" s="33">
        <f t="shared" si="165"/>
        <v>3.4740721139946053E-5</v>
      </c>
      <c r="BK185" s="40">
        <f t="shared" si="166"/>
        <v>10585735.081305169</v>
      </c>
      <c r="BL185" s="33">
        <f t="shared" si="167"/>
        <v>9.4767228350534468E-5</v>
      </c>
      <c r="BM185" s="40">
        <f t="shared" si="168"/>
        <v>16773592.739803579</v>
      </c>
      <c r="BN185" s="41">
        <f t="shared" si="169"/>
        <v>9.5317502044617327E-5</v>
      </c>
      <c r="BO185" s="40">
        <f t="shared" si="170"/>
        <v>19748792.103410907</v>
      </c>
      <c r="BP185" s="41">
        <f t="shared" si="171"/>
        <v>1.1222434936247504E-4</v>
      </c>
      <c r="BQ185" s="53"/>
      <c r="BR185" s="53"/>
      <c r="BS185" t="s">
        <v>305</v>
      </c>
      <c r="BT185">
        <v>3237612</v>
      </c>
      <c r="BU185">
        <v>2285862</v>
      </c>
      <c r="BV185" s="51">
        <v>48866.68</v>
      </c>
      <c r="BW185" s="32">
        <f t="shared" si="145"/>
        <v>111702486878.16</v>
      </c>
      <c r="BX185">
        <v>175976</v>
      </c>
      <c r="BY185" s="37">
        <f t="shared" si="146"/>
        <v>5.4353640893349792E-2</v>
      </c>
      <c r="BZ185">
        <v>1.73385E-2</v>
      </c>
      <c r="CA185" s="3">
        <f t="shared" si="147"/>
        <v>1.7338499999999999E-4</v>
      </c>
      <c r="CB185" s="11">
        <f>+'Seat capacity elasticities'!AF215</f>
        <v>1.1369276251898564E-2</v>
      </c>
      <c r="CC185" s="11">
        <f>+'Seat capacity elasticities'!AG215</f>
        <v>9.0849953884576048E-3</v>
      </c>
      <c r="CD185" s="11">
        <f>+'Seat capacity elasticities'!AH215</f>
        <v>3.1193682135172953E-2</v>
      </c>
      <c r="CE185" s="11">
        <f>+'Seat capacity elasticities'!AI215</f>
        <v>1.07585471705419E-2</v>
      </c>
      <c r="CF185" s="32">
        <f t="shared" si="172"/>
        <v>12699764.313418753</v>
      </c>
      <c r="CG185" s="33">
        <f t="shared" si="173"/>
        <v>1.1369276251898562E-4</v>
      </c>
      <c r="CH185" s="40">
        <f t="shared" si="174"/>
        <v>10148165.781673297</v>
      </c>
      <c r="CI185" s="33">
        <f t="shared" si="175"/>
        <v>9.0849953884576047E-5</v>
      </c>
      <c r="CJ185" s="40">
        <f t="shared" si="176"/>
        <v>54893394.074191958</v>
      </c>
      <c r="CK185" s="41">
        <f t="shared" si="177"/>
        <v>3.1193682135172954E-4</v>
      </c>
      <c r="CL185" s="40">
        <f t="shared" si="178"/>
        <v>18932460.968832813</v>
      </c>
      <c r="CM185" s="41">
        <f t="shared" si="179"/>
        <v>1.07585471705419E-4</v>
      </c>
      <c r="CO185" s="70">
        <f t="shared" si="180"/>
        <v>0.36876982409156472</v>
      </c>
      <c r="CP185" s="70">
        <f t="shared" si="181"/>
        <v>1.697663702914979</v>
      </c>
      <c r="CQ185" s="70">
        <f t="shared" si="182"/>
        <v>2.0664335270065437</v>
      </c>
      <c r="CR185" s="70">
        <f t="shared" si="183"/>
        <v>1.8297891109353033</v>
      </c>
      <c r="CS185" s="70">
        <f t="shared" si="184"/>
        <v>4.6309598222924953</v>
      </c>
      <c r="CT185" s="70">
        <f t="shared" si="185"/>
        <v>6.4607489332277988</v>
      </c>
      <c r="CU185" s="69">
        <f t="shared" si="186"/>
        <v>1.5939687365016402</v>
      </c>
      <c r="CV185" s="69">
        <f t="shared" si="187"/>
        <v>7.3379726071843265</v>
      </c>
      <c r="CW185" s="70">
        <f t="shared" si="188"/>
        <v>8.9319413436859669</v>
      </c>
      <c r="CX185" s="69">
        <f t="shared" si="189"/>
        <v>3.41366229812082</v>
      </c>
      <c r="CY185" s="69">
        <f t="shared" si="190"/>
        <v>8.6395382150851212</v>
      </c>
      <c r="CZ185" s="70">
        <f t="shared" si="191"/>
        <v>12.05320051320594</v>
      </c>
      <c r="DB185" s="70">
        <f t="shared" si="192"/>
        <v>10.56998543324551</v>
      </c>
      <c r="DC185" s="70">
        <f t="shared" si="193"/>
        <v>5.5557878443312649</v>
      </c>
      <c r="DD185" s="70">
        <f t="shared" si="194"/>
        <v>16.125773277576776</v>
      </c>
      <c r="DE185" s="70">
        <f t="shared" si="195"/>
        <v>20.033046163258653</v>
      </c>
      <c r="DF185" s="70">
        <f t="shared" si="196"/>
        <v>4.4395356244923345</v>
      </c>
      <c r="DG185" s="70">
        <f t="shared" si="197"/>
        <v>24.47258178775099</v>
      </c>
      <c r="DH185" s="69">
        <f t="shared" si="198"/>
        <v>45.687649111136885</v>
      </c>
      <c r="DI185" s="69">
        <f t="shared" si="199"/>
        <v>24.014307982805594</v>
      </c>
      <c r="DJ185" s="70">
        <f t="shared" si="200"/>
        <v>69.701957093942482</v>
      </c>
      <c r="DK185" s="69">
        <f t="shared" si="201"/>
        <v>37.373735582607232</v>
      </c>
      <c r="DL185" s="69">
        <f t="shared" si="202"/>
        <v>8.2824164227030384</v>
      </c>
      <c r="DM185" s="70">
        <f t="shared" si="203"/>
        <v>45.656152005310268</v>
      </c>
    </row>
    <row r="186" spans="1:117">
      <c r="A186" t="s">
        <v>451</v>
      </c>
      <c r="B186">
        <v>107552</v>
      </c>
      <c r="C186">
        <v>78700</v>
      </c>
      <c r="D186" s="51">
        <v>29380.82</v>
      </c>
      <c r="E186" s="32">
        <f t="shared" si="136"/>
        <v>2312270534</v>
      </c>
      <c r="F186">
        <v>3934</v>
      </c>
      <c r="G186" s="37">
        <f t="shared" si="137"/>
        <v>3.6577655459684617E-2</v>
      </c>
      <c r="H186">
        <v>0</v>
      </c>
      <c r="I186" s="3">
        <f t="shared" si="138"/>
        <v>0</v>
      </c>
      <c r="J186" s="11">
        <f>+'Seat capacity elasticities'!K216</f>
        <v>0</v>
      </c>
      <c r="K186" s="11">
        <f>+'Seat capacity elasticities'!L216</f>
        <v>0</v>
      </c>
      <c r="L186" s="11">
        <f>+'Seat capacity elasticities'!M216</f>
        <v>0</v>
      </c>
      <c r="M186" s="11">
        <f>+'Seat capacity elasticities'!N216</f>
        <v>0</v>
      </c>
      <c r="N186" s="32">
        <f t="shared" si="148"/>
        <v>0</v>
      </c>
      <c r="O186" s="33">
        <f t="shared" si="149"/>
        <v>0</v>
      </c>
      <c r="P186" s="40">
        <f t="shared" si="150"/>
        <v>0</v>
      </c>
      <c r="Q186" s="33">
        <f t="shared" si="151"/>
        <v>0</v>
      </c>
      <c r="R186" s="40">
        <f t="shared" si="152"/>
        <v>0</v>
      </c>
      <c r="S186" s="41">
        <f t="shared" si="153"/>
        <v>0</v>
      </c>
      <c r="T186" s="40">
        <f t="shared" si="154"/>
        <v>0</v>
      </c>
      <c r="U186" s="41">
        <f t="shared" si="155"/>
        <v>0</v>
      </c>
      <c r="V186" s="53"/>
      <c r="W186" s="53"/>
      <c r="X186" t="s">
        <v>451</v>
      </c>
      <c r="Y186">
        <v>107552</v>
      </c>
      <c r="Z186">
        <v>78700</v>
      </c>
      <c r="AA186" s="51">
        <v>29380.82</v>
      </c>
      <c r="AB186" s="32">
        <f t="shared" si="139"/>
        <v>2312270534</v>
      </c>
      <c r="AC186">
        <v>3934</v>
      </c>
      <c r="AD186" s="37">
        <f t="shared" si="140"/>
        <v>3.6577655459684617E-2</v>
      </c>
      <c r="AE186">
        <v>5.7723000000000002E-3</v>
      </c>
      <c r="AF186" s="3">
        <f t="shared" si="141"/>
        <v>5.7723000000000003E-5</v>
      </c>
      <c r="AG186" s="11">
        <f>+'Seat capacity elasticities'!R216</f>
        <v>1.3984079270868416E-2</v>
      </c>
      <c r="AH186" s="11">
        <f>+'Seat capacity elasticities'!S216</f>
        <v>2.6503698359209314E-2</v>
      </c>
      <c r="AI186" s="11">
        <f>+'Seat capacity elasticities'!T216</f>
        <v>3.8367870923682296E-2</v>
      </c>
      <c r="AJ186" s="11">
        <f>+'Seat capacity elasticities'!U216</f>
        <v>3.1385958583274191E-2</v>
      </c>
      <c r="AK186" s="32">
        <f t="shared" si="156"/>
        <v>323349.74443149241</v>
      </c>
      <c r="AL186" s="33">
        <f t="shared" si="157"/>
        <v>1.3984079270868414E-4</v>
      </c>
      <c r="AM186" s="40">
        <f t="shared" si="158"/>
        <v>612837.20758023846</v>
      </c>
      <c r="AN186" s="33">
        <f t="shared" si="159"/>
        <v>2.6503698359209315E-4</v>
      </c>
      <c r="AO186" s="40">
        <f t="shared" si="160"/>
        <v>1509392.0421376617</v>
      </c>
      <c r="AP186" s="41">
        <f t="shared" si="161"/>
        <v>3.8367870923682301E-4</v>
      </c>
      <c r="AQ186" s="40">
        <f t="shared" si="162"/>
        <v>1234723.6106660066</v>
      </c>
      <c r="AR186" s="41">
        <f t="shared" si="163"/>
        <v>3.1385958583274185E-4</v>
      </c>
      <c r="AV186" t="s">
        <v>451</v>
      </c>
      <c r="AW186">
        <v>107552</v>
      </c>
      <c r="AX186">
        <v>78700</v>
      </c>
      <c r="AY186" s="51">
        <v>29380.82</v>
      </c>
      <c r="AZ186" s="32">
        <f t="shared" si="142"/>
        <v>2312270534</v>
      </c>
      <c r="BA186">
        <v>3934</v>
      </c>
      <c r="BB186" s="37">
        <f t="shared" si="143"/>
        <v>3.6577655459684617E-2</v>
      </c>
      <c r="BC186">
        <v>0</v>
      </c>
      <c r="BD186" s="3">
        <f t="shared" si="144"/>
        <v>0</v>
      </c>
      <c r="BE186" s="11">
        <f>+'Seat capacity elasticities'!Y216</f>
        <v>0</v>
      </c>
      <c r="BF186" s="11">
        <f>+'Seat capacity elasticities'!Z216</f>
        <v>0</v>
      </c>
      <c r="BG186" s="11">
        <f>+'Seat capacity elasticities'!AA216</f>
        <v>0</v>
      </c>
      <c r="BH186" s="11">
        <f>+'Seat capacity elasticities'!AB216</f>
        <v>0</v>
      </c>
      <c r="BI186" s="32">
        <f t="shared" si="164"/>
        <v>0</v>
      </c>
      <c r="BJ186" s="33">
        <f t="shared" si="165"/>
        <v>0</v>
      </c>
      <c r="BK186" s="40">
        <f t="shared" si="166"/>
        <v>0</v>
      </c>
      <c r="BL186" s="33">
        <f t="shared" si="167"/>
        <v>0</v>
      </c>
      <c r="BM186" s="40">
        <f t="shared" si="168"/>
        <v>0</v>
      </c>
      <c r="BN186" s="41">
        <f t="shared" si="169"/>
        <v>0</v>
      </c>
      <c r="BO186" s="40">
        <f t="shared" si="170"/>
        <v>0</v>
      </c>
      <c r="BP186" s="41">
        <f t="shared" si="171"/>
        <v>0</v>
      </c>
      <c r="BQ186" s="53"/>
      <c r="BR186" s="53"/>
      <c r="BS186" t="s">
        <v>451</v>
      </c>
      <c r="BT186">
        <v>107552</v>
      </c>
      <c r="BU186">
        <v>78700</v>
      </c>
      <c r="BV186" s="51">
        <v>29380.82</v>
      </c>
      <c r="BW186" s="32">
        <f t="shared" si="145"/>
        <v>2312270534</v>
      </c>
      <c r="BX186">
        <v>3934</v>
      </c>
      <c r="BY186" s="37">
        <f t="shared" si="146"/>
        <v>3.6577655459684617E-2</v>
      </c>
      <c r="BZ186">
        <v>5.7723000000000002E-3</v>
      </c>
      <c r="CA186" s="3">
        <f t="shared" si="147"/>
        <v>5.7723000000000003E-5</v>
      </c>
      <c r="CB186" s="11">
        <f>+'Seat capacity elasticities'!AF216</f>
        <v>0.11394007498981364</v>
      </c>
      <c r="CC186" s="11">
        <f>+'Seat capacity elasticities'!AG216</f>
        <v>9.1047577075991162E-2</v>
      </c>
      <c r="CD186" s="11">
        <f>+'Seat capacity elasticities'!AH216</f>
        <v>0.31261536820309876</v>
      </c>
      <c r="CE186" s="11">
        <f>+'Seat capacity elasticities'!AI216</f>
        <v>0.10781949916893691</v>
      </c>
      <c r="CF186" s="32">
        <f t="shared" si="172"/>
        <v>2634602.780406964</v>
      </c>
      <c r="CG186" s="33">
        <f t="shared" si="173"/>
        <v>1.1394007498981363E-3</v>
      </c>
      <c r="CH186" s="40">
        <f t="shared" si="174"/>
        <v>2105266.2966490826</v>
      </c>
      <c r="CI186" s="33">
        <f t="shared" si="175"/>
        <v>9.1047577075991173E-4</v>
      </c>
      <c r="CJ186" s="40">
        <f t="shared" si="176"/>
        <v>12298288.585109904</v>
      </c>
      <c r="CK186" s="41">
        <f t="shared" si="177"/>
        <v>3.1261536820309877E-3</v>
      </c>
      <c r="CL186" s="40">
        <f t="shared" si="178"/>
        <v>4241619.0973059786</v>
      </c>
      <c r="CM186" s="41">
        <f t="shared" si="179"/>
        <v>1.0781949916893693E-3</v>
      </c>
      <c r="CO186" s="70">
        <f t="shared" si="180"/>
        <v>0</v>
      </c>
      <c r="CP186" s="70">
        <f t="shared" si="181"/>
        <v>0</v>
      </c>
      <c r="CQ186" s="70">
        <f t="shared" si="182"/>
        <v>0</v>
      </c>
      <c r="CR186" s="70">
        <f t="shared" si="183"/>
        <v>0</v>
      </c>
      <c r="CS186" s="70">
        <f t="shared" si="184"/>
        <v>0</v>
      </c>
      <c r="CT186" s="70">
        <f t="shared" si="185"/>
        <v>0</v>
      </c>
      <c r="CU186" s="69">
        <f t="shared" si="186"/>
        <v>0</v>
      </c>
      <c r="CV186" s="69">
        <f t="shared" si="187"/>
        <v>0</v>
      </c>
      <c r="CW186" s="70">
        <f t="shared" si="188"/>
        <v>0</v>
      </c>
      <c r="CX186" s="69">
        <f t="shared" si="189"/>
        <v>0</v>
      </c>
      <c r="CY186" s="69">
        <f t="shared" si="190"/>
        <v>0</v>
      </c>
      <c r="CZ186" s="70">
        <f t="shared" si="191"/>
        <v>0</v>
      </c>
      <c r="DB186" s="70">
        <f t="shared" si="192"/>
        <v>4.1086371592311615</v>
      </c>
      <c r="DC186" s="70">
        <f t="shared" si="193"/>
        <v>33.47652834062216</v>
      </c>
      <c r="DD186" s="70">
        <f t="shared" si="194"/>
        <v>37.585165499853318</v>
      </c>
      <c r="DE186" s="70">
        <f t="shared" si="195"/>
        <v>7.7870039082622426</v>
      </c>
      <c r="DF186" s="70">
        <f t="shared" si="196"/>
        <v>26.750524735058228</v>
      </c>
      <c r="DG186" s="70">
        <f t="shared" si="197"/>
        <v>34.537528643320471</v>
      </c>
      <c r="DH186" s="69">
        <f t="shared" si="198"/>
        <v>19.179060255878802</v>
      </c>
      <c r="DI186" s="69">
        <f t="shared" si="199"/>
        <v>156.26796169135838</v>
      </c>
      <c r="DJ186" s="70">
        <f t="shared" si="200"/>
        <v>175.44702194723718</v>
      </c>
      <c r="DK186" s="69">
        <f t="shared" si="201"/>
        <v>15.688991240991189</v>
      </c>
      <c r="DL186" s="69">
        <f t="shared" si="202"/>
        <v>53.896049521041661</v>
      </c>
      <c r="DM186" s="70">
        <f t="shared" si="203"/>
        <v>69.585040762032847</v>
      </c>
    </row>
    <row r="187" spans="1:117">
      <c r="A187" t="s">
        <v>452</v>
      </c>
      <c r="B187">
        <v>409132</v>
      </c>
      <c r="C187">
        <v>239691</v>
      </c>
      <c r="D187" s="51">
        <v>35575.19</v>
      </c>
      <c r="E187" s="32">
        <f t="shared" si="136"/>
        <v>8527052866.2900009</v>
      </c>
      <c r="F187">
        <v>13038</v>
      </c>
      <c r="G187" s="37">
        <f t="shared" si="137"/>
        <v>3.1867465756772878E-2</v>
      </c>
      <c r="H187">
        <v>0</v>
      </c>
      <c r="I187" s="3">
        <f t="shared" si="138"/>
        <v>0</v>
      </c>
      <c r="J187" s="11">
        <f>+'Seat capacity elasticities'!K217</f>
        <v>0</v>
      </c>
      <c r="K187" s="11">
        <f>+'Seat capacity elasticities'!L217</f>
        <v>0</v>
      </c>
      <c r="L187" s="11">
        <f>+'Seat capacity elasticities'!M217</f>
        <v>0</v>
      </c>
      <c r="M187" s="11">
        <f>+'Seat capacity elasticities'!N217</f>
        <v>0</v>
      </c>
      <c r="N187" s="32">
        <f t="shared" si="148"/>
        <v>0</v>
      </c>
      <c r="O187" s="33">
        <f t="shared" si="149"/>
        <v>0</v>
      </c>
      <c r="P187" s="40">
        <f t="shared" si="150"/>
        <v>0</v>
      </c>
      <c r="Q187" s="33">
        <f t="shared" si="151"/>
        <v>0</v>
      </c>
      <c r="R187" s="40">
        <f t="shared" si="152"/>
        <v>0</v>
      </c>
      <c r="S187" s="41">
        <f t="shared" si="153"/>
        <v>0</v>
      </c>
      <c r="T187" s="40">
        <f t="shared" si="154"/>
        <v>0</v>
      </c>
      <c r="U187" s="41">
        <f t="shared" si="155"/>
        <v>0</v>
      </c>
      <c r="V187" s="53"/>
      <c r="W187" s="53"/>
      <c r="X187" t="s">
        <v>452</v>
      </c>
      <c r="Y187">
        <v>409132</v>
      </c>
      <c r="Z187">
        <v>239691</v>
      </c>
      <c r="AA187" s="51">
        <v>35575.19</v>
      </c>
      <c r="AB187" s="32">
        <f t="shared" si="139"/>
        <v>8527052866.2900009</v>
      </c>
      <c r="AC187">
        <v>13038</v>
      </c>
      <c r="AD187" s="37">
        <f t="shared" si="140"/>
        <v>3.1867465756772878E-2</v>
      </c>
      <c r="AE187">
        <v>2.6256000000000001E-3</v>
      </c>
      <c r="AF187" s="3">
        <f t="shared" si="141"/>
        <v>2.6256000000000001E-5</v>
      </c>
      <c r="AG187" s="11">
        <f>+'Seat capacity elasticities'!R217</f>
        <v>9.0141019274523823E-3</v>
      </c>
      <c r="AH187" s="11">
        <f>+'Seat capacity elasticities'!S217</f>
        <v>1.7084216546316033E-2</v>
      </c>
      <c r="AI187" s="11">
        <f>+'Seat capacity elasticities'!T217</f>
        <v>2.4731832003118449E-2</v>
      </c>
      <c r="AJ187" s="11">
        <f>+'Seat capacity elasticities'!U217</f>
        <v>2.023130906800583E-2</v>
      </c>
      <c r="AK187" s="32">
        <f t="shared" si="156"/>
        <v>768637.23677513062</v>
      </c>
      <c r="AL187" s="33">
        <f t="shared" si="157"/>
        <v>9.014101927452382E-5</v>
      </c>
      <c r="AM187" s="40">
        <f t="shared" si="158"/>
        <v>1456780.1766958321</v>
      </c>
      <c r="AN187" s="33">
        <f t="shared" si="159"/>
        <v>1.7084216546316036E-4</v>
      </c>
      <c r="AO187" s="40">
        <f t="shared" si="160"/>
        <v>3224536.2565665836</v>
      </c>
      <c r="AP187" s="41">
        <f t="shared" si="161"/>
        <v>2.473183200311845E-4</v>
      </c>
      <c r="AQ187" s="40">
        <f t="shared" si="162"/>
        <v>2637758.0762866</v>
      </c>
      <c r="AR187" s="41">
        <f t="shared" si="163"/>
        <v>2.0231309068005827E-4</v>
      </c>
      <c r="AV187" t="s">
        <v>452</v>
      </c>
      <c r="AW187">
        <v>409132</v>
      </c>
      <c r="AX187">
        <v>239691</v>
      </c>
      <c r="AY187" s="51">
        <v>35575.19</v>
      </c>
      <c r="AZ187" s="32">
        <f t="shared" si="142"/>
        <v>8527052866.2900009</v>
      </c>
      <c r="BA187">
        <v>13038</v>
      </c>
      <c r="BB187" s="37">
        <f t="shared" si="143"/>
        <v>3.1867465756772878E-2</v>
      </c>
      <c r="BC187">
        <v>0</v>
      </c>
      <c r="BD187" s="3">
        <f t="shared" si="144"/>
        <v>0</v>
      </c>
      <c r="BE187" s="11">
        <f>+'Seat capacity elasticities'!Y217</f>
        <v>0</v>
      </c>
      <c r="BF187" s="11">
        <f>+'Seat capacity elasticities'!Z217</f>
        <v>0</v>
      </c>
      <c r="BG187" s="11">
        <f>+'Seat capacity elasticities'!AA217</f>
        <v>0</v>
      </c>
      <c r="BH187" s="11">
        <f>+'Seat capacity elasticities'!AB217</f>
        <v>0</v>
      </c>
      <c r="BI187" s="32">
        <f t="shared" si="164"/>
        <v>0</v>
      </c>
      <c r="BJ187" s="33">
        <f t="shared" si="165"/>
        <v>0</v>
      </c>
      <c r="BK187" s="40">
        <f t="shared" si="166"/>
        <v>0</v>
      </c>
      <c r="BL187" s="33">
        <f t="shared" si="167"/>
        <v>0</v>
      </c>
      <c r="BM187" s="40">
        <f t="shared" si="168"/>
        <v>0</v>
      </c>
      <c r="BN187" s="41">
        <f t="shared" si="169"/>
        <v>0</v>
      </c>
      <c r="BO187" s="40">
        <f t="shared" si="170"/>
        <v>0</v>
      </c>
      <c r="BP187" s="41">
        <f t="shared" si="171"/>
        <v>0</v>
      </c>
      <c r="BQ187" s="53"/>
      <c r="BR187" s="53"/>
      <c r="BS187" t="s">
        <v>452</v>
      </c>
      <c r="BT187">
        <v>409132</v>
      </c>
      <c r="BU187">
        <v>239691</v>
      </c>
      <c r="BV187" s="51">
        <v>35575.19</v>
      </c>
      <c r="BW187" s="32">
        <f t="shared" si="145"/>
        <v>8527052866.2900009</v>
      </c>
      <c r="BX187">
        <v>13038</v>
      </c>
      <c r="BY187" s="37">
        <f t="shared" si="146"/>
        <v>3.1867465756772878E-2</v>
      </c>
      <c r="BZ187">
        <v>2.6256000000000001E-3</v>
      </c>
      <c r="CA187" s="3">
        <f t="shared" si="147"/>
        <v>2.6256000000000001E-5</v>
      </c>
      <c r="CB187" s="11">
        <f>+'Seat capacity elasticities'!AF217</f>
        <v>1.3624206333862399E-2</v>
      </c>
      <c r="CC187" s="11">
        <f>+'Seat capacity elasticities'!AG217</f>
        <v>1.0886871685773784E-2</v>
      </c>
      <c r="CD187" s="11">
        <f>+'Seat capacity elasticities'!AH217</f>
        <v>3.7380493912402252E-2</v>
      </c>
      <c r="CE187" s="11">
        <f>+'Seat capacity elasticities'!AI217</f>
        <v>1.2892348048942641E-2</v>
      </c>
      <c r="CF187" s="32">
        <f t="shared" si="172"/>
        <v>1161743.2767008776</v>
      </c>
      <c r="CG187" s="33">
        <f t="shared" si="173"/>
        <v>1.3624206333862399E-4</v>
      </c>
      <c r="CH187" s="40">
        <f t="shared" si="174"/>
        <v>928329.30413108808</v>
      </c>
      <c r="CI187" s="33">
        <f t="shared" si="175"/>
        <v>1.0886871685773784E-4</v>
      </c>
      <c r="CJ187" s="40">
        <f t="shared" si="176"/>
        <v>4873668.7962990059</v>
      </c>
      <c r="CK187" s="41">
        <f t="shared" si="177"/>
        <v>3.7380493912402257E-4</v>
      </c>
      <c r="CL187" s="40">
        <f t="shared" si="178"/>
        <v>1680904.3386211419</v>
      </c>
      <c r="CM187" s="41">
        <f t="shared" si="179"/>
        <v>1.2892348048942643E-4</v>
      </c>
      <c r="CO187" s="70">
        <f t="shared" si="180"/>
        <v>0</v>
      </c>
      <c r="CP187" s="70">
        <f t="shared" si="181"/>
        <v>0</v>
      </c>
      <c r="CQ187" s="70">
        <f t="shared" si="182"/>
        <v>0</v>
      </c>
      <c r="CR187" s="70">
        <f t="shared" si="183"/>
        <v>0</v>
      </c>
      <c r="CS187" s="70">
        <f t="shared" si="184"/>
        <v>0</v>
      </c>
      <c r="CT187" s="70">
        <f t="shared" si="185"/>
        <v>0</v>
      </c>
      <c r="CU187" s="69">
        <f t="shared" si="186"/>
        <v>0</v>
      </c>
      <c r="CV187" s="69">
        <f t="shared" si="187"/>
        <v>0</v>
      </c>
      <c r="CW187" s="70">
        <f t="shared" si="188"/>
        <v>0</v>
      </c>
      <c r="CX187" s="69">
        <f t="shared" si="189"/>
        <v>0</v>
      </c>
      <c r="CY187" s="69">
        <f t="shared" si="190"/>
        <v>0</v>
      </c>
      <c r="CZ187" s="70">
        <f t="shared" si="191"/>
        <v>0</v>
      </c>
      <c r="DB187" s="70">
        <f t="shared" si="192"/>
        <v>3.2067838874848476</v>
      </c>
      <c r="DC187" s="70">
        <f t="shared" si="193"/>
        <v>4.8468372892635836</v>
      </c>
      <c r="DD187" s="70">
        <f t="shared" si="194"/>
        <v>8.0536211767484307</v>
      </c>
      <c r="DE187" s="70">
        <f t="shared" si="195"/>
        <v>6.0777424963633679</v>
      </c>
      <c r="DF187" s="70">
        <f t="shared" si="196"/>
        <v>3.8730252872702273</v>
      </c>
      <c r="DG187" s="70">
        <f t="shared" si="197"/>
        <v>9.9507677836335944</v>
      </c>
      <c r="DH187" s="69">
        <f t="shared" si="198"/>
        <v>13.452888329418224</v>
      </c>
      <c r="DI187" s="69">
        <f t="shared" si="199"/>
        <v>20.333132225653053</v>
      </c>
      <c r="DJ187" s="70">
        <f t="shared" si="200"/>
        <v>33.786020555071275</v>
      </c>
      <c r="DK187" s="69">
        <f t="shared" si="201"/>
        <v>11.004827366428444</v>
      </c>
      <c r="DL187" s="69">
        <f t="shared" si="202"/>
        <v>7.0127970537948521</v>
      </c>
      <c r="DM187" s="70">
        <f t="shared" si="203"/>
        <v>18.017624420223296</v>
      </c>
    </row>
    <row r="188" spans="1:117">
      <c r="A188" t="s">
        <v>453</v>
      </c>
      <c r="B188">
        <v>507450</v>
      </c>
      <c r="C188">
        <v>223870</v>
      </c>
      <c r="D188" s="51">
        <v>36124.019999999997</v>
      </c>
      <c r="E188" s="32">
        <f t="shared" si="136"/>
        <v>8087084357.3999996</v>
      </c>
      <c r="F188">
        <v>13443</v>
      </c>
      <c r="G188" s="37">
        <f t="shared" si="137"/>
        <v>2.649127992905705E-2</v>
      </c>
      <c r="H188">
        <v>0</v>
      </c>
      <c r="I188" s="3">
        <f t="shared" si="138"/>
        <v>0</v>
      </c>
      <c r="J188" s="11">
        <f>+'Seat capacity elasticities'!K218</f>
        <v>0</v>
      </c>
      <c r="K188" s="11">
        <f>+'Seat capacity elasticities'!L218</f>
        <v>0</v>
      </c>
      <c r="L188" s="11">
        <f>+'Seat capacity elasticities'!M218</f>
        <v>0</v>
      </c>
      <c r="M188" s="11">
        <f>+'Seat capacity elasticities'!N218</f>
        <v>0</v>
      </c>
      <c r="N188" s="32">
        <f t="shared" si="148"/>
        <v>0</v>
      </c>
      <c r="O188" s="33">
        <f t="shared" si="149"/>
        <v>0</v>
      </c>
      <c r="P188" s="40">
        <f t="shared" si="150"/>
        <v>0</v>
      </c>
      <c r="Q188" s="33">
        <f t="shared" si="151"/>
        <v>0</v>
      </c>
      <c r="R188" s="40">
        <f t="shared" si="152"/>
        <v>0</v>
      </c>
      <c r="S188" s="41">
        <f t="shared" si="153"/>
        <v>0</v>
      </c>
      <c r="T188" s="40">
        <f t="shared" si="154"/>
        <v>0</v>
      </c>
      <c r="U188" s="41">
        <f t="shared" si="155"/>
        <v>0</v>
      </c>
      <c r="V188" s="53"/>
      <c r="W188" s="53"/>
      <c r="X188" t="s">
        <v>453</v>
      </c>
      <c r="Y188">
        <v>507450</v>
      </c>
      <c r="Z188">
        <v>223870</v>
      </c>
      <c r="AA188" s="51">
        <v>36124.019999999997</v>
      </c>
      <c r="AB188" s="32">
        <f t="shared" si="139"/>
        <v>8087084357.3999996</v>
      </c>
      <c r="AC188">
        <v>13443</v>
      </c>
      <c r="AD188" s="37">
        <f t="shared" si="140"/>
        <v>2.649127992905705E-2</v>
      </c>
      <c r="AE188">
        <v>4.3068000000000004E-3</v>
      </c>
      <c r="AF188" s="3">
        <f t="shared" si="141"/>
        <v>4.3068000000000002E-5</v>
      </c>
      <c r="AG188" s="11">
        <f>+'Seat capacity elasticities'!R218</f>
        <v>8.3775821804158712E-3</v>
      </c>
      <c r="AH188" s="11">
        <f>+'Seat capacity elasticities'!S218</f>
        <v>1.5877835557738564E-2</v>
      </c>
      <c r="AI188" s="11">
        <f>+'Seat capacity elasticities'!T218</f>
        <v>2.2985424032909971E-2</v>
      </c>
      <c r="AJ188" s="11">
        <f>+'Seat capacity elasticities'!U218</f>
        <v>1.8802700002585142E-2</v>
      </c>
      <c r="AK188" s="32">
        <f t="shared" si="156"/>
        <v>677502.13804074179</v>
      </c>
      <c r="AL188" s="33">
        <f t="shared" si="157"/>
        <v>8.3775821804158717E-5</v>
      </c>
      <c r="AM188" s="40">
        <f t="shared" si="158"/>
        <v>1284053.9556835704</v>
      </c>
      <c r="AN188" s="33">
        <f t="shared" si="159"/>
        <v>1.5877835557738564E-4</v>
      </c>
      <c r="AO188" s="40">
        <f t="shared" si="160"/>
        <v>3089930.5527440873</v>
      </c>
      <c r="AP188" s="41">
        <f t="shared" si="161"/>
        <v>2.298542403290997E-4</v>
      </c>
      <c r="AQ188" s="40">
        <f t="shared" si="162"/>
        <v>2527646.9613475208</v>
      </c>
      <c r="AR188" s="41">
        <f t="shared" si="163"/>
        <v>1.8802700002585143E-4</v>
      </c>
      <c r="AV188" t="s">
        <v>453</v>
      </c>
      <c r="AW188">
        <v>507450</v>
      </c>
      <c r="AX188">
        <v>223870</v>
      </c>
      <c r="AY188" s="51">
        <v>36124.019999999997</v>
      </c>
      <c r="AZ188" s="32">
        <f t="shared" si="142"/>
        <v>8087084357.3999996</v>
      </c>
      <c r="BA188">
        <v>13443</v>
      </c>
      <c r="BB188" s="37">
        <f t="shared" si="143"/>
        <v>2.649127992905705E-2</v>
      </c>
      <c r="BC188">
        <v>0</v>
      </c>
      <c r="BD188" s="3">
        <f t="shared" si="144"/>
        <v>0</v>
      </c>
      <c r="BE188" s="11">
        <f>+'Seat capacity elasticities'!Y218</f>
        <v>0</v>
      </c>
      <c r="BF188" s="11">
        <f>+'Seat capacity elasticities'!Z218</f>
        <v>0</v>
      </c>
      <c r="BG188" s="11">
        <f>+'Seat capacity elasticities'!AA218</f>
        <v>0</v>
      </c>
      <c r="BH188" s="11">
        <f>+'Seat capacity elasticities'!AB218</f>
        <v>0</v>
      </c>
      <c r="BI188" s="32">
        <f t="shared" si="164"/>
        <v>0</v>
      </c>
      <c r="BJ188" s="33">
        <f t="shared" si="165"/>
        <v>0</v>
      </c>
      <c r="BK188" s="40">
        <f t="shared" si="166"/>
        <v>0</v>
      </c>
      <c r="BL188" s="33">
        <f t="shared" si="167"/>
        <v>0</v>
      </c>
      <c r="BM188" s="40">
        <f t="shared" si="168"/>
        <v>0</v>
      </c>
      <c r="BN188" s="41">
        <f t="shared" si="169"/>
        <v>0</v>
      </c>
      <c r="BO188" s="40">
        <f t="shared" si="170"/>
        <v>0</v>
      </c>
      <c r="BP188" s="41">
        <f t="shared" si="171"/>
        <v>0</v>
      </c>
      <c r="BQ188" s="53"/>
      <c r="BR188" s="53"/>
      <c r="BS188" t="s">
        <v>453</v>
      </c>
      <c r="BT188">
        <v>507450</v>
      </c>
      <c r="BU188">
        <v>223870</v>
      </c>
      <c r="BV188" s="51">
        <v>36124.019999999997</v>
      </c>
      <c r="BW188" s="32">
        <f t="shared" si="145"/>
        <v>8087084357.3999996</v>
      </c>
      <c r="BX188">
        <v>13443</v>
      </c>
      <c r="BY188" s="37">
        <f t="shared" si="146"/>
        <v>2.649127992905705E-2</v>
      </c>
      <c r="BZ188">
        <v>4.3068000000000004E-3</v>
      </c>
      <c r="CA188" s="3">
        <f t="shared" si="147"/>
        <v>4.3068000000000002E-5</v>
      </c>
      <c r="CB188" s="11">
        <f>+'Seat capacity elasticities'!AF218</f>
        <v>1.8018039927372109E-2</v>
      </c>
      <c r="CC188" s="11">
        <f>+'Seat capacity elasticities'!AG218</f>
        <v>1.4397909420301509E-2</v>
      </c>
      <c r="CD188" s="11">
        <f>+'Seat capacity elasticities'!AH218</f>
        <v>4.9435777418060656E-2</v>
      </c>
      <c r="CE188" s="11">
        <f>+'Seat capacity elasticities'!AI218</f>
        <v>1.7050155892462317E-2</v>
      </c>
      <c r="CF188" s="32">
        <f t="shared" si="172"/>
        <v>1457134.0884765962</v>
      </c>
      <c r="CG188" s="33">
        <f t="shared" si="173"/>
        <v>1.801803992737211E-4</v>
      </c>
      <c r="CH188" s="40">
        <f t="shared" si="174"/>
        <v>1164371.0805218243</v>
      </c>
      <c r="CI188" s="33">
        <f t="shared" si="175"/>
        <v>1.439790942030151E-4</v>
      </c>
      <c r="CJ188" s="40">
        <f t="shared" si="176"/>
        <v>6645651.5583098922</v>
      </c>
      <c r="CK188" s="41">
        <f t="shared" si="177"/>
        <v>4.9435777418060641E-4</v>
      </c>
      <c r="CL188" s="40">
        <f t="shared" si="178"/>
        <v>2292052.4566237088</v>
      </c>
      <c r="CM188" s="41">
        <f t="shared" si="179"/>
        <v>1.7050155892462315E-4</v>
      </c>
      <c r="CO188" s="70">
        <f t="shared" si="180"/>
        <v>0</v>
      </c>
      <c r="CP188" s="70">
        <f t="shared" si="181"/>
        <v>0</v>
      </c>
      <c r="CQ188" s="70">
        <f t="shared" si="182"/>
        <v>0</v>
      </c>
      <c r="CR188" s="70">
        <f t="shared" si="183"/>
        <v>0</v>
      </c>
      <c r="CS188" s="70">
        <f t="shared" si="184"/>
        <v>0</v>
      </c>
      <c r="CT188" s="70">
        <f t="shared" si="185"/>
        <v>0</v>
      </c>
      <c r="CU188" s="69">
        <f t="shared" si="186"/>
        <v>0</v>
      </c>
      <c r="CV188" s="69">
        <f t="shared" si="187"/>
        <v>0</v>
      </c>
      <c r="CW188" s="70">
        <f t="shared" si="188"/>
        <v>0</v>
      </c>
      <c r="CX188" s="69">
        <f t="shared" si="189"/>
        <v>0</v>
      </c>
      <c r="CY188" s="69">
        <f t="shared" si="190"/>
        <v>0</v>
      </c>
      <c r="CZ188" s="70">
        <f t="shared" si="191"/>
        <v>0</v>
      </c>
      <c r="DB188" s="70">
        <f t="shared" si="192"/>
        <v>3.0263194623698655</v>
      </c>
      <c r="DC188" s="70">
        <f t="shared" si="193"/>
        <v>6.5088403469718861</v>
      </c>
      <c r="DD188" s="70">
        <f t="shared" si="194"/>
        <v>9.5351598093417511</v>
      </c>
      <c r="DE188" s="70">
        <f t="shared" si="195"/>
        <v>5.7357124924445904</v>
      </c>
      <c r="DF188" s="70">
        <f t="shared" si="196"/>
        <v>5.2011036785716014</v>
      </c>
      <c r="DG188" s="70">
        <f t="shared" si="197"/>
        <v>10.936816171016192</v>
      </c>
      <c r="DH188" s="69">
        <f t="shared" si="198"/>
        <v>13.80234311316428</v>
      </c>
      <c r="DI188" s="69">
        <f t="shared" si="199"/>
        <v>29.685315398713058</v>
      </c>
      <c r="DJ188" s="70">
        <f t="shared" si="200"/>
        <v>43.487658511877342</v>
      </c>
      <c r="DK188" s="69">
        <f t="shared" si="201"/>
        <v>11.290690853385987</v>
      </c>
      <c r="DL188" s="69">
        <f t="shared" si="202"/>
        <v>10.23831892001478</v>
      </c>
      <c r="DM188" s="70">
        <f t="shared" si="203"/>
        <v>21.529009773400766</v>
      </c>
    </row>
    <row r="189" spans="1:117">
      <c r="A189" t="s">
        <v>454</v>
      </c>
      <c r="B189">
        <v>172981</v>
      </c>
      <c r="C189">
        <v>100683</v>
      </c>
      <c r="D189" s="51">
        <v>30402.61</v>
      </c>
      <c r="E189" s="32">
        <f t="shared" si="136"/>
        <v>3061025982.6300001</v>
      </c>
      <c r="F189">
        <v>5541</v>
      </c>
      <c r="G189" s="37">
        <f t="shared" si="137"/>
        <v>3.2032419745521186E-2</v>
      </c>
      <c r="H189">
        <v>0</v>
      </c>
      <c r="I189" s="3">
        <f t="shared" si="138"/>
        <v>0</v>
      </c>
      <c r="J189" s="11">
        <f>+'Seat capacity elasticities'!K219</f>
        <v>0</v>
      </c>
      <c r="K189" s="11">
        <f>+'Seat capacity elasticities'!L219</f>
        <v>0</v>
      </c>
      <c r="L189" s="11">
        <f>+'Seat capacity elasticities'!M219</f>
        <v>0</v>
      </c>
      <c r="M189" s="11">
        <f>+'Seat capacity elasticities'!N219</f>
        <v>0</v>
      </c>
      <c r="N189" s="32">
        <f t="shared" si="148"/>
        <v>0</v>
      </c>
      <c r="O189" s="33">
        <f t="shared" si="149"/>
        <v>0</v>
      </c>
      <c r="P189" s="40">
        <f t="shared" si="150"/>
        <v>0</v>
      </c>
      <c r="Q189" s="33">
        <f t="shared" si="151"/>
        <v>0</v>
      </c>
      <c r="R189" s="40">
        <f t="shared" si="152"/>
        <v>0</v>
      </c>
      <c r="S189" s="41">
        <f t="shared" si="153"/>
        <v>0</v>
      </c>
      <c r="T189" s="40">
        <f t="shared" si="154"/>
        <v>0</v>
      </c>
      <c r="U189" s="41">
        <f t="shared" si="155"/>
        <v>0</v>
      </c>
      <c r="V189" s="53"/>
      <c r="W189" s="53"/>
      <c r="X189" t="s">
        <v>454</v>
      </c>
      <c r="Y189">
        <v>172981</v>
      </c>
      <c r="Z189">
        <v>100683</v>
      </c>
      <c r="AA189" s="51">
        <v>30402.61</v>
      </c>
      <c r="AB189" s="32">
        <f t="shared" si="139"/>
        <v>3061025982.6300001</v>
      </c>
      <c r="AC189">
        <v>5541</v>
      </c>
      <c r="AD189" s="37">
        <f t="shared" si="140"/>
        <v>3.2032419745521186E-2</v>
      </c>
      <c r="AE189">
        <v>3.6619000000000001E-3</v>
      </c>
      <c r="AF189" s="3">
        <f t="shared" si="141"/>
        <v>3.6619000000000003E-5</v>
      </c>
      <c r="AG189" s="11">
        <f>+'Seat capacity elasticities'!R219</f>
        <v>8.2222765130785646E-3</v>
      </c>
      <c r="AH189" s="11">
        <f>+'Seat capacity elasticities'!S219</f>
        <v>1.5583488358981015E-2</v>
      </c>
      <c r="AI189" s="11">
        <f>+'Seat capacity elasticities'!T219</f>
        <v>2.2559314620720972E-2</v>
      </c>
      <c r="AJ189" s="11">
        <f>+'Seat capacity elasticities'!U219</f>
        <v>1.8454130951424886E-2</v>
      </c>
      <c r="AK189" s="32">
        <f t="shared" si="156"/>
        <v>251686.02042901886</v>
      </c>
      <c r="AL189" s="33">
        <f t="shared" si="157"/>
        <v>8.2222765130785647E-5</v>
      </c>
      <c r="AM189" s="40">
        <f t="shared" si="158"/>
        <v>477014.62766853033</v>
      </c>
      <c r="AN189" s="33">
        <f t="shared" si="159"/>
        <v>1.5583488358981016E-4</v>
      </c>
      <c r="AO189" s="40">
        <f t="shared" si="160"/>
        <v>1250011.6231341492</v>
      </c>
      <c r="AP189" s="41">
        <f t="shared" si="161"/>
        <v>2.2559314620720973E-4</v>
      </c>
      <c r="AQ189" s="40">
        <f t="shared" si="162"/>
        <v>1022543.3960184532</v>
      </c>
      <c r="AR189" s="41">
        <f t="shared" si="163"/>
        <v>1.845413095142489E-4</v>
      </c>
      <c r="AV189" t="s">
        <v>454</v>
      </c>
      <c r="AW189">
        <v>172981</v>
      </c>
      <c r="AX189">
        <v>100683</v>
      </c>
      <c r="AY189" s="51">
        <v>30402.61</v>
      </c>
      <c r="AZ189" s="32">
        <f t="shared" si="142"/>
        <v>3061025982.6300001</v>
      </c>
      <c r="BA189">
        <v>5541</v>
      </c>
      <c r="BB189" s="37">
        <f t="shared" si="143"/>
        <v>3.2032419745521186E-2</v>
      </c>
      <c r="BC189">
        <v>0</v>
      </c>
      <c r="BD189" s="3">
        <f t="shared" si="144"/>
        <v>0</v>
      </c>
      <c r="BE189" s="11">
        <f>+'Seat capacity elasticities'!Y219</f>
        <v>0</v>
      </c>
      <c r="BF189" s="11">
        <f>+'Seat capacity elasticities'!Z219</f>
        <v>0</v>
      </c>
      <c r="BG189" s="11">
        <f>+'Seat capacity elasticities'!AA219</f>
        <v>0</v>
      </c>
      <c r="BH189" s="11">
        <f>+'Seat capacity elasticities'!AB219</f>
        <v>0</v>
      </c>
      <c r="BI189" s="32">
        <f t="shared" si="164"/>
        <v>0</v>
      </c>
      <c r="BJ189" s="33">
        <f t="shared" si="165"/>
        <v>0</v>
      </c>
      <c r="BK189" s="40">
        <f t="shared" si="166"/>
        <v>0</v>
      </c>
      <c r="BL189" s="33">
        <f t="shared" si="167"/>
        <v>0</v>
      </c>
      <c r="BM189" s="40">
        <f t="shared" si="168"/>
        <v>0</v>
      </c>
      <c r="BN189" s="41">
        <f t="shared" si="169"/>
        <v>0</v>
      </c>
      <c r="BO189" s="40">
        <f t="shared" si="170"/>
        <v>0</v>
      </c>
      <c r="BP189" s="41">
        <f t="shared" si="171"/>
        <v>0</v>
      </c>
      <c r="BQ189" s="53"/>
      <c r="BR189" s="53"/>
      <c r="BS189" t="s">
        <v>454</v>
      </c>
      <c r="BT189">
        <v>172981</v>
      </c>
      <c r="BU189">
        <v>100683</v>
      </c>
      <c r="BV189" s="51">
        <v>30402.61</v>
      </c>
      <c r="BW189" s="32">
        <f t="shared" si="145"/>
        <v>3061025982.6300001</v>
      </c>
      <c r="BX189">
        <v>5541</v>
      </c>
      <c r="BY189" s="37">
        <f t="shared" si="146"/>
        <v>3.2032419745521186E-2</v>
      </c>
      <c r="BZ189">
        <v>3.6619000000000001E-3</v>
      </c>
      <c r="CA189" s="3">
        <f t="shared" si="147"/>
        <v>3.6619000000000003E-5</v>
      </c>
      <c r="CB189" s="11">
        <f>+'Seat capacity elasticities'!AF219</f>
        <v>4.494218408749346E-2</v>
      </c>
      <c r="CC189" s="11">
        <f>+'Seat capacity elasticities'!AG219</f>
        <v>3.5912535339609551E-2</v>
      </c>
      <c r="CD189" s="11">
        <f>+'Seat capacity elasticities'!AH219</f>
        <v>0.1233070754747113</v>
      </c>
      <c r="CE189" s="11">
        <f>+'Seat capacity elasticities'!AI219</f>
        <v>4.252800237585342E-2</v>
      </c>
      <c r="CF189" s="32">
        <f t="shared" si="172"/>
        <v>1375691.9320795804</v>
      </c>
      <c r="CG189" s="33">
        <f t="shared" si="173"/>
        <v>4.4942184087493466E-4</v>
      </c>
      <c r="CH189" s="40">
        <f t="shared" si="174"/>
        <v>1099292.0377666294</v>
      </c>
      <c r="CI189" s="33">
        <f t="shared" si="175"/>
        <v>3.5912535339609555E-4</v>
      </c>
      <c r="CJ189" s="40">
        <f t="shared" si="176"/>
        <v>6832445.0520537542</v>
      </c>
      <c r="CK189" s="41">
        <f t="shared" si="177"/>
        <v>1.2330707547471131E-3</v>
      </c>
      <c r="CL189" s="40">
        <f t="shared" si="178"/>
        <v>2356476.611646038</v>
      </c>
      <c r="CM189" s="41">
        <f t="shared" si="179"/>
        <v>4.252800237585342E-4</v>
      </c>
      <c r="CO189" s="70">
        <f t="shared" si="180"/>
        <v>0</v>
      </c>
      <c r="CP189" s="70">
        <f t="shared" si="181"/>
        <v>0</v>
      </c>
      <c r="CQ189" s="70">
        <f t="shared" si="182"/>
        <v>0</v>
      </c>
      <c r="CR189" s="70">
        <f t="shared" si="183"/>
        <v>0</v>
      </c>
      <c r="CS189" s="70">
        <f t="shared" si="184"/>
        <v>0</v>
      </c>
      <c r="CT189" s="70">
        <f t="shared" si="185"/>
        <v>0</v>
      </c>
      <c r="CU189" s="69">
        <f t="shared" si="186"/>
        <v>0</v>
      </c>
      <c r="CV189" s="69">
        <f t="shared" si="187"/>
        <v>0</v>
      </c>
      <c r="CW189" s="70">
        <f t="shared" si="188"/>
        <v>0</v>
      </c>
      <c r="CX189" s="69">
        <f t="shared" si="189"/>
        <v>0</v>
      </c>
      <c r="CY189" s="69">
        <f t="shared" si="190"/>
        <v>0</v>
      </c>
      <c r="CZ189" s="70">
        <f t="shared" si="191"/>
        <v>0</v>
      </c>
      <c r="DB189" s="70">
        <f t="shared" si="192"/>
        <v>2.4997866613928754</v>
      </c>
      <c r="DC189" s="70">
        <f t="shared" si="193"/>
        <v>13.663596953602697</v>
      </c>
      <c r="DD189" s="70">
        <f t="shared" si="194"/>
        <v>16.163383614995574</v>
      </c>
      <c r="DE189" s="70">
        <f t="shared" si="195"/>
        <v>4.7377871901763982</v>
      </c>
      <c r="DF189" s="70">
        <f t="shared" si="196"/>
        <v>10.918348060413669</v>
      </c>
      <c r="DG189" s="70">
        <f t="shared" si="197"/>
        <v>15.656135250590067</v>
      </c>
      <c r="DH189" s="69">
        <f t="shared" si="198"/>
        <v>12.415319598483848</v>
      </c>
      <c r="DI189" s="69">
        <f t="shared" si="199"/>
        <v>67.860960162626796</v>
      </c>
      <c r="DJ189" s="70">
        <f t="shared" si="200"/>
        <v>80.276279761110644</v>
      </c>
      <c r="DK189" s="69">
        <f t="shared" si="201"/>
        <v>10.156068015637725</v>
      </c>
      <c r="DL189" s="69">
        <f t="shared" si="202"/>
        <v>23.404910577217983</v>
      </c>
      <c r="DM189" s="70">
        <f t="shared" si="203"/>
        <v>33.560978592855705</v>
      </c>
    </row>
    <row r="190" spans="1:117">
      <c r="A190" t="s">
        <v>995</v>
      </c>
      <c r="B190">
        <v>365596</v>
      </c>
      <c r="C190">
        <v>235414</v>
      </c>
      <c r="D190" s="51">
        <v>32845.410000000003</v>
      </c>
      <c r="E190" s="32">
        <f t="shared" si="136"/>
        <v>7732269349.7400007</v>
      </c>
      <c r="F190">
        <v>11231</v>
      </c>
      <c r="G190" s="37">
        <f t="shared" si="137"/>
        <v>3.0719701528463112E-2</v>
      </c>
      <c r="H190">
        <v>0</v>
      </c>
      <c r="I190" s="3">
        <f t="shared" si="138"/>
        <v>0</v>
      </c>
      <c r="J190" s="11">
        <f>+'Seat capacity elasticities'!K220</f>
        <v>0</v>
      </c>
      <c r="K190" s="11">
        <f>+'Seat capacity elasticities'!L220</f>
        <v>0</v>
      </c>
      <c r="L190" s="11">
        <f>+'Seat capacity elasticities'!M220</f>
        <v>0</v>
      </c>
      <c r="M190" s="11">
        <f>+'Seat capacity elasticities'!N220</f>
        <v>0</v>
      </c>
      <c r="N190" s="32">
        <f t="shared" si="148"/>
        <v>0</v>
      </c>
      <c r="O190" s="33">
        <f t="shared" si="149"/>
        <v>0</v>
      </c>
      <c r="P190" s="40">
        <f t="shared" si="150"/>
        <v>0</v>
      </c>
      <c r="Q190" s="33">
        <f t="shared" si="151"/>
        <v>0</v>
      </c>
      <c r="R190" s="40">
        <f t="shared" si="152"/>
        <v>0</v>
      </c>
      <c r="S190" s="41">
        <f t="shared" si="153"/>
        <v>0</v>
      </c>
      <c r="T190" s="40">
        <f t="shared" si="154"/>
        <v>0</v>
      </c>
      <c r="U190" s="41">
        <f t="shared" si="155"/>
        <v>0</v>
      </c>
      <c r="V190" s="53"/>
      <c r="W190" s="53"/>
      <c r="X190" t="s">
        <v>995</v>
      </c>
      <c r="Y190">
        <v>365596</v>
      </c>
      <c r="Z190">
        <v>235414</v>
      </c>
      <c r="AA190" s="51">
        <v>32845.410000000003</v>
      </c>
      <c r="AB190" s="32">
        <f t="shared" si="139"/>
        <v>7732269349.7400007</v>
      </c>
      <c r="AC190">
        <v>11231</v>
      </c>
      <c r="AD190" s="37">
        <f t="shared" si="140"/>
        <v>3.0719701528463112E-2</v>
      </c>
      <c r="AE190">
        <v>2.1088000000000001E-3</v>
      </c>
      <c r="AF190" s="3">
        <f t="shared" si="141"/>
        <v>2.1088000000000002E-5</v>
      </c>
      <c r="AG190" s="11">
        <f>+'Seat capacity elasticities'!R220</f>
        <v>6.5825816399834062E-3</v>
      </c>
      <c r="AH190" s="11">
        <f>+'Seat capacity elasticities'!S220</f>
        <v>1.2475813017910287E-2</v>
      </c>
      <c r="AI190" s="11">
        <f>+'Seat capacity elasticities'!T220</f>
        <v>1.8060512802842561E-2</v>
      </c>
      <c r="AJ190" s="11">
        <f>+'Seat capacity elasticities'!U220</f>
        <v>1.477398910015692E-2</v>
      </c>
      <c r="AK190" s="32">
        <f t="shared" si="156"/>
        <v>508982.94257004966</v>
      </c>
      <c r="AL190" s="33">
        <f t="shared" si="157"/>
        <v>6.5825816399834076E-5</v>
      </c>
      <c r="AM190" s="40">
        <f t="shared" si="158"/>
        <v>964663.46611475013</v>
      </c>
      <c r="AN190" s="33">
        <f t="shared" si="159"/>
        <v>1.2475813017910286E-4</v>
      </c>
      <c r="AO190" s="40">
        <f t="shared" si="160"/>
        <v>2028376.1928872482</v>
      </c>
      <c r="AP190" s="41">
        <f t="shared" si="161"/>
        <v>1.8060512802842564E-4</v>
      </c>
      <c r="AQ190" s="40">
        <f t="shared" si="162"/>
        <v>1659266.7158386239</v>
      </c>
      <c r="AR190" s="41">
        <f t="shared" si="163"/>
        <v>1.4773989100156921E-4</v>
      </c>
      <c r="AV190" t="s">
        <v>995</v>
      </c>
      <c r="AW190">
        <v>365596</v>
      </c>
      <c r="AX190">
        <v>235414</v>
      </c>
      <c r="AY190" s="51">
        <v>32845.410000000003</v>
      </c>
      <c r="AZ190" s="32">
        <f t="shared" si="142"/>
        <v>7732269349.7400007</v>
      </c>
      <c r="BA190">
        <v>11231</v>
      </c>
      <c r="BB190" s="37">
        <f t="shared" si="143"/>
        <v>3.0719701528463112E-2</v>
      </c>
      <c r="BC190">
        <v>0</v>
      </c>
      <c r="BD190" s="3">
        <f t="shared" si="144"/>
        <v>0</v>
      </c>
      <c r="BE190" s="11">
        <f>+'Seat capacity elasticities'!Y220</f>
        <v>0</v>
      </c>
      <c r="BF190" s="11">
        <f>+'Seat capacity elasticities'!Z220</f>
        <v>0</v>
      </c>
      <c r="BG190" s="11">
        <f>+'Seat capacity elasticities'!AA220</f>
        <v>0</v>
      </c>
      <c r="BH190" s="11">
        <f>+'Seat capacity elasticities'!AB220</f>
        <v>0</v>
      </c>
      <c r="BI190" s="32">
        <f t="shared" si="164"/>
        <v>0</v>
      </c>
      <c r="BJ190" s="33">
        <f t="shared" si="165"/>
        <v>0</v>
      </c>
      <c r="BK190" s="40">
        <f t="shared" si="166"/>
        <v>0</v>
      </c>
      <c r="BL190" s="33">
        <f t="shared" si="167"/>
        <v>0</v>
      </c>
      <c r="BM190" s="40">
        <f t="shared" si="168"/>
        <v>0</v>
      </c>
      <c r="BN190" s="41">
        <f t="shared" si="169"/>
        <v>0</v>
      </c>
      <c r="BO190" s="40">
        <f t="shared" si="170"/>
        <v>0</v>
      </c>
      <c r="BP190" s="41">
        <f t="shared" si="171"/>
        <v>0</v>
      </c>
      <c r="BQ190" s="53"/>
      <c r="BR190" s="53"/>
      <c r="BS190" t="s">
        <v>995</v>
      </c>
      <c r="BT190">
        <v>365596</v>
      </c>
      <c r="BU190">
        <v>235414</v>
      </c>
      <c r="BV190" s="51">
        <v>32845.410000000003</v>
      </c>
      <c r="BW190" s="32">
        <f t="shared" si="145"/>
        <v>7732269349.7400007</v>
      </c>
      <c r="BX190">
        <v>11231</v>
      </c>
      <c r="BY190" s="37">
        <f t="shared" si="146"/>
        <v>3.0719701528463112E-2</v>
      </c>
      <c r="BZ190">
        <v>2.1088000000000001E-3</v>
      </c>
      <c r="CA190" s="3">
        <f t="shared" si="147"/>
        <v>2.1088000000000002E-5</v>
      </c>
      <c r="CB190" s="11">
        <f>+'Seat capacity elasticities'!AF220</f>
        <v>1.2245599596668495E-2</v>
      </c>
      <c r="CC190" s="11">
        <f>+'Seat capacity elasticities'!AG220</f>
        <v>9.7852504767885866E-3</v>
      </c>
      <c r="CD190" s="11">
        <f>+'Seat capacity elasticities'!AH220</f>
        <v>3.3598034994469519E-2</v>
      </c>
      <c r="CE190" s="11">
        <f>+'Seat capacity elasticities'!AI220</f>
        <v>1.1587796617249641E-2</v>
      </c>
      <c r="CF190" s="32">
        <f t="shared" si="172"/>
        <v>946862.7443050833</v>
      </c>
      <c r="CG190" s="33">
        <f t="shared" si="173"/>
        <v>1.2245599596668496E-4</v>
      </c>
      <c r="CH190" s="40">
        <f t="shared" si="174"/>
        <v>756621.92341201124</v>
      </c>
      <c r="CI190" s="33">
        <f t="shared" si="175"/>
        <v>9.785250476788588E-5</v>
      </c>
      <c r="CJ190" s="40">
        <f t="shared" si="176"/>
        <v>3773395.3102288712</v>
      </c>
      <c r="CK190" s="41">
        <f t="shared" si="177"/>
        <v>3.3598034994469518E-4</v>
      </c>
      <c r="CL190" s="40">
        <f t="shared" si="178"/>
        <v>1301425.4380833074</v>
      </c>
      <c r="CM190" s="41">
        <f t="shared" si="179"/>
        <v>1.1587796617249643E-4</v>
      </c>
      <c r="CO190" s="70">
        <f t="shared" si="180"/>
        <v>0</v>
      </c>
      <c r="CP190" s="70">
        <f t="shared" si="181"/>
        <v>0</v>
      </c>
      <c r="CQ190" s="70">
        <f t="shared" si="182"/>
        <v>0</v>
      </c>
      <c r="CR190" s="70">
        <f t="shared" si="183"/>
        <v>0</v>
      </c>
      <c r="CS190" s="70">
        <f t="shared" si="184"/>
        <v>0</v>
      </c>
      <c r="CT190" s="70">
        <f t="shared" si="185"/>
        <v>0</v>
      </c>
      <c r="CU190" s="69">
        <f t="shared" si="186"/>
        <v>0</v>
      </c>
      <c r="CV190" s="69">
        <f t="shared" si="187"/>
        <v>0</v>
      </c>
      <c r="CW190" s="70">
        <f t="shared" si="188"/>
        <v>0</v>
      </c>
      <c r="CX190" s="69">
        <f t="shared" si="189"/>
        <v>0</v>
      </c>
      <c r="CY190" s="69">
        <f t="shared" si="190"/>
        <v>0</v>
      </c>
      <c r="CZ190" s="70">
        <f t="shared" si="191"/>
        <v>0</v>
      </c>
      <c r="DB190" s="70">
        <f t="shared" si="192"/>
        <v>2.1620759282372743</v>
      </c>
      <c r="DC190" s="70">
        <f t="shared" si="193"/>
        <v>4.0221173944841144</v>
      </c>
      <c r="DD190" s="70">
        <f t="shared" si="194"/>
        <v>6.1841933227213888</v>
      </c>
      <c r="DE190" s="70">
        <f t="shared" si="195"/>
        <v>4.0977319365660074</v>
      </c>
      <c r="DF190" s="70">
        <f t="shared" si="196"/>
        <v>3.2140056386281666</v>
      </c>
      <c r="DG190" s="70">
        <f t="shared" si="197"/>
        <v>7.311737575194174</v>
      </c>
      <c r="DH190" s="69">
        <f t="shared" si="198"/>
        <v>8.6162088613559433</v>
      </c>
      <c r="DI190" s="69">
        <f t="shared" si="199"/>
        <v>16.028763413513516</v>
      </c>
      <c r="DJ190" s="70">
        <f t="shared" si="200"/>
        <v>24.64497227486946</v>
      </c>
      <c r="DK190" s="69">
        <f t="shared" si="201"/>
        <v>7.0482924373173388</v>
      </c>
      <c r="DL190" s="69">
        <f t="shared" si="202"/>
        <v>5.5282414728236526</v>
      </c>
      <c r="DM190" s="70">
        <f t="shared" si="203"/>
        <v>12.576533910140991</v>
      </c>
    </row>
    <row r="191" spans="1:117">
      <c r="A191" t="s">
        <v>455</v>
      </c>
      <c r="B191">
        <v>118931</v>
      </c>
      <c r="C191">
        <v>75249</v>
      </c>
      <c r="D191" s="51">
        <v>32752.75</v>
      </c>
      <c r="E191" s="32">
        <f t="shared" si="136"/>
        <v>2464611684.75</v>
      </c>
      <c r="F191">
        <v>4036</v>
      </c>
      <c r="G191" s="37">
        <f t="shared" si="137"/>
        <v>3.3935643356231768E-2</v>
      </c>
      <c r="H191">
        <v>0</v>
      </c>
      <c r="I191" s="3">
        <f t="shared" si="138"/>
        <v>0</v>
      </c>
      <c r="J191" s="11">
        <f>+'Seat capacity elasticities'!K221</f>
        <v>0</v>
      </c>
      <c r="K191" s="11">
        <f>+'Seat capacity elasticities'!L221</f>
        <v>0</v>
      </c>
      <c r="L191" s="11">
        <f>+'Seat capacity elasticities'!M221</f>
        <v>0</v>
      </c>
      <c r="M191" s="11">
        <f>+'Seat capacity elasticities'!N221</f>
        <v>0</v>
      </c>
      <c r="N191" s="32">
        <f t="shared" si="148"/>
        <v>0</v>
      </c>
      <c r="O191" s="33">
        <f t="shared" si="149"/>
        <v>0</v>
      </c>
      <c r="P191" s="40">
        <f t="shared" si="150"/>
        <v>0</v>
      </c>
      <c r="Q191" s="33">
        <f t="shared" si="151"/>
        <v>0</v>
      </c>
      <c r="R191" s="40">
        <f t="shared" si="152"/>
        <v>0</v>
      </c>
      <c r="S191" s="41">
        <f t="shared" si="153"/>
        <v>0</v>
      </c>
      <c r="T191" s="40">
        <f t="shared" si="154"/>
        <v>0</v>
      </c>
      <c r="U191" s="41">
        <f t="shared" si="155"/>
        <v>0</v>
      </c>
      <c r="V191" s="53"/>
      <c r="W191" s="53"/>
      <c r="X191" t="s">
        <v>455</v>
      </c>
      <c r="Y191">
        <v>118931</v>
      </c>
      <c r="Z191">
        <v>75249</v>
      </c>
      <c r="AA191" s="51">
        <v>32752.75</v>
      </c>
      <c r="AB191" s="32">
        <f t="shared" si="139"/>
        <v>2464611684.75</v>
      </c>
      <c r="AC191">
        <v>4036</v>
      </c>
      <c r="AD191" s="37">
        <f t="shared" si="140"/>
        <v>3.3935643356231768E-2</v>
      </c>
      <c r="AE191">
        <v>5.8425999999999999E-3</v>
      </c>
      <c r="AF191" s="3">
        <f t="shared" si="141"/>
        <v>5.8425999999999999E-5</v>
      </c>
      <c r="AG191" s="11">
        <f>+'Seat capacity elasticities'!R221</f>
        <v>1.6879942562313233E-2</v>
      </c>
      <c r="AH191" s="11">
        <f>+'Seat capacity elasticities'!S221</f>
        <v>3.1992160322225224E-2</v>
      </c>
      <c r="AI191" s="11">
        <f>+'Seat capacity elasticities'!T221</f>
        <v>4.6313199809956886E-2</v>
      </c>
      <c r="AJ191" s="11">
        <f>+'Seat capacity elasticities'!U221</f>
        <v>3.7885453013161451E-2</v>
      </c>
      <c r="AK191" s="32">
        <f t="shared" si="156"/>
        <v>416025.03676986048</v>
      </c>
      <c r="AL191" s="33">
        <f t="shared" si="157"/>
        <v>1.6879942562313233E-4</v>
      </c>
      <c r="AM191" s="40">
        <f t="shared" si="158"/>
        <v>788482.52150551614</v>
      </c>
      <c r="AN191" s="33">
        <f t="shared" si="159"/>
        <v>3.1992160322225223E-4</v>
      </c>
      <c r="AO191" s="40">
        <f t="shared" si="160"/>
        <v>1869200.74432986</v>
      </c>
      <c r="AP191" s="41">
        <f t="shared" si="161"/>
        <v>4.6313199809956885E-4</v>
      </c>
      <c r="AQ191" s="40">
        <f t="shared" si="162"/>
        <v>1529056.8836111962</v>
      </c>
      <c r="AR191" s="41">
        <f t="shared" si="163"/>
        <v>3.7885453013161453E-4</v>
      </c>
      <c r="AV191" t="s">
        <v>455</v>
      </c>
      <c r="AW191">
        <v>118931</v>
      </c>
      <c r="AX191">
        <v>75249</v>
      </c>
      <c r="AY191" s="51">
        <v>32752.75</v>
      </c>
      <c r="AZ191" s="32">
        <f t="shared" si="142"/>
        <v>2464611684.75</v>
      </c>
      <c r="BA191">
        <v>4036</v>
      </c>
      <c r="BB191" s="37">
        <f t="shared" si="143"/>
        <v>3.3935643356231768E-2</v>
      </c>
      <c r="BC191">
        <v>0</v>
      </c>
      <c r="BD191" s="3">
        <f t="shared" si="144"/>
        <v>0</v>
      </c>
      <c r="BE191" s="11">
        <f>+'Seat capacity elasticities'!Y221</f>
        <v>0</v>
      </c>
      <c r="BF191" s="11">
        <f>+'Seat capacity elasticities'!Z221</f>
        <v>0</v>
      </c>
      <c r="BG191" s="11">
        <f>+'Seat capacity elasticities'!AA221</f>
        <v>0</v>
      </c>
      <c r="BH191" s="11">
        <f>+'Seat capacity elasticities'!AB221</f>
        <v>0</v>
      </c>
      <c r="BI191" s="32">
        <f t="shared" si="164"/>
        <v>0</v>
      </c>
      <c r="BJ191" s="33">
        <f t="shared" si="165"/>
        <v>0</v>
      </c>
      <c r="BK191" s="40">
        <f t="shared" si="166"/>
        <v>0</v>
      </c>
      <c r="BL191" s="33">
        <f t="shared" si="167"/>
        <v>0</v>
      </c>
      <c r="BM191" s="40">
        <f t="shared" si="168"/>
        <v>0</v>
      </c>
      <c r="BN191" s="41">
        <f t="shared" si="169"/>
        <v>0</v>
      </c>
      <c r="BO191" s="40">
        <f t="shared" si="170"/>
        <v>0</v>
      </c>
      <c r="BP191" s="41">
        <f t="shared" si="171"/>
        <v>0</v>
      </c>
      <c r="BQ191" s="53"/>
      <c r="BR191" s="53"/>
      <c r="BS191" t="s">
        <v>455</v>
      </c>
      <c r="BT191">
        <v>118931</v>
      </c>
      <c r="BU191">
        <v>75249</v>
      </c>
      <c r="BV191" s="51">
        <v>32752.75</v>
      </c>
      <c r="BW191" s="32">
        <f t="shared" si="145"/>
        <v>2464611684.75</v>
      </c>
      <c r="BX191">
        <v>4036</v>
      </c>
      <c r="BY191" s="37">
        <f t="shared" si="146"/>
        <v>3.3935643356231768E-2</v>
      </c>
      <c r="BZ191">
        <v>5.8425999999999999E-3</v>
      </c>
      <c r="CA191" s="3">
        <f t="shared" si="147"/>
        <v>5.8425999999999999E-5</v>
      </c>
      <c r="CB191" s="11">
        <f>+'Seat capacity elasticities'!AF221</f>
        <v>0.10429348535017978</v>
      </c>
      <c r="CC191" s="11">
        <f>+'Seat capacity elasticities'!AG221</f>
        <v>8.3339151275731313E-2</v>
      </c>
      <c r="CD191" s="11">
        <f>+'Seat capacity elasticities'!AH221</f>
        <v>0.28614819085247878</v>
      </c>
      <c r="CE191" s="11">
        <f>+'Seat capacity elasticities'!AI221</f>
        <v>9.8691100194944981E-2</v>
      </c>
      <c r="CF191" s="32">
        <f t="shared" si="172"/>
        <v>2570429.4263735604</v>
      </c>
      <c r="CG191" s="33">
        <f t="shared" si="173"/>
        <v>1.0429348535017978E-3</v>
      </c>
      <c r="CH191" s="40">
        <f t="shared" si="174"/>
        <v>2053986.4603131528</v>
      </c>
      <c r="CI191" s="33">
        <f t="shared" si="175"/>
        <v>8.3339151275731323E-4</v>
      </c>
      <c r="CJ191" s="40">
        <f t="shared" si="176"/>
        <v>11548940.982806044</v>
      </c>
      <c r="CK191" s="41">
        <f t="shared" si="177"/>
        <v>2.8614819085247879E-3</v>
      </c>
      <c r="CL191" s="40">
        <f t="shared" si="178"/>
        <v>3983172.8038679799</v>
      </c>
      <c r="CM191" s="41">
        <f t="shared" si="179"/>
        <v>9.8691100194944997E-4</v>
      </c>
      <c r="CO191" s="70">
        <f t="shared" si="180"/>
        <v>0</v>
      </c>
      <c r="CP191" s="70">
        <f t="shared" si="181"/>
        <v>0</v>
      </c>
      <c r="CQ191" s="70">
        <f t="shared" si="182"/>
        <v>0</v>
      </c>
      <c r="CR191" s="70">
        <f t="shared" si="183"/>
        <v>0</v>
      </c>
      <c r="CS191" s="70">
        <f t="shared" si="184"/>
        <v>0</v>
      </c>
      <c r="CT191" s="70">
        <f t="shared" si="185"/>
        <v>0</v>
      </c>
      <c r="CU191" s="69">
        <f t="shared" si="186"/>
        <v>0</v>
      </c>
      <c r="CV191" s="69">
        <f t="shared" si="187"/>
        <v>0</v>
      </c>
      <c r="CW191" s="70">
        <f t="shared" si="188"/>
        <v>0</v>
      </c>
      <c r="CX191" s="69">
        <f t="shared" si="189"/>
        <v>0</v>
      </c>
      <c r="CY191" s="69">
        <f t="shared" si="190"/>
        <v>0</v>
      </c>
      <c r="CZ191" s="70">
        <f t="shared" si="191"/>
        <v>0</v>
      </c>
      <c r="DB191" s="70">
        <f t="shared" si="192"/>
        <v>5.528645387578047</v>
      </c>
      <c r="DC191" s="70">
        <f t="shared" si="193"/>
        <v>34.158984523031009</v>
      </c>
      <c r="DD191" s="70">
        <f t="shared" si="194"/>
        <v>39.687629910609054</v>
      </c>
      <c r="DE191" s="70">
        <f t="shared" si="195"/>
        <v>10.478312289937623</v>
      </c>
      <c r="DF191" s="70">
        <f t="shared" si="196"/>
        <v>27.295863869462089</v>
      </c>
      <c r="DG191" s="70">
        <f t="shared" si="197"/>
        <v>37.774176159399715</v>
      </c>
      <c r="DH191" s="69">
        <f t="shared" si="198"/>
        <v>24.840207103481241</v>
      </c>
      <c r="DI191" s="69">
        <f t="shared" si="199"/>
        <v>153.47633832749995</v>
      </c>
      <c r="DJ191" s="70">
        <f t="shared" si="200"/>
        <v>178.31654543098119</v>
      </c>
      <c r="DK191" s="69">
        <f t="shared" si="201"/>
        <v>20.319962838193149</v>
      </c>
      <c r="DL191" s="69">
        <f t="shared" si="202"/>
        <v>52.933232386715837</v>
      </c>
      <c r="DM191" s="70">
        <f t="shared" si="203"/>
        <v>73.253195224908978</v>
      </c>
    </row>
    <row r="192" spans="1:117">
      <c r="A192" t="s">
        <v>996</v>
      </c>
      <c r="B192">
        <v>118373</v>
      </c>
      <c r="C192">
        <v>68113</v>
      </c>
      <c r="D192" s="51">
        <v>35154.550000000003</v>
      </c>
      <c r="E192" s="32">
        <f t="shared" si="136"/>
        <v>2394481864.1500001</v>
      </c>
      <c r="F192">
        <v>4061</v>
      </c>
      <c r="G192" s="37">
        <f t="shared" si="137"/>
        <v>3.4306809829944329E-2</v>
      </c>
      <c r="H192">
        <v>0</v>
      </c>
      <c r="I192" s="3">
        <f t="shared" si="138"/>
        <v>0</v>
      </c>
      <c r="J192" s="11">
        <f>+'Seat capacity elasticities'!K222</f>
        <v>0</v>
      </c>
      <c r="K192" s="11">
        <f>+'Seat capacity elasticities'!L222</f>
        <v>0</v>
      </c>
      <c r="L192" s="11">
        <f>+'Seat capacity elasticities'!M222</f>
        <v>0</v>
      </c>
      <c r="M192" s="11">
        <f>+'Seat capacity elasticities'!N222</f>
        <v>0</v>
      </c>
      <c r="N192" s="32">
        <f t="shared" si="148"/>
        <v>0</v>
      </c>
      <c r="O192" s="33">
        <f t="shared" si="149"/>
        <v>0</v>
      </c>
      <c r="P192" s="40">
        <f t="shared" si="150"/>
        <v>0</v>
      </c>
      <c r="Q192" s="33">
        <f t="shared" si="151"/>
        <v>0</v>
      </c>
      <c r="R192" s="40">
        <f t="shared" si="152"/>
        <v>0</v>
      </c>
      <c r="S192" s="41">
        <f t="shared" si="153"/>
        <v>0</v>
      </c>
      <c r="T192" s="40">
        <f t="shared" si="154"/>
        <v>0</v>
      </c>
      <c r="U192" s="41">
        <f t="shared" si="155"/>
        <v>0</v>
      </c>
      <c r="V192" s="53"/>
      <c r="W192" s="53"/>
      <c r="X192" t="s">
        <v>996</v>
      </c>
      <c r="Y192">
        <v>118373</v>
      </c>
      <c r="Z192">
        <v>68113</v>
      </c>
      <c r="AA192" s="51">
        <v>35154.550000000003</v>
      </c>
      <c r="AB192" s="32">
        <f t="shared" si="139"/>
        <v>2394481864.1500001</v>
      </c>
      <c r="AC192">
        <v>4061</v>
      </c>
      <c r="AD192" s="37">
        <f t="shared" si="140"/>
        <v>3.4306809829944329E-2</v>
      </c>
      <c r="AE192">
        <v>6.2876E-3</v>
      </c>
      <c r="AF192" s="3">
        <f t="shared" si="141"/>
        <v>6.2875999999999999E-5</v>
      </c>
      <c r="AG192" s="11">
        <f>+'Seat capacity elasticities'!R222</f>
        <v>2.1241702705015863E-2</v>
      </c>
      <c r="AH192" s="11">
        <f>+'Seat capacity elasticities'!S222</f>
        <v>4.0258902300600259E-2</v>
      </c>
      <c r="AI192" s="11">
        <f>+'Seat capacity elasticities'!T222</f>
        <v>5.8280483956000204E-2</v>
      </c>
      <c r="AJ192" s="11">
        <f>+'Seat capacity elasticities'!U222</f>
        <v>4.7675015882289784E-2</v>
      </c>
      <c r="AK192" s="32">
        <f t="shared" si="156"/>
        <v>508628.71890826483</v>
      </c>
      <c r="AL192" s="33">
        <f t="shared" si="157"/>
        <v>2.1241702705015862E-4</v>
      </c>
      <c r="AM192" s="40">
        <f t="shared" si="158"/>
        <v>963992.11429374036</v>
      </c>
      <c r="AN192" s="33">
        <f t="shared" si="159"/>
        <v>4.0258902300600261E-4</v>
      </c>
      <c r="AO192" s="40">
        <f t="shared" si="160"/>
        <v>2366770.4534531687</v>
      </c>
      <c r="AP192" s="41">
        <f t="shared" si="161"/>
        <v>5.8280483956000217E-4</v>
      </c>
      <c r="AQ192" s="40">
        <f t="shared" si="162"/>
        <v>1936082.3949797882</v>
      </c>
      <c r="AR192" s="41">
        <f t="shared" si="163"/>
        <v>4.7675015882289783E-4</v>
      </c>
      <c r="AV192" t="s">
        <v>996</v>
      </c>
      <c r="AW192">
        <v>118373</v>
      </c>
      <c r="AX192">
        <v>68113</v>
      </c>
      <c r="AY192" s="51">
        <v>35154.550000000003</v>
      </c>
      <c r="AZ192" s="32">
        <f t="shared" si="142"/>
        <v>2394481864.1500001</v>
      </c>
      <c r="BA192">
        <v>4061</v>
      </c>
      <c r="BB192" s="37">
        <f t="shared" si="143"/>
        <v>3.4306809829944329E-2</v>
      </c>
      <c r="BC192">
        <v>0</v>
      </c>
      <c r="BD192" s="3">
        <f t="shared" si="144"/>
        <v>0</v>
      </c>
      <c r="BE192" s="11">
        <f>+'Seat capacity elasticities'!Y222</f>
        <v>0</v>
      </c>
      <c r="BF192" s="11">
        <f>+'Seat capacity elasticities'!Z222</f>
        <v>0</v>
      </c>
      <c r="BG192" s="11">
        <f>+'Seat capacity elasticities'!AA222</f>
        <v>0</v>
      </c>
      <c r="BH192" s="11">
        <f>+'Seat capacity elasticities'!AB222</f>
        <v>0</v>
      </c>
      <c r="BI192" s="32">
        <f t="shared" si="164"/>
        <v>0</v>
      </c>
      <c r="BJ192" s="33">
        <f t="shared" si="165"/>
        <v>0</v>
      </c>
      <c r="BK192" s="40">
        <f t="shared" si="166"/>
        <v>0</v>
      </c>
      <c r="BL192" s="33">
        <f t="shared" si="167"/>
        <v>0</v>
      </c>
      <c r="BM192" s="40">
        <f t="shared" si="168"/>
        <v>0</v>
      </c>
      <c r="BN192" s="41">
        <f t="shared" si="169"/>
        <v>0</v>
      </c>
      <c r="BO192" s="40">
        <f t="shared" si="170"/>
        <v>0</v>
      </c>
      <c r="BP192" s="41">
        <f t="shared" si="171"/>
        <v>0</v>
      </c>
      <c r="BQ192" s="53"/>
      <c r="BR192" s="53"/>
      <c r="BS192" t="s">
        <v>996</v>
      </c>
      <c r="BT192">
        <v>118373</v>
      </c>
      <c r="BU192">
        <v>68113</v>
      </c>
      <c r="BV192" s="51">
        <v>35154.550000000003</v>
      </c>
      <c r="BW192" s="32">
        <f t="shared" si="145"/>
        <v>2394481864.1500001</v>
      </c>
      <c r="BX192">
        <v>4061</v>
      </c>
      <c r="BY192" s="37">
        <f t="shared" si="146"/>
        <v>3.4306809829944329E-2</v>
      </c>
      <c r="BZ192">
        <v>6.2876E-3</v>
      </c>
      <c r="CA192" s="3">
        <f t="shared" si="147"/>
        <v>6.2875999999999999E-5</v>
      </c>
      <c r="CB192" s="11">
        <f>+'Seat capacity elasticities'!AF222</f>
        <v>0.11276604487104011</v>
      </c>
      <c r="CC192" s="11">
        <f>+'Seat capacity elasticities'!AG222</f>
        <v>9.0109429565221805E-2</v>
      </c>
      <c r="CD192" s="11">
        <f>+'Seat capacity elasticities'!AH222</f>
        <v>0.3093942025342617</v>
      </c>
      <c r="CE192" s="11">
        <f>+'Seat capacity elasticities'!AI222</f>
        <v>0.10670853501144688</v>
      </c>
      <c r="CF192" s="32">
        <f t="shared" si="172"/>
        <v>2700162.4933563066</v>
      </c>
      <c r="CG192" s="33">
        <f t="shared" si="173"/>
        <v>1.127660448710401E-3</v>
      </c>
      <c r="CH192" s="40">
        <f t="shared" si="174"/>
        <v>2157653.9488282544</v>
      </c>
      <c r="CI192" s="33">
        <f t="shared" si="175"/>
        <v>9.0109429565221806E-4</v>
      </c>
      <c r="CJ192" s="40">
        <f t="shared" si="176"/>
        <v>12564498.564916369</v>
      </c>
      <c r="CK192" s="41">
        <f t="shared" si="177"/>
        <v>3.0939420253426175E-3</v>
      </c>
      <c r="CL192" s="40">
        <f t="shared" si="178"/>
        <v>4333433.6068148576</v>
      </c>
      <c r="CM192" s="41">
        <f t="shared" si="179"/>
        <v>1.0670853501144688E-3</v>
      </c>
      <c r="CO192" s="70">
        <f t="shared" si="180"/>
        <v>0</v>
      </c>
      <c r="CP192" s="70">
        <f t="shared" si="181"/>
        <v>0</v>
      </c>
      <c r="CQ192" s="70">
        <f t="shared" si="182"/>
        <v>0</v>
      </c>
      <c r="CR192" s="70">
        <f t="shared" si="183"/>
        <v>0</v>
      </c>
      <c r="CS192" s="70">
        <f t="shared" si="184"/>
        <v>0</v>
      </c>
      <c r="CT192" s="70">
        <f t="shared" si="185"/>
        <v>0</v>
      </c>
      <c r="CU192" s="69">
        <f t="shared" si="186"/>
        <v>0</v>
      </c>
      <c r="CV192" s="69">
        <f t="shared" si="187"/>
        <v>0</v>
      </c>
      <c r="CW192" s="70">
        <f t="shared" si="188"/>
        <v>0</v>
      </c>
      <c r="CX192" s="69">
        <f t="shared" si="189"/>
        <v>0</v>
      </c>
      <c r="CY192" s="69">
        <f t="shared" si="190"/>
        <v>0</v>
      </c>
      <c r="CZ192" s="70">
        <f t="shared" si="191"/>
        <v>0</v>
      </c>
      <c r="DB192" s="70">
        <f t="shared" si="192"/>
        <v>7.4674249982861545</v>
      </c>
      <c r="DC192" s="70">
        <f t="shared" si="193"/>
        <v>39.642395627212231</v>
      </c>
      <c r="DD192" s="70">
        <f t="shared" si="194"/>
        <v>47.109820625498386</v>
      </c>
      <c r="DE192" s="70">
        <f t="shared" si="195"/>
        <v>14.152835938715668</v>
      </c>
      <c r="DF192" s="70">
        <f t="shared" si="196"/>
        <v>31.677564471220684</v>
      </c>
      <c r="DG192" s="70">
        <f t="shared" si="197"/>
        <v>45.830400409936352</v>
      </c>
      <c r="DH192" s="69">
        <f t="shared" si="198"/>
        <v>34.747705334564159</v>
      </c>
      <c r="DI192" s="69">
        <f t="shared" si="199"/>
        <v>184.46549946289795</v>
      </c>
      <c r="DJ192" s="70">
        <f t="shared" si="200"/>
        <v>219.21320479746211</v>
      </c>
      <c r="DK192" s="69">
        <f t="shared" si="201"/>
        <v>28.424564987297405</v>
      </c>
      <c r="DL192" s="69">
        <f t="shared" si="202"/>
        <v>63.621241272809264</v>
      </c>
      <c r="DM192" s="70">
        <f t="shared" si="203"/>
        <v>92.045806260106673</v>
      </c>
    </row>
    <row r="193" spans="1:117">
      <c r="A193" t="s">
        <v>456</v>
      </c>
      <c r="B193">
        <v>114897</v>
      </c>
      <c r="C193">
        <v>62966</v>
      </c>
      <c r="D193" s="51">
        <v>29640.58</v>
      </c>
      <c r="E193" s="32">
        <f t="shared" si="136"/>
        <v>1866348760.2800002</v>
      </c>
      <c r="F193">
        <v>2675</v>
      </c>
      <c r="G193" s="37">
        <f t="shared" si="137"/>
        <v>2.3281721890040644E-2</v>
      </c>
      <c r="H193">
        <v>0</v>
      </c>
      <c r="I193" s="3">
        <f t="shared" si="138"/>
        <v>0</v>
      </c>
      <c r="J193" s="11">
        <f>+'Seat capacity elasticities'!K223</f>
        <v>0</v>
      </c>
      <c r="K193" s="11">
        <f>+'Seat capacity elasticities'!L223</f>
        <v>0</v>
      </c>
      <c r="L193" s="11">
        <f>+'Seat capacity elasticities'!M223</f>
        <v>0</v>
      </c>
      <c r="M193" s="11">
        <f>+'Seat capacity elasticities'!N223</f>
        <v>0</v>
      </c>
      <c r="N193" s="32">
        <f t="shared" si="148"/>
        <v>0</v>
      </c>
      <c r="O193" s="33">
        <f t="shared" si="149"/>
        <v>0</v>
      </c>
      <c r="P193" s="40">
        <f t="shared" si="150"/>
        <v>0</v>
      </c>
      <c r="Q193" s="33">
        <f t="shared" si="151"/>
        <v>0</v>
      </c>
      <c r="R193" s="40">
        <f t="shared" si="152"/>
        <v>0</v>
      </c>
      <c r="S193" s="41">
        <f t="shared" si="153"/>
        <v>0</v>
      </c>
      <c r="T193" s="40">
        <f t="shared" si="154"/>
        <v>0</v>
      </c>
      <c r="U193" s="41">
        <f t="shared" si="155"/>
        <v>0</v>
      </c>
      <c r="V193" s="53"/>
      <c r="W193" s="53"/>
      <c r="X193" t="s">
        <v>456</v>
      </c>
      <c r="Y193">
        <v>114897</v>
      </c>
      <c r="Z193">
        <v>62966</v>
      </c>
      <c r="AA193" s="51">
        <v>29640.58</v>
      </c>
      <c r="AB193" s="32">
        <f t="shared" si="139"/>
        <v>1866348760.2800002</v>
      </c>
      <c r="AC193">
        <v>2675</v>
      </c>
      <c r="AD193" s="37">
        <f t="shared" si="140"/>
        <v>2.3281721890040644E-2</v>
      </c>
      <c r="AE193">
        <v>9.0031E-3</v>
      </c>
      <c r="AF193" s="3">
        <f t="shared" si="141"/>
        <v>9.0031000000000006E-5</v>
      </c>
      <c r="AG193" s="11">
        <f>+'Seat capacity elasticities'!R223</f>
        <v>2.5747592042381227E-2</v>
      </c>
      <c r="AH193" s="11">
        <f>+'Seat capacity elasticities'!S223</f>
        <v>4.8798808970486655E-2</v>
      </c>
      <c r="AI193" s="11">
        <f>+'Seat capacity elasticities'!T223</f>
        <v>7.0643212823861851E-2</v>
      </c>
      <c r="AJ193" s="11">
        <f>+'Seat capacity elasticities'!U223</f>
        <v>5.7788063254523674E-2</v>
      </c>
      <c r="AK193" s="32">
        <f t="shared" si="156"/>
        <v>480539.86488493404</v>
      </c>
      <c r="AL193" s="33">
        <f t="shared" si="157"/>
        <v>2.5747592042381226E-4</v>
      </c>
      <c r="AM193" s="40">
        <f t="shared" si="158"/>
        <v>910755.96625208331</v>
      </c>
      <c r="AN193" s="33">
        <f t="shared" si="159"/>
        <v>4.879880897048666E-4</v>
      </c>
      <c r="AO193" s="40">
        <f t="shared" si="160"/>
        <v>1889705.9430383046</v>
      </c>
      <c r="AP193" s="41">
        <f t="shared" si="161"/>
        <v>7.0643212823861851E-4</v>
      </c>
      <c r="AQ193" s="40">
        <f t="shared" si="162"/>
        <v>1545830.6920585083</v>
      </c>
      <c r="AR193" s="41">
        <f t="shared" si="163"/>
        <v>5.7788063254523669E-4</v>
      </c>
      <c r="AV193" t="s">
        <v>456</v>
      </c>
      <c r="AW193">
        <v>114897</v>
      </c>
      <c r="AX193">
        <v>62966</v>
      </c>
      <c r="AY193" s="51">
        <v>29640.58</v>
      </c>
      <c r="AZ193" s="32">
        <f t="shared" si="142"/>
        <v>1866348760.2800002</v>
      </c>
      <c r="BA193">
        <v>2675</v>
      </c>
      <c r="BB193" s="37">
        <f t="shared" si="143"/>
        <v>2.3281721890040644E-2</v>
      </c>
      <c r="BC193">
        <v>0</v>
      </c>
      <c r="BD193" s="3">
        <f t="shared" si="144"/>
        <v>0</v>
      </c>
      <c r="BE193" s="11">
        <f>+'Seat capacity elasticities'!Y223</f>
        <v>0</v>
      </c>
      <c r="BF193" s="11">
        <f>+'Seat capacity elasticities'!Z223</f>
        <v>0</v>
      </c>
      <c r="BG193" s="11">
        <f>+'Seat capacity elasticities'!AA223</f>
        <v>0</v>
      </c>
      <c r="BH193" s="11">
        <f>+'Seat capacity elasticities'!AB223</f>
        <v>0</v>
      </c>
      <c r="BI193" s="32">
        <f t="shared" si="164"/>
        <v>0</v>
      </c>
      <c r="BJ193" s="33">
        <f t="shared" si="165"/>
        <v>0</v>
      </c>
      <c r="BK193" s="40">
        <f t="shared" si="166"/>
        <v>0</v>
      </c>
      <c r="BL193" s="33">
        <f t="shared" si="167"/>
        <v>0</v>
      </c>
      <c r="BM193" s="40">
        <f t="shared" si="168"/>
        <v>0</v>
      </c>
      <c r="BN193" s="41">
        <f t="shared" si="169"/>
        <v>0</v>
      </c>
      <c r="BO193" s="40">
        <f t="shared" si="170"/>
        <v>0</v>
      </c>
      <c r="BP193" s="41">
        <f t="shared" si="171"/>
        <v>0</v>
      </c>
      <c r="BQ193" s="53"/>
      <c r="BR193" s="53"/>
      <c r="BS193" t="s">
        <v>456</v>
      </c>
      <c r="BT193">
        <v>114897</v>
      </c>
      <c r="BU193">
        <v>62966</v>
      </c>
      <c r="BV193" s="51">
        <v>29640.58</v>
      </c>
      <c r="BW193" s="32">
        <f t="shared" si="145"/>
        <v>1866348760.2800002</v>
      </c>
      <c r="BX193">
        <v>2675</v>
      </c>
      <c r="BY193" s="37">
        <f t="shared" si="146"/>
        <v>2.3281721890040644E-2</v>
      </c>
      <c r="BZ193">
        <v>9.0031E-3</v>
      </c>
      <c r="CA193" s="3">
        <f t="shared" si="147"/>
        <v>9.0031000000000006E-5</v>
      </c>
      <c r="CB193" s="11">
        <f>+'Seat capacity elasticities'!AF223</f>
        <v>0.16635255753265177</v>
      </c>
      <c r="CC193" s="11">
        <f>+'Seat capacity elasticities'!AG223</f>
        <v>0.13292950092490666</v>
      </c>
      <c r="CD193" s="11">
        <f>+'Seat capacity elasticities'!AH223</f>
        <v>0.45641856940366549</v>
      </c>
      <c r="CE193" s="11">
        <f>+'Seat capacity elasticities'!AI223</f>
        <v>0.15741651425317896</v>
      </c>
      <c r="CF193" s="32">
        <f t="shared" si="172"/>
        <v>3104718.8952047206</v>
      </c>
      <c r="CG193" s="33">
        <f t="shared" si="173"/>
        <v>1.6635255753265179E-3</v>
      </c>
      <c r="CH193" s="40">
        <f t="shared" si="174"/>
        <v>2480928.0925583872</v>
      </c>
      <c r="CI193" s="33">
        <f t="shared" si="175"/>
        <v>1.3292950092490669E-3</v>
      </c>
      <c r="CJ193" s="40">
        <f t="shared" si="176"/>
        <v>12209196.73154805</v>
      </c>
      <c r="CK193" s="41">
        <f t="shared" si="177"/>
        <v>4.5641856940366547E-3</v>
      </c>
      <c r="CL193" s="40">
        <f t="shared" si="178"/>
        <v>4210891.7562725367</v>
      </c>
      <c r="CM193" s="41">
        <f t="shared" si="179"/>
        <v>1.5741651425317893E-3</v>
      </c>
      <c r="CO193" s="70">
        <f t="shared" si="180"/>
        <v>0</v>
      </c>
      <c r="CP193" s="70">
        <f t="shared" si="181"/>
        <v>0</v>
      </c>
      <c r="CQ193" s="70">
        <f t="shared" si="182"/>
        <v>0</v>
      </c>
      <c r="CR193" s="70">
        <f t="shared" si="183"/>
        <v>0</v>
      </c>
      <c r="CS193" s="70">
        <f t="shared" si="184"/>
        <v>0</v>
      </c>
      <c r="CT193" s="70">
        <f t="shared" si="185"/>
        <v>0</v>
      </c>
      <c r="CU193" s="69">
        <f t="shared" si="186"/>
        <v>0</v>
      </c>
      <c r="CV193" s="69">
        <f t="shared" si="187"/>
        <v>0</v>
      </c>
      <c r="CW193" s="70">
        <f t="shared" si="188"/>
        <v>0</v>
      </c>
      <c r="CX193" s="69">
        <f t="shared" si="189"/>
        <v>0</v>
      </c>
      <c r="CY193" s="69">
        <f t="shared" si="190"/>
        <v>0</v>
      </c>
      <c r="CZ193" s="70">
        <f t="shared" si="191"/>
        <v>0</v>
      </c>
      <c r="DB193" s="70">
        <f t="shared" si="192"/>
        <v>7.631735617395643</v>
      </c>
      <c r="DC193" s="70">
        <f t="shared" si="193"/>
        <v>49.307862897511683</v>
      </c>
      <c r="DD193" s="70">
        <f t="shared" si="194"/>
        <v>56.939598514907324</v>
      </c>
      <c r="DE193" s="70">
        <f t="shared" si="195"/>
        <v>14.464250011944277</v>
      </c>
      <c r="DF193" s="70">
        <f t="shared" si="196"/>
        <v>39.40107506524771</v>
      </c>
      <c r="DG193" s="70">
        <f t="shared" si="197"/>
        <v>53.865325077191983</v>
      </c>
      <c r="DH193" s="69">
        <f t="shared" si="198"/>
        <v>30.011529127438692</v>
      </c>
      <c r="DI193" s="69">
        <f t="shared" si="199"/>
        <v>193.90141872674221</v>
      </c>
      <c r="DJ193" s="70">
        <f t="shared" si="200"/>
        <v>223.91294785418091</v>
      </c>
      <c r="DK193" s="69">
        <f t="shared" si="201"/>
        <v>24.550244450314587</v>
      </c>
      <c r="DL193" s="69">
        <f t="shared" si="202"/>
        <v>66.875643303886804</v>
      </c>
      <c r="DM193" s="70">
        <f t="shared" si="203"/>
        <v>91.425887754201398</v>
      </c>
    </row>
    <row r="194" spans="1:117">
      <c r="A194" t="s">
        <v>457</v>
      </c>
      <c r="B194">
        <v>174569</v>
      </c>
      <c r="C194">
        <v>84059</v>
      </c>
      <c r="D194" s="51">
        <v>33652.78</v>
      </c>
      <c r="E194" s="32">
        <f t="shared" si="136"/>
        <v>2828819034.02</v>
      </c>
      <c r="F194">
        <v>4160</v>
      </c>
      <c r="G194" s="37">
        <f t="shared" si="137"/>
        <v>2.3830118749606173E-2</v>
      </c>
      <c r="H194">
        <v>0</v>
      </c>
      <c r="I194" s="3">
        <f t="shared" si="138"/>
        <v>0</v>
      </c>
      <c r="J194" s="11">
        <f>+'Seat capacity elasticities'!K224</f>
        <v>0</v>
      </c>
      <c r="K194" s="11">
        <f>+'Seat capacity elasticities'!L224</f>
        <v>0</v>
      </c>
      <c r="L194" s="11">
        <f>+'Seat capacity elasticities'!M224</f>
        <v>0</v>
      </c>
      <c r="M194" s="11">
        <f>+'Seat capacity elasticities'!N224</f>
        <v>0</v>
      </c>
      <c r="N194" s="32">
        <f t="shared" si="148"/>
        <v>0</v>
      </c>
      <c r="O194" s="33">
        <f t="shared" si="149"/>
        <v>0</v>
      </c>
      <c r="P194" s="40">
        <f t="shared" si="150"/>
        <v>0</v>
      </c>
      <c r="Q194" s="33">
        <f t="shared" si="151"/>
        <v>0</v>
      </c>
      <c r="R194" s="40">
        <f t="shared" si="152"/>
        <v>0</v>
      </c>
      <c r="S194" s="41">
        <f t="shared" si="153"/>
        <v>0</v>
      </c>
      <c r="T194" s="40">
        <f t="shared" si="154"/>
        <v>0</v>
      </c>
      <c r="U194" s="41">
        <f t="shared" si="155"/>
        <v>0</v>
      </c>
      <c r="V194" s="53"/>
      <c r="W194" s="53"/>
      <c r="X194" t="s">
        <v>457</v>
      </c>
      <c r="Y194">
        <v>174569</v>
      </c>
      <c r="Z194">
        <v>84059</v>
      </c>
      <c r="AA194" s="51">
        <v>33652.78</v>
      </c>
      <c r="AB194" s="32">
        <f t="shared" si="139"/>
        <v>2828819034.02</v>
      </c>
      <c r="AC194">
        <v>4160</v>
      </c>
      <c r="AD194" s="37">
        <f t="shared" si="140"/>
        <v>2.3830118749606173E-2</v>
      </c>
      <c r="AE194">
        <v>3.7989E-3</v>
      </c>
      <c r="AF194" s="3">
        <f t="shared" si="141"/>
        <v>3.7988999999999998E-5</v>
      </c>
      <c r="AG194" s="11">
        <f>+'Seat capacity elasticities'!R224</f>
        <v>1.3327108375690145E-2</v>
      </c>
      <c r="AH194" s="11">
        <f>+'Seat capacity elasticities'!S224</f>
        <v>2.5258556787904184E-2</v>
      </c>
      <c r="AI194" s="11">
        <f>+'Seat capacity elasticities'!T224</f>
        <v>3.6565351500088487E-2</v>
      </c>
      <c r="AJ194" s="11">
        <f>+'Seat capacity elasticities'!U224</f>
        <v>2.9911448827781271E-2</v>
      </c>
      <c r="AK194" s="32">
        <f t="shared" si="156"/>
        <v>376999.77841599646</v>
      </c>
      <c r="AL194" s="33">
        <f t="shared" si="157"/>
        <v>1.3327108375690144E-4</v>
      </c>
      <c r="AM194" s="40">
        <f t="shared" si="158"/>
        <v>714518.86213498423</v>
      </c>
      <c r="AN194" s="33">
        <f t="shared" si="159"/>
        <v>2.525855678790418E-4</v>
      </c>
      <c r="AO194" s="40">
        <f t="shared" si="160"/>
        <v>1521118.622403681</v>
      </c>
      <c r="AP194" s="41">
        <f t="shared" si="161"/>
        <v>3.6565351500088484E-4</v>
      </c>
      <c r="AQ194" s="40">
        <f t="shared" si="162"/>
        <v>1244316.2712357009</v>
      </c>
      <c r="AR194" s="41">
        <f t="shared" si="163"/>
        <v>2.9911448827781272E-4</v>
      </c>
      <c r="AV194" t="s">
        <v>457</v>
      </c>
      <c r="AW194">
        <v>174569</v>
      </c>
      <c r="AX194">
        <v>84059</v>
      </c>
      <c r="AY194" s="51">
        <v>33652.78</v>
      </c>
      <c r="AZ194" s="32">
        <f t="shared" si="142"/>
        <v>2828819034.02</v>
      </c>
      <c r="BA194">
        <v>4160</v>
      </c>
      <c r="BB194" s="37">
        <f t="shared" si="143"/>
        <v>2.3830118749606173E-2</v>
      </c>
      <c r="BC194">
        <v>0</v>
      </c>
      <c r="BD194" s="3">
        <f t="shared" si="144"/>
        <v>0</v>
      </c>
      <c r="BE194" s="11">
        <f>+'Seat capacity elasticities'!Y224</f>
        <v>0</v>
      </c>
      <c r="BF194" s="11">
        <f>+'Seat capacity elasticities'!Z224</f>
        <v>0</v>
      </c>
      <c r="BG194" s="11">
        <f>+'Seat capacity elasticities'!AA224</f>
        <v>0</v>
      </c>
      <c r="BH194" s="11">
        <f>+'Seat capacity elasticities'!AB224</f>
        <v>0</v>
      </c>
      <c r="BI194" s="32">
        <f t="shared" si="164"/>
        <v>0</v>
      </c>
      <c r="BJ194" s="33">
        <f t="shared" si="165"/>
        <v>0</v>
      </c>
      <c r="BK194" s="40">
        <f t="shared" si="166"/>
        <v>0</v>
      </c>
      <c r="BL194" s="33">
        <f t="shared" si="167"/>
        <v>0</v>
      </c>
      <c r="BM194" s="40">
        <f t="shared" si="168"/>
        <v>0</v>
      </c>
      <c r="BN194" s="41">
        <f t="shared" si="169"/>
        <v>0</v>
      </c>
      <c r="BO194" s="40">
        <f t="shared" si="170"/>
        <v>0</v>
      </c>
      <c r="BP194" s="41">
        <f t="shared" si="171"/>
        <v>0</v>
      </c>
      <c r="BQ194" s="53"/>
      <c r="BR194" s="53"/>
      <c r="BS194" t="s">
        <v>457</v>
      </c>
      <c r="BT194">
        <v>174569</v>
      </c>
      <c r="BU194">
        <v>84059</v>
      </c>
      <c r="BV194" s="51">
        <v>33652.78</v>
      </c>
      <c r="BW194" s="32">
        <f t="shared" si="145"/>
        <v>2828819034.02</v>
      </c>
      <c r="BX194">
        <v>4160</v>
      </c>
      <c r="BY194" s="37">
        <f t="shared" si="146"/>
        <v>2.3830118749606173E-2</v>
      </c>
      <c r="BZ194">
        <v>3.7989E-3</v>
      </c>
      <c r="CA194" s="3">
        <f t="shared" si="147"/>
        <v>3.7988999999999998E-5</v>
      </c>
      <c r="CB194" s="11">
        <f>+'Seat capacity elasticities'!AF224</f>
        <v>4.6199453144427402E-2</v>
      </c>
      <c r="CC194" s="11">
        <f>+'Seat capacity elasticities'!AG224</f>
        <v>3.6917197670898044E-2</v>
      </c>
      <c r="CD194" s="11">
        <f>+'Seat capacity elasticities'!AH224</f>
        <v>0.12675662234572138</v>
      </c>
      <c r="CE194" s="11">
        <f>+'Seat capacity elasticities'!AI224</f>
        <v>4.371773408395821E-2</v>
      </c>
      <c r="CF194" s="32">
        <f t="shared" si="172"/>
        <v>1306898.9241627138</v>
      </c>
      <c r="CG194" s="33">
        <f t="shared" si="173"/>
        <v>4.6199453144427403E-4</v>
      </c>
      <c r="CH194" s="40">
        <f t="shared" si="174"/>
        <v>1044320.714541152</v>
      </c>
      <c r="CI194" s="33">
        <f t="shared" si="175"/>
        <v>3.6917197670898046E-4</v>
      </c>
      <c r="CJ194" s="40">
        <f t="shared" si="176"/>
        <v>5273075.4895820087</v>
      </c>
      <c r="CK194" s="41">
        <f t="shared" si="177"/>
        <v>1.2675662234572138E-3</v>
      </c>
      <c r="CL194" s="40">
        <f t="shared" si="178"/>
        <v>1818657.7378926615</v>
      </c>
      <c r="CM194" s="41">
        <f t="shared" si="179"/>
        <v>4.3717734083958211E-4</v>
      </c>
      <c r="CO194" s="70">
        <f t="shared" si="180"/>
        <v>0</v>
      </c>
      <c r="CP194" s="70">
        <f t="shared" si="181"/>
        <v>0</v>
      </c>
      <c r="CQ194" s="70">
        <f t="shared" si="182"/>
        <v>0</v>
      </c>
      <c r="CR194" s="70">
        <f t="shared" si="183"/>
        <v>0</v>
      </c>
      <c r="CS194" s="70">
        <f t="shared" si="184"/>
        <v>0</v>
      </c>
      <c r="CT194" s="70">
        <f t="shared" si="185"/>
        <v>0</v>
      </c>
      <c r="CU194" s="69">
        <f t="shared" si="186"/>
        <v>0</v>
      </c>
      <c r="CV194" s="69">
        <f t="shared" si="187"/>
        <v>0</v>
      </c>
      <c r="CW194" s="70">
        <f t="shared" si="188"/>
        <v>0</v>
      </c>
      <c r="CX194" s="69">
        <f t="shared" si="189"/>
        <v>0</v>
      </c>
      <c r="CY194" s="69">
        <f t="shared" si="190"/>
        <v>0</v>
      </c>
      <c r="CZ194" s="70">
        <f t="shared" si="191"/>
        <v>0</v>
      </c>
      <c r="DB194" s="70">
        <f t="shared" si="192"/>
        <v>4.4849424620325777</v>
      </c>
      <c r="DC194" s="70">
        <f t="shared" si="193"/>
        <v>15.547400327897236</v>
      </c>
      <c r="DD194" s="70">
        <f t="shared" si="194"/>
        <v>20.032342789929814</v>
      </c>
      <c r="DE194" s="70">
        <f t="shared" si="195"/>
        <v>8.5002065470084602</v>
      </c>
      <c r="DF194" s="70">
        <f t="shared" si="196"/>
        <v>12.423663314352442</v>
      </c>
      <c r="DG194" s="70">
        <f t="shared" si="197"/>
        <v>20.923869861360902</v>
      </c>
      <c r="DH194" s="69">
        <f t="shared" si="198"/>
        <v>18.095844851874052</v>
      </c>
      <c r="DI194" s="69">
        <f t="shared" si="199"/>
        <v>62.730647397447136</v>
      </c>
      <c r="DJ194" s="70">
        <f t="shared" si="200"/>
        <v>80.826492249321191</v>
      </c>
      <c r="DK194" s="69">
        <f t="shared" si="201"/>
        <v>14.802891674130086</v>
      </c>
      <c r="DL194" s="69">
        <f t="shared" si="202"/>
        <v>21.635490999091846</v>
      </c>
      <c r="DM194" s="70">
        <f t="shared" si="203"/>
        <v>36.43838267322193</v>
      </c>
    </row>
    <row r="195" spans="1:117">
      <c r="A195" t="s">
        <v>458</v>
      </c>
      <c r="B195">
        <v>258790</v>
      </c>
      <c r="C195">
        <v>154966</v>
      </c>
      <c r="D195" s="51">
        <v>25575.77</v>
      </c>
      <c r="E195" s="32">
        <f t="shared" si="136"/>
        <v>3963374773.8200002</v>
      </c>
      <c r="F195">
        <v>8383</v>
      </c>
      <c r="G195" s="37">
        <f t="shared" si="137"/>
        <v>3.2393060010046756E-2</v>
      </c>
      <c r="H195">
        <v>0</v>
      </c>
      <c r="I195" s="3">
        <f t="shared" si="138"/>
        <v>0</v>
      </c>
      <c r="J195" s="11">
        <f>+'Seat capacity elasticities'!K225</f>
        <v>0</v>
      </c>
      <c r="K195" s="11">
        <f>+'Seat capacity elasticities'!L225</f>
        <v>0</v>
      </c>
      <c r="L195" s="11">
        <f>+'Seat capacity elasticities'!M225</f>
        <v>0</v>
      </c>
      <c r="M195" s="11">
        <f>+'Seat capacity elasticities'!N225</f>
        <v>0</v>
      </c>
      <c r="N195" s="32">
        <f t="shared" si="148"/>
        <v>0</v>
      </c>
      <c r="O195" s="33">
        <f t="shared" si="149"/>
        <v>0</v>
      </c>
      <c r="P195" s="40">
        <f t="shared" si="150"/>
        <v>0</v>
      </c>
      <c r="Q195" s="33">
        <f t="shared" si="151"/>
        <v>0</v>
      </c>
      <c r="R195" s="40">
        <f t="shared" si="152"/>
        <v>0</v>
      </c>
      <c r="S195" s="41">
        <f t="shared" si="153"/>
        <v>0</v>
      </c>
      <c r="T195" s="40">
        <f t="shared" si="154"/>
        <v>0</v>
      </c>
      <c r="U195" s="41">
        <f t="shared" si="155"/>
        <v>0</v>
      </c>
      <c r="V195" s="53"/>
      <c r="W195" s="53"/>
      <c r="X195" t="s">
        <v>458</v>
      </c>
      <c r="Y195">
        <v>258790</v>
      </c>
      <c r="Z195">
        <v>154966</v>
      </c>
      <c r="AA195" s="51">
        <v>25575.77</v>
      </c>
      <c r="AB195" s="32">
        <f t="shared" si="139"/>
        <v>3963374773.8200002</v>
      </c>
      <c r="AC195">
        <v>8383</v>
      </c>
      <c r="AD195" s="37">
        <f t="shared" si="140"/>
        <v>3.2393060010046756E-2</v>
      </c>
      <c r="AE195">
        <v>1.8653000000000001E-3</v>
      </c>
      <c r="AF195" s="3">
        <f t="shared" si="141"/>
        <v>1.8653000000000003E-5</v>
      </c>
      <c r="AG195" s="11">
        <f>+'Seat capacity elasticities'!R225</f>
        <v>4.6623094526131682E-3</v>
      </c>
      <c r="AH195" s="11">
        <f>+'Seat capacity elasticities'!S225</f>
        <v>8.836366055702146E-3</v>
      </c>
      <c r="AI195" s="11">
        <f>+'Seat capacity elasticities'!T225</f>
        <v>1.2791895971068621E-2</v>
      </c>
      <c r="AJ195" s="11">
        <f>+'Seat capacity elasticities'!U225</f>
        <v>1.0464117697542016E-2</v>
      </c>
      <c r="AK195" s="32">
        <f t="shared" si="156"/>
        <v>184784.79672229564</v>
      </c>
      <c r="AL195" s="33">
        <f t="shared" si="157"/>
        <v>4.6623094526131677E-5</v>
      </c>
      <c r="AM195" s="40">
        <f t="shared" si="158"/>
        <v>350218.3031740922</v>
      </c>
      <c r="AN195" s="33">
        <f t="shared" si="159"/>
        <v>8.8363660557021456E-5</v>
      </c>
      <c r="AO195" s="40">
        <f t="shared" si="160"/>
        <v>1072344.6392546822</v>
      </c>
      <c r="AP195" s="41">
        <f t="shared" si="161"/>
        <v>1.2791895971068617E-4</v>
      </c>
      <c r="AQ195" s="40">
        <f t="shared" si="162"/>
        <v>877206.98658494721</v>
      </c>
      <c r="AR195" s="41">
        <f t="shared" si="163"/>
        <v>1.0464117697542016E-4</v>
      </c>
      <c r="AV195" t="s">
        <v>458</v>
      </c>
      <c r="AW195">
        <v>258790</v>
      </c>
      <c r="AX195">
        <v>154966</v>
      </c>
      <c r="AY195" s="51">
        <v>25575.77</v>
      </c>
      <c r="AZ195" s="32">
        <f t="shared" si="142"/>
        <v>3963374773.8200002</v>
      </c>
      <c r="BA195">
        <v>8383</v>
      </c>
      <c r="BB195" s="37">
        <f t="shared" si="143"/>
        <v>3.2393060010046756E-2</v>
      </c>
      <c r="BC195">
        <v>0</v>
      </c>
      <c r="BD195" s="3">
        <f t="shared" si="144"/>
        <v>0</v>
      </c>
      <c r="BE195" s="11">
        <f>+'Seat capacity elasticities'!Y225</f>
        <v>0</v>
      </c>
      <c r="BF195" s="11">
        <f>+'Seat capacity elasticities'!Z225</f>
        <v>0</v>
      </c>
      <c r="BG195" s="11">
        <f>+'Seat capacity elasticities'!AA225</f>
        <v>0</v>
      </c>
      <c r="BH195" s="11">
        <f>+'Seat capacity elasticities'!AB225</f>
        <v>0</v>
      </c>
      <c r="BI195" s="32">
        <f t="shared" si="164"/>
        <v>0</v>
      </c>
      <c r="BJ195" s="33">
        <f t="shared" si="165"/>
        <v>0</v>
      </c>
      <c r="BK195" s="40">
        <f t="shared" si="166"/>
        <v>0</v>
      </c>
      <c r="BL195" s="33">
        <f t="shared" si="167"/>
        <v>0</v>
      </c>
      <c r="BM195" s="40">
        <f t="shared" si="168"/>
        <v>0</v>
      </c>
      <c r="BN195" s="41">
        <f t="shared" si="169"/>
        <v>0</v>
      </c>
      <c r="BO195" s="40">
        <f t="shared" si="170"/>
        <v>0</v>
      </c>
      <c r="BP195" s="41">
        <f t="shared" si="171"/>
        <v>0</v>
      </c>
      <c r="BQ195" s="53"/>
      <c r="BR195" s="53"/>
      <c r="BS195" t="s">
        <v>458</v>
      </c>
      <c r="BT195">
        <v>258790</v>
      </c>
      <c r="BU195">
        <v>154966</v>
      </c>
      <c r="BV195" s="51">
        <v>25575.77</v>
      </c>
      <c r="BW195" s="32">
        <f t="shared" si="145"/>
        <v>3963374773.8200002</v>
      </c>
      <c r="BX195">
        <v>8383</v>
      </c>
      <c r="BY195" s="37">
        <f t="shared" si="146"/>
        <v>3.2393060010046756E-2</v>
      </c>
      <c r="BZ195">
        <v>1.8653000000000001E-3</v>
      </c>
      <c r="CA195" s="3">
        <f t="shared" si="147"/>
        <v>1.8653000000000003E-5</v>
      </c>
      <c r="CB195" s="11">
        <f>+'Seat capacity elasticities'!AF225</f>
        <v>1.5301968269628638E-2</v>
      </c>
      <c r="CC195" s="11">
        <f>+'Seat capacity elasticities'!AG225</f>
        <v>1.2227542728648712E-2</v>
      </c>
      <c r="CD195" s="11">
        <f>+'Seat capacity elasticities'!AH225</f>
        <v>4.1983739656742833E-2</v>
      </c>
      <c r="CE195" s="11">
        <f>+'Seat capacity elasticities'!AI225</f>
        <v>1.4479984810241896E-2</v>
      </c>
      <c r="CF195" s="32">
        <f t="shared" si="172"/>
        <v>606474.35029640223</v>
      </c>
      <c r="CG195" s="33">
        <f t="shared" si="173"/>
        <v>1.5301968269628639E-4</v>
      </c>
      <c r="CH195" s="40">
        <f t="shared" si="174"/>
        <v>484623.34396532475</v>
      </c>
      <c r="CI195" s="33">
        <f t="shared" si="175"/>
        <v>1.2227542728648712E-4</v>
      </c>
      <c r="CJ195" s="40">
        <f t="shared" si="176"/>
        <v>3519496.895424752</v>
      </c>
      <c r="CK195" s="41">
        <f t="shared" si="177"/>
        <v>4.1983739656742836E-4</v>
      </c>
      <c r="CL195" s="40">
        <f t="shared" si="178"/>
        <v>1213857.1266425783</v>
      </c>
      <c r="CM195" s="41">
        <f t="shared" si="179"/>
        <v>1.4479984810241898E-4</v>
      </c>
      <c r="CO195" s="70">
        <f t="shared" si="180"/>
        <v>0</v>
      </c>
      <c r="CP195" s="70">
        <f t="shared" si="181"/>
        <v>0</v>
      </c>
      <c r="CQ195" s="70">
        <f t="shared" si="182"/>
        <v>0</v>
      </c>
      <c r="CR195" s="70">
        <f t="shared" si="183"/>
        <v>0</v>
      </c>
      <c r="CS195" s="70">
        <f t="shared" si="184"/>
        <v>0</v>
      </c>
      <c r="CT195" s="70">
        <f t="shared" si="185"/>
        <v>0</v>
      </c>
      <c r="CU195" s="69">
        <f t="shared" si="186"/>
        <v>0</v>
      </c>
      <c r="CV195" s="69">
        <f t="shared" si="187"/>
        <v>0</v>
      </c>
      <c r="CW195" s="70">
        <f t="shared" si="188"/>
        <v>0</v>
      </c>
      <c r="CX195" s="69">
        <f t="shared" si="189"/>
        <v>0</v>
      </c>
      <c r="CY195" s="69">
        <f t="shared" si="190"/>
        <v>0</v>
      </c>
      <c r="CZ195" s="70">
        <f t="shared" si="191"/>
        <v>0</v>
      </c>
      <c r="DB195" s="70">
        <f t="shared" si="192"/>
        <v>1.1924215422886029</v>
      </c>
      <c r="DC195" s="70">
        <f t="shared" si="193"/>
        <v>3.9135962101132007</v>
      </c>
      <c r="DD195" s="70">
        <f t="shared" si="194"/>
        <v>5.1060177524018036</v>
      </c>
      <c r="DE195" s="70">
        <f t="shared" si="195"/>
        <v>2.259968658764453</v>
      </c>
      <c r="DF195" s="70">
        <f t="shared" si="196"/>
        <v>3.1272882049309185</v>
      </c>
      <c r="DG195" s="70">
        <f t="shared" si="197"/>
        <v>5.3872568636953719</v>
      </c>
      <c r="DH195" s="69">
        <f t="shared" si="198"/>
        <v>6.9198704183800466</v>
      </c>
      <c r="DI195" s="69">
        <f t="shared" si="199"/>
        <v>22.711413441817896</v>
      </c>
      <c r="DJ195" s="70">
        <f t="shared" si="200"/>
        <v>29.631283860197943</v>
      </c>
      <c r="DK195" s="69">
        <f t="shared" si="201"/>
        <v>5.660641602576999</v>
      </c>
      <c r="DL195" s="69">
        <f t="shared" si="202"/>
        <v>7.8330545193305516</v>
      </c>
      <c r="DM195" s="70">
        <f t="shared" si="203"/>
        <v>13.493696121907551</v>
      </c>
    </row>
    <row r="196" spans="1:117">
      <c r="A196" t="s">
        <v>997</v>
      </c>
      <c r="B196">
        <v>133591</v>
      </c>
      <c r="C196">
        <v>92995</v>
      </c>
      <c r="D196" s="51">
        <v>43822.07</v>
      </c>
      <c r="E196" s="32">
        <f t="shared" ref="E196:E259" si="204">C196*D196</f>
        <v>4075233399.6500001</v>
      </c>
      <c r="F196">
        <v>6660</v>
      </c>
      <c r="G196" s="37">
        <f t="shared" ref="G196:G259" si="205">+F196/B196</f>
        <v>4.9853657806289343E-2</v>
      </c>
      <c r="H196">
        <v>0</v>
      </c>
      <c r="I196" s="3">
        <f t="shared" ref="I196:I259" si="206">+H196*$C$1</f>
        <v>0</v>
      </c>
      <c r="J196" s="11">
        <f>+'Seat capacity elasticities'!K226</f>
        <v>0</v>
      </c>
      <c r="K196" s="11">
        <f>+'Seat capacity elasticities'!L226</f>
        <v>0</v>
      </c>
      <c r="L196" s="11">
        <f>+'Seat capacity elasticities'!M226</f>
        <v>0</v>
      </c>
      <c r="M196" s="11">
        <f>+'Seat capacity elasticities'!N226</f>
        <v>0</v>
      </c>
      <c r="N196" s="32">
        <f t="shared" si="148"/>
        <v>0</v>
      </c>
      <c r="O196" s="33">
        <f t="shared" si="149"/>
        <v>0</v>
      </c>
      <c r="P196" s="40">
        <f t="shared" si="150"/>
        <v>0</v>
      </c>
      <c r="Q196" s="33">
        <f t="shared" si="151"/>
        <v>0</v>
      </c>
      <c r="R196" s="40">
        <f t="shared" si="152"/>
        <v>0</v>
      </c>
      <c r="S196" s="41">
        <f t="shared" si="153"/>
        <v>0</v>
      </c>
      <c r="T196" s="40">
        <f t="shared" si="154"/>
        <v>0</v>
      </c>
      <c r="U196" s="41">
        <f t="shared" si="155"/>
        <v>0</v>
      </c>
      <c r="V196" s="53"/>
      <c r="W196" s="53"/>
      <c r="X196" t="s">
        <v>997</v>
      </c>
      <c r="Y196">
        <v>133591</v>
      </c>
      <c r="Z196">
        <v>92995</v>
      </c>
      <c r="AA196" s="51">
        <v>43822.07</v>
      </c>
      <c r="AB196" s="32">
        <f t="shared" ref="AB196:AB259" si="207">Z196*AA196</f>
        <v>4075233399.6500001</v>
      </c>
      <c r="AC196">
        <v>6660</v>
      </c>
      <c r="AD196" s="37">
        <f t="shared" ref="AD196:AD259" si="208">+AC196/Y196</f>
        <v>4.9853657806289343E-2</v>
      </c>
      <c r="AE196">
        <v>6.8208000000000001E-3</v>
      </c>
      <c r="AF196" s="3">
        <f t="shared" ref="AF196:AF259" si="209">+AE196*$C$1</f>
        <v>6.8208000000000008E-5</v>
      </c>
      <c r="AG196" s="11">
        <f>+'Seat capacity elasticities'!R226</f>
        <v>1.5137449448548208E-2</v>
      </c>
      <c r="AH196" s="11">
        <f>+'Seat capacity elasticities'!S226</f>
        <v>2.8689653880028851E-2</v>
      </c>
      <c r="AI196" s="11">
        <f>+'Seat capacity elasticities'!T226</f>
        <v>4.1532352277605197E-2</v>
      </c>
      <c r="AJ196" s="11">
        <f>+'Seat capacity elasticities'!U226</f>
        <v>3.3974590121086799E-2</v>
      </c>
      <c r="AK196" s="32">
        <f t="shared" si="156"/>
        <v>616886.39578237128</v>
      </c>
      <c r="AL196" s="33">
        <f t="shared" si="157"/>
        <v>1.5137449448548207E-4</v>
      </c>
      <c r="AM196" s="40">
        <f t="shared" si="158"/>
        <v>1169170.357162918</v>
      </c>
      <c r="AN196" s="33">
        <f t="shared" si="159"/>
        <v>2.8689653880028854E-4</v>
      </c>
      <c r="AO196" s="40">
        <f t="shared" si="160"/>
        <v>2766054.6616885061</v>
      </c>
      <c r="AP196" s="41">
        <f t="shared" si="161"/>
        <v>4.1532352277605193E-4</v>
      </c>
      <c r="AQ196" s="40">
        <f t="shared" si="162"/>
        <v>2262707.7020643805</v>
      </c>
      <c r="AR196" s="41">
        <f t="shared" si="163"/>
        <v>3.3974590121086794E-4</v>
      </c>
      <c r="AV196" t="s">
        <v>997</v>
      </c>
      <c r="AW196">
        <v>133591</v>
      </c>
      <c r="AX196">
        <v>92995</v>
      </c>
      <c r="AY196" s="51">
        <v>43822.07</v>
      </c>
      <c r="AZ196" s="32">
        <f t="shared" ref="AZ196:AZ259" si="210">AX196*AY196</f>
        <v>4075233399.6500001</v>
      </c>
      <c r="BA196">
        <v>6660</v>
      </c>
      <c r="BB196" s="37">
        <f t="shared" ref="BB196:BB259" si="211">+BA196/AW196</f>
        <v>4.9853657806289343E-2</v>
      </c>
      <c r="BC196">
        <v>0</v>
      </c>
      <c r="BD196" s="3">
        <f t="shared" ref="BD196:BD259" si="212">+BC196*$C$1</f>
        <v>0</v>
      </c>
      <c r="BE196" s="11">
        <f>+'Seat capacity elasticities'!Y226</f>
        <v>0</v>
      </c>
      <c r="BF196" s="11">
        <f>+'Seat capacity elasticities'!Z226</f>
        <v>0</v>
      </c>
      <c r="BG196" s="11">
        <f>+'Seat capacity elasticities'!AA226</f>
        <v>0</v>
      </c>
      <c r="BH196" s="11">
        <f>+'Seat capacity elasticities'!AB226</f>
        <v>0</v>
      </c>
      <c r="BI196" s="32">
        <f t="shared" si="164"/>
        <v>0</v>
      </c>
      <c r="BJ196" s="33">
        <f t="shared" si="165"/>
        <v>0</v>
      </c>
      <c r="BK196" s="40">
        <f t="shared" si="166"/>
        <v>0</v>
      </c>
      <c r="BL196" s="33">
        <f t="shared" si="167"/>
        <v>0</v>
      </c>
      <c r="BM196" s="40">
        <f t="shared" si="168"/>
        <v>0</v>
      </c>
      <c r="BN196" s="41">
        <f t="shared" si="169"/>
        <v>0</v>
      </c>
      <c r="BO196" s="40">
        <f t="shared" si="170"/>
        <v>0</v>
      </c>
      <c r="BP196" s="41">
        <f t="shared" si="171"/>
        <v>0</v>
      </c>
      <c r="BQ196" s="53"/>
      <c r="BR196" s="53"/>
      <c r="BS196" t="s">
        <v>997</v>
      </c>
      <c r="BT196">
        <v>133591</v>
      </c>
      <c r="BU196">
        <v>92995</v>
      </c>
      <c r="BV196" s="51">
        <v>43822.07</v>
      </c>
      <c r="BW196" s="32">
        <f t="shared" ref="BW196:BW259" si="213">BU196*BV196</f>
        <v>4075233399.6500001</v>
      </c>
      <c r="BX196">
        <v>6660</v>
      </c>
      <c r="BY196" s="37">
        <f t="shared" ref="BY196:BY259" si="214">+BX196/BT196</f>
        <v>4.9853657806289343E-2</v>
      </c>
      <c r="BZ196">
        <v>6.8208000000000001E-3</v>
      </c>
      <c r="CA196" s="3">
        <f t="shared" ref="CA196:CA259" si="215">+BZ196*$C$1</f>
        <v>6.8208000000000008E-5</v>
      </c>
      <c r="CB196" s="11">
        <f>+'Seat capacity elasticities'!AF226</f>
        <v>0.10839374263807783</v>
      </c>
      <c r="CC196" s="11">
        <f>+'Seat capacity elasticities'!AG226</f>
        <v>8.6615597174899514E-2</v>
      </c>
      <c r="CD196" s="11">
        <f>+'Seat capacity elasticities'!AH226</f>
        <v>0.29739799424165758</v>
      </c>
      <c r="CE196" s="11">
        <f>+'Seat capacity elasticities'!AI226</f>
        <v>0.10257110191764417</v>
      </c>
      <c r="CF196" s="32">
        <f t="shared" si="172"/>
        <v>4417298.0031176107</v>
      </c>
      <c r="CG196" s="33">
        <f t="shared" si="173"/>
        <v>1.0839374263807782E-3</v>
      </c>
      <c r="CH196" s="40">
        <f t="shared" si="174"/>
        <v>3529787.7453778069</v>
      </c>
      <c r="CI196" s="33">
        <f t="shared" si="175"/>
        <v>8.6615597174899514E-4</v>
      </c>
      <c r="CJ196" s="40">
        <f t="shared" si="176"/>
        <v>19806706.416494396</v>
      </c>
      <c r="CK196" s="41">
        <f t="shared" si="177"/>
        <v>2.9739799424165756E-3</v>
      </c>
      <c r="CL196" s="40">
        <f t="shared" si="178"/>
        <v>6831235.3877151012</v>
      </c>
      <c r="CM196" s="41">
        <f t="shared" si="179"/>
        <v>1.0257110191764416E-3</v>
      </c>
      <c r="CO196" s="70">
        <f t="shared" si="180"/>
        <v>0</v>
      </c>
      <c r="CP196" s="70">
        <f t="shared" si="181"/>
        <v>0</v>
      </c>
      <c r="CQ196" s="70">
        <f t="shared" si="182"/>
        <v>0</v>
      </c>
      <c r="CR196" s="70">
        <f t="shared" si="183"/>
        <v>0</v>
      </c>
      <c r="CS196" s="70">
        <f t="shared" si="184"/>
        <v>0</v>
      </c>
      <c r="CT196" s="70">
        <f t="shared" si="185"/>
        <v>0</v>
      </c>
      <c r="CU196" s="69">
        <f t="shared" si="186"/>
        <v>0</v>
      </c>
      <c r="CV196" s="69">
        <f t="shared" si="187"/>
        <v>0</v>
      </c>
      <c r="CW196" s="70">
        <f t="shared" si="188"/>
        <v>0</v>
      </c>
      <c r="CX196" s="69">
        <f t="shared" si="189"/>
        <v>0</v>
      </c>
      <c r="CY196" s="69">
        <f t="shared" si="190"/>
        <v>0</v>
      </c>
      <c r="CZ196" s="70">
        <f t="shared" si="191"/>
        <v>0</v>
      </c>
      <c r="DB196" s="70">
        <f t="shared" si="192"/>
        <v>6.6335436935574092</v>
      </c>
      <c r="DC196" s="70">
        <f t="shared" si="193"/>
        <v>47.500381774478313</v>
      </c>
      <c r="DD196" s="70">
        <f t="shared" si="194"/>
        <v>54.13392546803572</v>
      </c>
      <c r="DE196" s="70">
        <f t="shared" si="195"/>
        <v>12.572400206063961</v>
      </c>
      <c r="DF196" s="70">
        <f t="shared" si="196"/>
        <v>37.956747624902491</v>
      </c>
      <c r="DG196" s="70">
        <f t="shared" si="197"/>
        <v>50.529147830966451</v>
      </c>
      <c r="DH196" s="69">
        <f t="shared" si="198"/>
        <v>29.744122390327504</v>
      </c>
      <c r="DI196" s="69">
        <f t="shared" si="199"/>
        <v>212.98678871438673</v>
      </c>
      <c r="DJ196" s="70">
        <f t="shared" si="200"/>
        <v>242.73091110471424</v>
      </c>
      <c r="DK196" s="69">
        <f t="shared" si="201"/>
        <v>24.331498489858387</v>
      </c>
      <c r="DL196" s="69">
        <f t="shared" si="202"/>
        <v>73.458093313781404</v>
      </c>
      <c r="DM196" s="70">
        <f t="shared" si="203"/>
        <v>97.789591803639794</v>
      </c>
    </row>
    <row r="197" spans="1:117">
      <c r="A197" t="s">
        <v>459</v>
      </c>
      <c r="B197">
        <v>315533</v>
      </c>
      <c r="C197">
        <v>186669</v>
      </c>
      <c r="D197" s="51">
        <v>36657.72</v>
      </c>
      <c r="E197" s="32">
        <f t="shared" si="204"/>
        <v>6842859934.6800003</v>
      </c>
      <c r="F197">
        <v>13120</v>
      </c>
      <c r="G197" s="37">
        <f t="shared" si="205"/>
        <v>4.1580436911511635E-2</v>
      </c>
      <c r="H197">
        <v>0</v>
      </c>
      <c r="I197" s="3">
        <f t="shared" si="206"/>
        <v>0</v>
      </c>
      <c r="J197" s="11">
        <f>+'Seat capacity elasticities'!K227</f>
        <v>0</v>
      </c>
      <c r="K197" s="11">
        <f>+'Seat capacity elasticities'!L227</f>
        <v>0</v>
      </c>
      <c r="L197" s="11">
        <f>+'Seat capacity elasticities'!M227</f>
        <v>0</v>
      </c>
      <c r="M197" s="11">
        <f>+'Seat capacity elasticities'!N227</f>
        <v>0</v>
      </c>
      <c r="N197" s="32">
        <f t="shared" ref="N197:N260" si="216">E197*$C$1*J197</f>
        <v>0</v>
      </c>
      <c r="O197" s="33">
        <f t="shared" ref="O197:O260" si="217">N197/E197</f>
        <v>0</v>
      </c>
      <c r="P197" s="40">
        <f t="shared" ref="P197:P260" si="218">+E197*$C$1*K197</f>
        <v>0</v>
      </c>
      <c r="Q197" s="33">
        <f t="shared" ref="Q197:Q260" si="219">P197/E197</f>
        <v>0</v>
      </c>
      <c r="R197" s="40">
        <f t="shared" ref="R197:R260" si="220">+L197*$C$1*G197*B197*1000000</f>
        <v>0</v>
      </c>
      <c r="S197" s="41">
        <f t="shared" ref="S197:S260" si="221">+R197/F197/1000000</f>
        <v>0</v>
      </c>
      <c r="T197" s="40">
        <f t="shared" ref="T197:T260" si="222">+M197*G197*B197*$C$1*1000000</f>
        <v>0</v>
      </c>
      <c r="U197" s="41">
        <f t="shared" ref="U197:U260" si="223">+T197/F197/1000000</f>
        <v>0</v>
      </c>
      <c r="V197" s="53"/>
      <c r="W197" s="53"/>
      <c r="X197" t="s">
        <v>459</v>
      </c>
      <c r="Y197">
        <v>315533</v>
      </c>
      <c r="Z197">
        <v>186669</v>
      </c>
      <c r="AA197" s="51">
        <v>36657.72</v>
      </c>
      <c r="AB197" s="32">
        <f t="shared" si="207"/>
        <v>6842859934.6800003</v>
      </c>
      <c r="AC197">
        <v>13120</v>
      </c>
      <c r="AD197" s="37">
        <f t="shared" si="208"/>
        <v>4.1580436911511635E-2</v>
      </c>
      <c r="AE197">
        <v>1.4356E-3</v>
      </c>
      <c r="AF197" s="3">
        <f t="shared" si="209"/>
        <v>1.4355999999999999E-5</v>
      </c>
      <c r="AG197" s="11">
        <f>+'Seat capacity elasticities'!R227</f>
        <v>3.5105359698924727E-3</v>
      </c>
      <c r="AH197" s="11">
        <f>+'Seat capacity elasticities'!S227</f>
        <v>6.6534367134924331E-3</v>
      </c>
      <c r="AI197" s="11">
        <f>+'Seat capacity elasticities'!T227</f>
        <v>9.6317954408602149E-3</v>
      </c>
      <c r="AJ197" s="11">
        <f>+'Seat capacity elasticities'!U227</f>
        <v>7.8790697922936706E-3</v>
      </c>
      <c r="AK197" s="32">
        <f t="shared" ref="AK197:AK260" si="224">AB197*$C$1*AG197</f>
        <v>240221.05937630197</v>
      </c>
      <c r="AL197" s="33">
        <f t="shared" ref="AL197:AL260" si="225">AK197/AB197</f>
        <v>3.5105359698924729E-5</v>
      </c>
      <c r="AM197" s="40">
        <f t="shared" ref="AM197:AM260" si="226">+AB197*$C$1*AH197</f>
        <v>455285.35514686344</v>
      </c>
      <c r="AN197" s="33">
        <f t="shared" ref="AN197:AN260" si="227">AM197/AB197</f>
        <v>6.6534367134924333E-5</v>
      </c>
      <c r="AO197" s="40">
        <f t="shared" ref="AO197:AO260" si="228">+AI197*$C$1*AD197*Y197*1000000</f>
        <v>1263691.5618408604</v>
      </c>
      <c r="AP197" s="41">
        <f t="shared" ref="AP197:AP260" si="229">+AO197/AC197/1000000</f>
        <v>9.6317954408602164E-5</v>
      </c>
      <c r="AQ197" s="40">
        <f t="shared" ref="AQ197:AQ260" si="230">+AJ197*AD197*Y197*$C$1*1000000</f>
        <v>1033733.9567489299</v>
      </c>
      <c r="AR197" s="41">
        <f t="shared" ref="AR197:AR260" si="231">+AQ197/AC197/1000000</f>
        <v>7.8790697922936724E-5</v>
      </c>
      <c r="AV197" t="s">
        <v>459</v>
      </c>
      <c r="AW197">
        <v>315533</v>
      </c>
      <c r="AX197">
        <v>186669</v>
      </c>
      <c r="AY197" s="51">
        <v>36657.72</v>
      </c>
      <c r="AZ197" s="32">
        <f t="shared" si="210"/>
        <v>6842859934.6800003</v>
      </c>
      <c r="BA197">
        <v>13120</v>
      </c>
      <c r="BB197" s="37">
        <f t="shared" si="211"/>
        <v>4.1580436911511635E-2</v>
      </c>
      <c r="BC197">
        <v>0</v>
      </c>
      <c r="BD197" s="3">
        <f t="shared" si="212"/>
        <v>0</v>
      </c>
      <c r="BE197" s="11">
        <f>+'Seat capacity elasticities'!Y227</f>
        <v>0</v>
      </c>
      <c r="BF197" s="11">
        <f>+'Seat capacity elasticities'!Z227</f>
        <v>0</v>
      </c>
      <c r="BG197" s="11">
        <f>+'Seat capacity elasticities'!AA227</f>
        <v>0</v>
      </c>
      <c r="BH197" s="11">
        <f>+'Seat capacity elasticities'!AB227</f>
        <v>0</v>
      </c>
      <c r="BI197" s="32">
        <f t="shared" ref="BI197:BI260" si="232">AZ197*$C$1*BE197</f>
        <v>0</v>
      </c>
      <c r="BJ197" s="33">
        <f t="shared" ref="BJ197:BJ260" si="233">BI197/AZ197</f>
        <v>0</v>
      </c>
      <c r="BK197" s="40">
        <f t="shared" ref="BK197:BK260" si="234">+AZ197*$C$1*BF197</f>
        <v>0</v>
      </c>
      <c r="BL197" s="33">
        <f t="shared" ref="BL197:BL260" si="235">BK197/AZ197</f>
        <v>0</v>
      </c>
      <c r="BM197" s="40">
        <f t="shared" ref="BM197:BM260" si="236">+BG197*$C$1*BB197*AW197*1000000</f>
        <v>0</v>
      </c>
      <c r="BN197" s="41">
        <f t="shared" ref="BN197:BN260" si="237">+BM197/BA197/1000000</f>
        <v>0</v>
      </c>
      <c r="BO197" s="40">
        <f t="shared" ref="BO197:BO260" si="238">+BH197*BB197*AW197*$C$1*1000000</f>
        <v>0</v>
      </c>
      <c r="BP197" s="41">
        <f t="shared" ref="BP197:BP260" si="239">+BO197/BA197/1000000</f>
        <v>0</v>
      </c>
      <c r="BQ197" s="53"/>
      <c r="BR197" s="53"/>
      <c r="BS197" t="s">
        <v>459</v>
      </c>
      <c r="BT197">
        <v>315533</v>
      </c>
      <c r="BU197">
        <v>186669</v>
      </c>
      <c r="BV197" s="51">
        <v>36657.72</v>
      </c>
      <c r="BW197" s="32">
        <f t="shared" si="213"/>
        <v>6842859934.6800003</v>
      </c>
      <c r="BX197">
        <v>13120</v>
      </c>
      <c r="BY197" s="37">
        <f t="shared" si="214"/>
        <v>4.1580436911511635E-2</v>
      </c>
      <c r="BZ197">
        <v>1.4356E-3</v>
      </c>
      <c r="CA197" s="3">
        <f t="shared" si="215"/>
        <v>1.4355999999999999E-5</v>
      </c>
      <c r="CB197" s="11">
        <f>+'Seat capacity elasticities'!AF227</f>
        <v>9.6590577014606747E-3</v>
      </c>
      <c r="CC197" s="11">
        <f>+'Seat capacity elasticities'!AG227</f>
        <v>7.7183888165231517E-3</v>
      </c>
      <c r="CD197" s="11">
        <f>+'Seat capacity elasticities'!AH227</f>
        <v>2.6501385751300049E-2</v>
      </c>
      <c r="CE197" s="11">
        <f>+'Seat capacity elasticities'!AI227</f>
        <v>9.1401972827247855E-3</v>
      </c>
      <c r="CF197" s="32">
        <f t="shared" ref="CF197:CF260" si="240">BW197*$C$1*CB197</f>
        <v>660955.78952087543</v>
      </c>
      <c r="CG197" s="33">
        <f t="shared" ref="CG197:CG260" si="241">CF197/BW197</f>
        <v>9.6590577014606745E-5</v>
      </c>
      <c r="CH197" s="40">
        <f t="shared" ref="CH197:CH260" si="242">+BW197*$C$1*CC197</f>
        <v>528158.53592868452</v>
      </c>
      <c r="CI197" s="33">
        <f t="shared" ref="CI197:CI260" si="243">CH197/BW197</f>
        <v>7.7183888165231502E-5</v>
      </c>
      <c r="CJ197" s="40">
        <f t="shared" ref="CJ197:CJ260" si="244">+CD197*$C$1*BY197*BT197*1000000</f>
        <v>3476981.8105705664</v>
      </c>
      <c r="CK197" s="41">
        <f t="shared" ref="CK197:CK260" si="245">+CJ197/BX197/1000000</f>
        <v>2.6501385751300053E-4</v>
      </c>
      <c r="CL197" s="40">
        <f t="shared" ref="CL197:CL260" si="246">+CE197*BY197*BT197*$C$1*1000000</f>
        <v>1199193.8834934919</v>
      </c>
      <c r="CM197" s="41">
        <f t="shared" ref="CM197:CM260" si="247">+CL197/BX197/1000000</f>
        <v>9.1401972827247864E-5</v>
      </c>
      <c r="CO197" s="70">
        <f t="shared" ref="CO197:CO260" si="248">+N197/C197</f>
        <v>0</v>
      </c>
      <c r="CP197" s="70">
        <f t="shared" ref="CP197:CP260" si="249">+BI197/C197</f>
        <v>0</v>
      </c>
      <c r="CQ197" s="70">
        <f t="shared" ref="CQ197:CQ260" si="250">+(CO197+CP197)</f>
        <v>0</v>
      </c>
      <c r="CR197" s="70">
        <f t="shared" ref="CR197:CR260" si="251">+P197/C197</f>
        <v>0</v>
      </c>
      <c r="CS197" s="70">
        <f t="shared" ref="CS197:CS260" si="252">+BK197/C197</f>
        <v>0</v>
      </c>
      <c r="CT197" s="70">
        <f t="shared" ref="CT197:CT260" si="253">+(CR197+CS197)</f>
        <v>0</v>
      </c>
      <c r="CU197" s="69">
        <f t="shared" ref="CU197:CU260" si="254">+R197/C197</f>
        <v>0</v>
      </c>
      <c r="CV197" s="69">
        <f t="shared" ref="CV197:CV260" si="255">+BM197/C197</f>
        <v>0</v>
      </c>
      <c r="CW197" s="70">
        <f t="shared" ref="CW197:CW260" si="256">+(CU197+CV197)</f>
        <v>0</v>
      </c>
      <c r="CX197" s="69">
        <f t="shared" ref="CX197:CX260" si="257">+T197/C197</f>
        <v>0</v>
      </c>
      <c r="CY197" s="69">
        <f t="shared" ref="CY197:CY260" si="258">+BO197/C197</f>
        <v>0</v>
      </c>
      <c r="CZ197" s="70">
        <f t="shared" ref="CZ197:CZ260" si="259">+(CX197+CY197)</f>
        <v>0</v>
      </c>
      <c r="DB197" s="70">
        <f t="shared" ref="DB197:DB260" si="260">+AK197/C197</f>
        <v>1.2868824463424671</v>
      </c>
      <c r="DC197" s="70">
        <f t="shared" ref="DC197:DC260" si="261">+CF197/C197</f>
        <v>3.5407903268398901</v>
      </c>
      <c r="DD197" s="70">
        <f t="shared" ref="DD197:DD260" si="262">+(DB197+DC197)</f>
        <v>4.827672773182357</v>
      </c>
      <c r="DE197" s="70">
        <f t="shared" ref="DE197:DE260" si="263">+AM197/C197</f>
        <v>2.4389982008092583</v>
      </c>
      <c r="DF197" s="70">
        <f t="shared" ref="DF197:DF260" si="264">+CH197/C197</f>
        <v>2.8293853608723705</v>
      </c>
      <c r="DG197" s="70">
        <f t="shared" ref="DG197:DG260" si="265">+(DE197+DF197)</f>
        <v>5.2683835616816292</v>
      </c>
      <c r="DH197" s="69">
        <f t="shared" ref="DH197:DH260" si="266">+AO197/C197</f>
        <v>6.7696916030024292</v>
      </c>
      <c r="DI197" s="69">
        <f t="shared" ref="DI197:DI260" si="267">+CJ197/C197</f>
        <v>18.626455440220745</v>
      </c>
      <c r="DJ197" s="70">
        <f t="shared" ref="DJ197:DJ260" si="268">+(DH197+DI197)</f>
        <v>25.396147043223174</v>
      </c>
      <c r="DK197" s="69">
        <f t="shared" ref="DK197:DK260" si="269">+AQ197/C197</f>
        <v>5.537791260192801</v>
      </c>
      <c r="DL197" s="69">
        <f t="shared" ref="DL197:DL260" si="270">+CL197/C197</f>
        <v>6.4241726451284995</v>
      </c>
      <c r="DM197" s="70">
        <f t="shared" ref="DM197:DM260" si="271">+(DK197+DL197)</f>
        <v>11.961963905321301</v>
      </c>
    </row>
    <row r="198" spans="1:117">
      <c r="A198" t="s">
        <v>306</v>
      </c>
      <c r="B198">
        <v>1556368</v>
      </c>
      <c r="C198">
        <v>1038536</v>
      </c>
      <c r="D198" s="51">
        <v>40648.57</v>
      </c>
      <c r="E198" s="32">
        <f t="shared" si="204"/>
        <v>42215003293.519997</v>
      </c>
      <c r="F198">
        <v>71966</v>
      </c>
      <c r="G198" s="37">
        <f t="shared" si="205"/>
        <v>4.6239706804560361E-2</v>
      </c>
      <c r="H198">
        <v>6.8990000000000002E-4</v>
      </c>
      <c r="I198" s="3">
        <f t="shared" si="206"/>
        <v>6.8990000000000004E-6</v>
      </c>
      <c r="J198" s="11">
        <f>+'Seat capacity elasticities'!K228</f>
        <v>1.7960899160171012E-3</v>
      </c>
      <c r="K198" s="11">
        <f>+'Seat capacity elasticities'!L228</f>
        <v>8.9119704376157769E-3</v>
      </c>
      <c r="L198" s="11">
        <f>+'Seat capacity elasticities'!M228</f>
        <v>4.9279001305884366E-3</v>
      </c>
      <c r="M198" s="11">
        <f>+'Seat capacity elasticities'!N228</f>
        <v>1.0553649202439737E-2</v>
      </c>
      <c r="N198" s="32">
        <f t="shared" si="216"/>
        <v>758219.4172011998</v>
      </c>
      <c r="O198" s="33">
        <f t="shared" si="217"/>
        <v>1.7960899160171013E-5</v>
      </c>
      <c r="P198" s="40">
        <f t="shared" si="218"/>
        <v>3762188.6137570287</v>
      </c>
      <c r="Q198" s="33">
        <f t="shared" si="219"/>
        <v>8.9119704376157768E-5</v>
      </c>
      <c r="R198" s="40">
        <f t="shared" si="220"/>
        <v>3546412.6079792748</v>
      </c>
      <c r="S198" s="41">
        <f t="shared" si="221"/>
        <v>4.927900130588437E-5</v>
      </c>
      <c r="T198" s="40">
        <f t="shared" si="222"/>
        <v>7595039.1850277819</v>
      </c>
      <c r="U198" s="41">
        <f t="shared" si="223"/>
        <v>1.0553649202439738E-4</v>
      </c>
      <c r="V198" s="53"/>
      <c r="W198" s="53"/>
      <c r="X198" t="s">
        <v>306</v>
      </c>
      <c r="Y198">
        <v>1556368</v>
      </c>
      <c r="Z198">
        <v>1038536</v>
      </c>
      <c r="AA198" s="51">
        <v>40648.57</v>
      </c>
      <c r="AB198" s="32">
        <f t="shared" si="207"/>
        <v>42215003293.519997</v>
      </c>
      <c r="AC198">
        <v>71966</v>
      </c>
      <c r="AD198" s="37">
        <f t="shared" si="208"/>
        <v>4.6239706804560361E-2</v>
      </c>
      <c r="AE198">
        <v>3.6625E-3</v>
      </c>
      <c r="AF198" s="3">
        <f t="shared" si="209"/>
        <v>3.6625000000000003E-5</v>
      </c>
      <c r="AG198" s="11">
        <f>+'Seat capacity elasticities'!R228</f>
        <v>8.7655656736547547E-3</v>
      </c>
      <c r="AH198" s="11">
        <f>+'Seat capacity elasticities'!S228</f>
        <v>1.6613171597672009E-2</v>
      </c>
      <c r="AI198" s="11">
        <f>+'Seat capacity elasticities'!T228</f>
        <v>2.4049927480063588E-2</v>
      </c>
      <c r="AJ198" s="11">
        <f>+'Seat capacity elasticities'!U228</f>
        <v>1.9673492681453693E-2</v>
      </c>
      <c r="AK198" s="32">
        <f t="shared" si="224"/>
        <v>3700383.8378290129</v>
      </c>
      <c r="AL198" s="33">
        <f t="shared" si="225"/>
        <v>8.765565673654755E-5</v>
      </c>
      <c r="AM198" s="40">
        <f t="shared" si="226"/>
        <v>7013250.9371153675</v>
      </c>
      <c r="AN198" s="33">
        <f t="shared" si="227"/>
        <v>1.661317159767201E-4</v>
      </c>
      <c r="AO198" s="40">
        <f t="shared" si="228"/>
        <v>17307770.810302559</v>
      </c>
      <c r="AP198" s="41">
        <f t="shared" si="229"/>
        <v>2.4049927480063584E-4</v>
      </c>
      <c r="AQ198" s="40">
        <f t="shared" si="230"/>
        <v>14158225.743134964</v>
      </c>
      <c r="AR198" s="41">
        <f t="shared" si="231"/>
        <v>1.9673492681453693E-4</v>
      </c>
      <c r="AV198" t="s">
        <v>306</v>
      </c>
      <c r="AW198">
        <v>1556368</v>
      </c>
      <c r="AX198">
        <v>1038536</v>
      </c>
      <c r="AY198" s="51">
        <v>40648.57</v>
      </c>
      <c r="AZ198" s="32">
        <f t="shared" si="210"/>
        <v>42215003293.519997</v>
      </c>
      <c r="BA198">
        <v>71966</v>
      </c>
      <c r="BB198" s="37">
        <f t="shared" si="211"/>
        <v>4.6239706804560361E-2</v>
      </c>
      <c r="BC198">
        <v>6.8990000000000002E-4</v>
      </c>
      <c r="BD198" s="3">
        <f t="shared" si="212"/>
        <v>6.8990000000000004E-6</v>
      </c>
      <c r="BE198" s="11">
        <f>+'Seat capacity elasticities'!Y228</f>
        <v>8.965707935543148E-3</v>
      </c>
      <c r="BF198" s="11">
        <f>+'Seat capacity elasticities'!Z228</f>
        <v>2.445704243815636E-2</v>
      </c>
      <c r="BG198" s="11">
        <f>+'Seat capacity elasticities'!AA228</f>
        <v>2.4599054263584087E-2</v>
      </c>
      <c r="BH198" s="11">
        <f>+'Seat capacity elasticities'!AB228</f>
        <v>2.8962287097816744E-2</v>
      </c>
      <c r="BI198" s="32">
        <f t="shared" si="232"/>
        <v>3784873.9002769236</v>
      </c>
      <c r="BJ198" s="33">
        <f t="shared" si="233"/>
        <v>8.9657079355431472E-5</v>
      </c>
      <c r="BK198" s="40">
        <f t="shared" si="234"/>
        <v>10324541.270765292</v>
      </c>
      <c r="BL198" s="33">
        <f t="shared" si="235"/>
        <v>2.4457042438156363E-4</v>
      </c>
      <c r="BM198" s="40">
        <f t="shared" si="236"/>
        <v>17702955.39133092</v>
      </c>
      <c r="BN198" s="41">
        <f t="shared" si="237"/>
        <v>2.4599054263584085E-4</v>
      </c>
      <c r="BO198" s="40">
        <f t="shared" si="238"/>
        <v>20842999.532814797</v>
      </c>
      <c r="BP198" s="41">
        <f t="shared" si="239"/>
        <v>2.8962287097816742E-4</v>
      </c>
      <c r="BQ198" s="53"/>
      <c r="BR198" s="53"/>
      <c r="BS198" t="s">
        <v>306</v>
      </c>
      <c r="BT198">
        <v>1556368</v>
      </c>
      <c r="BU198">
        <v>1038536</v>
      </c>
      <c r="BV198" s="51">
        <v>40648.57</v>
      </c>
      <c r="BW198" s="32">
        <f t="shared" si="213"/>
        <v>42215003293.519997</v>
      </c>
      <c r="BX198">
        <v>71966</v>
      </c>
      <c r="BY198" s="37">
        <f t="shared" si="214"/>
        <v>4.6239706804560361E-2</v>
      </c>
      <c r="BZ198">
        <v>3.6625E-3</v>
      </c>
      <c r="CA198" s="3">
        <f t="shared" si="215"/>
        <v>3.6625000000000003E-5</v>
      </c>
      <c r="CB198" s="11">
        <f>+'Seat capacity elasticities'!AF228</f>
        <v>4.9958735557461336E-3</v>
      </c>
      <c r="CC198" s="11">
        <f>+'Seat capacity elasticities'!AG228</f>
        <v>3.992117634373747E-3</v>
      </c>
      <c r="CD198" s="11">
        <f>+'Seat capacity elasticities'!AH228</f>
        <v>1.37070899002421E-2</v>
      </c>
      <c r="CE198" s="11">
        <f>+'Seat capacity elasticities'!AI228</f>
        <v>4.7275077249162795E-3</v>
      </c>
      <c r="CF198" s="32">
        <f t="shared" si="240"/>
        <v>2109008.1860983251</v>
      </c>
      <c r="CG198" s="33">
        <f t="shared" si="241"/>
        <v>4.995873555746134E-5</v>
      </c>
      <c r="CH198" s="40">
        <f t="shared" si="242"/>
        <v>1685272.59083207</v>
      </c>
      <c r="CI198" s="33">
        <f t="shared" si="243"/>
        <v>3.992117634373747E-5</v>
      </c>
      <c r="CJ198" s="40">
        <f t="shared" si="244"/>
        <v>9864444.317608228</v>
      </c>
      <c r="CK198" s="41">
        <f t="shared" si="245"/>
        <v>1.37070899002421E-4</v>
      </c>
      <c r="CL198" s="40">
        <f t="shared" si="246"/>
        <v>3402198.2093132492</v>
      </c>
      <c r="CM198" s="41">
        <f t="shared" si="247"/>
        <v>4.7275077249162793E-5</v>
      </c>
      <c r="CO198" s="70">
        <f t="shared" si="248"/>
        <v>0.7300848667751525</v>
      </c>
      <c r="CP198" s="70">
        <f t="shared" si="249"/>
        <v>3.6444320661748111</v>
      </c>
      <c r="CQ198" s="70">
        <f t="shared" si="250"/>
        <v>4.3745169329499634</v>
      </c>
      <c r="CR198" s="70">
        <f t="shared" si="251"/>
        <v>3.6225885417135553</v>
      </c>
      <c r="CS198" s="70">
        <f t="shared" si="252"/>
        <v>9.9414380154036941</v>
      </c>
      <c r="CT198" s="70">
        <f t="shared" si="253"/>
        <v>13.564026557117248</v>
      </c>
      <c r="CU198" s="69">
        <f t="shared" si="254"/>
        <v>3.4148191376892809</v>
      </c>
      <c r="CV198" s="69">
        <f t="shared" si="255"/>
        <v>17.046068110620066</v>
      </c>
      <c r="CW198" s="70">
        <f t="shared" si="256"/>
        <v>20.460887248309348</v>
      </c>
      <c r="CX198" s="69">
        <f t="shared" si="257"/>
        <v>7.313217052685494</v>
      </c>
      <c r="CY198" s="69">
        <f t="shared" si="258"/>
        <v>20.06959752268077</v>
      </c>
      <c r="CZ198" s="70">
        <f t="shared" si="259"/>
        <v>27.382814575366265</v>
      </c>
      <c r="DB198" s="70">
        <f t="shared" si="260"/>
        <v>3.5630770987515241</v>
      </c>
      <c r="DC198" s="70">
        <f t="shared" si="261"/>
        <v>2.0307511594189562</v>
      </c>
      <c r="DD198" s="70">
        <f t="shared" si="262"/>
        <v>5.5938282581704808</v>
      </c>
      <c r="DE198" s="70">
        <f t="shared" si="263"/>
        <v>6.7530166860998246</v>
      </c>
      <c r="DF198" s="70">
        <f t="shared" si="264"/>
        <v>1.6227387310907566</v>
      </c>
      <c r="DG198" s="70">
        <f t="shared" si="265"/>
        <v>8.3757554171905806</v>
      </c>
      <c r="DH198" s="69">
        <f t="shared" si="266"/>
        <v>16.665547280308587</v>
      </c>
      <c r="DI198" s="69">
        <f t="shared" si="267"/>
        <v>9.498413456643032</v>
      </c>
      <c r="DJ198" s="70">
        <f t="shared" si="268"/>
        <v>26.163960736951619</v>
      </c>
      <c r="DK198" s="69">
        <f t="shared" si="269"/>
        <v>13.632869484673583</v>
      </c>
      <c r="DL198" s="69">
        <f t="shared" si="270"/>
        <v>3.2759559700513505</v>
      </c>
      <c r="DM198" s="70">
        <f t="shared" si="271"/>
        <v>16.908825454724933</v>
      </c>
    </row>
    <row r="199" spans="1:117">
      <c r="A199" t="s">
        <v>308</v>
      </c>
      <c r="B199">
        <v>1168547</v>
      </c>
      <c r="C199">
        <v>710250</v>
      </c>
      <c r="D199" s="51">
        <v>41724.58</v>
      </c>
      <c r="E199" s="32">
        <f t="shared" si="204"/>
        <v>29634882945</v>
      </c>
      <c r="F199">
        <v>65881</v>
      </c>
      <c r="G199" s="37">
        <f t="shared" si="205"/>
        <v>5.6378562436940921E-2</v>
      </c>
      <c r="H199">
        <v>1.6405E-3</v>
      </c>
      <c r="I199" s="3">
        <f t="shared" si="206"/>
        <v>1.6405E-5</v>
      </c>
      <c r="J199" s="11">
        <f>+'Seat capacity elasticities'!K229</f>
        <v>2.9447887858852044E-3</v>
      </c>
      <c r="K199" s="11">
        <f>+'Seat capacity elasticities'!L229</f>
        <v>1.4611668586742134E-2</v>
      </c>
      <c r="L199" s="11">
        <f>+'Seat capacity elasticities'!M229</f>
        <v>8.0795648999016437E-3</v>
      </c>
      <c r="M199" s="11">
        <f>+'Seat capacity elasticities'!N229</f>
        <v>1.7303291747457789E-2</v>
      </c>
      <c r="N199" s="32">
        <f t="shared" si="216"/>
        <v>872684.70967456698</v>
      </c>
      <c r="O199" s="33">
        <f t="shared" si="217"/>
        <v>2.9447887858852043E-5</v>
      </c>
      <c r="P199" s="40">
        <f t="shared" si="218"/>
        <v>4330150.8819923671</v>
      </c>
      <c r="Q199" s="33">
        <f t="shared" si="219"/>
        <v>1.4611668586742132E-4</v>
      </c>
      <c r="R199" s="40">
        <f t="shared" si="220"/>
        <v>5322898.1517042015</v>
      </c>
      <c r="S199" s="41">
        <f t="shared" si="221"/>
        <v>8.0795648999016436E-5</v>
      </c>
      <c r="T199" s="40">
        <f t="shared" si="222"/>
        <v>11399581.636142667</v>
      </c>
      <c r="U199" s="41">
        <f t="shared" si="223"/>
        <v>1.7303291747457791E-4</v>
      </c>
      <c r="V199" s="53"/>
      <c r="W199" s="53"/>
      <c r="X199" t="s">
        <v>308</v>
      </c>
      <c r="Y199">
        <v>1168547</v>
      </c>
      <c r="Z199">
        <v>710250</v>
      </c>
      <c r="AA199" s="51">
        <v>41724.58</v>
      </c>
      <c r="AB199" s="32">
        <f t="shared" si="207"/>
        <v>29634882945</v>
      </c>
      <c r="AC199">
        <v>65881</v>
      </c>
      <c r="AD199" s="37">
        <f t="shared" si="208"/>
        <v>5.6378562436940921E-2</v>
      </c>
      <c r="AE199">
        <v>7.6760999999999999E-3</v>
      </c>
      <c r="AF199" s="3">
        <f t="shared" si="209"/>
        <v>7.6761000000000006E-5</v>
      </c>
      <c r="AG199" s="11">
        <f>+'Seat capacity elasticities'!R229</f>
        <v>1.2667150330330532E-2</v>
      </c>
      <c r="AH199" s="11">
        <f>+'Seat capacity elasticities'!S229</f>
        <v>2.4007753740728784E-2</v>
      </c>
      <c r="AI199" s="11">
        <f>+'Seat capacity elasticities'!T229</f>
        <v>3.475463628538341E-2</v>
      </c>
      <c r="AJ199" s="11">
        <f>+'Seat capacity elasticities'!U229</f>
        <v>2.8430234692968299E-2</v>
      </c>
      <c r="AK199" s="32">
        <f t="shared" si="224"/>
        <v>3753895.172860634</v>
      </c>
      <c r="AL199" s="33">
        <f t="shared" si="225"/>
        <v>1.2667150330330533E-4</v>
      </c>
      <c r="AM199" s="40">
        <f t="shared" si="226"/>
        <v>7114669.7187888334</v>
      </c>
      <c r="AN199" s="33">
        <f t="shared" si="227"/>
        <v>2.4007753740728783E-4</v>
      </c>
      <c r="AO199" s="40">
        <f t="shared" si="228"/>
        <v>22896701.931173448</v>
      </c>
      <c r="AP199" s="41">
        <f t="shared" si="229"/>
        <v>3.4754636285383412E-4</v>
      </c>
      <c r="AQ199" s="40">
        <f t="shared" si="230"/>
        <v>18730122.918074448</v>
      </c>
      <c r="AR199" s="41">
        <f t="shared" si="231"/>
        <v>2.8430234692968306E-4</v>
      </c>
      <c r="AV199" t="s">
        <v>308</v>
      </c>
      <c r="AW199">
        <v>1168547</v>
      </c>
      <c r="AX199">
        <v>710250</v>
      </c>
      <c r="AY199" s="51">
        <v>41724.58</v>
      </c>
      <c r="AZ199" s="32">
        <f t="shared" si="210"/>
        <v>29634882945</v>
      </c>
      <c r="BA199">
        <v>65881</v>
      </c>
      <c r="BB199" s="37">
        <f t="shared" si="211"/>
        <v>5.6378562436940921E-2</v>
      </c>
      <c r="BC199">
        <v>1.6405E-3</v>
      </c>
      <c r="BD199" s="3">
        <f t="shared" si="212"/>
        <v>1.6405E-5</v>
      </c>
      <c r="BE199" s="11">
        <f>+'Seat capacity elasticities'!Y229</f>
        <v>2.8394928870911228E-2</v>
      </c>
      <c r="BF199" s="11">
        <f>+'Seat capacity elasticities'!Z229</f>
        <v>7.7456904174989363E-2</v>
      </c>
      <c r="BG199" s="11">
        <f>+'Seat capacity elasticities'!AA229</f>
        <v>7.7906664050153562E-2</v>
      </c>
      <c r="BH199" s="11">
        <f>+'Seat capacity elasticities'!AB229</f>
        <v>9.1725281259855823E-2</v>
      </c>
      <c r="BI199" s="32">
        <f t="shared" si="232"/>
        <v>8414803.9332105517</v>
      </c>
      <c r="BJ199" s="33">
        <f t="shared" si="233"/>
        <v>2.8394928870911226E-4</v>
      </c>
      <c r="BK199" s="40">
        <f t="shared" si="234"/>
        <v>22954262.885078914</v>
      </c>
      <c r="BL199" s="33">
        <f t="shared" si="235"/>
        <v>7.745690417498936E-4</v>
      </c>
      <c r="BM199" s="40">
        <f t="shared" si="236"/>
        <v>51325689.342881672</v>
      </c>
      <c r="BN199" s="41">
        <f t="shared" si="237"/>
        <v>7.7906664050153562E-4</v>
      </c>
      <c r="BO199" s="40">
        <f t="shared" si="238"/>
        <v>60429532.546805613</v>
      </c>
      <c r="BP199" s="41">
        <f t="shared" si="239"/>
        <v>9.1725281259855823E-4</v>
      </c>
      <c r="BQ199" s="53"/>
      <c r="BR199" s="53"/>
      <c r="BS199" t="s">
        <v>308</v>
      </c>
      <c r="BT199">
        <v>1168547</v>
      </c>
      <c r="BU199">
        <v>710250</v>
      </c>
      <c r="BV199" s="51">
        <v>41724.58</v>
      </c>
      <c r="BW199" s="32">
        <f t="shared" si="213"/>
        <v>29634882945</v>
      </c>
      <c r="BX199">
        <v>65881</v>
      </c>
      <c r="BY199" s="37">
        <f t="shared" si="214"/>
        <v>5.6378562436940921E-2</v>
      </c>
      <c r="BZ199">
        <v>7.6760999999999999E-3</v>
      </c>
      <c r="CA199" s="3">
        <f t="shared" si="215"/>
        <v>7.6761000000000006E-5</v>
      </c>
      <c r="CB199" s="11">
        <f>+'Seat capacity elasticities'!AF229</f>
        <v>1.3945707002309234E-2</v>
      </c>
      <c r="CC199" s="11">
        <f>+'Seat capacity elasticities'!AG229</f>
        <v>1.1143777404793304E-2</v>
      </c>
      <c r="CD199" s="11">
        <f>+'Seat capacity elasticities'!AH229</f>
        <v>3.8262589609223893E-2</v>
      </c>
      <c r="CE199" s="11">
        <f>+'Seat capacity elasticities'!AI229</f>
        <v>1.3196578505676281E-2</v>
      </c>
      <c r="CF199" s="32">
        <f t="shared" si="240"/>
        <v>4132793.9459870099</v>
      </c>
      <c r="CG199" s="33">
        <f t="shared" si="241"/>
        <v>1.3945707002309234E-4</v>
      </c>
      <c r="CH199" s="40">
        <f t="shared" si="242"/>
        <v>3302445.3895618543</v>
      </c>
      <c r="CI199" s="33">
        <f t="shared" si="243"/>
        <v>1.1143777404793303E-4</v>
      </c>
      <c r="CJ199" s="40">
        <f t="shared" si="244"/>
        <v>25207776.660452791</v>
      </c>
      <c r="CK199" s="41">
        <f t="shared" si="245"/>
        <v>3.8262589609223892E-4</v>
      </c>
      <c r="CL199" s="40">
        <f t="shared" si="246"/>
        <v>8694037.8853245899</v>
      </c>
      <c r="CM199" s="41">
        <f t="shared" si="247"/>
        <v>1.3196578505676279E-4</v>
      </c>
      <c r="CO199" s="70">
        <f t="shared" si="248"/>
        <v>1.2287007527977007</v>
      </c>
      <c r="CP199" s="70">
        <f t="shared" si="249"/>
        <v>11.847664812686451</v>
      </c>
      <c r="CQ199" s="70">
        <f t="shared" si="250"/>
        <v>13.076365565484153</v>
      </c>
      <c r="CR199" s="70">
        <f t="shared" si="251"/>
        <v>6.0966573488100906</v>
      </c>
      <c r="CS199" s="70">
        <f t="shared" si="252"/>
        <v>32.318567948016778</v>
      </c>
      <c r="CT199" s="70">
        <f t="shared" si="253"/>
        <v>38.415225296826868</v>
      </c>
      <c r="CU199" s="69">
        <f t="shared" si="254"/>
        <v>7.4944007767746585</v>
      </c>
      <c r="CV199" s="69">
        <f t="shared" si="255"/>
        <v>72.264258138516965</v>
      </c>
      <c r="CW199" s="70">
        <f t="shared" si="256"/>
        <v>79.758658915291619</v>
      </c>
      <c r="CX199" s="69">
        <f t="shared" si="257"/>
        <v>16.050097340573977</v>
      </c>
      <c r="CY199" s="69">
        <f t="shared" si="258"/>
        <v>85.082059200007905</v>
      </c>
      <c r="CZ199" s="70">
        <f t="shared" si="259"/>
        <v>101.13215654058189</v>
      </c>
      <c r="DB199" s="70">
        <f t="shared" si="260"/>
        <v>5.2853152732990267</v>
      </c>
      <c r="DC199" s="70">
        <f t="shared" si="261"/>
        <v>5.8187876747441178</v>
      </c>
      <c r="DD199" s="70">
        <f t="shared" si="262"/>
        <v>11.104102948043145</v>
      </c>
      <c r="DE199" s="70">
        <f t="shared" si="263"/>
        <v>10.017134415753373</v>
      </c>
      <c r="DF199" s="70">
        <f t="shared" si="264"/>
        <v>4.6496943182849053</v>
      </c>
      <c r="DG199" s="70">
        <f t="shared" si="265"/>
        <v>14.66682873403828</v>
      </c>
      <c r="DH199" s="69">
        <f t="shared" si="266"/>
        <v>32.237524718301231</v>
      </c>
      <c r="DI199" s="69">
        <f t="shared" si="267"/>
        <v>35.491413812675525</v>
      </c>
      <c r="DJ199" s="70">
        <f t="shared" si="268"/>
        <v>67.728938530976762</v>
      </c>
      <c r="DK199" s="69">
        <f t="shared" si="269"/>
        <v>26.371169191234703</v>
      </c>
      <c r="DL199" s="69">
        <f t="shared" si="270"/>
        <v>12.240813636500654</v>
      </c>
      <c r="DM199" s="70">
        <f t="shared" si="271"/>
        <v>38.611982827735361</v>
      </c>
    </row>
    <row r="200" spans="1:117">
      <c r="A200" t="s">
        <v>310</v>
      </c>
      <c r="B200">
        <v>18968501</v>
      </c>
      <c r="C200">
        <v>11166752</v>
      </c>
      <c r="D200" s="51">
        <v>63346.31</v>
      </c>
      <c r="E200" s="32">
        <f t="shared" si="204"/>
        <v>707372533885.12</v>
      </c>
      <c r="F200">
        <v>1157843</v>
      </c>
      <c r="G200" s="37">
        <f t="shared" si="205"/>
        <v>6.1040300443350792E-2</v>
      </c>
      <c r="H200">
        <v>3.2064299999999997E-2</v>
      </c>
      <c r="I200" s="3">
        <f t="shared" si="206"/>
        <v>3.2064299999999996E-4</v>
      </c>
      <c r="J200" s="11">
        <f>+'Seat capacity elasticities'!K230</f>
        <v>1.3697410631699009E-2</v>
      </c>
      <c r="K200" s="11">
        <f>+'Seat capacity elasticities'!L230</f>
        <v>6.796481486421492E-2</v>
      </c>
      <c r="L200" s="11">
        <f>+'Seat capacity elasticities'!M230</f>
        <v>3.7581343249426885E-2</v>
      </c>
      <c r="M200" s="11">
        <f>+'Seat capacity elasticities'!N230</f>
        <v>8.0484649181307141E-2</v>
      </c>
      <c r="N200" s="32">
        <f t="shared" si="216"/>
        <v>96891720.662099108</v>
      </c>
      <c r="O200" s="33">
        <f t="shared" si="217"/>
        <v>1.3697410631699009E-4</v>
      </c>
      <c r="P200" s="40">
        <f t="shared" si="218"/>
        <v>480764433.05532777</v>
      </c>
      <c r="Q200" s="33">
        <f t="shared" si="219"/>
        <v>6.7964814864214919E-4</v>
      </c>
      <c r="R200" s="40">
        <f t="shared" si="220"/>
        <v>435132952.11946177</v>
      </c>
      <c r="S200" s="41">
        <f t="shared" si="221"/>
        <v>3.7581343249426893E-4</v>
      </c>
      <c r="T200" s="40">
        <f t="shared" si="222"/>
        <v>931885876.62032211</v>
      </c>
      <c r="U200" s="41">
        <f t="shared" si="223"/>
        <v>8.048464918130714E-4</v>
      </c>
      <c r="V200" s="53"/>
      <c r="W200" s="53"/>
      <c r="X200" t="s">
        <v>310</v>
      </c>
      <c r="Y200">
        <v>18968501</v>
      </c>
      <c r="Z200">
        <v>11166752</v>
      </c>
      <c r="AA200" s="51">
        <v>63346.31</v>
      </c>
      <c r="AB200" s="32">
        <f t="shared" si="207"/>
        <v>707372533885.12</v>
      </c>
      <c r="AC200">
        <v>1157843</v>
      </c>
      <c r="AD200" s="37">
        <f t="shared" si="208"/>
        <v>6.1040300443350792E-2</v>
      </c>
      <c r="AE200">
        <v>2.5916100000000001E-2</v>
      </c>
      <c r="AF200" s="3">
        <f t="shared" si="209"/>
        <v>2.5916099999999999E-4</v>
      </c>
      <c r="AG200" s="11">
        <f>+'Seat capacity elasticities'!R230</f>
        <v>1.017763201482616E-2</v>
      </c>
      <c r="AH200" s="11">
        <f>+'Seat capacity elasticities'!S230</f>
        <v>1.9289427906341743E-2</v>
      </c>
      <c r="AI200" s="11">
        <f>+'Seat capacity elasticities'!T230</f>
        <v>2.7924188921544701E-2</v>
      </c>
      <c r="AJ200" s="11">
        <f>+'Seat capacity elasticities'!U230</f>
        <v>2.2842743573299431E-2</v>
      </c>
      <c r="AK200" s="32">
        <f t="shared" si="224"/>
        <v>71993773.472779006</v>
      </c>
      <c r="AL200" s="33">
        <f t="shared" si="225"/>
        <v>1.017763201482616E-4</v>
      </c>
      <c r="AM200" s="40">
        <f t="shared" si="226"/>
        <v>136448114.95303303</v>
      </c>
      <c r="AN200" s="33">
        <f t="shared" si="227"/>
        <v>1.9289427906341741E-4</v>
      </c>
      <c r="AO200" s="40">
        <f t="shared" si="228"/>
        <v>323318266.73488081</v>
      </c>
      <c r="AP200" s="41">
        <f t="shared" si="229"/>
        <v>2.7924188921544705E-4</v>
      </c>
      <c r="AQ200" s="40">
        <f t="shared" si="230"/>
        <v>264483107.47139731</v>
      </c>
      <c r="AR200" s="41">
        <f t="shared" si="231"/>
        <v>2.284274357329943E-4</v>
      </c>
      <c r="AV200" t="s">
        <v>310</v>
      </c>
      <c r="AW200">
        <v>18968501</v>
      </c>
      <c r="AX200">
        <v>11166752</v>
      </c>
      <c r="AY200" s="51">
        <v>63346.31</v>
      </c>
      <c r="AZ200" s="32">
        <f t="shared" si="210"/>
        <v>707372533885.12</v>
      </c>
      <c r="BA200">
        <v>1157843</v>
      </c>
      <c r="BB200" s="37">
        <f t="shared" si="211"/>
        <v>6.1040300443350792E-2</v>
      </c>
      <c r="BC200">
        <v>3.2064299999999997E-2</v>
      </c>
      <c r="BD200" s="3">
        <f t="shared" si="212"/>
        <v>3.2064299999999996E-4</v>
      </c>
      <c r="BE200" s="11">
        <f>+'Seat capacity elasticities'!Y230</f>
        <v>3.4190030372727692E-2</v>
      </c>
      <c r="BF200" s="11">
        <f>+'Seat capacity elasticities'!Z230</f>
        <v>9.3265030469342342E-2</v>
      </c>
      <c r="BG200" s="11">
        <f>+'Seat capacity elasticities'!AA230</f>
        <v>9.3806581528061539E-2</v>
      </c>
      <c r="BH200" s="11">
        <f>+'Seat capacity elasticities'!AB230</f>
        <v>0.11044543081895804</v>
      </c>
      <c r="BI200" s="32">
        <f t="shared" si="232"/>
        <v>241850884.18365601</v>
      </c>
      <c r="BJ200" s="33">
        <f t="shared" si="233"/>
        <v>3.4190030372727691E-4</v>
      </c>
      <c r="BK200" s="40">
        <f t="shared" si="234"/>
        <v>659731209.25971615</v>
      </c>
      <c r="BL200" s="33">
        <f t="shared" si="235"/>
        <v>9.3265030469342342E-4</v>
      </c>
      <c r="BM200" s="40">
        <f t="shared" si="236"/>
        <v>1086132937.7619536</v>
      </c>
      <c r="BN200" s="41">
        <f t="shared" si="237"/>
        <v>9.3806581528061545E-4</v>
      </c>
      <c r="BO200" s="40">
        <f t="shared" si="238"/>
        <v>1278784689.5571485</v>
      </c>
      <c r="BP200" s="41">
        <f t="shared" si="239"/>
        <v>1.1044543081895803E-3</v>
      </c>
      <c r="BQ200" s="53"/>
      <c r="BR200" s="53"/>
      <c r="BS200" t="s">
        <v>310</v>
      </c>
      <c r="BT200">
        <v>18968501</v>
      </c>
      <c r="BU200">
        <v>11166752</v>
      </c>
      <c r="BV200" s="51">
        <v>63346.31</v>
      </c>
      <c r="BW200" s="32">
        <f t="shared" si="213"/>
        <v>707372533885.12</v>
      </c>
      <c r="BX200">
        <v>1157843</v>
      </c>
      <c r="BY200" s="37">
        <f t="shared" si="214"/>
        <v>6.1040300443350792E-2</v>
      </c>
      <c r="BZ200">
        <v>2.5916100000000001E-2</v>
      </c>
      <c r="CA200" s="3">
        <f t="shared" si="215"/>
        <v>2.5916099999999999E-4</v>
      </c>
      <c r="CB200" s="11">
        <f>+'Seat capacity elasticities'!AF230</f>
        <v>2.9005658714151552E-3</v>
      </c>
      <c r="CC200" s="11">
        <f>+'Seat capacity elasticities'!AG230</f>
        <v>2.3177928816114149E-3</v>
      </c>
      <c r="CD200" s="11">
        <f>+'Seat capacity elasticities'!AH230</f>
        <v>7.9582312717527727E-3</v>
      </c>
      <c r="CE200" s="11">
        <f>+'Seat capacity elasticities'!AI230</f>
        <v>2.7447547282240439E-3</v>
      </c>
      <c r="CF200" s="32">
        <f t="shared" si="240"/>
        <v>20517806.301636394</v>
      </c>
      <c r="CG200" s="33">
        <f t="shared" si="241"/>
        <v>2.9005658714151551E-5</v>
      </c>
      <c r="CH200" s="40">
        <f t="shared" si="242"/>
        <v>16395430.236863606</v>
      </c>
      <c r="CI200" s="33">
        <f t="shared" si="243"/>
        <v>2.3177928816114151E-5</v>
      </c>
      <c r="CJ200" s="40">
        <f t="shared" si="244"/>
        <v>92143823.70380047</v>
      </c>
      <c r="CK200" s="41">
        <f t="shared" si="245"/>
        <v>7.9582312717527747E-5</v>
      </c>
      <c r="CL200" s="40">
        <f t="shared" si="246"/>
        <v>31779950.487911116</v>
      </c>
      <c r="CM200" s="41">
        <f t="shared" si="247"/>
        <v>2.7447547282240437E-5</v>
      </c>
      <c r="CO200" s="70">
        <f t="shared" si="248"/>
        <v>8.6768042007290127</v>
      </c>
      <c r="CP200" s="70">
        <f t="shared" si="249"/>
        <v>21.658122629002239</v>
      </c>
      <c r="CQ200" s="70">
        <f t="shared" si="250"/>
        <v>30.334926829731252</v>
      </c>
      <c r="CR200" s="70">
        <f t="shared" si="251"/>
        <v>43.053202314811664</v>
      </c>
      <c r="CS200" s="70">
        <f t="shared" si="252"/>
        <v>59.079955322704052</v>
      </c>
      <c r="CT200" s="70">
        <f t="shared" si="253"/>
        <v>102.13315763751572</v>
      </c>
      <c r="CU200" s="69">
        <f t="shared" si="254"/>
        <v>38.966832264158974</v>
      </c>
      <c r="CV200" s="69">
        <f t="shared" si="255"/>
        <v>97.264892939500541</v>
      </c>
      <c r="CW200" s="70">
        <f t="shared" si="256"/>
        <v>136.23172520365952</v>
      </c>
      <c r="CX200" s="69">
        <f t="shared" si="257"/>
        <v>83.451828841575605</v>
      </c>
      <c r="CY200" s="69">
        <f t="shared" si="258"/>
        <v>114.51715678445697</v>
      </c>
      <c r="CZ200" s="70">
        <f t="shared" si="259"/>
        <v>197.96898562603258</v>
      </c>
      <c r="DB200" s="70">
        <f t="shared" si="260"/>
        <v>6.4471543267710256</v>
      </c>
      <c r="DC200" s="70">
        <f t="shared" si="261"/>
        <v>1.8374014486608454</v>
      </c>
      <c r="DD200" s="70">
        <f t="shared" si="262"/>
        <v>8.2845557754318708</v>
      </c>
      <c r="DE200" s="70">
        <f t="shared" si="263"/>
        <v>12.219140798777749</v>
      </c>
      <c r="DF200" s="70">
        <f t="shared" si="264"/>
        <v>1.4682362639434998</v>
      </c>
      <c r="DG200" s="70">
        <f t="shared" si="265"/>
        <v>13.687377062721248</v>
      </c>
      <c r="DH200" s="69">
        <f t="shared" si="266"/>
        <v>28.953653375205324</v>
      </c>
      <c r="DI200" s="69">
        <f t="shared" si="267"/>
        <v>8.2516226476418986</v>
      </c>
      <c r="DJ200" s="70">
        <f t="shared" si="268"/>
        <v>37.205276022847222</v>
      </c>
      <c r="DK200" s="69">
        <f t="shared" si="269"/>
        <v>23.684873405570151</v>
      </c>
      <c r="DL200" s="69">
        <f t="shared" si="270"/>
        <v>2.845943967226201</v>
      </c>
      <c r="DM200" s="70">
        <f t="shared" si="271"/>
        <v>26.530817372796353</v>
      </c>
    </row>
    <row r="201" spans="1:117">
      <c r="A201" t="s">
        <v>460</v>
      </c>
      <c r="B201">
        <v>160319</v>
      </c>
      <c r="C201">
        <v>87983</v>
      </c>
      <c r="D201" s="51">
        <v>35029.129999999997</v>
      </c>
      <c r="E201" s="32">
        <f t="shared" si="204"/>
        <v>3081967944.79</v>
      </c>
      <c r="F201">
        <v>4936</v>
      </c>
      <c r="G201" s="37">
        <f t="shared" si="205"/>
        <v>3.0788615198448093E-2</v>
      </c>
      <c r="H201">
        <v>0</v>
      </c>
      <c r="I201" s="3">
        <f t="shared" si="206"/>
        <v>0</v>
      </c>
      <c r="J201" s="11">
        <f>+'Seat capacity elasticities'!K231</f>
        <v>0</v>
      </c>
      <c r="K201" s="11">
        <f>+'Seat capacity elasticities'!L231</f>
        <v>0</v>
      </c>
      <c r="L201" s="11">
        <f>+'Seat capacity elasticities'!M231</f>
        <v>0</v>
      </c>
      <c r="M201" s="11">
        <f>+'Seat capacity elasticities'!N231</f>
        <v>0</v>
      </c>
      <c r="N201" s="32">
        <f t="shared" si="216"/>
        <v>0</v>
      </c>
      <c r="O201" s="33">
        <f t="shared" si="217"/>
        <v>0</v>
      </c>
      <c r="P201" s="40">
        <f t="shared" si="218"/>
        <v>0</v>
      </c>
      <c r="Q201" s="33">
        <f t="shared" si="219"/>
        <v>0</v>
      </c>
      <c r="R201" s="40">
        <f t="shared" si="220"/>
        <v>0</v>
      </c>
      <c r="S201" s="41">
        <f t="shared" si="221"/>
        <v>0</v>
      </c>
      <c r="T201" s="40">
        <f t="shared" si="222"/>
        <v>0</v>
      </c>
      <c r="U201" s="41">
        <f t="shared" si="223"/>
        <v>0</v>
      </c>
      <c r="V201" s="53"/>
      <c r="W201" s="53"/>
      <c r="X201" t="s">
        <v>460</v>
      </c>
      <c r="Y201">
        <v>160319</v>
      </c>
      <c r="Z201">
        <v>87983</v>
      </c>
      <c r="AA201" s="51">
        <v>35029.129999999997</v>
      </c>
      <c r="AB201" s="32">
        <f t="shared" si="207"/>
        <v>3081967944.79</v>
      </c>
      <c r="AC201">
        <v>4936</v>
      </c>
      <c r="AD201" s="37">
        <f t="shared" si="208"/>
        <v>3.0788615198448093E-2</v>
      </c>
      <c r="AE201">
        <v>2.9399999999999999E-4</v>
      </c>
      <c r="AF201" s="3">
        <f t="shared" si="209"/>
        <v>2.9399999999999998E-6</v>
      </c>
      <c r="AG201" s="11">
        <f>+'Seat capacity elasticities'!R231</f>
        <v>1.0923942149234081E-3</v>
      </c>
      <c r="AH201" s="11">
        <f>+'Seat capacity elasticities'!S231</f>
        <v>2.0703892048144347E-3</v>
      </c>
      <c r="AI201" s="11">
        <f>+'Seat capacity elasticities'!T231</f>
        <v>2.9971826835443684E-3</v>
      </c>
      <c r="AJ201" s="11">
        <f>+'Seat capacity elasticities'!U231</f>
        <v>2.4517766899118309E-3</v>
      </c>
      <c r="AK201" s="32">
        <f t="shared" si="224"/>
        <v>33667.239534679815</v>
      </c>
      <c r="AL201" s="33">
        <f t="shared" si="225"/>
        <v>1.092394214923408E-5</v>
      </c>
      <c r="AM201" s="40">
        <f t="shared" si="226"/>
        <v>63808.731624773456</v>
      </c>
      <c r="AN201" s="33">
        <f t="shared" si="227"/>
        <v>2.0703892048144348E-5</v>
      </c>
      <c r="AO201" s="40">
        <f t="shared" si="228"/>
        <v>147940.93725975003</v>
      </c>
      <c r="AP201" s="41">
        <f t="shared" si="229"/>
        <v>2.9971826835443684E-5</v>
      </c>
      <c r="AQ201" s="40">
        <f t="shared" si="230"/>
        <v>121019.69741404797</v>
      </c>
      <c r="AR201" s="41">
        <f t="shared" si="231"/>
        <v>2.4517766899118309E-5</v>
      </c>
      <c r="AV201" t="s">
        <v>460</v>
      </c>
      <c r="AW201">
        <v>160319</v>
      </c>
      <c r="AX201">
        <v>87983</v>
      </c>
      <c r="AY201" s="51">
        <v>35029.129999999997</v>
      </c>
      <c r="AZ201" s="32">
        <f t="shared" si="210"/>
        <v>3081967944.79</v>
      </c>
      <c r="BA201">
        <v>4936</v>
      </c>
      <c r="BB201" s="37">
        <f t="shared" si="211"/>
        <v>3.0788615198448093E-2</v>
      </c>
      <c r="BC201">
        <v>0</v>
      </c>
      <c r="BD201" s="3">
        <f t="shared" si="212"/>
        <v>0</v>
      </c>
      <c r="BE201" s="11">
        <f>+'Seat capacity elasticities'!Y231</f>
        <v>0</v>
      </c>
      <c r="BF201" s="11">
        <f>+'Seat capacity elasticities'!Z231</f>
        <v>0</v>
      </c>
      <c r="BG201" s="11">
        <f>+'Seat capacity elasticities'!AA231</f>
        <v>0</v>
      </c>
      <c r="BH201" s="11">
        <f>+'Seat capacity elasticities'!AB231</f>
        <v>0</v>
      </c>
      <c r="BI201" s="32">
        <f t="shared" si="232"/>
        <v>0</v>
      </c>
      <c r="BJ201" s="33">
        <f t="shared" si="233"/>
        <v>0</v>
      </c>
      <c r="BK201" s="40">
        <f t="shared" si="234"/>
        <v>0</v>
      </c>
      <c r="BL201" s="33">
        <f t="shared" si="235"/>
        <v>0</v>
      </c>
      <c r="BM201" s="40">
        <f t="shared" si="236"/>
        <v>0</v>
      </c>
      <c r="BN201" s="41">
        <f t="shared" si="237"/>
        <v>0</v>
      </c>
      <c r="BO201" s="40">
        <f t="shared" si="238"/>
        <v>0</v>
      </c>
      <c r="BP201" s="41">
        <f t="shared" si="239"/>
        <v>0</v>
      </c>
      <c r="BQ201" s="53"/>
      <c r="BR201" s="53"/>
      <c r="BS201" t="s">
        <v>460</v>
      </c>
      <c r="BT201">
        <v>160319</v>
      </c>
      <c r="BU201">
        <v>87983</v>
      </c>
      <c r="BV201" s="51">
        <v>35029.129999999997</v>
      </c>
      <c r="BW201" s="32">
        <f t="shared" si="213"/>
        <v>3081967944.79</v>
      </c>
      <c r="BX201">
        <v>4936</v>
      </c>
      <c r="BY201" s="37">
        <f t="shared" si="214"/>
        <v>3.0788615198448093E-2</v>
      </c>
      <c r="BZ201">
        <v>2.9399999999999999E-4</v>
      </c>
      <c r="CA201" s="3">
        <f t="shared" si="215"/>
        <v>2.9399999999999998E-6</v>
      </c>
      <c r="CB201" s="11">
        <f>+'Seat capacity elasticities'!AF231</f>
        <v>3.8932153998470546E-3</v>
      </c>
      <c r="CC201" s="11">
        <f>+'Seat capacity elasticities'!AG231</f>
        <v>3.1110022458972421E-3</v>
      </c>
      <c r="CD201" s="11">
        <f>+'Seat capacity elasticities'!AH231</f>
        <v>1.068174622340708E-2</v>
      </c>
      <c r="CE201" s="11">
        <f>+'Seat capacity elasticities'!AI231</f>
        <v>3.6840816069835763E-3</v>
      </c>
      <c r="CF201" s="32">
        <f t="shared" si="240"/>
        <v>119987.65064491406</v>
      </c>
      <c r="CG201" s="33">
        <f t="shared" si="241"/>
        <v>3.893215399847055E-5</v>
      </c>
      <c r="CH201" s="40">
        <f t="shared" si="242"/>
        <v>95880.091980249985</v>
      </c>
      <c r="CI201" s="33">
        <f t="shared" si="243"/>
        <v>3.1110022458972425E-5</v>
      </c>
      <c r="CJ201" s="40">
        <f t="shared" si="244"/>
        <v>527250.99358737352</v>
      </c>
      <c r="CK201" s="41">
        <f t="shared" si="245"/>
        <v>1.0681746223407082E-4</v>
      </c>
      <c r="CL201" s="40">
        <f t="shared" si="246"/>
        <v>181846.26812070931</v>
      </c>
      <c r="CM201" s="41">
        <f t="shared" si="247"/>
        <v>3.6840816069835758E-5</v>
      </c>
      <c r="CO201" s="70">
        <f t="shared" si="248"/>
        <v>0</v>
      </c>
      <c r="CP201" s="70">
        <f t="shared" si="249"/>
        <v>0</v>
      </c>
      <c r="CQ201" s="70">
        <f t="shared" si="250"/>
        <v>0</v>
      </c>
      <c r="CR201" s="70">
        <f t="shared" si="251"/>
        <v>0</v>
      </c>
      <c r="CS201" s="70">
        <f t="shared" si="252"/>
        <v>0</v>
      </c>
      <c r="CT201" s="70">
        <f t="shared" si="253"/>
        <v>0</v>
      </c>
      <c r="CU201" s="69">
        <f t="shared" si="254"/>
        <v>0</v>
      </c>
      <c r="CV201" s="69">
        <f t="shared" si="255"/>
        <v>0</v>
      </c>
      <c r="CW201" s="70">
        <f t="shared" si="256"/>
        <v>0</v>
      </c>
      <c r="CX201" s="69">
        <f t="shared" si="257"/>
        <v>0</v>
      </c>
      <c r="CY201" s="69">
        <f t="shared" si="258"/>
        <v>0</v>
      </c>
      <c r="CZ201" s="70">
        <f t="shared" si="259"/>
        <v>0</v>
      </c>
      <c r="DB201" s="70">
        <f t="shared" si="260"/>
        <v>0.38265618965800002</v>
      </c>
      <c r="DC201" s="70">
        <f t="shared" si="261"/>
        <v>1.3637594835924447</v>
      </c>
      <c r="DD201" s="70">
        <f t="shared" si="262"/>
        <v>1.7464156732504448</v>
      </c>
      <c r="DE201" s="70">
        <f t="shared" si="263"/>
        <v>0.72523932606041464</v>
      </c>
      <c r="DF201" s="70">
        <f t="shared" si="264"/>
        <v>1.0897570210182648</v>
      </c>
      <c r="DG201" s="70">
        <f t="shared" si="265"/>
        <v>1.8149963470786794</v>
      </c>
      <c r="DH201" s="69">
        <f t="shared" si="266"/>
        <v>1.6814718441034067</v>
      </c>
      <c r="DI201" s="69">
        <f t="shared" si="267"/>
        <v>5.9926462337880446</v>
      </c>
      <c r="DJ201" s="70">
        <f t="shared" si="268"/>
        <v>7.6741180778914515</v>
      </c>
      <c r="DK201" s="69">
        <f t="shared" si="269"/>
        <v>1.3754895538234428</v>
      </c>
      <c r="DL201" s="69">
        <f t="shared" si="270"/>
        <v>2.0668341397850645</v>
      </c>
      <c r="DM201" s="70">
        <f t="shared" si="271"/>
        <v>3.4423236936085075</v>
      </c>
    </row>
    <row r="202" spans="1:117">
      <c r="A202" t="s">
        <v>998</v>
      </c>
      <c r="B202">
        <v>327172</v>
      </c>
      <c r="C202">
        <v>144635</v>
      </c>
      <c r="D202" s="51">
        <v>30394.76</v>
      </c>
      <c r="E202" s="32">
        <f t="shared" si="204"/>
        <v>4396146112.5999994</v>
      </c>
      <c r="F202">
        <v>6485</v>
      </c>
      <c r="G202" s="37">
        <f t="shared" si="205"/>
        <v>1.9821378357561162E-2</v>
      </c>
      <c r="H202">
        <v>0</v>
      </c>
      <c r="I202" s="3">
        <f t="shared" si="206"/>
        <v>0</v>
      </c>
      <c r="J202" s="11">
        <f>+'Seat capacity elasticities'!K232</f>
        <v>0</v>
      </c>
      <c r="K202" s="11">
        <f>+'Seat capacity elasticities'!L232</f>
        <v>0</v>
      </c>
      <c r="L202" s="11">
        <f>+'Seat capacity elasticities'!M232</f>
        <v>0</v>
      </c>
      <c r="M202" s="11">
        <f>+'Seat capacity elasticities'!N232</f>
        <v>0</v>
      </c>
      <c r="N202" s="32">
        <f t="shared" si="216"/>
        <v>0</v>
      </c>
      <c r="O202" s="33">
        <f t="shared" si="217"/>
        <v>0</v>
      </c>
      <c r="P202" s="40">
        <f t="shared" si="218"/>
        <v>0</v>
      </c>
      <c r="Q202" s="33">
        <f t="shared" si="219"/>
        <v>0</v>
      </c>
      <c r="R202" s="40">
        <f t="shared" si="220"/>
        <v>0</v>
      </c>
      <c r="S202" s="41">
        <f t="shared" si="221"/>
        <v>0</v>
      </c>
      <c r="T202" s="40">
        <f t="shared" si="222"/>
        <v>0</v>
      </c>
      <c r="U202" s="41">
        <f t="shared" si="223"/>
        <v>0</v>
      </c>
      <c r="V202" s="53"/>
      <c r="W202" s="53"/>
      <c r="X202" t="s">
        <v>998</v>
      </c>
      <c r="Y202">
        <v>327172</v>
      </c>
      <c r="Z202">
        <v>144635</v>
      </c>
      <c r="AA202" s="51">
        <v>30394.76</v>
      </c>
      <c r="AB202" s="32">
        <f t="shared" si="207"/>
        <v>4396146112.5999994</v>
      </c>
      <c r="AC202">
        <v>6485</v>
      </c>
      <c r="AD202" s="37">
        <f t="shared" si="208"/>
        <v>1.9821378357561162E-2</v>
      </c>
      <c r="AE202">
        <v>1.3868999999999999E-3</v>
      </c>
      <c r="AF202" s="3">
        <f t="shared" si="209"/>
        <v>1.3868999999999999E-5</v>
      </c>
      <c r="AG202" s="11">
        <f>+'Seat capacity elasticities'!R232</f>
        <v>4.1465479655402948E-3</v>
      </c>
      <c r="AH202" s="11">
        <f>+'Seat capacity elasticities'!S232</f>
        <v>7.8588553727390511E-3</v>
      </c>
      <c r="AI202" s="11">
        <f>+'Seat capacity elasticities'!T232</f>
        <v>1.137681030256543E-2</v>
      </c>
      <c r="AJ202" s="11">
        <f>+'Seat capacity elasticities'!U232</f>
        <v>9.3065392571909829E-3</v>
      </c>
      <c r="AK202" s="32">
        <f t="shared" si="224"/>
        <v>182288.30719419403</v>
      </c>
      <c r="AL202" s="33">
        <f t="shared" si="225"/>
        <v>4.1465479655402945E-5</v>
      </c>
      <c r="AM202" s="40">
        <f t="shared" si="226"/>
        <v>345486.76496352401</v>
      </c>
      <c r="AN202" s="33">
        <f t="shared" si="227"/>
        <v>7.8588553727390519E-5</v>
      </c>
      <c r="AO202" s="40">
        <f t="shared" si="228"/>
        <v>737786.14812136814</v>
      </c>
      <c r="AP202" s="41">
        <f t="shared" si="229"/>
        <v>1.137681030256543E-4</v>
      </c>
      <c r="AQ202" s="40">
        <f t="shared" si="230"/>
        <v>603529.07082883525</v>
      </c>
      <c r="AR202" s="41">
        <f t="shared" si="231"/>
        <v>9.3065392571909826E-5</v>
      </c>
      <c r="AV202" t="s">
        <v>998</v>
      </c>
      <c r="AW202">
        <v>327172</v>
      </c>
      <c r="AX202">
        <v>144635</v>
      </c>
      <c r="AY202" s="51">
        <v>30394.76</v>
      </c>
      <c r="AZ202" s="32">
        <f t="shared" si="210"/>
        <v>4396146112.5999994</v>
      </c>
      <c r="BA202">
        <v>6485</v>
      </c>
      <c r="BB202" s="37">
        <f t="shared" si="211"/>
        <v>1.9821378357561162E-2</v>
      </c>
      <c r="BC202">
        <v>0</v>
      </c>
      <c r="BD202" s="3">
        <f t="shared" si="212"/>
        <v>0</v>
      </c>
      <c r="BE202" s="11">
        <f>+'Seat capacity elasticities'!Y232</f>
        <v>0</v>
      </c>
      <c r="BF202" s="11">
        <f>+'Seat capacity elasticities'!Z232</f>
        <v>0</v>
      </c>
      <c r="BG202" s="11">
        <f>+'Seat capacity elasticities'!AA232</f>
        <v>0</v>
      </c>
      <c r="BH202" s="11">
        <f>+'Seat capacity elasticities'!AB232</f>
        <v>0</v>
      </c>
      <c r="BI202" s="32">
        <f t="shared" si="232"/>
        <v>0</v>
      </c>
      <c r="BJ202" s="33">
        <f t="shared" si="233"/>
        <v>0</v>
      </c>
      <c r="BK202" s="40">
        <f t="shared" si="234"/>
        <v>0</v>
      </c>
      <c r="BL202" s="33">
        <f t="shared" si="235"/>
        <v>0</v>
      </c>
      <c r="BM202" s="40">
        <f t="shared" si="236"/>
        <v>0</v>
      </c>
      <c r="BN202" s="41">
        <f t="shared" si="237"/>
        <v>0</v>
      </c>
      <c r="BO202" s="40">
        <f t="shared" si="238"/>
        <v>0</v>
      </c>
      <c r="BP202" s="41">
        <f t="shared" si="239"/>
        <v>0</v>
      </c>
      <c r="BQ202" s="53"/>
      <c r="BR202" s="53"/>
      <c r="BS202" t="s">
        <v>998</v>
      </c>
      <c r="BT202">
        <v>327172</v>
      </c>
      <c r="BU202">
        <v>144635</v>
      </c>
      <c r="BV202" s="51">
        <v>30394.76</v>
      </c>
      <c r="BW202" s="32">
        <f t="shared" si="213"/>
        <v>4396146112.5999994</v>
      </c>
      <c r="BX202">
        <v>6485</v>
      </c>
      <c r="BY202" s="37">
        <f t="shared" si="214"/>
        <v>1.9821378357561162E-2</v>
      </c>
      <c r="BZ202">
        <v>1.3868999999999999E-3</v>
      </c>
      <c r="CA202" s="3">
        <f t="shared" si="215"/>
        <v>1.3868999999999999E-5</v>
      </c>
      <c r="CB202" s="11">
        <f>+'Seat capacity elasticities'!AF232</f>
        <v>8.9994323517468104E-3</v>
      </c>
      <c r="CC202" s="11">
        <f>+'Seat capacity elasticities'!AG232</f>
        <v>7.1912934124283246E-3</v>
      </c>
      <c r="CD202" s="11">
        <f>+'Seat capacity elasticities'!AH232</f>
        <v>2.4691583347752979E-2</v>
      </c>
      <c r="CE202" s="11">
        <f>+'Seat capacity elasticities'!AI232</f>
        <v>8.5160053568230174E-3</v>
      </c>
      <c r="CF202" s="32">
        <f t="shared" si="240"/>
        <v>395628.1954873841</v>
      </c>
      <c r="CG202" s="33">
        <f t="shared" si="241"/>
        <v>8.9994323517468097E-5</v>
      </c>
      <c r="CH202" s="40">
        <f t="shared" si="242"/>
        <v>316139.76579612761</v>
      </c>
      <c r="CI202" s="33">
        <f t="shared" si="243"/>
        <v>7.191293412428324E-5</v>
      </c>
      <c r="CJ202" s="40">
        <f t="shared" si="244"/>
        <v>1601249.1801017807</v>
      </c>
      <c r="CK202" s="41">
        <f t="shared" si="245"/>
        <v>2.4691583347752978E-4</v>
      </c>
      <c r="CL202" s="40">
        <f t="shared" si="246"/>
        <v>552262.94738997275</v>
      </c>
      <c r="CM202" s="41">
        <f t="shared" si="247"/>
        <v>8.5160053568230179E-5</v>
      </c>
      <c r="CO202" s="70">
        <f t="shared" si="248"/>
        <v>0</v>
      </c>
      <c r="CP202" s="70">
        <f t="shared" si="249"/>
        <v>0</v>
      </c>
      <c r="CQ202" s="70">
        <f t="shared" si="250"/>
        <v>0</v>
      </c>
      <c r="CR202" s="70">
        <f t="shared" si="251"/>
        <v>0</v>
      </c>
      <c r="CS202" s="70">
        <f t="shared" si="252"/>
        <v>0</v>
      </c>
      <c r="CT202" s="70">
        <f t="shared" si="253"/>
        <v>0</v>
      </c>
      <c r="CU202" s="69">
        <f t="shared" si="254"/>
        <v>0</v>
      </c>
      <c r="CV202" s="69">
        <f t="shared" si="255"/>
        <v>0</v>
      </c>
      <c r="CW202" s="70">
        <f t="shared" si="256"/>
        <v>0</v>
      </c>
      <c r="CX202" s="69">
        <f t="shared" si="257"/>
        <v>0</v>
      </c>
      <c r="CY202" s="69">
        <f t="shared" si="258"/>
        <v>0</v>
      </c>
      <c r="CZ202" s="70">
        <f t="shared" si="259"/>
        <v>0</v>
      </c>
      <c r="DB202" s="70">
        <f t="shared" si="260"/>
        <v>1.2603333024108552</v>
      </c>
      <c r="DC202" s="70">
        <f t="shared" si="261"/>
        <v>2.7353558646757983</v>
      </c>
      <c r="DD202" s="70">
        <f t="shared" si="262"/>
        <v>3.9956891670866534</v>
      </c>
      <c r="DE202" s="70">
        <f t="shared" si="263"/>
        <v>2.3886802292911398</v>
      </c>
      <c r="DF202" s="70">
        <f t="shared" si="264"/>
        <v>2.185776373603399</v>
      </c>
      <c r="DG202" s="70">
        <f t="shared" si="265"/>
        <v>4.5744566028945393</v>
      </c>
      <c r="DH202" s="69">
        <f t="shared" si="266"/>
        <v>5.1010208325880191</v>
      </c>
      <c r="DI202" s="69">
        <f t="shared" si="267"/>
        <v>11.070966087750412</v>
      </c>
      <c r="DJ202" s="70">
        <f t="shared" si="268"/>
        <v>16.17198692033843</v>
      </c>
      <c r="DK202" s="69">
        <f t="shared" si="269"/>
        <v>4.172773331688977</v>
      </c>
      <c r="DL202" s="69">
        <f t="shared" si="270"/>
        <v>3.8183216191791249</v>
      </c>
      <c r="DM202" s="70">
        <f t="shared" si="271"/>
        <v>7.991094950868102</v>
      </c>
    </row>
    <row r="203" spans="1:117">
      <c r="A203" t="s">
        <v>461</v>
      </c>
      <c r="B203">
        <v>131180</v>
      </c>
      <c r="C203">
        <v>80386</v>
      </c>
      <c r="D203" s="51">
        <v>42021.41</v>
      </c>
      <c r="E203" s="32">
        <f t="shared" si="204"/>
        <v>3377933064.2600002</v>
      </c>
      <c r="F203">
        <v>5683</v>
      </c>
      <c r="G203" s="37">
        <f t="shared" si="205"/>
        <v>4.332215276719012E-2</v>
      </c>
      <c r="H203">
        <v>0</v>
      </c>
      <c r="I203" s="3">
        <f t="shared" si="206"/>
        <v>0</v>
      </c>
      <c r="J203" s="11">
        <f>+'Seat capacity elasticities'!K233</f>
        <v>0</v>
      </c>
      <c r="K203" s="11">
        <f>+'Seat capacity elasticities'!L233</f>
        <v>0</v>
      </c>
      <c r="L203" s="11">
        <f>+'Seat capacity elasticities'!M233</f>
        <v>0</v>
      </c>
      <c r="M203" s="11">
        <f>+'Seat capacity elasticities'!N233</f>
        <v>0</v>
      </c>
      <c r="N203" s="32">
        <f t="shared" si="216"/>
        <v>0</v>
      </c>
      <c r="O203" s="33">
        <f t="shared" si="217"/>
        <v>0</v>
      </c>
      <c r="P203" s="40">
        <f t="shared" si="218"/>
        <v>0</v>
      </c>
      <c r="Q203" s="33">
        <f t="shared" si="219"/>
        <v>0</v>
      </c>
      <c r="R203" s="40">
        <f t="shared" si="220"/>
        <v>0</v>
      </c>
      <c r="S203" s="41">
        <f t="shared" si="221"/>
        <v>0</v>
      </c>
      <c r="T203" s="40">
        <f t="shared" si="222"/>
        <v>0</v>
      </c>
      <c r="U203" s="41">
        <f t="shared" si="223"/>
        <v>0</v>
      </c>
      <c r="V203" s="53"/>
      <c r="W203" s="53"/>
      <c r="X203" t="s">
        <v>461</v>
      </c>
      <c r="Y203">
        <v>131180</v>
      </c>
      <c r="Z203">
        <v>80386</v>
      </c>
      <c r="AA203" s="51">
        <v>42021.41</v>
      </c>
      <c r="AB203" s="32">
        <f t="shared" si="207"/>
        <v>3377933064.2600002</v>
      </c>
      <c r="AC203">
        <v>5683</v>
      </c>
      <c r="AD203" s="37">
        <f t="shared" si="208"/>
        <v>4.332215276719012E-2</v>
      </c>
      <c r="AE203">
        <v>3.4296999999999999E-3</v>
      </c>
      <c r="AF203" s="3">
        <f t="shared" si="209"/>
        <v>3.4297E-5</v>
      </c>
      <c r="AG203" s="11">
        <f>+'Seat capacity elasticities'!R233</f>
        <v>9.108712217109639E-3</v>
      </c>
      <c r="AH203" s="11">
        <f>+'Seat capacity elasticities'!S233</f>
        <v>1.726352921540087E-2</v>
      </c>
      <c r="AI203" s="11">
        <f>+'Seat capacity elasticities'!T233</f>
        <v>2.4991412581239443E-2</v>
      </c>
      <c r="AJ203" s="11">
        <f>+'Seat capacity elasticities'!U233</f>
        <v>2.0443653018237872E-2</v>
      </c>
      <c r="AK203" s="32">
        <f t="shared" si="224"/>
        <v>307686.20171003661</v>
      </c>
      <c r="AL203" s="33">
        <f t="shared" si="225"/>
        <v>9.1087122171096377E-5</v>
      </c>
      <c r="AM203" s="40">
        <f t="shared" si="226"/>
        <v>583150.46142521093</v>
      </c>
      <c r="AN203" s="33">
        <f t="shared" si="227"/>
        <v>1.726352921540087E-4</v>
      </c>
      <c r="AO203" s="40">
        <f t="shared" si="228"/>
        <v>1420261.9769918376</v>
      </c>
      <c r="AP203" s="41">
        <f t="shared" si="229"/>
        <v>2.4991412581239447E-4</v>
      </c>
      <c r="AQ203" s="40">
        <f t="shared" si="230"/>
        <v>1161812.8010264584</v>
      </c>
      <c r="AR203" s="41">
        <f t="shared" si="231"/>
        <v>2.0443653018237875E-4</v>
      </c>
      <c r="AV203" t="s">
        <v>461</v>
      </c>
      <c r="AW203">
        <v>131180</v>
      </c>
      <c r="AX203">
        <v>80386</v>
      </c>
      <c r="AY203" s="51">
        <v>42021.41</v>
      </c>
      <c r="AZ203" s="32">
        <f t="shared" si="210"/>
        <v>3377933064.2600002</v>
      </c>
      <c r="BA203">
        <v>5683</v>
      </c>
      <c r="BB203" s="37">
        <f t="shared" si="211"/>
        <v>4.332215276719012E-2</v>
      </c>
      <c r="BC203">
        <v>0</v>
      </c>
      <c r="BD203" s="3">
        <f t="shared" si="212"/>
        <v>0</v>
      </c>
      <c r="BE203" s="11">
        <f>+'Seat capacity elasticities'!Y233</f>
        <v>0</v>
      </c>
      <c r="BF203" s="11">
        <f>+'Seat capacity elasticities'!Z233</f>
        <v>0</v>
      </c>
      <c r="BG203" s="11">
        <f>+'Seat capacity elasticities'!AA233</f>
        <v>0</v>
      </c>
      <c r="BH203" s="11">
        <f>+'Seat capacity elasticities'!AB233</f>
        <v>0</v>
      </c>
      <c r="BI203" s="32">
        <f t="shared" si="232"/>
        <v>0</v>
      </c>
      <c r="BJ203" s="33">
        <f t="shared" si="233"/>
        <v>0</v>
      </c>
      <c r="BK203" s="40">
        <f t="shared" si="234"/>
        <v>0</v>
      </c>
      <c r="BL203" s="33">
        <f t="shared" si="235"/>
        <v>0</v>
      </c>
      <c r="BM203" s="40">
        <f t="shared" si="236"/>
        <v>0</v>
      </c>
      <c r="BN203" s="41">
        <f t="shared" si="237"/>
        <v>0</v>
      </c>
      <c r="BO203" s="40">
        <f t="shared" si="238"/>
        <v>0</v>
      </c>
      <c r="BP203" s="41">
        <f t="shared" si="239"/>
        <v>0</v>
      </c>
      <c r="BQ203" s="53"/>
      <c r="BR203" s="53"/>
      <c r="BS203" t="s">
        <v>461</v>
      </c>
      <c r="BT203">
        <v>131180</v>
      </c>
      <c r="BU203">
        <v>80386</v>
      </c>
      <c r="BV203" s="51">
        <v>42021.41</v>
      </c>
      <c r="BW203" s="32">
        <f t="shared" si="213"/>
        <v>3377933064.2600002</v>
      </c>
      <c r="BX203">
        <v>5683</v>
      </c>
      <c r="BY203" s="37">
        <f t="shared" si="214"/>
        <v>4.332215276719012E-2</v>
      </c>
      <c r="BZ203">
        <v>3.4296999999999999E-3</v>
      </c>
      <c r="CA203" s="3">
        <f t="shared" si="215"/>
        <v>3.4297E-5</v>
      </c>
      <c r="CB203" s="11">
        <f>+'Seat capacity elasticities'!AF233</f>
        <v>5.5505319170164692E-2</v>
      </c>
      <c r="CC203" s="11">
        <f>+'Seat capacity elasticities'!AG233</f>
        <v>4.4353357023197135E-2</v>
      </c>
      <c r="CD203" s="11">
        <f>+'Seat capacity elasticities'!AH233</f>
        <v>0.15228896234413417</v>
      </c>
      <c r="CE203" s="11">
        <f>+'Seat capacity elasticities'!AI233</f>
        <v>5.2523712264312399E-2</v>
      </c>
      <c r="CF203" s="32">
        <f t="shared" si="240"/>
        <v>1874932.5286720374</v>
      </c>
      <c r="CG203" s="33">
        <f t="shared" si="241"/>
        <v>5.5505319170164687E-4</v>
      </c>
      <c r="CH203" s="40">
        <f t="shared" si="242"/>
        <v>1498226.7119958608</v>
      </c>
      <c r="CI203" s="33">
        <f t="shared" si="243"/>
        <v>4.4353357023197131E-4</v>
      </c>
      <c r="CJ203" s="40">
        <f t="shared" si="244"/>
        <v>8654581.7300171442</v>
      </c>
      <c r="CK203" s="41">
        <f t="shared" si="245"/>
        <v>1.5228896234413417E-3</v>
      </c>
      <c r="CL203" s="40">
        <f t="shared" si="246"/>
        <v>2984922.5679808739</v>
      </c>
      <c r="CM203" s="41">
        <f t="shared" si="247"/>
        <v>5.2523712264312408E-4</v>
      </c>
      <c r="CO203" s="70">
        <f t="shared" si="248"/>
        <v>0</v>
      </c>
      <c r="CP203" s="70">
        <f t="shared" si="249"/>
        <v>0</v>
      </c>
      <c r="CQ203" s="70">
        <f t="shared" si="250"/>
        <v>0</v>
      </c>
      <c r="CR203" s="70">
        <f t="shared" si="251"/>
        <v>0</v>
      </c>
      <c r="CS203" s="70">
        <f t="shared" si="252"/>
        <v>0</v>
      </c>
      <c r="CT203" s="70">
        <f t="shared" si="253"/>
        <v>0</v>
      </c>
      <c r="CU203" s="69">
        <f t="shared" si="254"/>
        <v>0</v>
      </c>
      <c r="CV203" s="69">
        <f t="shared" si="255"/>
        <v>0</v>
      </c>
      <c r="CW203" s="70">
        <f t="shared" si="256"/>
        <v>0</v>
      </c>
      <c r="CX203" s="69">
        <f t="shared" si="257"/>
        <v>0</v>
      </c>
      <c r="CY203" s="69">
        <f t="shared" si="258"/>
        <v>0</v>
      </c>
      <c r="CZ203" s="70">
        <f t="shared" si="259"/>
        <v>0</v>
      </c>
      <c r="DB203" s="70">
        <f t="shared" si="260"/>
        <v>3.8276093064717314</v>
      </c>
      <c r="DC203" s="70">
        <f t="shared" si="261"/>
        <v>23.324117740303503</v>
      </c>
      <c r="DD203" s="70">
        <f t="shared" si="262"/>
        <v>27.151727046775235</v>
      </c>
      <c r="DE203" s="70">
        <f t="shared" si="263"/>
        <v>7.2543783920733826</v>
      </c>
      <c r="DF203" s="70">
        <f t="shared" si="264"/>
        <v>18.637906003481461</v>
      </c>
      <c r="DG203" s="70">
        <f t="shared" si="265"/>
        <v>25.892284395554846</v>
      </c>
      <c r="DH203" s="69">
        <f t="shared" si="266"/>
        <v>17.668026484609729</v>
      </c>
      <c r="DI203" s="69">
        <f t="shared" si="267"/>
        <v>107.66279862186381</v>
      </c>
      <c r="DJ203" s="70">
        <f t="shared" si="268"/>
        <v>125.33082510647354</v>
      </c>
      <c r="DK203" s="69">
        <f t="shared" si="269"/>
        <v>14.452924651387784</v>
      </c>
      <c r="DL203" s="69">
        <f t="shared" si="270"/>
        <v>37.132368422124173</v>
      </c>
      <c r="DM203" s="70">
        <f t="shared" si="271"/>
        <v>51.585293073511956</v>
      </c>
    </row>
    <row r="204" spans="1:117">
      <c r="A204" t="s">
        <v>462</v>
      </c>
      <c r="B204">
        <v>1207519</v>
      </c>
      <c r="C204">
        <v>778170</v>
      </c>
      <c r="D204" s="51">
        <v>36706.5</v>
      </c>
      <c r="E204" s="32">
        <f t="shared" si="204"/>
        <v>28563897105</v>
      </c>
      <c r="F204">
        <v>47797</v>
      </c>
      <c r="G204" s="37">
        <f t="shared" si="205"/>
        <v>3.9582814017833257E-2</v>
      </c>
      <c r="H204">
        <v>0</v>
      </c>
      <c r="I204" s="3">
        <f t="shared" si="206"/>
        <v>0</v>
      </c>
      <c r="J204" s="11">
        <f>+'Seat capacity elasticities'!K234</f>
        <v>0</v>
      </c>
      <c r="K204" s="11">
        <f>+'Seat capacity elasticities'!L234</f>
        <v>0</v>
      </c>
      <c r="L204" s="11">
        <f>+'Seat capacity elasticities'!M234</f>
        <v>0</v>
      </c>
      <c r="M204" s="11">
        <f>+'Seat capacity elasticities'!N234</f>
        <v>0</v>
      </c>
      <c r="N204" s="32">
        <f t="shared" si="216"/>
        <v>0</v>
      </c>
      <c r="O204" s="33">
        <f t="shared" si="217"/>
        <v>0</v>
      </c>
      <c r="P204" s="40">
        <f t="shared" si="218"/>
        <v>0</v>
      </c>
      <c r="Q204" s="33">
        <f t="shared" si="219"/>
        <v>0</v>
      </c>
      <c r="R204" s="40">
        <f t="shared" si="220"/>
        <v>0</v>
      </c>
      <c r="S204" s="41">
        <f t="shared" si="221"/>
        <v>0</v>
      </c>
      <c r="T204" s="40">
        <f t="shared" si="222"/>
        <v>0</v>
      </c>
      <c r="U204" s="41">
        <f t="shared" si="223"/>
        <v>0</v>
      </c>
      <c r="V204" s="53"/>
      <c r="W204" s="53"/>
      <c r="X204" t="s">
        <v>462</v>
      </c>
      <c r="Y204">
        <v>1207519</v>
      </c>
      <c r="Z204">
        <v>778170</v>
      </c>
      <c r="AA204" s="51">
        <v>36706.5</v>
      </c>
      <c r="AB204" s="32">
        <f t="shared" si="207"/>
        <v>28563897105</v>
      </c>
      <c r="AC204">
        <v>47797</v>
      </c>
      <c r="AD204" s="37">
        <f t="shared" si="208"/>
        <v>3.9582814017833257E-2</v>
      </c>
      <c r="AE204">
        <v>2.8500000000000001E-3</v>
      </c>
      <c r="AF204" s="3">
        <f t="shared" si="209"/>
        <v>2.8500000000000002E-5</v>
      </c>
      <c r="AG204" s="11">
        <f>+'Seat capacity elasticities'!R234</f>
        <v>6.7536516196302718E-3</v>
      </c>
      <c r="AH204" s="11">
        <f>+'Seat capacity elasticities'!S234</f>
        <v>1.2800037949066234E-2</v>
      </c>
      <c r="AI204" s="11">
        <f>+'Seat capacity elasticities'!T234</f>
        <v>1.8529874479852011E-2</v>
      </c>
      <c r="AJ204" s="11">
        <f>+'Seat capacity elasticities'!U234</f>
        <v>1.5157939676525803E-2</v>
      </c>
      <c r="AK204" s="32">
        <f t="shared" si="224"/>
        <v>1929106.0994613569</v>
      </c>
      <c r="AL204" s="33">
        <f t="shared" si="225"/>
        <v>6.7536516196302715E-5</v>
      </c>
      <c r="AM204" s="40">
        <f t="shared" si="226"/>
        <v>3656189.6691722316</v>
      </c>
      <c r="AN204" s="33">
        <f t="shared" si="227"/>
        <v>1.2800037949066236E-4</v>
      </c>
      <c r="AO204" s="40">
        <f t="shared" si="228"/>
        <v>8856724.1051348634</v>
      </c>
      <c r="AP204" s="41">
        <f t="shared" si="229"/>
        <v>1.8529874479852006E-4</v>
      </c>
      <c r="AQ204" s="40">
        <f t="shared" si="230"/>
        <v>7245040.4271890363</v>
      </c>
      <c r="AR204" s="41">
        <f t="shared" si="231"/>
        <v>1.5157939676525798E-4</v>
      </c>
      <c r="AV204" t="s">
        <v>462</v>
      </c>
      <c r="AW204">
        <v>1207519</v>
      </c>
      <c r="AX204">
        <v>778170</v>
      </c>
      <c r="AY204" s="51">
        <v>36706.5</v>
      </c>
      <c r="AZ204" s="32">
        <f t="shared" si="210"/>
        <v>28563897105</v>
      </c>
      <c r="BA204">
        <v>47797</v>
      </c>
      <c r="BB204" s="37">
        <f t="shared" si="211"/>
        <v>3.9582814017833257E-2</v>
      </c>
      <c r="BC204">
        <v>0</v>
      </c>
      <c r="BD204" s="3">
        <f t="shared" si="212"/>
        <v>0</v>
      </c>
      <c r="BE204" s="11">
        <f>+'Seat capacity elasticities'!Y234</f>
        <v>0</v>
      </c>
      <c r="BF204" s="11">
        <f>+'Seat capacity elasticities'!Z234</f>
        <v>0</v>
      </c>
      <c r="BG204" s="11">
        <f>+'Seat capacity elasticities'!AA234</f>
        <v>0</v>
      </c>
      <c r="BH204" s="11">
        <f>+'Seat capacity elasticities'!AB234</f>
        <v>0</v>
      </c>
      <c r="BI204" s="32">
        <f t="shared" si="232"/>
        <v>0</v>
      </c>
      <c r="BJ204" s="33">
        <f t="shared" si="233"/>
        <v>0</v>
      </c>
      <c r="BK204" s="40">
        <f t="shared" si="234"/>
        <v>0</v>
      </c>
      <c r="BL204" s="33">
        <f t="shared" si="235"/>
        <v>0</v>
      </c>
      <c r="BM204" s="40">
        <f t="shared" si="236"/>
        <v>0</v>
      </c>
      <c r="BN204" s="41">
        <f t="shared" si="237"/>
        <v>0</v>
      </c>
      <c r="BO204" s="40">
        <f t="shared" si="238"/>
        <v>0</v>
      </c>
      <c r="BP204" s="41">
        <f t="shared" si="239"/>
        <v>0</v>
      </c>
      <c r="BQ204" s="53"/>
      <c r="BR204" s="53"/>
      <c r="BS204" t="s">
        <v>462</v>
      </c>
      <c r="BT204">
        <v>1207519</v>
      </c>
      <c r="BU204">
        <v>778170</v>
      </c>
      <c r="BV204" s="51">
        <v>36706.5</v>
      </c>
      <c r="BW204" s="32">
        <f t="shared" si="213"/>
        <v>28563897105</v>
      </c>
      <c r="BX204">
        <v>47797</v>
      </c>
      <c r="BY204" s="37">
        <f t="shared" si="214"/>
        <v>3.9582814017833257E-2</v>
      </c>
      <c r="BZ204">
        <v>2.8500000000000001E-3</v>
      </c>
      <c r="CA204" s="3">
        <f t="shared" si="215"/>
        <v>2.8500000000000002E-5</v>
      </c>
      <c r="CB204" s="11">
        <f>+'Seat capacity elasticities'!AF234</f>
        <v>5.0106836507433838E-3</v>
      </c>
      <c r="CC204" s="11">
        <f>+'Seat capacity elasticities'!AG234</f>
        <v>4.0039521295317099E-3</v>
      </c>
      <c r="CD204" s="11">
        <f>+'Seat capacity elasticities'!AH234</f>
        <v>1.3747724095902424E-2</v>
      </c>
      <c r="CE204" s="11">
        <f>+'Seat capacity elasticities'!AI234</f>
        <v>4.7415222586559723E-3</v>
      </c>
      <c r="CF204" s="32">
        <f t="shared" si="240"/>
        <v>1431246.5222553979</v>
      </c>
      <c r="CG204" s="33">
        <f t="shared" si="241"/>
        <v>5.0106836507433842E-5</v>
      </c>
      <c r="CH204" s="40">
        <f t="shared" si="242"/>
        <v>1143684.766412894</v>
      </c>
      <c r="CI204" s="33">
        <f t="shared" si="243"/>
        <v>4.0039521295317101E-5</v>
      </c>
      <c r="CJ204" s="40">
        <f t="shared" si="244"/>
        <v>6570999.6861184817</v>
      </c>
      <c r="CK204" s="41">
        <f t="shared" si="245"/>
        <v>1.3747724095902424E-4</v>
      </c>
      <c r="CL204" s="40">
        <f t="shared" si="246"/>
        <v>2266305.3939697952</v>
      </c>
      <c r="CM204" s="41">
        <f t="shared" si="247"/>
        <v>4.7415222586559731E-5</v>
      </c>
      <c r="CO204" s="70">
        <f t="shared" si="248"/>
        <v>0</v>
      </c>
      <c r="CP204" s="70">
        <f t="shared" si="249"/>
        <v>0</v>
      </c>
      <c r="CQ204" s="70">
        <f t="shared" si="250"/>
        <v>0</v>
      </c>
      <c r="CR204" s="70">
        <f t="shared" si="251"/>
        <v>0</v>
      </c>
      <c r="CS204" s="70">
        <f t="shared" si="252"/>
        <v>0</v>
      </c>
      <c r="CT204" s="70">
        <f t="shared" si="253"/>
        <v>0</v>
      </c>
      <c r="CU204" s="69">
        <f t="shared" si="254"/>
        <v>0</v>
      </c>
      <c r="CV204" s="69">
        <f t="shared" si="255"/>
        <v>0</v>
      </c>
      <c r="CW204" s="70">
        <f t="shared" si="256"/>
        <v>0</v>
      </c>
      <c r="CX204" s="69">
        <f t="shared" si="257"/>
        <v>0</v>
      </c>
      <c r="CY204" s="69">
        <f t="shared" si="258"/>
        <v>0</v>
      </c>
      <c r="CZ204" s="70">
        <f t="shared" si="259"/>
        <v>0</v>
      </c>
      <c r="DB204" s="70">
        <f t="shared" si="260"/>
        <v>2.4790291317595856</v>
      </c>
      <c r="DC204" s="70">
        <f t="shared" si="261"/>
        <v>1.8392465942601204</v>
      </c>
      <c r="DD204" s="70">
        <f t="shared" si="262"/>
        <v>4.3182757260197064</v>
      </c>
      <c r="DE204" s="70">
        <f t="shared" si="263"/>
        <v>4.6984459297739978</v>
      </c>
      <c r="DF204" s="70">
        <f t="shared" si="264"/>
        <v>1.4697106884265572</v>
      </c>
      <c r="DG204" s="70">
        <f t="shared" si="265"/>
        <v>6.1681566182005554</v>
      </c>
      <c r="DH204" s="69">
        <f t="shared" si="266"/>
        <v>11.381477190247457</v>
      </c>
      <c r="DI204" s="69">
        <f t="shared" si="267"/>
        <v>8.4441698936202645</v>
      </c>
      <c r="DJ204" s="70">
        <f t="shared" si="268"/>
        <v>19.825647083867722</v>
      </c>
      <c r="DK204" s="69">
        <f t="shared" si="269"/>
        <v>9.3103568978359945</v>
      </c>
      <c r="DL204" s="69">
        <f t="shared" si="270"/>
        <v>2.9123525630258107</v>
      </c>
      <c r="DM204" s="70">
        <f t="shared" si="271"/>
        <v>12.222709460861806</v>
      </c>
    </row>
    <row r="205" spans="1:117">
      <c r="A205" t="s">
        <v>463</v>
      </c>
      <c r="B205">
        <v>245571</v>
      </c>
      <c r="C205">
        <v>136087</v>
      </c>
      <c r="D205" s="51">
        <v>33295.160000000003</v>
      </c>
      <c r="E205" s="32">
        <f t="shared" si="204"/>
        <v>4531038438.9200001</v>
      </c>
      <c r="F205">
        <v>5738</v>
      </c>
      <c r="G205" s="37">
        <f t="shared" si="205"/>
        <v>2.3365951191305162E-2</v>
      </c>
      <c r="H205">
        <v>0</v>
      </c>
      <c r="I205" s="3">
        <f t="shared" si="206"/>
        <v>0</v>
      </c>
      <c r="J205" s="11">
        <f>+'Seat capacity elasticities'!K235</f>
        <v>0</v>
      </c>
      <c r="K205" s="11">
        <f>+'Seat capacity elasticities'!L235</f>
        <v>0</v>
      </c>
      <c r="L205" s="11">
        <f>+'Seat capacity elasticities'!M235</f>
        <v>0</v>
      </c>
      <c r="M205" s="11">
        <f>+'Seat capacity elasticities'!N235</f>
        <v>0</v>
      </c>
      <c r="N205" s="32">
        <f t="shared" si="216"/>
        <v>0</v>
      </c>
      <c r="O205" s="33">
        <f t="shared" si="217"/>
        <v>0</v>
      </c>
      <c r="P205" s="40">
        <f t="shared" si="218"/>
        <v>0</v>
      </c>
      <c r="Q205" s="33">
        <f t="shared" si="219"/>
        <v>0</v>
      </c>
      <c r="R205" s="40">
        <f t="shared" si="220"/>
        <v>0</v>
      </c>
      <c r="S205" s="41">
        <f t="shared" si="221"/>
        <v>0</v>
      </c>
      <c r="T205" s="40">
        <f t="shared" si="222"/>
        <v>0</v>
      </c>
      <c r="U205" s="41">
        <f t="shared" si="223"/>
        <v>0</v>
      </c>
      <c r="V205" s="53"/>
      <c r="W205" s="53"/>
      <c r="X205" t="s">
        <v>463</v>
      </c>
      <c r="Y205">
        <v>245571</v>
      </c>
      <c r="Z205">
        <v>136087</v>
      </c>
      <c r="AA205" s="51">
        <v>33295.160000000003</v>
      </c>
      <c r="AB205" s="32">
        <f t="shared" si="207"/>
        <v>4531038438.9200001</v>
      </c>
      <c r="AC205">
        <v>5738</v>
      </c>
      <c r="AD205" s="37">
        <f t="shared" si="208"/>
        <v>2.3365951191305162E-2</v>
      </c>
      <c r="AE205">
        <v>1.1151299999999999E-2</v>
      </c>
      <c r="AF205" s="3">
        <f t="shared" si="209"/>
        <v>1.11513E-4</v>
      </c>
      <c r="AG205" s="11">
        <f>+'Seat capacity elasticities'!R235</f>
        <v>1.5502649985967312E-2</v>
      </c>
      <c r="AH205" s="11">
        <f>+'Seat capacity elasticities'!S235</f>
        <v>2.9381809916682662E-2</v>
      </c>
      <c r="AI205" s="11">
        <f>+'Seat capacity elasticities'!T235</f>
        <v>4.2534346531895875E-2</v>
      </c>
      <c r="AJ205" s="11">
        <f>+'Seat capacity elasticities'!U235</f>
        <v>3.4794248585545258E-2</v>
      </c>
      <c r="AK205" s="32">
        <f t="shared" si="224"/>
        <v>702431.02991540486</v>
      </c>
      <c r="AL205" s="33">
        <f t="shared" si="225"/>
        <v>1.5502649985967311E-4</v>
      </c>
      <c r="AM205" s="40">
        <f t="shared" si="226"/>
        <v>1331301.1013753</v>
      </c>
      <c r="AN205" s="33">
        <f t="shared" si="227"/>
        <v>2.9381809916682666E-4</v>
      </c>
      <c r="AO205" s="40">
        <f t="shared" si="228"/>
        <v>2440620.8040001853</v>
      </c>
      <c r="AP205" s="41">
        <f t="shared" si="229"/>
        <v>4.2534346531895878E-4</v>
      </c>
      <c r="AQ205" s="40">
        <f t="shared" si="230"/>
        <v>1996493.9838385868</v>
      </c>
      <c r="AR205" s="41">
        <f t="shared" si="231"/>
        <v>3.4794248585545256E-4</v>
      </c>
      <c r="AV205" t="s">
        <v>463</v>
      </c>
      <c r="AW205">
        <v>245571</v>
      </c>
      <c r="AX205">
        <v>136087</v>
      </c>
      <c r="AY205" s="51">
        <v>33295.160000000003</v>
      </c>
      <c r="AZ205" s="32">
        <f t="shared" si="210"/>
        <v>4531038438.9200001</v>
      </c>
      <c r="BA205">
        <v>5738</v>
      </c>
      <c r="BB205" s="37">
        <f t="shared" si="211"/>
        <v>2.3365951191305162E-2</v>
      </c>
      <c r="BC205">
        <v>0</v>
      </c>
      <c r="BD205" s="3">
        <f t="shared" si="212"/>
        <v>0</v>
      </c>
      <c r="BE205" s="11">
        <f>+'Seat capacity elasticities'!Y235</f>
        <v>0</v>
      </c>
      <c r="BF205" s="11">
        <f>+'Seat capacity elasticities'!Z235</f>
        <v>0</v>
      </c>
      <c r="BG205" s="11">
        <f>+'Seat capacity elasticities'!AA235</f>
        <v>0</v>
      </c>
      <c r="BH205" s="11">
        <f>+'Seat capacity elasticities'!AB235</f>
        <v>0</v>
      </c>
      <c r="BI205" s="32">
        <f t="shared" si="232"/>
        <v>0</v>
      </c>
      <c r="BJ205" s="33">
        <f t="shared" si="233"/>
        <v>0</v>
      </c>
      <c r="BK205" s="40">
        <f t="shared" si="234"/>
        <v>0</v>
      </c>
      <c r="BL205" s="33">
        <f t="shared" si="235"/>
        <v>0</v>
      </c>
      <c r="BM205" s="40">
        <f t="shared" si="236"/>
        <v>0</v>
      </c>
      <c r="BN205" s="41">
        <f t="shared" si="237"/>
        <v>0</v>
      </c>
      <c r="BO205" s="40">
        <f t="shared" si="238"/>
        <v>0</v>
      </c>
      <c r="BP205" s="41">
        <f t="shared" si="239"/>
        <v>0</v>
      </c>
      <c r="BQ205" s="53"/>
      <c r="BR205" s="53"/>
      <c r="BS205" t="s">
        <v>463</v>
      </c>
      <c r="BT205">
        <v>245571</v>
      </c>
      <c r="BU205">
        <v>136087</v>
      </c>
      <c r="BV205" s="51">
        <v>33295.160000000003</v>
      </c>
      <c r="BW205" s="32">
        <f t="shared" si="213"/>
        <v>4531038438.9200001</v>
      </c>
      <c r="BX205">
        <v>5738</v>
      </c>
      <c r="BY205" s="37">
        <f t="shared" si="214"/>
        <v>2.3365951191305162E-2</v>
      </c>
      <c r="BZ205">
        <v>1.1151299999999999E-2</v>
      </c>
      <c r="CA205" s="3">
        <f t="shared" si="215"/>
        <v>1.11513E-4</v>
      </c>
      <c r="CB205" s="11">
        <f>+'Seat capacity elasticities'!AF235</f>
        <v>9.6403881087158944E-2</v>
      </c>
      <c r="CC205" s="11">
        <f>+'Seat capacity elasticities'!AG235</f>
        <v>7.7034702623220985E-2</v>
      </c>
      <c r="CD205" s="11">
        <f>+'Seat capacity elasticities'!AH235</f>
        <v>0.26450162319942527</v>
      </c>
      <c r="CE205" s="11">
        <f>+'Seat capacity elasticities'!AI235</f>
        <v>9.1225305738024856E-2</v>
      </c>
      <c r="CF205" s="32">
        <f t="shared" si="240"/>
        <v>4368096.9086699001</v>
      </c>
      <c r="CG205" s="33">
        <f t="shared" si="241"/>
        <v>9.6403881087158956E-4</v>
      </c>
      <c r="CH205" s="40">
        <f t="shared" si="242"/>
        <v>3490471.9871658566</v>
      </c>
      <c r="CI205" s="33">
        <f t="shared" si="243"/>
        <v>7.7034702623220987E-4</v>
      </c>
      <c r="CJ205" s="40">
        <f t="shared" si="244"/>
        <v>15177103.139183024</v>
      </c>
      <c r="CK205" s="41">
        <f t="shared" si="245"/>
        <v>2.6450162319942528E-3</v>
      </c>
      <c r="CL205" s="40">
        <f t="shared" si="246"/>
        <v>5234508.0432478664</v>
      </c>
      <c r="CM205" s="41">
        <f t="shared" si="247"/>
        <v>9.1225305738024858E-4</v>
      </c>
      <c r="CO205" s="70">
        <f t="shared" si="248"/>
        <v>0</v>
      </c>
      <c r="CP205" s="70">
        <f t="shared" si="249"/>
        <v>0</v>
      </c>
      <c r="CQ205" s="70">
        <f t="shared" si="250"/>
        <v>0</v>
      </c>
      <c r="CR205" s="70">
        <f t="shared" si="251"/>
        <v>0</v>
      </c>
      <c r="CS205" s="70">
        <f t="shared" si="252"/>
        <v>0</v>
      </c>
      <c r="CT205" s="70">
        <f t="shared" si="253"/>
        <v>0</v>
      </c>
      <c r="CU205" s="69">
        <f t="shared" si="254"/>
        <v>0</v>
      </c>
      <c r="CV205" s="69">
        <f t="shared" si="255"/>
        <v>0</v>
      </c>
      <c r="CW205" s="70">
        <f t="shared" si="256"/>
        <v>0</v>
      </c>
      <c r="CX205" s="69">
        <f t="shared" si="257"/>
        <v>0</v>
      </c>
      <c r="CY205" s="69">
        <f t="shared" si="258"/>
        <v>0</v>
      </c>
      <c r="CZ205" s="70">
        <f t="shared" si="259"/>
        <v>0</v>
      </c>
      <c r="DB205" s="70">
        <f t="shared" si="260"/>
        <v>5.1616321170677937</v>
      </c>
      <c r="DC205" s="70">
        <f t="shared" si="261"/>
        <v>32.097826454179312</v>
      </c>
      <c r="DD205" s="70">
        <f t="shared" si="262"/>
        <v>37.259458571247109</v>
      </c>
      <c r="DE205" s="70">
        <f t="shared" si="263"/>
        <v>9.7827206226553596</v>
      </c>
      <c r="DF205" s="70">
        <f t="shared" si="264"/>
        <v>25.648827493925626</v>
      </c>
      <c r="DG205" s="70">
        <f t="shared" si="265"/>
        <v>35.431548116580984</v>
      </c>
      <c r="DH205" s="69">
        <f t="shared" si="266"/>
        <v>17.934268548797352</v>
      </c>
      <c r="DI205" s="69">
        <f t="shared" si="267"/>
        <v>111.52500341092848</v>
      </c>
      <c r="DJ205" s="70">
        <f t="shared" si="268"/>
        <v>129.45927195972584</v>
      </c>
      <c r="DK205" s="69">
        <f t="shared" si="269"/>
        <v>14.67071787781777</v>
      </c>
      <c r="DL205" s="69">
        <f t="shared" si="270"/>
        <v>38.46442381159013</v>
      </c>
      <c r="DM205" s="70">
        <f t="shared" si="271"/>
        <v>53.135141689407902</v>
      </c>
    </row>
    <row r="206" spans="1:117">
      <c r="A206" t="s">
        <v>464</v>
      </c>
      <c r="B206">
        <v>839265</v>
      </c>
      <c r="C206">
        <v>586818</v>
      </c>
      <c r="D206" s="51">
        <v>39681.230000000003</v>
      </c>
      <c r="E206" s="32">
        <f t="shared" si="204"/>
        <v>23285660026.140003</v>
      </c>
      <c r="F206">
        <v>39510</v>
      </c>
      <c r="G206" s="37">
        <f t="shared" si="205"/>
        <v>4.7076906578970887E-2</v>
      </c>
      <c r="H206">
        <v>0</v>
      </c>
      <c r="I206" s="3">
        <f t="shared" si="206"/>
        <v>0</v>
      </c>
      <c r="J206" s="11">
        <f>+'Seat capacity elasticities'!K236</f>
        <v>0</v>
      </c>
      <c r="K206" s="11">
        <f>+'Seat capacity elasticities'!L236</f>
        <v>0</v>
      </c>
      <c r="L206" s="11">
        <f>+'Seat capacity elasticities'!M236</f>
        <v>0</v>
      </c>
      <c r="M206" s="11">
        <f>+'Seat capacity elasticities'!N236</f>
        <v>0</v>
      </c>
      <c r="N206" s="32">
        <f t="shared" si="216"/>
        <v>0</v>
      </c>
      <c r="O206" s="33">
        <f t="shared" si="217"/>
        <v>0</v>
      </c>
      <c r="P206" s="40">
        <f t="shared" si="218"/>
        <v>0</v>
      </c>
      <c r="Q206" s="33">
        <f t="shared" si="219"/>
        <v>0</v>
      </c>
      <c r="R206" s="40">
        <f t="shared" si="220"/>
        <v>0</v>
      </c>
      <c r="S206" s="41">
        <f t="shared" si="221"/>
        <v>0</v>
      </c>
      <c r="T206" s="40">
        <f t="shared" si="222"/>
        <v>0</v>
      </c>
      <c r="U206" s="41">
        <f t="shared" si="223"/>
        <v>0</v>
      </c>
      <c r="V206" s="53"/>
      <c r="W206" s="53"/>
      <c r="X206" t="s">
        <v>464</v>
      </c>
      <c r="Y206">
        <v>839265</v>
      </c>
      <c r="Z206">
        <v>586818</v>
      </c>
      <c r="AA206" s="51">
        <v>39681.230000000003</v>
      </c>
      <c r="AB206" s="32">
        <f t="shared" si="207"/>
        <v>23285660026.140003</v>
      </c>
      <c r="AC206">
        <v>39510</v>
      </c>
      <c r="AD206" s="37">
        <f t="shared" si="208"/>
        <v>4.7076906578970887E-2</v>
      </c>
      <c r="AE206">
        <v>6.9091999999999999E-3</v>
      </c>
      <c r="AF206" s="3">
        <f t="shared" si="209"/>
        <v>6.9091999999999995E-5</v>
      </c>
      <c r="AG206" s="11">
        <f>+'Seat capacity elasticities'!R236</f>
        <v>1.2880416930718548E-2</v>
      </c>
      <c r="AH206" s="11">
        <f>+'Seat capacity elasticities'!S236</f>
        <v>2.4411952940210795E-2</v>
      </c>
      <c r="AI206" s="11">
        <f>+'Seat capacity elasticities'!T236</f>
        <v>3.5339772084281934E-2</v>
      </c>
      <c r="AJ206" s="11">
        <f>+'Seat capacity elasticities'!U236</f>
        <v>2.8908891639723308E-2</v>
      </c>
      <c r="AK206" s="32">
        <f t="shared" si="224"/>
        <v>2999290.0964364982</v>
      </c>
      <c r="AL206" s="33">
        <f t="shared" si="225"/>
        <v>1.2880416930718548E-4</v>
      </c>
      <c r="AM206" s="40">
        <f t="shared" si="226"/>
        <v>5684484.3673987743</v>
      </c>
      <c r="AN206" s="33">
        <f t="shared" si="227"/>
        <v>2.4411952940210795E-4</v>
      </c>
      <c r="AO206" s="40">
        <f t="shared" si="228"/>
        <v>13962743.950499792</v>
      </c>
      <c r="AP206" s="41">
        <f t="shared" si="229"/>
        <v>3.5339772084281933E-4</v>
      </c>
      <c r="AQ206" s="40">
        <f t="shared" si="230"/>
        <v>11421903.08685468</v>
      </c>
      <c r="AR206" s="41">
        <f t="shared" si="231"/>
        <v>2.8908891639723312E-4</v>
      </c>
      <c r="AV206" t="s">
        <v>464</v>
      </c>
      <c r="AW206">
        <v>839265</v>
      </c>
      <c r="AX206">
        <v>586818</v>
      </c>
      <c r="AY206" s="51">
        <v>39681.230000000003</v>
      </c>
      <c r="AZ206" s="32">
        <f t="shared" si="210"/>
        <v>23285660026.140003</v>
      </c>
      <c r="BA206">
        <v>39510</v>
      </c>
      <c r="BB206" s="37">
        <f t="shared" si="211"/>
        <v>4.7076906578970887E-2</v>
      </c>
      <c r="BC206">
        <v>0</v>
      </c>
      <c r="BD206" s="3">
        <f t="shared" si="212"/>
        <v>0</v>
      </c>
      <c r="BE206" s="11">
        <f>+'Seat capacity elasticities'!Y236</f>
        <v>0</v>
      </c>
      <c r="BF206" s="11">
        <f>+'Seat capacity elasticities'!Z236</f>
        <v>0</v>
      </c>
      <c r="BG206" s="11">
        <f>+'Seat capacity elasticities'!AA236</f>
        <v>0</v>
      </c>
      <c r="BH206" s="11">
        <f>+'Seat capacity elasticities'!AB236</f>
        <v>0</v>
      </c>
      <c r="BI206" s="32">
        <f t="shared" si="232"/>
        <v>0</v>
      </c>
      <c r="BJ206" s="33">
        <f t="shared" si="233"/>
        <v>0</v>
      </c>
      <c r="BK206" s="40">
        <f t="shared" si="234"/>
        <v>0</v>
      </c>
      <c r="BL206" s="33">
        <f t="shared" si="235"/>
        <v>0</v>
      </c>
      <c r="BM206" s="40">
        <f t="shared" si="236"/>
        <v>0</v>
      </c>
      <c r="BN206" s="41">
        <f t="shared" si="237"/>
        <v>0</v>
      </c>
      <c r="BO206" s="40">
        <f t="shared" si="238"/>
        <v>0</v>
      </c>
      <c r="BP206" s="41">
        <f t="shared" si="239"/>
        <v>0</v>
      </c>
      <c r="BQ206" s="53"/>
      <c r="BR206" s="53"/>
      <c r="BS206" t="s">
        <v>464</v>
      </c>
      <c r="BT206">
        <v>839265</v>
      </c>
      <c r="BU206">
        <v>586818</v>
      </c>
      <c r="BV206" s="51">
        <v>39681.230000000003</v>
      </c>
      <c r="BW206" s="32">
        <f t="shared" si="213"/>
        <v>23285660026.140003</v>
      </c>
      <c r="BX206">
        <v>39510</v>
      </c>
      <c r="BY206" s="37">
        <f t="shared" si="214"/>
        <v>4.7076906578970887E-2</v>
      </c>
      <c r="BZ206">
        <v>6.9091999999999999E-3</v>
      </c>
      <c r="CA206" s="3">
        <f t="shared" si="215"/>
        <v>6.9091999999999995E-5</v>
      </c>
      <c r="CB206" s="11">
        <f>+'Seat capacity elasticities'!AF236</f>
        <v>1.7477316448154211E-2</v>
      </c>
      <c r="CC206" s="11">
        <f>+'Seat capacity elasticities'!AG236</f>
        <v>1.3965826479726905E-2</v>
      </c>
      <c r="CD206" s="11">
        <f>+'Seat capacity elasticities'!AH236</f>
        <v>4.7952203973275091E-2</v>
      </c>
      <c r="CE206" s="11">
        <f>+'Seat capacity elasticities'!AI236</f>
        <v>1.6538478725992387E-2</v>
      </c>
      <c r="CF206" s="32">
        <f t="shared" si="240"/>
        <v>4069708.4898098372</v>
      </c>
      <c r="CG206" s="33">
        <f t="shared" si="241"/>
        <v>1.7477316448154213E-4</v>
      </c>
      <c r="CH206" s="40">
        <f t="shared" si="242"/>
        <v>3252034.8739098436</v>
      </c>
      <c r="CI206" s="33">
        <f t="shared" si="243"/>
        <v>1.3965826479726904E-4</v>
      </c>
      <c r="CJ206" s="40">
        <f t="shared" si="244"/>
        <v>18945915.789840989</v>
      </c>
      <c r="CK206" s="41">
        <f t="shared" si="245"/>
        <v>4.7952203973275091E-4</v>
      </c>
      <c r="CL206" s="40">
        <f t="shared" si="246"/>
        <v>6534352.9446395915</v>
      </c>
      <c r="CM206" s="41">
        <f t="shared" si="247"/>
        <v>1.6538478725992386E-4</v>
      </c>
      <c r="CO206" s="70">
        <f t="shared" si="248"/>
        <v>0</v>
      </c>
      <c r="CP206" s="70">
        <f t="shared" si="249"/>
        <v>0</v>
      </c>
      <c r="CQ206" s="70">
        <f t="shared" si="250"/>
        <v>0</v>
      </c>
      <c r="CR206" s="70">
        <f t="shared" si="251"/>
        <v>0</v>
      </c>
      <c r="CS206" s="70">
        <f t="shared" si="252"/>
        <v>0</v>
      </c>
      <c r="CT206" s="70">
        <f t="shared" si="253"/>
        <v>0</v>
      </c>
      <c r="CU206" s="69">
        <f t="shared" si="254"/>
        <v>0</v>
      </c>
      <c r="CV206" s="69">
        <f t="shared" si="255"/>
        <v>0</v>
      </c>
      <c r="CW206" s="70">
        <f t="shared" si="256"/>
        <v>0</v>
      </c>
      <c r="CX206" s="69">
        <f t="shared" si="257"/>
        <v>0</v>
      </c>
      <c r="CY206" s="69">
        <f t="shared" si="258"/>
        <v>0</v>
      </c>
      <c r="CZ206" s="70">
        <f t="shared" si="259"/>
        <v>0</v>
      </c>
      <c r="DB206" s="70">
        <f t="shared" si="260"/>
        <v>5.1111078672373687</v>
      </c>
      <c r="DC206" s="70">
        <f t="shared" si="261"/>
        <v>6.935214137619905</v>
      </c>
      <c r="DD206" s="70">
        <f t="shared" si="262"/>
        <v>12.046322004857274</v>
      </c>
      <c r="DE206" s="70">
        <f t="shared" si="263"/>
        <v>9.6869631936968101</v>
      </c>
      <c r="DF206" s="70">
        <f t="shared" si="264"/>
        <v>5.5418117268213374</v>
      </c>
      <c r="DG206" s="70">
        <f t="shared" si="265"/>
        <v>15.228774920518148</v>
      </c>
      <c r="DH206" s="69">
        <f t="shared" si="266"/>
        <v>23.793993964908697</v>
      </c>
      <c r="DI206" s="69">
        <f t="shared" si="267"/>
        <v>32.285846360951759</v>
      </c>
      <c r="DJ206" s="70">
        <f t="shared" si="268"/>
        <v>56.079840325860459</v>
      </c>
      <c r="DK206" s="69">
        <f t="shared" si="269"/>
        <v>19.464132127601196</v>
      </c>
      <c r="DL206" s="69">
        <f t="shared" si="270"/>
        <v>11.13522922718729</v>
      </c>
      <c r="DM206" s="70">
        <f t="shared" si="271"/>
        <v>30.599361354788485</v>
      </c>
    </row>
    <row r="207" spans="1:117">
      <c r="A207" t="s">
        <v>465</v>
      </c>
      <c r="B207">
        <v>2060968</v>
      </c>
      <c r="C207">
        <v>1311657</v>
      </c>
      <c r="D207" s="51">
        <v>36216.47</v>
      </c>
      <c r="E207" s="32">
        <f t="shared" si="204"/>
        <v>47503586390.790001</v>
      </c>
      <c r="F207">
        <v>95674</v>
      </c>
      <c r="G207" s="37">
        <f t="shared" si="205"/>
        <v>4.6421875545860004E-2</v>
      </c>
      <c r="H207">
        <v>0</v>
      </c>
      <c r="I207" s="3">
        <f t="shared" si="206"/>
        <v>0</v>
      </c>
      <c r="J207" s="11">
        <f>+'Seat capacity elasticities'!K237</f>
        <v>0</v>
      </c>
      <c r="K207" s="11">
        <f>+'Seat capacity elasticities'!L237</f>
        <v>0</v>
      </c>
      <c r="L207" s="11">
        <f>+'Seat capacity elasticities'!M237</f>
        <v>0</v>
      </c>
      <c r="M207" s="11">
        <f>+'Seat capacity elasticities'!N237</f>
        <v>0</v>
      </c>
      <c r="N207" s="32">
        <f t="shared" si="216"/>
        <v>0</v>
      </c>
      <c r="O207" s="33">
        <f t="shared" si="217"/>
        <v>0</v>
      </c>
      <c r="P207" s="40">
        <f t="shared" si="218"/>
        <v>0</v>
      </c>
      <c r="Q207" s="33">
        <f t="shared" si="219"/>
        <v>0</v>
      </c>
      <c r="R207" s="40">
        <f t="shared" si="220"/>
        <v>0</v>
      </c>
      <c r="S207" s="41">
        <f t="shared" si="221"/>
        <v>0</v>
      </c>
      <c r="T207" s="40">
        <f t="shared" si="222"/>
        <v>0</v>
      </c>
      <c r="U207" s="41">
        <f t="shared" si="223"/>
        <v>0</v>
      </c>
      <c r="V207" s="53"/>
      <c r="W207" s="53"/>
      <c r="X207" t="s">
        <v>465</v>
      </c>
      <c r="Y207">
        <v>2060968</v>
      </c>
      <c r="Z207">
        <v>1311657</v>
      </c>
      <c r="AA207" s="51">
        <v>36216.47</v>
      </c>
      <c r="AB207" s="32">
        <f t="shared" si="207"/>
        <v>47503586390.790001</v>
      </c>
      <c r="AC207">
        <v>95674</v>
      </c>
      <c r="AD207" s="37">
        <f t="shared" si="208"/>
        <v>4.6421875545860004E-2</v>
      </c>
      <c r="AE207">
        <v>5.7920000000000003E-3</v>
      </c>
      <c r="AF207" s="3">
        <f t="shared" si="209"/>
        <v>5.7920000000000001E-5</v>
      </c>
      <c r="AG207" s="11">
        <f>+'Seat capacity elasticities'!R237</f>
        <v>7.8437572203174707E-3</v>
      </c>
      <c r="AH207" s="11">
        <f>+'Seat capacity elasticities'!S237</f>
        <v>1.4866089596848688E-2</v>
      </c>
      <c r="AI207" s="11">
        <f>+'Seat capacity elasticities'!T237</f>
        <v>2.1520777933001001E-2</v>
      </c>
      <c r="AJ207" s="11">
        <f>+'Seat capacity elasticities'!U237</f>
        <v>1.7604579785741866E-2</v>
      </c>
      <c r="AK207" s="32">
        <f t="shared" si="224"/>
        <v>3726065.9874373381</v>
      </c>
      <c r="AL207" s="33">
        <f t="shared" si="225"/>
        <v>7.8437572203174702E-5</v>
      </c>
      <c r="AM207" s="40">
        <f t="shared" si="226"/>
        <v>7061925.7145712618</v>
      </c>
      <c r="AN207" s="33">
        <f t="shared" si="227"/>
        <v>1.4866089596848688E-4</v>
      </c>
      <c r="AO207" s="40">
        <f t="shared" si="228"/>
        <v>20589789.079619378</v>
      </c>
      <c r="AP207" s="41">
        <f t="shared" si="229"/>
        <v>2.1520777933001001E-4</v>
      </c>
      <c r="AQ207" s="40">
        <f t="shared" si="230"/>
        <v>16843005.664210673</v>
      </c>
      <c r="AR207" s="41">
        <f t="shared" si="231"/>
        <v>1.7604579785741867E-4</v>
      </c>
      <c r="AV207" t="s">
        <v>465</v>
      </c>
      <c r="AW207">
        <v>2060968</v>
      </c>
      <c r="AX207">
        <v>1311657</v>
      </c>
      <c r="AY207" s="51">
        <v>36216.47</v>
      </c>
      <c r="AZ207" s="32">
        <f t="shared" si="210"/>
        <v>47503586390.790001</v>
      </c>
      <c r="BA207">
        <v>95674</v>
      </c>
      <c r="BB207" s="37">
        <f t="shared" si="211"/>
        <v>4.6421875545860004E-2</v>
      </c>
      <c r="BC207">
        <v>0</v>
      </c>
      <c r="BD207" s="3">
        <f t="shared" si="212"/>
        <v>0</v>
      </c>
      <c r="BE207" s="11">
        <f>+'Seat capacity elasticities'!Y237</f>
        <v>0</v>
      </c>
      <c r="BF207" s="11">
        <f>+'Seat capacity elasticities'!Z237</f>
        <v>0</v>
      </c>
      <c r="BG207" s="11">
        <f>+'Seat capacity elasticities'!AA237</f>
        <v>0</v>
      </c>
      <c r="BH207" s="11">
        <f>+'Seat capacity elasticities'!AB237</f>
        <v>0</v>
      </c>
      <c r="BI207" s="32">
        <f t="shared" si="232"/>
        <v>0</v>
      </c>
      <c r="BJ207" s="33">
        <f t="shared" si="233"/>
        <v>0</v>
      </c>
      <c r="BK207" s="40">
        <f t="shared" si="234"/>
        <v>0</v>
      </c>
      <c r="BL207" s="33">
        <f t="shared" si="235"/>
        <v>0</v>
      </c>
      <c r="BM207" s="40">
        <f t="shared" si="236"/>
        <v>0</v>
      </c>
      <c r="BN207" s="41">
        <f t="shared" si="237"/>
        <v>0</v>
      </c>
      <c r="BO207" s="40">
        <f t="shared" si="238"/>
        <v>0</v>
      </c>
      <c r="BP207" s="41">
        <f t="shared" si="239"/>
        <v>0</v>
      </c>
      <c r="BQ207" s="53"/>
      <c r="BR207" s="53"/>
      <c r="BS207" t="s">
        <v>465</v>
      </c>
      <c r="BT207">
        <v>2060968</v>
      </c>
      <c r="BU207">
        <v>1311657</v>
      </c>
      <c r="BV207" s="51">
        <v>36216.47</v>
      </c>
      <c r="BW207" s="32">
        <f t="shared" si="213"/>
        <v>47503586390.790001</v>
      </c>
      <c r="BX207">
        <v>95674</v>
      </c>
      <c r="BY207" s="37">
        <f t="shared" si="214"/>
        <v>4.6421875545860004E-2</v>
      </c>
      <c r="BZ207">
        <v>5.7920000000000003E-3</v>
      </c>
      <c r="CA207" s="3">
        <f t="shared" si="215"/>
        <v>5.7920000000000001E-5</v>
      </c>
      <c r="CB207" s="11">
        <f>+'Seat capacity elasticities'!AF237</f>
        <v>5.9662768514821387E-3</v>
      </c>
      <c r="CC207" s="11">
        <f>+'Seat capacity elasticities'!AG237</f>
        <v>4.7675504122722916E-3</v>
      </c>
      <c r="CD207" s="11">
        <f>+'Seat capacity elasticities'!AH237</f>
        <v>1.63695682567741E-2</v>
      </c>
      <c r="CE207" s="11">
        <f>+'Seat capacity elasticities'!AI237</f>
        <v>5.6457833829540293E-3</v>
      </c>
      <c r="CF207" s="32">
        <f t="shared" si="240"/>
        <v>2834195.4784575235</v>
      </c>
      <c r="CG207" s="33">
        <f t="shared" si="241"/>
        <v>5.9662768514821387E-5</v>
      </c>
      <c r="CH207" s="40">
        <f t="shared" si="242"/>
        <v>2264757.4288182328</v>
      </c>
      <c r="CI207" s="33">
        <f t="shared" si="243"/>
        <v>4.7675504122722916E-5</v>
      </c>
      <c r="CJ207" s="40">
        <f t="shared" si="244"/>
        <v>15661420.733986052</v>
      </c>
      <c r="CK207" s="41">
        <f t="shared" si="245"/>
        <v>1.6369568256774099E-4</v>
      </c>
      <c r="CL207" s="40">
        <f t="shared" si="246"/>
        <v>5401546.7938074386</v>
      </c>
      <c r="CM207" s="41">
        <f t="shared" si="247"/>
        <v>5.6457833829540298E-5</v>
      </c>
      <c r="CO207" s="70">
        <f t="shared" si="248"/>
        <v>0</v>
      </c>
      <c r="CP207" s="70">
        <f t="shared" si="249"/>
        <v>0</v>
      </c>
      <c r="CQ207" s="70">
        <f t="shared" si="250"/>
        <v>0</v>
      </c>
      <c r="CR207" s="70">
        <f t="shared" si="251"/>
        <v>0</v>
      </c>
      <c r="CS207" s="70">
        <f t="shared" si="252"/>
        <v>0</v>
      </c>
      <c r="CT207" s="70">
        <f t="shared" si="253"/>
        <v>0</v>
      </c>
      <c r="CU207" s="69">
        <f t="shared" si="254"/>
        <v>0</v>
      </c>
      <c r="CV207" s="69">
        <f t="shared" si="255"/>
        <v>0</v>
      </c>
      <c r="CW207" s="70">
        <f t="shared" si="256"/>
        <v>0</v>
      </c>
      <c r="CX207" s="69">
        <f t="shared" si="257"/>
        <v>0</v>
      </c>
      <c r="CY207" s="69">
        <f t="shared" si="258"/>
        <v>0</v>
      </c>
      <c r="CZ207" s="70">
        <f t="shared" si="259"/>
        <v>0</v>
      </c>
      <c r="DB207" s="70">
        <f t="shared" si="260"/>
        <v>2.8407319805691107</v>
      </c>
      <c r="DC207" s="70">
        <f t="shared" si="261"/>
        <v>2.1607748660339734</v>
      </c>
      <c r="DD207" s="70">
        <f t="shared" si="262"/>
        <v>5.0015068466030836</v>
      </c>
      <c r="DE207" s="70">
        <f t="shared" si="263"/>
        <v>5.3839728790158263</v>
      </c>
      <c r="DF207" s="70">
        <f t="shared" si="264"/>
        <v>1.7266384647954709</v>
      </c>
      <c r="DG207" s="70">
        <f t="shared" si="265"/>
        <v>7.1106113438112972</v>
      </c>
      <c r="DH207" s="69">
        <f t="shared" si="266"/>
        <v>15.697540652487181</v>
      </c>
      <c r="DI207" s="69">
        <f t="shared" si="267"/>
        <v>11.940180042485231</v>
      </c>
      <c r="DJ207" s="70">
        <f t="shared" si="268"/>
        <v>27.637720694972412</v>
      </c>
      <c r="DK207" s="69">
        <f t="shared" si="269"/>
        <v>12.841013820084575</v>
      </c>
      <c r="DL207" s="69">
        <f t="shared" si="270"/>
        <v>4.1181092265793868</v>
      </c>
      <c r="DM207" s="70">
        <f t="shared" si="271"/>
        <v>16.959123046663962</v>
      </c>
    </row>
    <row r="208" spans="1:117">
      <c r="A208" t="s">
        <v>466</v>
      </c>
      <c r="B208">
        <v>162099</v>
      </c>
      <c r="C208">
        <v>110144</v>
      </c>
      <c r="D208" s="51">
        <v>42682.17</v>
      </c>
      <c r="E208" s="32">
        <f t="shared" si="204"/>
        <v>4701184932.4799995</v>
      </c>
      <c r="F208">
        <v>6777</v>
      </c>
      <c r="G208" s="37">
        <f t="shared" si="205"/>
        <v>4.1807784131919386E-2</v>
      </c>
      <c r="H208">
        <v>0</v>
      </c>
      <c r="I208" s="3">
        <f t="shared" si="206"/>
        <v>0</v>
      </c>
      <c r="J208" s="11">
        <f>+'Seat capacity elasticities'!K238</f>
        <v>0</v>
      </c>
      <c r="K208" s="11">
        <f>+'Seat capacity elasticities'!L238</f>
        <v>0</v>
      </c>
      <c r="L208" s="11">
        <f>+'Seat capacity elasticities'!M238</f>
        <v>0</v>
      </c>
      <c r="M208" s="11">
        <f>+'Seat capacity elasticities'!N238</f>
        <v>0</v>
      </c>
      <c r="N208" s="32">
        <f t="shared" si="216"/>
        <v>0</v>
      </c>
      <c r="O208" s="33">
        <f t="shared" si="217"/>
        <v>0</v>
      </c>
      <c r="P208" s="40">
        <f t="shared" si="218"/>
        <v>0</v>
      </c>
      <c r="Q208" s="33">
        <f t="shared" si="219"/>
        <v>0</v>
      </c>
      <c r="R208" s="40">
        <f t="shared" si="220"/>
        <v>0</v>
      </c>
      <c r="S208" s="41">
        <f t="shared" si="221"/>
        <v>0</v>
      </c>
      <c r="T208" s="40">
        <f t="shared" si="222"/>
        <v>0</v>
      </c>
      <c r="U208" s="41">
        <f t="shared" si="223"/>
        <v>0</v>
      </c>
      <c r="V208" s="53"/>
      <c r="W208" s="53"/>
      <c r="X208" t="s">
        <v>466</v>
      </c>
      <c r="Y208">
        <v>162099</v>
      </c>
      <c r="Z208">
        <v>110144</v>
      </c>
      <c r="AA208" s="51">
        <v>42682.17</v>
      </c>
      <c r="AB208" s="32">
        <f t="shared" si="207"/>
        <v>4701184932.4799995</v>
      </c>
      <c r="AC208">
        <v>6777</v>
      </c>
      <c r="AD208" s="37">
        <f t="shared" si="208"/>
        <v>4.1807784131919386E-2</v>
      </c>
      <c r="AE208">
        <v>4.0441000000000001E-3</v>
      </c>
      <c r="AF208" s="3">
        <f t="shared" si="209"/>
        <v>4.0441000000000001E-5</v>
      </c>
      <c r="AG208" s="11">
        <f>+'Seat capacity elasticities'!R238</f>
        <v>7.3323211588332011E-3</v>
      </c>
      <c r="AH208" s="11">
        <f>+'Seat capacity elasticities'!S238</f>
        <v>1.3896776791833435E-2</v>
      </c>
      <c r="AI208" s="11">
        <f>+'Seat capacity elasticities'!T238</f>
        <v>2.0117559858170514E-2</v>
      </c>
      <c r="AJ208" s="11">
        <f>+'Seat capacity elasticities'!U238</f>
        <v>1.6456709358750123E-2</v>
      </c>
      <c r="AK208" s="32">
        <f t="shared" si="224"/>
        <v>344705.97752010939</v>
      </c>
      <c r="AL208" s="33">
        <f t="shared" si="225"/>
        <v>7.3323211588332022E-5</v>
      </c>
      <c r="AM208" s="40">
        <f t="shared" si="226"/>
        <v>653313.17663805094</v>
      </c>
      <c r="AN208" s="33">
        <f t="shared" si="227"/>
        <v>1.3896776791833435E-4</v>
      </c>
      <c r="AO208" s="40">
        <f t="shared" si="228"/>
        <v>1363367.0315882161</v>
      </c>
      <c r="AP208" s="41">
        <f t="shared" si="229"/>
        <v>2.011755985817052E-4</v>
      </c>
      <c r="AQ208" s="40">
        <f t="shared" si="230"/>
        <v>1115271.1932424959</v>
      </c>
      <c r="AR208" s="41">
        <f t="shared" si="231"/>
        <v>1.6456709358750123E-4</v>
      </c>
      <c r="AV208" t="s">
        <v>466</v>
      </c>
      <c r="AW208">
        <v>162099</v>
      </c>
      <c r="AX208">
        <v>110144</v>
      </c>
      <c r="AY208" s="51">
        <v>42682.17</v>
      </c>
      <c r="AZ208" s="32">
        <f t="shared" si="210"/>
        <v>4701184932.4799995</v>
      </c>
      <c r="BA208">
        <v>6777</v>
      </c>
      <c r="BB208" s="37">
        <f t="shared" si="211"/>
        <v>4.1807784131919386E-2</v>
      </c>
      <c r="BC208">
        <v>0</v>
      </c>
      <c r="BD208" s="3">
        <f t="shared" si="212"/>
        <v>0</v>
      </c>
      <c r="BE208" s="11">
        <f>+'Seat capacity elasticities'!Y238</f>
        <v>0</v>
      </c>
      <c r="BF208" s="11">
        <f>+'Seat capacity elasticities'!Z238</f>
        <v>0</v>
      </c>
      <c r="BG208" s="11">
        <f>+'Seat capacity elasticities'!AA238</f>
        <v>0</v>
      </c>
      <c r="BH208" s="11">
        <f>+'Seat capacity elasticities'!AB238</f>
        <v>0</v>
      </c>
      <c r="BI208" s="32">
        <f t="shared" si="232"/>
        <v>0</v>
      </c>
      <c r="BJ208" s="33">
        <f t="shared" si="233"/>
        <v>0</v>
      </c>
      <c r="BK208" s="40">
        <f t="shared" si="234"/>
        <v>0</v>
      </c>
      <c r="BL208" s="33">
        <f t="shared" si="235"/>
        <v>0</v>
      </c>
      <c r="BM208" s="40">
        <f t="shared" si="236"/>
        <v>0</v>
      </c>
      <c r="BN208" s="41">
        <f t="shared" si="237"/>
        <v>0</v>
      </c>
      <c r="BO208" s="40">
        <f t="shared" si="238"/>
        <v>0</v>
      </c>
      <c r="BP208" s="41">
        <f t="shared" si="239"/>
        <v>0</v>
      </c>
      <c r="BQ208" s="53"/>
      <c r="BR208" s="53"/>
      <c r="BS208" t="s">
        <v>466</v>
      </c>
      <c r="BT208">
        <v>162099</v>
      </c>
      <c r="BU208">
        <v>110144</v>
      </c>
      <c r="BV208" s="51">
        <v>42682.17</v>
      </c>
      <c r="BW208" s="32">
        <f t="shared" si="213"/>
        <v>4701184932.4799995</v>
      </c>
      <c r="BX208">
        <v>6777</v>
      </c>
      <c r="BY208" s="37">
        <f t="shared" si="214"/>
        <v>4.1807784131919386E-2</v>
      </c>
      <c r="BZ208">
        <v>4.0441000000000001E-3</v>
      </c>
      <c r="CA208" s="3">
        <f t="shared" si="215"/>
        <v>4.0441000000000001E-5</v>
      </c>
      <c r="CB208" s="11">
        <f>+'Seat capacity elasticities'!AF238</f>
        <v>5.2964837939982433E-2</v>
      </c>
      <c r="CC208" s="11">
        <f>+'Seat capacity elasticities'!AG238</f>
        <v>4.232330165737605E-2</v>
      </c>
      <c r="CD208" s="11">
        <f>+'Seat capacity elasticities'!AH238</f>
        <v>0.14531868893280378</v>
      </c>
      <c r="CE208" s="11">
        <f>+'Seat capacity elasticities'!AI238</f>
        <v>5.0119699331103218E-2</v>
      </c>
      <c r="CF208" s="32">
        <f t="shared" si="240"/>
        <v>2489974.9807469044</v>
      </c>
      <c r="CG208" s="33">
        <f t="shared" si="241"/>
        <v>5.2964837939982435E-4</v>
      </c>
      <c r="CH208" s="40">
        <f t="shared" si="242"/>
        <v>1989696.680444621</v>
      </c>
      <c r="CI208" s="33">
        <f t="shared" si="243"/>
        <v>4.2323301657376056E-4</v>
      </c>
      <c r="CJ208" s="40">
        <f t="shared" si="244"/>
        <v>9848247.548976114</v>
      </c>
      <c r="CK208" s="41">
        <f t="shared" si="245"/>
        <v>1.4531868893280381E-3</v>
      </c>
      <c r="CL208" s="40">
        <f t="shared" si="246"/>
        <v>3396612.0236688652</v>
      </c>
      <c r="CM208" s="41">
        <f t="shared" si="247"/>
        <v>5.0119699331103225E-4</v>
      </c>
      <c r="CO208" s="70">
        <f t="shared" si="248"/>
        <v>0</v>
      </c>
      <c r="CP208" s="70">
        <f t="shared" si="249"/>
        <v>0</v>
      </c>
      <c r="CQ208" s="70">
        <f t="shared" si="250"/>
        <v>0</v>
      </c>
      <c r="CR208" s="70">
        <f t="shared" si="251"/>
        <v>0</v>
      </c>
      <c r="CS208" s="70">
        <f t="shared" si="252"/>
        <v>0</v>
      </c>
      <c r="CT208" s="70">
        <f t="shared" si="253"/>
        <v>0</v>
      </c>
      <c r="CU208" s="69">
        <f t="shared" si="254"/>
        <v>0</v>
      </c>
      <c r="CV208" s="69">
        <f t="shared" si="255"/>
        <v>0</v>
      </c>
      <c r="CW208" s="70">
        <f t="shared" si="256"/>
        <v>0</v>
      </c>
      <c r="CX208" s="69">
        <f t="shared" si="257"/>
        <v>0</v>
      </c>
      <c r="CY208" s="69">
        <f t="shared" si="258"/>
        <v>0</v>
      </c>
      <c r="CZ208" s="70">
        <f t="shared" si="259"/>
        <v>0</v>
      </c>
      <c r="DB208" s="70">
        <f t="shared" si="260"/>
        <v>3.1295937819591568</v>
      </c>
      <c r="DC208" s="70">
        <f t="shared" si="261"/>
        <v>22.606542169767799</v>
      </c>
      <c r="DD208" s="70">
        <f t="shared" si="262"/>
        <v>25.736135951726958</v>
      </c>
      <c r="DE208" s="70">
        <f t="shared" si="263"/>
        <v>5.9314458948108921</v>
      </c>
      <c r="DF208" s="70">
        <f t="shared" si="264"/>
        <v>18.064503563014064</v>
      </c>
      <c r="DG208" s="70">
        <f t="shared" si="265"/>
        <v>23.995949457824956</v>
      </c>
      <c r="DH208" s="69">
        <f t="shared" si="266"/>
        <v>12.378041759770991</v>
      </c>
      <c r="DI208" s="69">
        <f t="shared" si="267"/>
        <v>89.412474115486219</v>
      </c>
      <c r="DJ208" s="70">
        <f t="shared" si="268"/>
        <v>101.79051587525721</v>
      </c>
      <c r="DK208" s="69">
        <f t="shared" si="269"/>
        <v>10.125573732954095</v>
      </c>
      <c r="DL208" s="69">
        <f t="shared" si="270"/>
        <v>30.837921481595593</v>
      </c>
      <c r="DM208" s="70">
        <f t="shared" si="271"/>
        <v>40.963495214549688</v>
      </c>
    </row>
    <row r="209" spans="1:117">
      <c r="A209" t="s">
        <v>999</v>
      </c>
      <c r="B209">
        <v>112945</v>
      </c>
      <c r="C209">
        <v>66169</v>
      </c>
      <c r="D209" s="51">
        <v>32536.45</v>
      </c>
      <c r="E209" s="32">
        <f t="shared" si="204"/>
        <v>2152904360.0500002</v>
      </c>
      <c r="F209">
        <v>3649</v>
      </c>
      <c r="G209" s="37">
        <f t="shared" si="205"/>
        <v>3.2307760414360974E-2</v>
      </c>
      <c r="H209">
        <v>0</v>
      </c>
      <c r="I209" s="3">
        <f t="shared" si="206"/>
        <v>0</v>
      </c>
      <c r="J209" s="11">
        <f>+'Seat capacity elasticities'!K239</f>
        <v>0</v>
      </c>
      <c r="K209" s="11">
        <f>+'Seat capacity elasticities'!L239</f>
        <v>0</v>
      </c>
      <c r="L209" s="11">
        <f>+'Seat capacity elasticities'!M239</f>
        <v>0</v>
      </c>
      <c r="M209" s="11">
        <f>+'Seat capacity elasticities'!N239</f>
        <v>0</v>
      </c>
      <c r="N209" s="32">
        <f t="shared" si="216"/>
        <v>0</v>
      </c>
      <c r="O209" s="33">
        <f t="shared" si="217"/>
        <v>0</v>
      </c>
      <c r="P209" s="40">
        <f t="shared" si="218"/>
        <v>0</v>
      </c>
      <c r="Q209" s="33">
        <f t="shared" si="219"/>
        <v>0</v>
      </c>
      <c r="R209" s="40">
        <f t="shared" si="220"/>
        <v>0</v>
      </c>
      <c r="S209" s="41">
        <f t="shared" si="221"/>
        <v>0</v>
      </c>
      <c r="T209" s="40">
        <f t="shared" si="222"/>
        <v>0</v>
      </c>
      <c r="U209" s="41">
        <f t="shared" si="223"/>
        <v>0</v>
      </c>
      <c r="V209" s="53"/>
      <c r="W209" s="53"/>
      <c r="X209" t="s">
        <v>999</v>
      </c>
      <c r="Y209">
        <v>112945</v>
      </c>
      <c r="Z209">
        <v>66169</v>
      </c>
      <c r="AA209" s="51">
        <v>32536.45</v>
      </c>
      <c r="AB209" s="32">
        <f t="shared" si="207"/>
        <v>2152904360.0500002</v>
      </c>
      <c r="AC209">
        <v>3649</v>
      </c>
      <c r="AD209" s="37">
        <f t="shared" si="208"/>
        <v>3.2307760414360974E-2</v>
      </c>
      <c r="AE209">
        <v>1.7102E-3</v>
      </c>
      <c r="AF209" s="3">
        <f t="shared" si="209"/>
        <v>1.7102E-5</v>
      </c>
      <c r="AG209" s="11">
        <f>+'Seat capacity elasticities'!R239</f>
        <v>4.222014688983448E-3</v>
      </c>
      <c r="AH209" s="11">
        <f>+'Seat capacity elasticities'!S239</f>
        <v>8.001885688539814E-3</v>
      </c>
      <c r="AI209" s="11">
        <f>+'Seat capacity elasticities'!T239</f>
        <v>1.1583867016705489E-2</v>
      </c>
      <c r="AJ209" s="11">
        <f>+'Seat capacity elasticities'!U239</f>
        <v>9.4759172627445157E-3</v>
      </c>
      <c r="AK209" s="32">
        <f t="shared" si="224"/>
        <v>90895.938321076115</v>
      </c>
      <c r="AL209" s="33">
        <f t="shared" si="225"/>
        <v>4.2220146889834483E-5</v>
      </c>
      <c r="AM209" s="40">
        <f t="shared" si="226"/>
        <v>172272.94587479063</v>
      </c>
      <c r="AN209" s="33">
        <f t="shared" si="227"/>
        <v>8.0018856885398132E-5</v>
      </c>
      <c r="AO209" s="40">
        <f t="shared" si="228"/>
        <v>422695.30743958335</v>
      </c>
      <c r="AP209" s="41">
        <f t="shared" si="229"/>
        <v>1.158386701670549E-4</v>
      </c>
      <c r="AQ209" s="40">
        <f t="shared" si="230"/>
        <v>345776.22091754741</v>
      </c>
      <c r="AR209" s="41">
        <f t="shared" si="231"/>
        <v>9.4759172627445167E-5</v>
      </c>
      <c r="AV209" t="s">
        <v>999</v>
      </c>
      <c r="AW209">
        <v>112945</v>
      </c>
      <c r="AX209">
        <v>66169</v>
      </c>
      <c r="AY209" s="51">
        <v>32536.45</v>
      </c>
      <c r="AZ209" s="32">
        <f t="shared" si="210"/>
        <v>2152904360.0500002</v>
      </c>
      <c r="BA209">
        <v>3649</v>
      </c>
      <c r="BB209" s="37">
        <f t="shared" si="211"/>
        <v>3.2307760414360974E-2</v>
      </c>
      <c r="BC209">
        <v>0</v>
      </c>
      <c r="BD209" s="3">
        <f t="shared" si="212"/>
        <v>0</v>
      </c>
      <c r="BE209" s="11">
        <f>+'Seat capacity elasticities'!Y239</f>
        <v>0</v>
      </c>
      <c r="BF209" s="11">
        <f>+'Seat capacity elasticities'!Z239</f>
        <v>0</v>
      </c>
      <c r="BG209" s="11">
        <f>+'Seat capacity elasticities'!AA239</f>
        <v>0</v>
      </c>
      <c r="BH209" s="11">
        <f>+'Seat capacity elasticities'!AB239</f>
        <v>0</v>
      </c>
      <c r="BI209" s="32">
        <f t="shared" si="232"/>
        <v>0</v>
      </c>
      <c r="BJ209" s="33">
        <f t="shared" si="233"/>
        <v>0</v>
      </c>
      <c r="BK209" s="40">
        <f t="shared" si="234"/>
        <v>0</v>
      </c>
      <c r="BL209" s="33">
        <f t="shared" si="235"/>
        <v>0</v>
      </c>
      <c r="BM209" s="40">
        <f t="shared" si="236"/>
        <v>0</v>
      </c>
      <c r="BN209" s="41">
        <f t="shared" si="237"/>
        <v>0</v>
      </c>
      <c r="BO209" s="40">
        <f t="shared" si="238"/>
        <v>0</v>
      </c>
      <c r="BP209" s="41">
        <f t="shared" si="239"/>
        <v>0</v>
      </c>
      <c r="BQ209" s="53"/>
      <c r="BR209" s="53"/>
      <c r="BS209" t="s">
        <v>999</v>
      </c>
      <c r="BT209">
        <v>112945</v>
      </c>
      <c r="BU209">
        <v>66169</v>
      </c>
      <c r="BV209" s="51">
        <v>32536.45</v>
      </c>
      <c r="BW209" s="32">
        <f t="shared" si="213"/>
        <v>2152904360.0500002</v>
      </c>
      <c r="BX209">
        <v>3649</v>
      </c>
      <c r="BY209" s="37">
        <f t="shared" si="214"/>
        <v>3.2307760414360974E-2</v>
      </c>
      <c r="BZ209">
        <v>1.7102E-3</v>
      </c>
      <c r="CA209" s="3">
        <f t="shared" si="215"/>
        <v>1.7102E-5</v>
      </c>
      <c r="CB209" s="11">
        <f>+'Seat capacity elasticities'!AF239</f>
        <v>3.2145929637854391E-2</v>
      </c>
      <c r="CC209" s="11">
        <f>+'Seat capacity elasticities'!AG239</f>
        <v>2.568726593030236E-2</v>
      </c>
      <c r="CD209" s="11">
        <f>+'Seat capacity elasticities'!AH239</f>
        <v>8.8198218500972342E-2</v>
      </c>
      <c r="CE209" s="11">
        <f>+'Seat capacity elasticities'!AI239</f>
        <v>3.0419130706937005E-2</v>
      </c>
      <c r="CF209" s="32">
        <f t="shared" si="240"/>
        <v>692071.12075197243</v>
      </c>
      <c r="CG209" s="33">
        <f t="shared" si="241"/>
        <v>3.214592963785439E-4</v>
      </c>
      <c r="CH209" s="40">
        <f t="shared" si="242"/>
        <v>553022.26819111779</v>
      </c>
      <c r="CI209" s="33">
        <f t="shared" si="243"/>
        <v>2.5687265930302364E-4</v>
      </c>
      <c r="CJ209" s="40">
        <f t="shared" si="244"/>
        <v>3218352.9931004811</v>
      </c>
      <c r="CK209" s="41">
        <f t="shared" si="245"/>
        <v>8.8198218500972348E-4</v>
      </c>
      <c r="CL209" s="40">
        <f t="shared" si="246"/>
        <v>1109994.0794961313</v>
      </c>
      <c r="CM209" s="41">
        <f t="shared" si="247"/>
        <v>3.0419130706937003E-4</v>
      </c>
      <c r="CO209" s="70">
        <f t="shared" si="248"/>
        <v>0</v>
      </c>
      <c r="CP209" s="70">
        <f t="shared" si="249"/>
        <v>0</v>
      </c>
      <c r="CQ209" s="70">
        <f t="shared" si="250"/>
        <v>0</v>
      </c>
      <c r="CR209" s="70">
        <f t="shared" si="251"/>
        <v>0</v>
      </c>
      <c r="CS209" s="70">
        <f t="shared" si="252"/>
        <v>0</v>
      </c>
      <c r="CT209" s="70">
        <f t="shared" si="253"/>
        <v>0</v>
      </c>
      <c r="CU209" s="69">
        <f t="shared" si="254"/>
        <v>0</v>
      </c>
      <c r="CV209" s="69">
        <f t="shared" si="255"/>
        <v>0</v>
      </c>
      <c r="CW209" s="70">
        <f t="shared" si="256"/>
        <v>0</v>
      </c>
      <c r="CX209" s="69">
        <f t="shared" si="257"/>
        <v>0</v>
      </c>
      <c r="CY209" s="69">
        <f t="shared" si="258"/>
        <v>0</v>
      </c>
      <c r="CZ209" s="70">
        <f t="shared" si="259"/>
        <v>0</v>
      </c>
      <c r="DB209" s="70">
        <f t="shared" si="260"/>
        <v>1.3736936982737553</v>
      </c>
      <c r="DC209" s="70">
        <f t="shared" si="261"/>
        <v>10.459144323655677</v>
      </c>
      <c r="DD209" s="70">
        <f t="shared" si="262"/>
        <v>11.832838021929431</v>
      </c>
      <c r="DE209" s="70">
        <f t="shared" si="263"/>
        <v>2.6035295361089124</v>
      </c>
      <c r="DF209" s="70">
        <f t="shared" si="264"/>
        <v>8.357724435779863</v>
      </c>
      <c r="DG209" s="70">
        <f t="shared" si="265"/>
        <v>10.961253971888775</v>
      </c>
      <c r="DH209" s="69">
        <f t="shared" si="266"/>
        <v>6.3881169042842325</v>
      </c>
      <c r="DI209" s="69">
        <f t="shared" si="267"/>
        <v>48.638380406239797</v>
      </c>
      <c r="DJ209" s="70">
        <f t="shared" si="268"/>
        <v>55.026497310524029</v>
      </c>
      <c r="DK209" s="69">
        <f t="shared" si="269"/>
        <v>5.2256528120048271</v>
      </c>
      <c r="DL209" s="69">
        <f t="shared" si="270"/>
        <v>16.775137594585551</v>
      </c>
      <c r="DM209" s="70">
        <f t="shared" si="271"/>
        <v>22.000790406590379</v>
      </c>
    </row>
    <row r="210" spans="1:117">
      <c r="A210" t="s">
        <v>467</v>
      </c>
      <c r="B210">
        <v>794778</v>
      </c>
      <c r="C210">
        <v>440871</v>
      </c>
      <c r="D210" s="51">
        <v>44984.92</v>
      </c>
      <c r="E210" s="32">
        <f t="shared" si="204"/>
        <v>19832546665.32</v>
      </c>
      <c r="F210">
        <v>30922</v>
      </c>
      <c r="G210" s="37">
        <f t="shared" si="205"/>
        <v>3.8906461930249707E-2</v>
      </c>
      <c r="H210">
        <v>0</v>
      </c>
      <c r="I210" s="3">
        <f t="shared" si="206"/>
        <v>0</v>
      </c>
      <c r="J210" s="11">
        <f>+'Seat capacity elasticities'!K240</f>
        <v>0</v>
      </c>
      <c r="K210" s="11">
        <f>+'Seat capacity elasticities'!L240</f>
        <v>0</v>
      </c>
      <c r="L210" s="11">
        <f>+'Seat capacity elasticities'!M240</f>
        <v>0</v>
      </c>
      <c r="M210" s="11">
        <f>+'Seat capacity elasticities'!N240</f>
        <v>0</v>
      </c>
      <c r="N210" s="32">
        <f t="shared" si="216"/>
        <v>0</v>
      </c>
      <c r="O210" s="33">
        <f t="shared" si="217"/>
        <v>0</v>
      </c>
      <c r="P210" s="40">
        <f t="shared" si="218"/>
        <v>0</v>
      </c>
      <c r="Q210" s="33">
        <f t="shared" si="219"/>
        <v>0</v>
      </c>
      <c r="R210" s="40">
        <f t="shared" si="220"/>
        <v>0</v>
      </c>
      <c r="S210" s="41">
        <f t="shared" si="221"/>
        <v>0</v>
      </c>
      <c r="T210" s="40">
        <f t="shared" si="222"/>
        <v>0</v>
      </c>
      <c r="U210" s="41">
        <f t="shared" si="223"/>
        <v>0</v>
      </c>
      <c r="V210" s="53"/>
      <c r="W210" s="53"/>
      <c r="X210" t="s">
        <v>467</v>
      </c>
      <c r="Y210">
        <v>794778</v>
      </c>
      <c r="Z210">
        <v>440871</v>
      </c>
      <c r="AA210" s="51">
        <v>44984.92</v>
      </c>
      <c r="AB210" s="32">
        <f t="shared" si="207"/>
        <v>19832546665.32</v>
      </c>
      <c r="AC210">
        <v>30922</v>
      </c>
      <c r="AD210" s="37">
        <f t="shared" si="208"/>
        <v>3.8906461930249707E-2</v>
      </c>
      <c r="AE210">
        <v>4.9020000000000001E-3</v>
      </c>
      <c r="AF210" s="3">
        <f t="shared" si="209"/>
        <v>4.9020000000000002E-5</v>
      </c>
      <c r="AG210" s="11">
        <f>+'Seat capacity elasticities'!R240</f>
        <v>1.2139078910094608E-2</v>
      </c>
      <c r="AH210" s="11">
        <f>+'Seat capacity elasticities'!S240</f>
        <v>2.3006912329366917E-2</v>
      </c>
      <c r="AI210" s="11">
        <f>+'Seat capacity elasticities'!T240</f>
        <v>3.3305776071017701E-2</v>
      </c>
      <c r="AJ210" s="11">
        <f>+'Seat capacity elasticities'!U240</f>
        <v>2.7245027758460823E-2</v>
      </c>
      <c r="AK210" s="32">
        <f t="shared" si="224"/>
        <v>2407488.4895845316</v>
      </c>
      <c r="AL210" s="33">
        <f t="shared" si="225"/>
        <v>1.2139078910094609E-4</v>
      </c>
      <c r="AM210" s="40">
        <f t="shared" si="226"/>
        <v>4562856.6239709547</v>
      </c>
      <c r="AN210" s="33">
        <f t="shared" si="227"/>
        <v>2.3006912329366917E-4</v>
      </c>
      <c r="AO210" s="40">
        <f t="shared" si="228"/>
        <v>10298812.076680096</v>
      </c>
      <c r="AP210" s="41">
        <f t="shared" si="229"/>
        <v>3.3305776071017708E-4</v>
      </c>
      <c r="AQ210" s="40">
        <f t="shared" si="230"/>
        <v>8424707.4834712576</v>
      </c>
      <c r="AR210" s="41">
        <f t="shared" si="231"/>
        <v>2.7245027758460828E-4</v>
      </c>
      <c r="AV210" t="s">
        <v>467</v>
      </c>
      <c r="AW210">
        <v>794778</v>
      </c>
      <c r="AX210">
        <v>440871</v>
      </c>
      <c r="AY210" s="51">
        <v>44984.92</v>
      </c>
      <c r="AZ210" s="32">
        <f t="shared" si="210"/>
        <v>19832546665.32</v>
      </c>
      <c r="BA210">
        <v>30922</v>
      </c>
      <c r="BB210" s="37">
        <f t="shared" si="211"/>
        <v>3.8906461930249707E-2</v>
      </c>
      <c r="BC210">
        <v>0</v>
      </c>
      <c r="BD210" s="3">
        <f t="shared" si="212"/>
        <v>0</v>
      </c>
      <c r="BE210" s="11">
        <f>+'Seat capacity elasticities'!Y240</f>
        <v>0</v>
      </c>
      <c r="BF210" s="11">
        <f>+'Seat capacity elasticities'!Z240</f>
        <v>0</v>
      </c>
      <c r="BG210" s="11">
        <f>+'Seat capacity elasticities'!AA240</f>
        <v>0</v>
      </c>
      <c r="BH210" s="11">
        <f>+'Seat capacity elasticities'!AB240</f>
        <v>0</v>
      </c>
      <c r="BI210" s="32">
        <f t="shared" si="232"/>
        <v>0</v>
      </c>
      <c r="BJ210" s="33">
        <f t="shared" si="233"/>
        <v>0</v>
      </c>
      <c r="BK210" s="40">
        <f t="shared" si="234"/>
        <v>0</v>
      </c>
      <c r="BL210" s="33">
        <f t="shared" si="235"/>
        <v>0</v>
      </c>
      <c r="BM210" s="40">
        <f t="shared" si="236"/>
        <v>0</v>
      </c>
      <c r="BN210" s="41">
        <f t="shared" si="237"/>
        <v>0</v>
      </c>
      <c r="BO210" s="40">
        <f t="shared" si="238"/>
        <v>0</v>
      </c>
      <c r="BP210" s="41">
        <f t="shared" si="239"/>
        <v>0</v>
      </c>
      <c r="BQ210" s="53"/>
      <c r="BR210" s="53"/>
      <c r="BS210" t="s">
        <v>467</v>
      </c>
      <c r="BT210">
        <v>794778</v>
      </c>
      <c r="BU210">
        <v>440871</v>
      </c>
      <c r="BV210" s="51">
        <v>44984.92</v>
      </c>
      <c r="BW210" s="32">
        <f t="shared" si="213"/>
        <v>19832546665.32</v>
      </c>
      <c r="BX210">
        <v>30922</v>
      </c>
      <c r="BY210" s="37">
        <f t="shared" si="214"/>
        <v>3.8906461930249707E-2</v>
      </c>
      <c r="BZ210">
        <v>4.9020000000000001E-3</v>
      </c>
      <c r="CA210" s="3">
        <f t="shared" si="215"/>
        <v>4.9020000000000002E-5</v>
      </c>
      <c r="CB210" s="11">
        <f>+'Seat capacity elasticities'!AF240</f>
        <v>1.3094037106425489E-2</v>
      </c>
      <c r="CC210" s="11">
        <f>+'Seat capacity elasticities'!AG240</f>
        <v>1.0463222468387398E-2</v>
      </c>
      <c r="CD210" s="11">
        <f>+'Seat capacity elasticities'!AH240</f>
        <v>3.5925877981528423E-2</v>
      </c>
      <c r="CE210" s="11">
        <f>+'Seat capacity elasticities'!AI240</f>
        <v>1.2390658186248236E-2</v>
      </c>
      <c r="CF210" s="32">
        <f t="shared" si="240"/>
        <v>2596881.0195061518</v>
      </c>
      <c r="CG210" s="33">
        <f t="shared" si="241"/>
        <v>1.3094037106425489E-4</v>
      </c>
      <c r="CH210" s="40">
        <f t="shared" si="242"/>
        <v>2075123.4787391778</v>
      </c>
      <c r="CI210" s="33">
        <f t="shared" si="243"/>
        <v>1.0463222468387397E-4</v>
      </c>
      <c r="CJ210" s="40">
        <f t="shared" si="244"/>
        <v>11108999.989448218</v>
      </c>
      <c r="CK210" s="41">
        <f t="shared" si="245"/>
        <v>3.5925877981528417E-4</v>
      </c>
      <c r="CL210" s="40">
        <f t="shared" si="246"/>
        <v>3831439.32435168</v>
      </c>
      <c r="CM210" s="41">
        <f t="shared" si="247"/>
        <v>1.2390658186248237E-4</v>
      </c>
      <c r="CO210" s="70">
        <f t="shared" si="248"/>
        <v>0</v>
      </c>
      <c r="CP210" s="70">
        <f t="shared" si="249"/>
        <v>0</v>
      </c>
      <c r="CQ210" s="70">
        <f t="shared" si="250"/>
        <v>0</v>
      </c>
      <c r="CR210" s="70">
        <f t="shared" si="251"/>
        <v>0</v>
      </c>
      <c r="CS210" s="70">
        <f t="shared" si="252"/>
        <v>0</v>
      </c>
      <c r="CT210" s="70">
        <f t="shared" si="253"/>
        <v>0</v>
      </c>
      <c r="CU210" s="69">
        <f t="shared" si="254"/>
        <v>0</v>
      </c>
      <c r="CV210" s="69">
        <f t="shared" si="255"/>
        <v>0</v>
      </c>
      <c r="CW210" s="70">
        <f t="shared" si="256"/>
        <v>0</v>
      </c>
      <c r="CX210" s="69">
        <f t="shared" si="257"/>
        <v>0</v>
      </c>
      <c r="CY210" s="69">
        <f t="shared" si="258"/>
        <v>0</v>
      </c>
      <c r="CZ210" s="70">
        <f t="shared" si="259"/>
        <v>0</v>
      </c>
      <c r="DB210" s="70">
        <f t="shared" si="260"/>
        <v>5.4607549364429318</v>
      </c>
      <c r="DC210" s="70">
        <f t="shared" si="261"/>
        <v>5.8903421170958215</v>
      </c>
      <c r="DD210" s="70">
        <f t="shared" si="262"/>
        <v>11.351097053538753</v>
      </c>
      <c r="DE210" s="70">
        <f t="shared" si="263"/>
        <v>10.349641105835845</v>
      </c>
      <c r="DF210" s="70">
        <f t="shared" si="264"/>
        <v>4.7068722568260961</v>
      </c>
      <c r="DG210" s="70">
        <f t="shared" si="265"/>
        <v>15.056513362661942</v>
      </c>
      <c r="DH210" s="69">
        <f t="shared" si="266"/>
        <v>23.360148607370629</v>
      </c>
      <c r="DI210" s="69">
        <f t="shared" si="267"/>
        <v>25.197846965321414</v>
      </c>
      <c r="DJ210" s="70">
        <f t="shared" si="268"/>
        <v>48.557995572692043</v>
      </c>
      <c r="DK210" s="69">
        <f t="shared" si="269"/>
        <v>19.109234863420951</v>
      </c>
      <c r="DL210" s="69">
        <f t="shared" si="270"/>
        <v>8.6906131824313242</v>
      </c>
      <c r="DM210" s="70">
        <f t="shared" si="271"/>
        <v>27.799848045852276</v>
      </c>
    </row>
    <row r="211" spans="1:117">
      <c r="A211" t="s">
        <v>468</v>
      </c>
      <c r="B211">
        <v>536314</v>
      </c>
      <c r="C211">
        <v>281209</v>
      </c>
      <c r="D211" s="51">
        <v>37999.870000000003</v>
      </c>
      <c r="E211" s="32">
        <f t="shared" si="204"/>
        <v>10685905442.83</v>
      </c>
      <c r="F211">
        <v>14950</v>
      </c>
      <c r="G211" s="37">
        <f t="shared" si="205"/>
        <v>2.7875461017239901E-2</v>
      </c>
      <c r="H211">
        <v>0</v>
      </c>
      <c r="I211" s="3">
        <f t="shared" si="206"/>
        <v>0</v>
      </c>
      <c r="J211" s="11">
        <f>+'Seat capacity elasticities'!K241</f>
        <v>0</v>
      </c>
      <c r="K211" s="11">
        <f>+'Seat capacity elasticities'!L241</f>
        <v>0</v>
      </c>
      <c r="L211" s="11">
        <f>+'Seat capacity elasticities'!M241</f>
        <v>0</v>
      </c>
      <c r="M211" s="11">
        <f>+'Seat capacity elasticities'!N241</f>
        <v>0</v>
      </c>
      <c r="N211" s="32">
        <f t="shared" si="216"/>
        <v>0</v>
      </c>
      <c r="O211" s="33">
        <f t="shared" si="217"/>
        <v>0</v>
      </c>
      <c r="P211" s="40">
        <f t="shared" si="218"/>
        <v>0</v>
      </c>
      <c r="Q211" s="33">
        <f t="shared" si="219"/>
        <v>0</v>
      </c>
      <c r="R211" s="40">
        <f t="shared" si="220"/>
        <v>0</v>
      </c>
      <c r="S211" s="41">
        <f t="shared" si="221"/>
        <v>0</v>
      </c>
      <c r="T211" s="40">
        <f t="shared" si="222"/>
        <v>0</v>
      </c>
      <c r="U211" s="41">
        <f t="shared" si="223"/>
        <v>0</v>
      </c>
      <c r="V211" s="53"/>
      <c r="W211" s="53"/>
      <c r="X211" t="s">
        <v>468</v>
      </c>
      <c r="Y211">
        <v>536314</v>
      </c>
      <c r="Z211">
        <v>281209</v>
      </c>
      <c r="AA211" s="51">
        <v>37999.870000000003</v>
      </c>
      <c r="AB211" s="32">
        <f t="shared" si="207"/>
        <v>10685905442.83</v>
      </c>
      <c r="AC211">
        <v>14950</v>
      </c>
      <c r="AD211" s="37">
        <f t="shared" si="208"/>
        <v>2.7875461017239901E-2</v>
      </c>
      <c r="AE211">
        <v>1.5904999999999999E-3</v>
      </c>
      <c r="AF211" s="3">
        <f t="shared" si="209"/>
        <v>1.5904999999999998E-5</v>
      </c>
      <c r="AG211" s="11">
        <f>+'Seat capacity elasticities'!R241</f>
        <v>7.2429881571008338E-3</v>
      </c>
      <c r="AH211" s="11">
        <f>+'Seat capacity elasticities'!S241</f>
        <v>1.3727466043118672E-2</v>
      </c>
      <c r="AI211" s="11">
        <f>+'Seat capacity elasticities'!T241</f>
        <v>1.9872458481576295E-2</v>
      </c>
      <c r="AJ211" s="11">
        <f>+'Seat capacity elasticities'!U241</f>
        <v>1.6256209787903691E-2</v>
      </c>
      <c r="AK211" s="32">
        <f t="shared" si="224"/>
        <v>773978.86570317042</v>
      </c>
      <c r="AL211" s="33">
        <f t="shared" si="225"/>
        <v>7.2429881571008353E-5</v>
      </c>
      <c r="AM211" s="40">
        <f t="shared" si="226"/>
        <v>1466904.0410642584</v>
      </c>
      <c r="AN211" s="33">
        <f t="shared" si="227"/>
        <v>1.3727466043118674E-4</v>
      </c>
      <c r="AO211" s="40">
        <f t="shared" si="228"/>
        <v>2970932.5429956559</v>
      </c>
      <c r="AP211" s="41">
        <f t="shared" si="229"/>
        <v>1.9872458481576293E-4</v>
      </c>
      <c r="AQ211" s="40">
        <f t="shared" si="230"/>
        <v>2430303.3632916021</v>
      </c>
      <c r="AR211" s="41">
        <f t="shared" si="231"/>
        <v>1.6256209787903695E-4</v>
      </c>
      <c r="AV211" t="s">
        <v>468</v>
      </c>
      <c r="AW211">
        <v>536314</v>
      </c>
      <c r="AX211">
        <v>281209</v>
      </c>
      <c r="AY211" s="51">
        <v>37999.870000000003</v>
      </c>
      <c r="AZ211" s="32">
        <f t="shared" si="210"/>
        <v>10685905442.83</v>
      </c>
      <c r="BA211">
        <v>14950</v>
      </c>
      <c r="BB211" s="37">
        <f t="shared" si="211"/>
        <v>2.7875461017239901E-2</v>
      </c>
      <c r="BC211">
        <v>0</v>
      </c>
      <c r="BD211" s="3">
        <f t="shared" si="212"/>
        <v>0</v>
      </c>
      <c r="BE211" s="11">
        <f>+'Seat capacity elasticities'!Y241</f>
        <v>0</v>
      </c>
      <c r="BF211" s="11">
        <f>+'Seat capacity elasticities'!Z241</f>
        <v>0</v>
      </c>
      <c r="BG211" s="11">
        <f>+'Seat capacity elasticities'!AA241</f>
        <v>0</v>
      </c>
      <c r="BH211" s="11">
        <f>+'Seat capacity elasticities'!AB241</f>
        <v>0</v>
      </c>
      <c r="BI211" s="32">
        <f t="shared" si="232"/>
        <v>0</v>
      </c>
      <c r="BJ211" s="33">
        <f t="shared" si="233"/>
        <v>0</v>
      </c>
      <c r="BK211" s="40">
        <f t="shared" si="234"/>
        <v>0</v>
      </c>
      <c r="BL211" s="33">
        <f t="shared" si="235"/>
        <v>0</v>
      </c>
      <c r="BM211" s="40">
        <f t="shared" si="236"/>
        <v>0</v>
      </c>
      <c r="BN211" s="41">
        <f t="shared" si="237"/>
        <v>0</v>
      </c>
      <c r="BO211" s="40">
        <f t="shared" si="238"/>
        <v>0</v>
      </c>
      <c r="BP211" s="41">
        <f t="shared" si="239"/>
        <v>0</v>
      </c>
      <c r="BQ211" s="53"/>
      <c r="BR211" s="53"/>
      <c r="BS211" t="s">
        <v>468</v>
      </c>
      <c r="BT211">
        <v>536314</v>
      </c>
      <c r="BU211">
        <v>281209</v>
      </c>
      <c r="BV211" s="51">
        <v>37999.870000000003</v>
      </c>
      <c r="BW211" s="32">
        <f t="shared" si="213"/>
        <v>10685905442.83</v>
      </c>
      <c r="BX211">
        <v>14950</v>
      </c>
      <c r="BY211" s="37">
        <f t="shared" si="214"/>
        <v>2.7875461017239901E-2</v>
      </c>
      <c r="BZ211">
        <v>1.5904999999999999E-3</v>
      </c>
      <c r="CA211" s="3">
        <f t="shared" si="215"/>
        <v>1.5904999999999998E-5</v>
      </c>
      <c r="CB211" s="11">
        <f>+'Seat capacity elasticities'!AF241</f>
        <v>6.2959408165262501E-3</v>
      </c>
      <c r="CC211" s="11">
        <f>+'Seat capacity elasticities'!AG241</f>
        <v>5.0309792828361743E-3</v>
      </c>
      <c r="CD211" s="11">
        <f>+'Seat capacity elasticities'!AH241</f>
        <v>1.7274061446064803E-2</v>
      </c>
      <c r="CE211" s="11">
        <f>+'Seat capacity elasticities'!AI241</f>
        <v>5.9577386244112594E-3</v>
      </c>
      <c r="CF211" s="32">
        <f t="shared" si="240"/>
        <v>672778.28239053418</v>
      </c>
      <c r="CG211" s="33">
        <f t="shared" si="241"/>
        <v>6.2959408165262512E-5</v>
      </c>
      <c r="CH211" s="40">
        <f t="shared" si="242"/>
        <v>537605.6890122405</v>
      </c>
      <c r="CI211" s="33">
        <f t="shared" si="243"/>
        <v>5.0309792828361748E-5</v>
      </c>
      <c r="CJ211" s="40">
        <f t="shared" si="244"/>
        <v>2582472.186186688</v>
      </c>
      <c r="CK211" s="41">
        <f t="shared" si="245"/>
        <v>1.7274061446064803E-4</v>
      </c>
      <c r="CL211" s="40">
        <f t="shared" si="246"/>
        <v>890681.92434948334</v>
      </c>
      <c r="CM211" s="41">
        <f t="shared" si="247"/>
        <v>5.9577386244112596E-5</v>
      </c>
      <c r="CO211" s="70">
        <f t="shared" si="248"/>
        <v>0</v>
      </c>
      <c r="CP211" s="70">
        <f t="shared" si="249"/>
        <v>0</v>
      </c>
      <c r="CQ211" s="70">
        <f t="shared" si="250"/>
        <v>0</v>
      </c>
      <c r="CR211" s="70">
        <f t="shared" si="251"/>
        <v>0</v>
      </c>
      <c r="CS211" s="70">
        <f t="shared" si="252"/>
        <v>0</v>
      </c>
      <c r="CT211" s="70">
        <f t="shared" si="253"/>
        <v>0</v>
      </c>
      <c r="CU211" s="69">
        <f t="shared" si="254"/>
        <v>0</v>
      </c>
      <c r="CV211" s="69">
        <f t="shared" si="255"/>
        <v>0</v>
      </c>
      <c r="CW211" s="70">
        <f t="shared" si="256"/>
        <v>0</v>
      </c>
      <c r="CX211" s="69">
        <f t="shared" si="257"/>
        <v>0</v>
      </c>
      <c r="CY211" s="69">
        <f t="shared" si="258"/>
        <v>0</v>
      </c>
      <c r="CZ211" s="70">
        <f t="shared" si="259"/>
        <v>0</v>
      </c>
      <c r="DB211" s="70">
        <f t="shared" si="260"/>
        <v>2.7523260838137129</v>
      </c>
      <c r="DC211" s="70">
        <f t="shared" si="261"/>
        <v>2.3924493255569139</v>
      </c>
      <c r="DD211" s="70">
        <f t="shared" si="262"/>
        <v>5.1447754093706273</v>
      </c>
      <c r="DE211" s="70">
        <f t="shared" si="263"/>
        <v>5.2164192506792402</v>
      </c>
      <c r="DF211" s="70">
        <f t="shared" si="264"/>
        <v>1.9117655872046788</v>
      </c>
      <c r="DG211" s="70">
        <f t="shared" si="265"/>
        <v>7.1281848378839188</v>
      </c>
      <c r="DH211" s="69">
        <f t="shared" si="266"/>
        <v>10.564855829634386</v>
      </c>
      <c r="DI211" s="69">
        <f t="shared" si="267"/>
        <v>9.1834620733571395</v>
      </c>
      <c r="DJ211" s="70">
        <f t="shared" si="268"/>
        <v>19.748317902991523</v>
      </c>
      <c r="DK211" s="69">
        <f t="shared" si="269"/>
        <v>8.6423384859360901</v>
      </c>
      <c r="DL211" s="69">
        <f t="shared" si="270"/>
        <v>3.1673307907978883</v>
      </c>
      <c r="DM211" s="70">
        <f t="shared" si="271"/>
        <v>11.809669276733977</v>
      </c>
    </row>
    <row r="212" spans="1:117">
      <c r="A212" t="s">
        <v>469</v>
      </c>
      <c r="B212">
        <v>163802</v>
      </c>
      <c r="C212">
        <v>101769</v>
      </c>
      <c r="D212" s="51">
        <v>32162.14</v>
      </c>
      <c r="E212" s="32">
        <f t="shared" si="204"/>
        <v>3273108825.6599998</v>
      </c>
      <c r="F212">
        <v>5009</v>
      </c>
      <c r="G212" s="37">
        <f t="shared" si="205"/>
        <v>3.0579602202659307E-2</v>
      </c>
      <c r="H212">
        <v>0</v>
      </c>
      <c r="I212" s="3">
        <f t="shared" si="206"/>
        <v>0</v>
      </c>
      <c r="J212" s="11">
        <f>+'Seat capacity elasticities'!K242</f>
        <v>0</v>
      </c>
      <c r="K212" s="11">
        <f>+'Seat capacity elasticities'!L242</f>
        <v>0</v>
      </c>
      <c r="L212" s="11">
        <f>+'Seat capacity elasticities'!M242</f>
        <v>0</v>
      </c>
      <c r="M212" s="11">
        <f>+'Seat capacity elasticities'!N242</f>
        <v>0</v>
      </c>
      <c r="N212" s="32">
        <f t="shared" si="216"/>
        <v>0</v>
      </c>
      <c r="O212" s="33">
        <f t="shared" si="217"/>
        <v>0</v>
      </c>
      <c r="P212" s="40">
        <f t="shared" si="218"/>
        <v>0</v>
      </c>
      <c r="Q212" s="33">
        <f t="shared" si="219"/>
        <v>0</v>
      </c>
      <c r="R212" s="40">
        <f t="shared" si="220"/>
        <v>0</v>
      </c>
      <c r="S212" s="41">
        <f t="shared" si="221"/>
        <v>0</v>
      </c>
      <c r="T212" s="40">
        <f t="shared" si="222"/>
        <v>0</v>
      </c>
      <c r="U212" s="41">
        <f t="shared" si="223"/>
        <v>0</v>
      </c>
      <c r="V212" s="53"/>
      <c r="W212" s="53"/>
      <c r="X212" t="s">
        <v>469</v>
      </c>
      <c r="Y212">
        <v>163802</v>
      </c>
      <c r="Z212">
        <v>101769</v>
      </c>
      <c r="AA212" s="51">
        <v>32162.14</v>
      </c>
      <c r="AB212" s="32">
        <f t="shared" si="207"/>
        <v>3273108825.6599998</v>
      </c>
      <c r="AC212">
        <v>5009</v>
      </c>
      <c r="AD212" s="37">
        <f t="shared" si="208"/>
        <v>3.0579602202659307E-2</v>
      </c>
      <c r="AE212">
        <v>2.0024000000000001E-3</v>
      </c>
      <c r="AF212" s="3">
        <f t="shared" si="209"/>
        <v>2.0024E-5</v>
      </c>
      <c r="AG212" s="11">
        <f>+'Seat capacity elasticities'!R242</f>
        <v>5.544451627546583E-3</v>
      </c>
      <c r="AH212" s="11">
        <f>+'Seat capacity elasticities'!S242</f>
        <v>1.05082694868474E-2</v>
      </c>
      <c r="AI212" s="11">
        <f>+'Seat capacity elasticities'!T242</f>
        <v>1.5212213851752358E-2</v>
      </c>
      <c r="AJ212" s="11">
        <f>+'Seat capacity elasticities'!U242</f>
        <v>1.2444003339687711E-2</v>
      </c>
      <c r="AK212" s="32">
        <f t="shared" si="224"/>
        <v>181475.93555567673</v>
      </c>
      <c r="AL212" s="33">
        <f t="shared" si="225"/>
        <v>5.5444516275465832E-5</v>
      </c>
      <c r="AM212" s="40">
        <f t="shared" si="226"/>
        <v>343947.09599813906</v>
      </c>
      <c r="AN212" s="33">
        <f t="shared" si="227"/>
        <v>1.0508269486847401E-4</v>
      </c>
      <c r="AO212" s="40">
        <f t="shared" si="228"/>
        <v>761979.7918342757</v>
      </c>
      <c r="AP212" s="41">
        <f t="shared" si="229"/>
        <v>1.521221385175236E-4</v>
      </c>
      <c r="AQ212" s="40">
        <f t="shared" si="230"/>
        <v>623320.12728495745</v>
      </c>
      <c r="AR212" s="41">
        <f t="shared" si="231"/>
        <v>1.2444003339687711E-4</v>
      </c>
      <c r="AV212" t="s">
        <v>469</v>
      </c>
      <c r="AW212">
        <v>163802</v>
      </c>
      <c r="AX212">
        <v>101769</v>
      </c>
      <c r="AY212" s="51">
        <v>32162.14</v>
      </c>
      <c r="AZ212" s="32">
        <f t="shared" si="210"/>
        <v>3273108825.6599998</v>
      </c>
      <c r="BA212">
        <v>5009</v>
      </c>
      <c r="BB212" s="37">
        <f t="shared" si="211"/>
        <v>3.0579602202659307E-2</v>
      </c>
      <c r="BC212">
        <v>0</v>
      </c>
      <c r="BD212" s="3">
        <f t="shared" si="212"/>
        <v>0</v>
      </c>
      <c r="BE212" s="11">
        <f>+'Seat capacity elasticities'!Y242</f>
        <v>0</v>
      </c>
      <c r="BF212" s="11">
        <f>+'Seat capacity elasticities'!Z242</f>
        <v>0</v>
      </c>
      <c r="BG212" s="11">
        <f>+'Seat capacity elasticities'!AA242</f>
        <v>0</v>
      </c>
      <c r="BH212" s="11">
        <f>+'Seat capacity elasticities'!AB242</f>
        <v>0</v>
      </c>
      <c r="BI212" s="32">
        <f t="shared" si="232"/>
        <v>0</v>
      </c>
      <c r="BJ212" s="33">
        <f t="shared" si="233"/>
        <v>0</v>
      </c>
      <c r="BK212" s="40">
        <f t="shared" si="234"/>
        <v>0</v>
      </c>
      <c r="BL212" s="33">
        <f t="shared" si="235"/>
        <v>0</v>
      </c>
      <c r="BM212" s="40">
        <f t="shared" si="236"/>
        <v>0</v>
      </c>
      <c r="BN212" s="41">
        <f t="shared" si="237"/>
        <v>0</v>
      </c>
      <c r="BO212" s="40">
        <f t="shared" si="238"/>
        <v>0</v>
      </c>
      <c r="BP212" s="41">
        <f t="shared" si="239"/>
        <v>0</v>
      </c>
      <c r="BQ212" s="53"/>
      <c r="BR212" s="53"/>
      <c r="BS212" t="s">
        <v>469</v>
      </c>
      <c r="BT212">
        <v>163802</v>
      </c>
      <c r="BU212">
        <v>101769</v>
      </c>
      <c r="BV212" s="51">
        <v>32162.14</v>
      </c>
      <c r="BW212" s="32">
        <f t="shared" si="213"/>
        <v>3273108825.6599998</v>
      </c>
      <c r="BX212">
        <v>5009</v>
      </c>
      <c r="BY212" s="37">
        <f t="shared" si="214"/>
        <v>3.0579602202659307E-2</v>
      </c>
      <c r="BZ212">
        <v>2.0024000000000001E-3</v>
      </c>
      <c r="CA212" s="3">
        <f t="shared" si="215"/>
        <v>2.0024E-5</v>
      </c>
      <c r="CB212" s="11">
        <f>+'Seat capacity elasticities'!AF242</f>
        <v>2.5952412405972868E-2</v>
      </c>
      <c r="CC212" s="11">
        <f>+'Seat capacity elasticities'!AG242</f>
        <v>2.0738131592874326E-2</v>
      </c>
      <c r="CD212" s="11">
        <f>+'Seat capacity elasticities'!AH242</f>
        <v>7.1205174832272136E-2</v>
      </c>
      <c r="CE212" s="11">
        <f>+'Seat capacity elasticities'!AI242</f>
        <v>2.4558313728403808E-2</v>
      </c>
      <c r="CF212" s="32">
        <f t="shared" si="240"/>
        <v>849450.70093157864</v>
      </c>
      <c r="CG212" s="33">
        <f t="shared" si="241"/>
        <v>2.5952412405972865E-4</v>
      </c>
      <c r="CH212" s="40">
        <f t="shared" si="242"/>
        <v>678781.61544335436</v>
      </c>
      <c r="CI212" s="33">
        <f t="shared" si="243"/>
        <v>2.0738131592874329E-4</v>
      </c>
      <c r="CJ212" s="40">
        <f t="shared" si="244"/>
        <v>3566667.2073485111</v>
      </c>
      <c r="CK212" s="41">
        <f t="shared" si="245"/>
        <v>7.1205174832272128E-4</v>
      </c>
      <c r="CL212" s="40">
        <f t="shared" si="246"/>
        <v>1230125.9346557464</v>
      </c>
      <c r="CM212" s="41">
        <f t="shared" si="247"/>
        <v>2.4558313728403804E-4</v>
      </c>
      <c r="CO212" s="70">
        <f t="shared" si="248"/>
        <v>0</v>
      </c>
      <c r="CP212" s="70">
        <f t="shared" si="249"/>
        <v>0</v>
      </c>
      <c r="CQ212" s="70">
        <f t="shared" si="250"/>
        <v>0</v>
      </c>
      <c r="CR212" s="70">
        <f t="shared" si="251"/>
        <v>0</v>
      </c>
      <c r="CS212" s="70">
        <f t="shared" si="252"/>
        <v>0</v>
      </c>
      <c r="CT212" s="70">
        <f t="shared" si="253"/>
        <v>0</v>
      </c>
      <c r="CU212" s="69">
        <f t="shared" si="254"/>
        <v>0</v>
      </c>
      <c r="CV212" s="69">
        <f t="shared" si="255"/>
        <v>0</v>
      </c>
      <c r="CW212" s="70">
        <f t="shared" si="256"/>
        <v>0</v>
      </c>
      <c r="CX212" s="69">
        <f t="shared" si="257"/>
        <v>0</v>
      </c>
      <c r="CY212" s="69">
        <f t="shared" si="258"/>
        <v>0</v>
      </c>
      <c r="CZ212" s="70">
        <f t="shared" si="259"/>
        <v>0</v>
      </c>
      <c r="DB212" s="70">
        <f t="shared" si="260"/>
        <v>1.7832142946838105</v>
      </c>
      <c r="DC212" s="70">
        <f t="shared" si="261"/>
        <v>8.3468512113863618</v>
      </c>
      <c r="DD212" s="70">
        <f t="shared" si="262"/>
        <v>10.130065506070173</v>
      </c>
      <c r="DE212" s="70">
        <f t="shared" si="263"/>
        <v>3.3796843439371425</v>
      </c>
      <c r="DF212" s="70">
        <f t="shared" si="264"/>
        <v>6.669826916284471</v>
      </c>
      <c r="DG212" s="70">
        <f t="shared" si="265"/>
        <v>10.049511260221614</v>
      </c>
      <c r="DH212" s="69">
        <f t="shared" si="266"/>
        <v>7.4873467542598995</v>
      </c>
      <c r="DI212" s="69">
        <f t="shared" si="267"/>
        <v>35.046696020875821</v>
      </c>
      <c r="DJ212" s="70">
        <f t="shared" si="268"/>
        <v>42.534042775135717</v>
      </c>
      <c r="DK212" s="69">
        <f t="shared" si="269"/>
        <v>6.1248526298279184</v>
      </c>
      <c r="DL212" s="69">
        <f t="shared" si="270"/>
        <v>12.087432662753358</v>
      </c>
      <c r="DM212" s="70">
        <f t="shared" si="271"/>
        <v>18.212285292581278</v>
      </c>
    </row>
    <row r="213" spans="1:117">
      <c r="A213" t="s">
        <v>1000</v>
      </c>
      <c r="B213">
        <v>160921</v>
      </c>
      <c r="C213">
        <v>91382</v>
      </c>
      <c r="D213" s="51">
        <v>31874.94</v>
      </c>
      <c r="E213" s="32">
        <f t="shared" si="204"/>
        <v>2912795767.0799999</v>
      </c>
      <c r="F213">
        <v>4890</v>
      </c>
      <c r="G213" s="37">
        <f t="shared" si="205"/>
        <v>3.038758148408225E-2</v>
      </c>
      <c r="H213">
        <v>0</v>
      </c>
      <c r="I213" s="3">
        <f t="shared" si="206"/>
        <v>0</v>
      </c>
      <c r="J213" s="11">
        <f>+'Seat capacity elasticities'!K243</f>
        <v>0</v>
      </c>
      <c r="K213" s="11">
        <f>+'Seat capacity elasticities'!L243</f>
        <v>0</v>
      </c>
      <c r="L213" s="11">
        <f>+'Seat capacity elasticities'!M243</f>
        <v>0</v>
      </c>
      <c r="M213" s="11">
        <f>+'Seat capacity elasticities'!N243</f>
        <v>0</v>
      </c>
      <c r="N213" s="32">
        <f t="shared" si="216"/>
        <v>0</v>
      </c>
      <c r="O213" s="33">
        <f t="shared" si="217"/>
        <v>0</v>
      </c>
      <c r="P213" s="40">
        <f t="shared" si="218"/>
        <v>0</v>
      </c>
      <c r="Q213" s="33">
        <f t="shared" si="219"/>
        <v>0</v>
      </c>
      <c r="R213" s="40">
        <f t="shared" si="220"/>
        <v>0</v>
      </c>
      <c r="S213" s="41">
        <f t="shared" si="221"/>
        <v>0</v>
      </c>
      <c r="T213" s="40">
        <f t="shared" si="222"/>
        <v>0</v>
      </c>
      <c r="U213" s="41">
        <f t="shared" si="223"/>
        <v>0</v>
      </c>
      <c r="V213" s="53"/>
      <c r="W213" s="53"/>
      <c r="X213" t="s">
        <v>1000</v>
      </c>
      <c r="Y213">
        <v>160921</v>
      </c>
      <c r="Z213">
        <v>91382</v>
      </c>
      <c r="AA213" s="51">
        <v>31874.94</v>
      </c>
      <c r="AB213" s="32">
        <f t="shared" si="207"/>
        <v>2912795767.0799999</v>
      </c>
      <c r="AC213">
        <v>4890</v>
      </c>
      <c r="AD213" s="37">
        <f t="shared" si="208"/>
        <v>3.038758148408225E-2</v>
      </c>
      <c r="AE213">
        <v>1.6343E-3</v>
      </c>
      <c r="AF213" s="3">
        <f t="shared" si="209"/>
        <v>1.6342999999999999E-5</v>
      </c>
      <c r="AG213" s="11">
        <f>+'Seat capacity elasticities'!R243</f>
        <v>4.2311562784892306E-3</v>
      </c>
      <c r="AH213" s="11">
        <f>+'Seat capacity elasticities'!S243</f>
        <v>8.0192115293114472E-3</v>
      </c>
      <c r="AI213" s="11">
        <f>+'Seat capacity elasticities'!T243</f>
        <v>1.1608948634122077E-2</v>
      </c>
      <c r="AJ213" s="11">
        <f>+'Seat capacity elasticities'!U243</f>
        <v>9.4964347057635567E-3</v>
      </c>
      <c r="AK213" s="32">
        <f t="shared" si="224"/>
        <v>123244.94097837397</v>
      </c>
      <c r="AL213" s="33">
        <f t="shared" si="225"/>
        <v>4.2311562784892306E-5</v>
      </c>
      <c r="AM213" s="40">
        <f t="shared" si="226"/>
        <v>233583.25397897518</v>
      </c>
      <c r="AN213" s="33">
        <f t="shared" si="227"/>
        <v>8.0192115293114473E-5</v>
      </c>
      <c r="AO213" s="40">
        <f t="shared" si="228"/>
        <v>567677.58820856956</v>
      </c>
      <c r="AP213" s="41">
        <f t="shared" si="229"/>
        <v>1.1608948634122076E-4</v>
      </c>
      <c r="AQ213" s="40">
        <f t="shared" si="230"/>
        <v>464375.65711183794</v>
      </c>
      <c r="AR213" s="41">
        <f t="shared" si="231"/>
        <v>9.4964347057635567E-5</v>
      </c>
      <c r="AV213" t="s">
        <v>1000</v>
      </c>
      <c r="AW213">
        <v>160921</v>
      </c>
      <c r="AX213">
        <v>91382</v>
      </c>
      <c r="AY213" s="51">
        <v>31874.94</v>
      </c>
      <c r="AZ213" s="32">
        <f t="shared" si="210"/>
        <v>2912795767.0799999</v>
      </c>
      <c r="BA213">
        <v>4890</v>
      </c>
      <c r="BB213" s="37">
        <f t="shared" si="211"/>
        <v>3.038758148408225E-2</v>
      </c>
      <c r="BC213">
        <v>0</v>
      </c>
      <c r="BD213" s="3">
        <f t="shared" si="212"/>
        <v>0</v>
      </c>
      <c r="BE213" s="11">
        <f>+'Seat capacity elasticities'!Y243</f>
        <v>0</v>
      </c>
      <c r="BF213" s="11">
        <f>+'Seat capacity elasticities'!Z243</f>
        <v>0</v>
      </c>
      <c r="BG213" s="11">
        <f>+'Seat capacity elasticities'!AA243</f>
        <v>0</v>
      </c>
      <c r="BH213" s="11">
        <f>+'Seat capacity elasticities'!AB243</f>
        <v>0</v>
      </c>
      <c r="BI213" s="32">
        <f t="shared" si="232"/>
        <v>0</v>
      </c>
      <c r="BJ213" s="33">
        <f t="shared" si="233"/>
        <v>0</v>
      </c>
      <c r="BK213" s="40">
        <f t="shared" si="234"/>
        <v>0</v>
      </c>
      <c r="BL213" s="33">
        <f t="shared" si="235"/>
        <v>0</v>
      </c>
      <c r="BM213" s="40">
        <f t="shared" si="236"/>
        <v>0</v>
      </c>
      <c r="BN213" s="41">
        <f t="shared" si="237"/>
        <v>0</v>
      </c>
      <c r="BO213" s="40">
        <f t="shared" si="238"/>
        <v>0</v>
      </c>
      <c r="BP213" s="41">
        <f t="shared" si="239"/>
        <v>0</v>
      </c>
      <c r="BQ213" s="53"/>
      <c r="BR213" s="53"/>
      <c r="BS213" t="s">
        <v>1000</v>
      </c>
      <c r="BT213">
        <v>160921</v>
      </c>
      <c r="BU213">
        <v>91382</v>
      </c>
      <c r="BV213" s="51">
        <v>31874.94</v>
      </c>
      <c r="BW213" s="32">
        <f t="shared" si="213"/>
        <v>2912795767.0799999</v>
      </c>
      <c r="BX213">
        <v>4890</v>
      </c>
      <c r="BY213" s="37">
        <f t="shared" si="214"/>
        <v>3.038758148408225E-2</v>
      </c>
      <c r="BZ213">
        <v>1.6343E-3</v>
      </c>
      <c r="CA213" s="3">
        <f t="shared" si="215"/>
        <v>1.6342999999999999E-5</v>
      </c>
      <c r="CB213" s="11">
        <f>+'Seat capacity elasticities'!AF243</f>
        <v>2.1560814118370353E-2</v>
      </c>
      <c r="CC213" s="11">
        <f>+'Seat capacity elasticities'!AG243</f>
        <v>1.7228880053299447E-2</v>
      </c>
      <c r="CD213" s="11">
        <f>+'Seat capacity elasticities'!AH243</f>
        <v>5.9156024295889779E-2</v>
      </c>
      <c r="CE213" s="11">
        <f>+'Seat capacity elasticities'!AI243</f>
        <v>2.0402621115749347E-2</v>
      </c>
      <c r="CF213" s="32">
        <f t="shared" si="240"/>
        <v>628022.48098787863</v>
      </c>
      <c r="CG213" s="33">
        <f t="shared" si="241"/>
        <v>2.1560814118370354E-4</v>
      </c>
      <c r="CH213" s="40">
        <f t="shared" si="242"/>
        <v>501842.08890779671</v>
      </c>
      <c r="CI213" s="33">
        <f t="shared" si="243"/>
        <v>1.7228880053299445E-4</v>
      </c>
      <c r="CJ213" s="40">
        <f t="shared" si="244"/>
        <v>2892729.5880690101</v>
      </c>
      <c r="CK213" s="41">
        <f t="shared" si="245"/>
        <v>5.9156024295889777E-4</v>
      </c>
      <c r="CL213" s="40">
        <f t="shared" si="246"/>
        <v>997688.17256014282</v>
      </c>
      <c r="CM213" s="41">
        <f t="shared" si="247"/>
        <v>2.040262111574934E-4</v>
      </c>
      <c r="CO213" s="70">
        <f t="shared" si="248"/>
        <v>0</v>
      </c>
      <c r="CP213" s="70">
        <f t="shared" si="249"/>
        <v>0</v>
      </c>
      <c r="CQ213" s="70">
        <f t="shared" si="250"/>
        <v>0</v>
      </c>
      <c r="CR213" s="70">
        <f t="shared" si="251"/>
        <v>0</v>
      </c>
      <c r="CS213" s="70">
        <f t="shared" si="252"/>
        <v>0</v>
      </c>
      <c r="CT213" s="70">
        <f t="shared" si="253"/>
        <v>0</v>
      </c>
      <c r="CU213" s="69">
        <f t="shared" si="254"/>
        <v>0</v>
      </c>
      <c r="CV213" s="69">
        <f t="shared" si="255"/>
        <v>0</v>
      </c>
      <c r="CW213" s="70">
        <f t="shared" si="256"/>
        <v>0</v>
      </c>
      <c r="CX213" s="69">
        <f t="shared" si="257"/>
        <v>0</v>
      </c>
      <c r="CY213" s="69">
        <f t="shared" si="258"/>
        <v>0</v>
      </c>
      <c r="CZ213" s="70">
        <f t="shared" si="259"/>
        <v>0</v>
      </c>
      <c r="DB213" s="70">
        <f t="shared" si="260"/>
        <v>1.3486785250746751</v>
      </c>
      <c r="DC213" s="70">
        <f t="shared" si="261"/>
        <v>6.8724965637420787</v>
      </c>
      <c r="DD213" s="70">
        <f t="shared" si="262"/>
        <v>8.2211750888167536</v>
      </c>
      <c r="DE213" s="70">
        <f t="shared" si="263"/>
        <v>2.5561188634411063</v>
      </c>
      <c r="DF213" s="70">
        <f t="shared" si="264"/>
        <v>5.4916951796611668</v>
      </c>
      <c r="DG213" s="70">
        <f t="shared" si="265"/>
        <v>8.0478140431022727</v>
      </c>
      <c r="DH213" s="69">
        <f t="shared" si="266"/>
        <v>6.2121379287887066</v>
      </c>
      <c r="DI213" s="69">
        <f t="shared" si="267"/>
        <v>31.655354315609312</v>
      </c>
      <c r="DJ213" s="70">
        <f t="shared" si="268"/>
        <v>37.867492244398022</v>
      </c>
      <c r="DK213" s="69">
        <f t="shared" si="269"/>
        <v>5.0816972391919411</v>
      </c>
      <c r="DL213" s="69">
        <f t="shared" si="270"/>
        <v>10.917775629337756</v>
      </c>
      <c r="DM213" s="70">
        <f t="shared" si="271"/>
        <v>15.999472868529697</v>
      </c>
    </row>
    <row r="214" spans="1:117">
      <c r="A214" t="s">
        <v>470</v>
      </c>
      <c r="B214">
        <v>453132</v>
      </c>
      <c r="C214">
        <v>230530</v>
      </c>
      <c r="D214" s="51">
        <v>31701.14</v>
      </c>
      <c r="E214" s="32">
        <f t="shared" si="204"/>
        <v>7308063804.1999998</v>
      </c>
      <c r="F214">
        <v>9925</v>
      </c>
      <c r="G214" s="37">
        <f t="shared" si="205"/>
        <v>2.1903109910577933E-2</v>
      </c>
      <c r="H214">
        <v>0</v>
      </c>
      <c r="I214" s="3">
        <f t="shared" si="206"/>
        <v>0</v>
      </c>
      <c r="J214" s="11">
        <f>+'Seat capacity elasticities'!K244</f>
        <v>0</v>
      </c>
      <c r="K214" s="11">
        <f>+'Seat capacity elasticities'!L244</f>
        <v>0</v>
      </c>
      <c r="L214" s="11">
        <f>+'Seat capacity elasticities'!M244</f>
        <v>0</v>
      </c>
      <c r="M214" s="11">
        <f>+'Seat capacity elasticities'!N244</f>
        <v>0</v>
      </c>
      <c r="N214" s="32">
        <f t="shared" si="216"/>
        <v>0</v>
      </c>
      <c r="O214" s="33">
        <f t="shared" si="217"/>
        <v>0</v>
      </c>
      <c r="P214" s="40">
        <f t="shared" si="218"/>
        <v>0</v>
      </c>
      <c r="Q214" s="33">
        <f t="shared" si="219"/>
        <v>0</v>
      </c>
      <c r="R214" s="40">
        <f t="shared" si="220"/>
        <v>0</v>
      </c>
      <c r="S214" s="41">
        <f t="shared" si="221"/>
        <v>0</v>
      </c>
      <c r="T214" s="40">
        <f t="shared" si="222"/>
        <v>0</v>
      </c>
      <c r="U214" s="41">
        <f t="shared" si="223"/>
        <v>0</v>
      </c>
      <c r="V214" s="53"/>
      <c r="W214" s="53"/>
      <c r="X214" t="s">
        <v>470</v>
      </c>
      <c r="Y214">
        <v>453132</v>
      </c>
      <c r="Z214">
        <v>230530</v>
      </c>
      <c r="AA214" s="51">
        <v>31701.14</v>
      </c>
      <c r="AB214" s="32">
        <f t="shared" si="207"/>
        <v>7308063804.1999998</v>
      </c>
      <c r="AC214">
        <v>9925</v>
      </c>
      <c r="AD214" s="37">
        <f t="shared" si="208"/>
        <v>2.1903109910577933E-2</v>
      </c>
      <c r="AE214">
        <v>3.0821999999999998E-3</v>
      </c>
      <c r="AF214" s="3">
        <f t="shared" si="209"/>
        <v>3.0821999999999997E-5</v>
      </c>
      <c r="AG214" s="11">
        <f>+'Seat capacity elasticities'!R244</f>
        <v>4.8723777256137408E-3</v>
      </c>
      <c r="AH214" s="11">
        <f>+'Seat capacity elasticities'!S244</f>
        <v>9.2345035400945279E-3</v>
      </c>
      <c r="AI214" s="11">
        <f>+'Seat capacity elasticities'!T244</f>
        <v>1.336825657569113E-2</v>
      </c>
      <c r="AJ214" s="11">
        <f>+'Seat capacity elasticities'!U244</f>
        <v>1.0935596297480362E-2</v>
      </c>
      <c r="AK214" s="32">
        <f t="shared" si="224"/>
        <v>356076.47296948096</v>
      </c>
      <c r="AL214" s="33">
        <f t="shared" si="225"/>
        <v>4.872377725613741E-5</v>
      </c>
      <c r="AM214" s="40">
        <f t="shared" si="226"/>
        <v>674863.41071121581</v>
      </c>
      <c r="AN214" s="33">
        <f t="shared" si="227"/>
        <v>9.2345035400945275E-5</v>
      </c>
      <c r="AO214" s="40">
        <f t="shared" si="228"/>
        <v>1326799.4651373448</v>
      </c>
      <c r="AP214" s="41">
        <f t="shared" si="229"/>
        <v>1.3368256575691133E-4</v>
      </c>
      <c r="AQ214" s="40">
        <f t="shared" si="230"/>
        <v>1085357.932524926</v>
      </c>
      <c r="AR214" s="41">
        <f t="shared" si="231"/>
        <v>1.0935596297480363E-4</v>
      </c>
      <c r="AV214" t="s">
        <v>470</v>
      </c>
      <c r="AW214">
        <v>453132</v>
      </c>
      <c r="AX214">
        <v>230530</v>
      </c>
      <c r="AY214" s="51">
        <v>31701.14</v>
      </c>
      <c r="AZ214" s="32">
        <f t="shared" si="210"/>
        <v>7308063804.1999998</v>
      </c>
      <c r="BA214">
        <v>9925</v>
      </c>
      <c r="BB214" s="37">
        <f t="shared" si="211"/>
        <v>2.1903109910577933E-2</v>
      </c>
      <c r="BC214">
        <v>0</v>
      </c>
      <c r="BD214" s="3">
        <f t="shared" si="212"/>
        <v>0</v>
      </c>
      <c r="BE214" s="11">
        <f>+'Seat capacity elasticities'!Y244</f>
        <v>0</v>
      </c>
      <c r="BF214" s="11">
        <f>+'Seat capacity elasticities'!Z244</f>
        <v>0</v>
      </c>
      <c r="BG214" s="11">
        <f>+'Seat capacity elasticities'!AA244</f>
        <v>0</v>
      </c>
      <c r="BH214" s="11">
        <f>+'Seat capacity elasticities'!AB244</f>
        <v>0</v>
      </c>
      <c r="BI214" s="32">
        <f t="shared" si="232"/>
        <v>0</v>
      </c>
      <c r="BJ214" s="33">
        <f t="shared" si="233"/>
        <v>0</v>
      </c>
      <c r="BK214" s="40">
        <f t="shared" si="234"/>
        <v>0</v>
      </c>
      <c r="BL214" s="33">
        <f t="shared" si="235"/>
        <v>0</v>
      </c>
      <c r="BM214" s="40">
        <f t="shared" si="236"/>
        <v>0</v>
      </c>
      <c r="BN214" s="41">
        <f t="shared" si="237"/>
        <v>0</v>
      </c>
      <c r="BO214" s="40">
        <f t="shared" si="238"/>
        <v>0</v>
      </c>
      <c r="BP214" s="41">
        <f t="shared" si="239"/>
        <v>0</v>
      </c>
      <c r="BQ214" s="53"/>
      <c r="BR214" s="53"/>
      <c r="BS214" t="s">
        <v>470</v>
      </c>
      <c r="BT214">
        <v>453132</v>
      </c>
      <c r="BU214">
        <v>230530</v>
      </c>
      <c r="BV214" s="51">
        <v>31701.14</v>
      </c>
      <c r="BW214" s="32">
        <f t="shared" si="213"/>
        <v>7308063804.1999998</v>
      </c>
      <c r="BX214">
        <v>9925</v>
      </c>
      <c r="BY214" s="37">
        <f t="shared" si="214"/>
        <v>2.1903109910577933E-2</v>
      </c>
      <c r="BZ214">
        <v>3.0821999999999998E-3</v>
      </c>
      <c r="CA214" s="3">
        <f t="shared" si="215"/>
        <v>3.0821999999999997E-5</v>
      </c>
      <c r="CB214" s="11">
        <f>+'Seat capacity elasticities'!AF244</f>
        <v>1.4440498327548049E-2</v>
      </c>
      <c r="CC214" s="11">
        <f>+'Seat capacity elasticities'!AG244</f>
        <v>1.1539156741916263E-2</v>
      </c>
      <c r="CD214" s="11">
        <f>+'Seat capacity elasticities'!AH244</f>
        <v>3.9620139815655299E-2</v>
      </c>
      <c r="CE214" s="11">
        <f>+'Seat capacity elasticities'!AI244</f>
        <v>1.3664790878585048E-2</v>
      </c>
      <c r="CF214" s="32">
        <f t="shared" si="240"/>
        <v>1055320.8314216454</v>
      </c>
      <c r="CG214" s="33">
        <f t="shared" si="241"/>
        <v>1.4440498327548051E-4</v>
      </c>
      <c r="CH214" s="40">
        <f t="shared" si="242"/>
        <v>843288.9371658864</v>
      </c>
      <c r="CI214" s="33">
        <f t="shared" si="243"/>
        <v>1.1539156741916263E-4</v>
      </c>
      <c r="CJ214" s="40">
        <f t="shared" si="244"/>
        <v>3932298.8767037885</v>
      </c>
      <c r="CK214" s="41">
        <f t="shared" si="245"/>
        <v>3.9620139815655303E-4</v>
      </c>
      <c r="CL214" s="40">
        <f t="shared" si="246"/>
        <v>1356230.4946995657</v>
      </c>
      <c r="CM214" s="41">
        <f t="shared" si="247"/>
        <v>1.3664790878585047E-4</v>
      </c>
      <c r="CO214" s="70">
        <f t="shared" si="248"/>
        <v>0</v>
      </c>
      <c r="CP214" s="70">
        <f t="shared" si="249"/>
        <v>0</v>
      </c>
      <c r="CQ214" s="70">
        <f t="shared" si="250"/>
        <v>0</v>
      </c>
      <c r="CR214" s="70">
        <f t="shared" si="251"/>
        <v>0</v>
      </c>
      <c r="CS214" s="70">
        <f t="shared" si="252"/>
        <v>0</v>
      </c>
      <c r="CT214" s="70">
        <f t="shared" si="253"/>
        <v>0</v>
      </c>
      <c r="CU214" s="69">
        <f t="shared" si="254"/>
        <v>0</v>
      </c>
      <c r="CV214" s="69">
        <f t="shared" si="255"/>
        <v>0</v>
      </c>
      <c r="CW214" s="70">
        <f t="shared" si="256"/>
        <v>0</v>
      </c>
      <c r="CX214" s="69">
        <f t="shared" si="257"/>
        <v>0</v>
      </c>
      <c r="CY214" s="69">
        <f t="shared" si="258"/>
        <v>0</v>
      </c>
      <c r="CZ214" s="70">
        <f t="shared" si="259"/>
        <v>0</v>
      </c>
      <c r="DB214" s="70">
        <f t="shared" si="260"/>
        <v>1.5445992841256277</v>
      </c>
      <c r="DC214" s="70">
        <f t="shared" si="261"/>
        <v>4.5778025915136658</v>
      </c>
      <c r="DD214" s="70">
        <f t="shared" si="262"/>
        <v>6.1224018756392935</v>
      </c>
      <c r="DE214" s="70">
        <f t="shared" si="263"/>
        <v>2.9274428955503224</v>
      </c>
      <c r="DF214" s="70">
        <f t="shared" si="264"/>
        <v>3.6580442335743131</v>
      </c>
      <c r="DG214" s="70">
        <f t="shared" si="265"/>
        <v>6.5854871291246351</v>
      </c>
      <c r="DH214" s="69">
        <f t="shared" si="266"/>
        <v>5.7554308122038123</v>
      </c>
      <c r="DI214" s="69">
        <f t="shared" si="267"/>
        <v>17.057644890920002</v>
      </c>
      <c r="DJ214" s="70">
        <f t="shared" si="268"/>
        <v>22.813075703123815</v>
      </c>
      <c r="DK214" s="69">
        <f t="shared" si="269"/>
        <v>4.7080984363203315</v>
      </c>
      <c r="DL214" s="69">
        <f t="shared" si="270"/>
        <v>5.883097621565808</v>
      </c>
      <c r="DM214" s="70">
        <f t="shared" si="271"/>
        <v>10.59119605788614</v>
      </c>
    </row>
    <row r="215" spans="1:117">
      <c r="A215" t="s">
        <v>471</v>
      </c>
      <c r="B215">
        <v>372638</v>
      </c>
      <c r="C215">
        <v>234083</v>
      </c>
      <c r="D215" s="51">
        <v>42859.7</v>
      </c>
      <c r="E215" s="32">
        <f t="shared" si="204"/>
        <v>10032727155.099998</v>
      </c>
      <c r="F215">
        <v>16036</v>
      </c>
      <c r="G215" s="37">
        <f t="shared" si="205"/>
        <v>4.3033721735303433E-2</v>
      </c>
      <c r="H215">
        <v>0</v>
      </c>
      <c r="I215" s="3">
        <f t="shared" si="206"/>
        <v>0</v>
      </c>
      <c r="J215" s="11">
        <f>+'Seat capacity elasticities'!K245</f>
        <v>0</v>
      </c>
      <c r="K215" s="11">
        <f>+'Seat capacity elasticities'!L245</f>
        <v>0</v>
      </c>
      <c r="L215" s="11">
        <f>+'Seat capacity elasticities'!M245</f>
        <v>0</v>
      </c>
      <c r="M215" s="11">
        <f>+'Seat capacity elasticities'!N245</f>
        <v>0</v>
      </c>
      <c r="N215" s="32">
        <f t="shared" si="216"/>
        <v>0</v>
      </c>
      <c r="O215" s="33">
        <f t="shared" si="217"/>
        <v>0</v>
      </c>
      <c r="P215" s="40">
        <f t="shared" si="218"/>
        <v>0</v>
      </c>
      <c r="Q215" s="33">
        <f t="shared" si="219"/>
        <v>0</v>
      </c>
      <c r="R215" s="40">
        <f t="shared" si="220"/>
        <v>0</v>
      </c>
      <c r="S215" s="41">
        <f t="shared" si="221"/>
        <v>0</v>
      </c>
      <c r="T215" s="40">
        <f t="shared" si="222"/>
        <v>0</v>
      </c>
      <c r="U215" s="41">
        <f t="shared" si="223"/>
        <v>0</v>
      </c>
      <c r="V215" s="53"/>
      <c r="W215" s="53"/>
      <c r="X215" t="s">
        <v>471</v>
      </c>
      <c r="Y215">
        <v>372638</v>
      </c>
      <c r="Z215">
        <v>234083</v>
      </c>
      <c r="AA215" s="51">
        <v>42859.7</v>
      </c>
      <c r="AB215" s="32">
        <f t="shared" si="207"/>
        <v>10032727155.099998</v>
      </c>
      <c r="AC215">
        <v>16036</v>
      </c>
      <c r="AD215" s="37">
        <f t="shared" si="208"/>
        <v>4.3033721735303433E-2</v>
      </c>
      <c r="AE215">
        <v>4.803E-3</v>
      </c>
      <c r="AF215" s="3">
        <f t="shared" si="209"/>
        <v>4.8029999999999999E-5</v>
      </c>
      <c r="AG215" s="11">
        <f>+'Seat capacity elasticities'!R245</f>
        <v>1.0607133421948575E-2</v>
      </c>
      <c r="AH215" s="11">
        <f>+'Seat capacity elasticities'!S245</f>
        <v>2.0103451877368724E-2</v>
      </c>
      <c r="AI215" s="11">
        <f>+'Seat capacity elasticities'!T245</f>
        <v>2.9102604334588146E-2</v>
      </c>
      <c r="AJ215" s="11">
        <f>+'Seat capacity elasticities'!U245</f>
        <v>2.3806719328462962E-2</v>
      </c>
      <c r="AK215" s="32">
        <f t="shared" si="224"/>
        <v>1064184.7552015223</v>
      </c>
      <c r="AL215" s="33">
        <f t="shared" si="225"/>
        <v>1.0607133421948574E-4</v>
      </c>
      <c r="AM215" s="40">
        <f t="shared" si="226"/>
        <v>2016924.4756132325</v>
      </c>
      <c r="AN215" s="33">
        <f t="shared" si="227"/>
        <v>2.0103451877368726E-4</v>
      </c>
      <c r="AO215" s="40">
        <f t="shared" si="228"/>
        <v>4666893.6310945554</v>
      </c>
      <c r="AP215" s="41">
        <f t="shared" si="229"/>
        <v>2.9102604334588146E-4</v>
      </c>
      <c r="AQ215" s="40">
        <f t="shared" si="230"/>
        <v>3817645.5115123205</v>
      </c>
      <c r="AR215" s="41">
        <f t="shared" si="231"/>
        <v>2.380671932846296E-4</v>
      </c>
      <c r="AV215" t="s">
        <v>471</v>
      </c>
      <c r="AW215">
        <v>372638</v>
      </c>
      <c r="AX215">
        <v>234083</v>
      </c>
      <c r="AY215" s="51">
        <v>42859.7</v>
      </c>
      <c r="AZ215" s="32">
        <f t="shared" si="210"/>
        <v>10032727155.099998</v>
      </c>
      <c r="BA215">
        <v>16036</v>
      </c>
      <c r="BB215" s="37">
        <f t="shared" si="211"/>
        <v>4.3033721735303433E-2</v>
      </c>
      <c r="BC215">
        <v>0</v>
      </c>
      <c r="BD215" s="3">
        <f t="shared" si="212"/>
        <v>0</v>
      </c>
      <c r="BE215" s="11">
        <f>+'Seat capacity elasticities'!Y245</f>
        <v>0</v>
      </c>
      <c r="BF215" s="11">
        <f>+'Seat capacity elasticities'!Z245</f>
        <v>0</v>
      </c>
      <c r="BG215" s="11">
        <f>+'Seat capacity elasticities'!AA245</f>
        <v>0</v>
      </c>
      <c r="BH215" s="11">
        <f>+'Seat capacity elasticities'!AB245</f>
        <v>0</v>
      </c>
      <c r="BI215" s="32">
        <f t="shared" si="232"/>
        <v>0</v>
      </c>
      <c r="BJ215" s="33">
        <f t="shared" si="233"/>
        <v>0</v>
      </c>
      <c r="BK215" s="40">
        <f t="shared" si="234"/>
        <v>0</v>
      </c>
      <c r="BL215" s="33">
        <f t="shared" si="235"/>
        <v>0</v>
      </c>
      <c r="BM215" s="40">
        <f t="shared" si="236"/>
        <v>0</v>
      </c>
      <c r="BN215" s="41">
        <f t="shared" si="237"/>
        <v>0</v>
      </c>
      <c r="BO215" s="40">
        <f t="shared" si="238"/>
        <v>0</v>
      </c>
      <c r="BP215" s="41">
        <f t="shared" si="239"/>
        <v>0</v>
      </c>
      <c r="BQ215" s="53"/>
      <c r="BR215" s="53"/>
      <c r="BS215" t="s">
        <v>471</v>
      </c>
      <c r="BT215">
        <v>372638</v>
      </c>
      <c r="BU215">
        <v>234083</v>
      </c>
      <c r="BV215" s="51">
        <v>42859.7</v>
      </c>
      <c r="BW215" s="32">
        <f t="shared" si="213"/>
        <v>10032727155.099998</v>
      </c>
      <c r="BX215">
        <v>16036</v>
      </c>
      <c r="BY215" s="37">
        <f t="shared" si="214"/>
        <v>4.3033721735303433E-2</v>
      </c>
      <c r="BZ215">
        <v>4.803E-3</v>
      </c>
      <c r="CA215" s="3">
        <f t="shared" si="215"/>
        <v>4.8029999999999999E-5</v>
      </c>
      <c r="CB215" s="11">
        <f>+'Seat capacity elasticities'!AF245</f>
        <v>2.7363493549208508E-2</v>
      </c>
      <c r="CC215" s="11">
        <f>+'Seat capacity elasticities'!AG245</f>
        <v>2.1865702547700448E-2</v>
      </c>
      <c r="CD215" s="11">
        <f>+'Seat capacity elasticities'!AH245</f>
        <v>7.507673320360457E-2</v>
      </c>
      <c r="CE215" s="11">
        <f>+'Seat capacity elasticities'!AI245</f>
        <v>2.5893595122276847E-2</v>
      </c>
      <c r="CF215" s="32">
        <f t="shared" si="240"/>
        <v>2745304.6478954782</v>
      </c>
      <c r="CG215" s="33">
        <f t="shared" si="241"/>
        <v>2.7363493549208509E-4</v>
      </c>
      <c r="CH215" s="40">
        <f t="shared" si="242"/>
        <v>2193726.2771565351</v>
      </c>
      <c r="CI215" s="33">
        <f t="shared" si="243"/>
        <v>2.1865702547700449E-4</v>
      </c>
      <c r="CJ215" s="40">
        <f t="shared" si="244"/>
        <v>12039304.936530029</v>
      </c>
      <c r="CK215" s="41">
        <f t="shared" si="245"/>
        <v>7.5076733203604574E-4</v>
      </c>
      <c r="CL215" s="40">
        <f t="shared" si="246"/>
        <v>4152296.9138083151</v>
      </c>
      <c r="CM215" s="41">
        <f t="shared" si="247"/>
        <v>2.5893595122276843E-4</v>
      </c>
      <c r="CO215" s="70">
        <f t="shared" si="248"/>
        <v>0</v>
      </c>
      <c r="CP215" s="70">
        <f t="shared" si="249"/>
        <v>0</v>
      </c>
      <c r="CQ215" s="70">
        <f t="shared" si="250"/>
        <v>0</v>
      </c>
      <c r="CR215" s="70">
        <f t="shared" si="251"/>
        <v>0</v>
      </c>
      <c r="CS215" s="70">
        <f t="shared" si="252"/>
        <v>0</v>
      </c>
      <c r="CT215" s="70">
        <f t="shared" si="253"/>
        <v>0</v>
      </c>
      <c r="CU215" s="69">
        <f t="shared" si="254"/>
        <v>0</v>
      </c>
      <c r="CV215" s="69">
        <f t="shared" si="255"/>
        <v>0</v>
      </c>
      <c r="CW215" s="70">
        <f t="shared" si="256"/>
        <v>0</v>
      </c>
      <c r="CX215" s="69">
        <f t="shared" si="257"/>
        <v>0</v>
      </c>
      <c r="CY215" s="69">
        <f t="shared" si="258"/>
        <v>0</v>
      </c>
      <c r="CZ215" s="70">
        <f t="shared" si="259"/>
        <v>0</v>
      </c>
      <c r="DB215" s="70">
        <f t="shared" si="260"/>
        <v>4.5461855632468922</v>
      </c>
      <c r="DC215" s="70">
        <f t="shared" si="261"/>
        <v>11.727911244710116</v>
      </c>
      <c r="DD215" s="70">
        <f t="shared" si="262"/>
        <v>16.274096807957008</v>
      </c>
      <c r="DE215" s="70">
        <f t="shared" si="263"/>
        <v>8.6162791642846024</v>
      </c>
      <c r="DF215" s="70">
        <f t="shared" si="264"/>
        <v>9.3715745148367677</v>
      </c>
      <c r="DG215" s="70">
        <f t="shared" si="265"/>
        <v>17.987853679121372</v>
      </c>
      <c r="DH215" s="69">
        <f t="shared" si="266"/>
        <v>19.93691823453457</v>
      </c>
      <c r="DI215" s="69">
        <f t="shared" si="267"/>
        <v>51.431778200595637</v>
      </c>
      <c r="DJ215" s="70">
        <f t="shared" si="268"/>
        <v>71.368696435130204</v>
      </c>
      <c r="DK215" s="69">
        <f t="shared" si="269"/>
        <v>16.308939613352191</v>
      </c>
      <c r="DL215" s="69">
        <f t="shared" si="270"/>
        <v>17.738566721241249</v>
      </c>
      <c r="DM215" s="70">
        <f t="shared" si="271"/>
        <v>34.047506334593436</v>
      </c>
    </row>
    <row r="216" spans="1:117">
      <c r="A216" t="s">
        <v>312</v>
      </c>
      <c r="B216">
        <v>5940496</v>
      </c>
      <c r="C216">
        <v>3532815</v>
      </c>
      <c r="D216" s="51">
        <v>48715.18</v>
      </c>
      <c r="E216" s="32">
        <f t="shared" si="204"/>
        <v>172101718631.70001</v>
      </c>
      <c r="F216">
        <v>303279</v>
      </c>
      <c r="G216" s="37">
        <f t="shared" si="205"/>
        <v>5.1052807711679297E-2</v>
      </c>
      <c r="H216">
        <v>1.3748099999999999E-2</v>
      </c>
      <c r="I216" s="3">
        <f t="shared" si="206"/>
        <v>1.3748100000000001E-4</v>
      </c>
      <c r="J216" s="11">
        <f>+'Seat capacity elasticities'!K246</f>
        <v>1.2194315453905921E-2</v>
      </c>
      <c r="K216" s="11">
        <f>+'Seat capacity elasticities'!L246</f>
        <v>6.0506647168958344E-2</v>
      </c>
      <c r="L216" s="11">
        <f>+'Seat capacity elasticities'!M246</f>
        <v>3.3457327599164255E-2</v>
      </c>
      <c r="M216" s="11">
        <f>+'Seat capacity elasticities'!N246</f>
        <v>7.1652608489555944E-2</v>
      </c>
      <c r="N216" s="32">
        <f t="shared" si="216"/>
        <v>20986626.471543081</v>
      </c>
      <c r="O216" s="33">
        <f t="shared" si="217"/>
        <v>1.2194315453905921E-4</v>
      </c>
      <c r="P216" s="40">
        <f t="shared" si="218"/>
        <v>104132979.66419618</v>
      </c>
      <c r="Q216" s="33">
        <f t="shared" si="219"/>
        <v>6.0506647168958347E-4</v>
      </c>
      <c r="R216" s="40">
        <f t="shared" si="220"/>
        <v>101469048.56946938</v>
      </c>
      <c r="S216" s="41">
        <f t="shared" si="221"/>
        <v>3.3457327599164264E-4</v>
      </c>
      <c r="T216" s="40">
        <f t="shared" si="222"/>
        <v>217307314.5010404</v>
      </c>
      <c r="U216" s="41">
        <f t="shared" si="223"/>
        <v>7.1652608489555954E-4</v>
      </c>
      <c r="V216" s="53"/>
      <c r="W216" s="53"/>
      <c r="X216" t="s">
        <v>312</v>
      </c>
      <c r="Y216">
        <v>5940496</v>
      </c>
      <c r="Z216">
        <v>3532815</v>
      </c>
      <c r="AA216" s="51">
        <v>48715.18</v>
      </c>
      <c r="AB216" s="32">
        <f t="shared" si="207"/>
        <v>172101718631.70001</v>
      </c>
      <c r="AC216">
        <v>303279</v>
      </c>
      <c r="AD216" s="37">
        <f t="shared" si="208"/>
        <v>5.1052807711679297E-2</v>
      </c>
      <c r="AE216">
        <v>1.1127099999999999E-2</v>
      </c>
      <c r="AF216" s="3">
        <f t="shared" si="209"/>
        <v>1.11271E-4</v>
      </c>
      <c r="AG216" s="11">
        <f>+'Seat capacity elasticities'!R246</f>
        <v>9.0731297010552322E-3</v>
      </c>
      <c r="AH216" s="11">
        <f>+'Seat capacity elasticities'!S246</f>
        <v>1.7196090504985925E-2</v>
      </c>
      <c r="AI216" s="11">
        <f>+'Seat capacity elasticities'!T246</f>
        <v>2.4893785461378975E-2</v>
      </c>
      <c r="AJ216" s="11">
        <f>+'Seat capacity elasticities'!U246</f>
        <v>2.0363791387483333E-2</v>
      </c>
      <c r="AK216" s="32">
        <f t="shared" si="224"/>
        <v>15615012.149199281</v>
      </c>
      <c r="AL216" s="33">
        <f t="shared" si="225"/>
        <v>9.0731297010552325E-5</v>
      </c>
      <c r="AM216" s="40">
        <f t="shared" si="226"/>
        <v>29594767.29654336</v>
      </c>
      <c r="AN216" s="33">
        <f t="shared" si="227"/>
        <v>1.7196090504985925E-4</v>
      </c>
      <c r="AO216" s="40">
        <f t="shared" si="228"/>
        <v>75497623.609415546</v>
      </c>
      <c r="AP216" s="41">
        <f t="shared" si="229"/>
        <v>2.4893785461378975E-4</v>
      </c>
      <c r="AQ216" s="40">
        <f t="shared" si="230"/>
        <v>61759102.882045582</v>
      </c>
      <c r="AR216" s="41">
        <f t="shared" si="231"/>
        <v>2.0363791387483334E-4</v>
      </c>
      <c r="AV216" t="s">
        <v>312</v>
      </c>
      <c r="AW216">
        <v>5940496</v>
      </c>
      <c r="AX216">
        <v>3532815</v>
      </c>
      <c r="AY216" s="51">
        <v>48715.18</v>
      </c>
      <c r="AZ216" s="32">
        <f t="shared" si="210"/>
        <v>172101718631.70001</v>
      </c>
      <c r="BA216">
        <v>303279</v>
      </c>
      <c r="BB216" s="37">
        <f t="shared" si="211"/>
        <v>5.1052807711679297E-2</v>
      </c>
      <c r="BC216">
        <v>1.3748099999999999E-2</v>
      </c>
      <c r="BD216" s="3">
        <f t="shared" si="212"/>
        <v>1.3748100000000001E-4</v>
      </c>
      <c r="BE216" s="11">
        <f>+'Seat capacity elasticities'!Y246</f>
        <v>4.6809145139181593E-2</v>
      </c>
      <c r="BF216" s="11">
        <f>+'Seat capacity elasticities'!Z246</f>
        <v>0.12768799267086894</v>
      </c>
      <c r="BG216" s="11">
        <f>+'Seat capacity elasticities'!AA246</f>
        <v>0.12842942348656322</v>
      </c>
      <c r="BH216" s="11">
        <f>+'Seat capacity elasticities'!AB246</f>
        <v>0.1512094650049764</v>
      </c>
      <c r="BI216" s="32">
        <f t="shared" si="232"/>
        <v>80559343.261338383</v>
      </c>
      <c r="BJ216" s="33">
        <f t="shared" si="233"/>
        <v>4.6809145139181592E-4</v>
      </c>
      <c r="BK216" s="40">
        <f t="shared" si="234"/>
        <v>219753229.8728846</v>
      </c>
      <c r="BL216" s="33">
        <f t="shared" si="235"/>
        <v>1.2768799267086895E-3</v>
      </c>
      <c r="BM216" s="40">
        <f t="shared" si="236"/>
        <v>389499471.25581414</v>
      </c>
      <c r="BN216" s="41">
        <f t="shared" si="237"/>
        <v>1.2842942348656324E-3</v>
      </c>
      <c r="BO216" s="40">
        <f t="shared" si="238"/>
        <v>458586553.37244236</v>
      </c>
      <c r="BP216" s="41">
        <f t="shared" si="239"/>
        <v>1.5120946500497639E-3</v>
      </c>
      <c r="BQ216" s="53"/>
      <c r="BR216" s="53"/>
      <c r="BS216" t="s">
        <v>312</v>
      </c>
      <c r="BT216">
        <v>5940496</v>
      </c>
      <c r="BU216">
        <v>3532815</v>
      </c>
      <c r="BV216" s="51">
        <v>48715.18</v>
      </c>
      <c r="BW216" s="32">
        <f t="shared" si="213"/>
        <v>172101718631.70001</v>
      </c>
      <c r="BX216">
        <v>303279</v>
      </c>
      <c r="BY216" s="37">
        <f t="shared" si="214"/>
        <v>5.1052807711679297E-2</v>
      </c>
      <c r="BZ216">
        <v>1.1127099999999999E-2</v>
      </c>
      <c r="CA216" s="3">
        <f t="shared" si="215"/>
        <v>1.11271E-4</v>
      </c>
      <c r="CB216" s="11">
        <f>+'Seat capacity elasticities'!AF246</f>
        <v>3.9765402322352828E-3</v>
      </c>
      <c r="CC216" s="11">
        <f>+'Seat capacity elasticities'!AG246</f>
        <v>3.1775857030337195E-3</v>
      </c>
      <c r="CD216" s="11">
        <f>+'Seat capacity elasticities'!AH246</f>
        <v>1.0910363092053484E-2</v>
      </c>
      <c r="CE216" s="11">
        <f>+'Seat capacity elasticities'!AI246</f>
        <v>3.7629304378030892E-3</v>
      </c>
      <c r="CF216" s="32">
        <f t="shared" si="240"/>
        <v>6843694.0817579171</v>
      </c>
      <c r="CG216" s="33">
        <f t="shared" si="241"/>
        <v>3.9765402322352831E-5</v>
      </c>
      <c r="CH216" s="40">
        <f t="shared" si="242"/>
        <v>5468679.6059162188</v>
      </c>
      <c r="CI216" s="33">
        <f t="shared" si="243"/>
        <v>3.1775857030337194E-5</v>
      </c>
      <c r="CJ216" s="40">
        <f t="shared" si="244"/>
        <v>33088840.081948888</v>
      </c>
      <c r="CK216" s="41">
        <f t="shared" si="245"/>
        <v>1.0910363092053484E-4</v>
      </c>
      <c r="CL216" s="40">
        <f t="shared" si="246"/>
        <v>11412177.802464832</v>
      </c>
      <c r="CM216" s="41">
        <f t="shared" si="247"/>
        <v>3.7629304378030892E-5</v>
      </c>
      <c r="CO216" s="70">
        <f t="shared" si="248"/>
        <v>5.9404827231380875</v>
      </c>
      <c r="CP216" s="70">
        <f t="shared" si="249"/>
        <v>22.803159311013562</v>
      </c>
      <c r="CQ216" s="70">
        <f t="shared" si="250"/>
        <v>28.743642034151648</v>
      </c>
      <c r="CR216" s="70">
        <f t="shared" si="251"/>
        <v>29.475922080322967</v>
      </c>
      <c r="CS216" s="70">
        <f t="shared" si="252"/>
        <v>62.20343546800062</v>
      </c>
      <c r="CT216" s="70">
        <f t="shared" si="253"/>
        <v>91.679357548323594</v>
      </c>
      <c r="CU216" s="69">
        <f t="shared" si="254"/>
        <v>28.721868699456206</v>
      </c>
      <c r="CV216" s="69">
        <f t="shared" si="255"/>
        <v>110.25187315379213</v>
      </c>
      <c r="CW216" s="70">
        <f t="shared" si="256"/>
        <v>138.97374185324833</v>
      </c>
      <c r="CX216" s="69">
        <f t="shared" si="257"/>
        <v>61.511093703191477</v>
      </c>
      <c r="CY216" s="69">
        <f t="shared" si="258"/>
        <v>129.80768972404226</v>
      </c>
      <c r="CZ216" s="70">
        <f t="shared" si="259"/>
        <v>191.31878342723374</v>
      </c>
      <c r="DB216" s="70">
        <f t="shared" si="260"/>
        <v>4.4199914655025188</v>
      </c>
      <c r="DC216" s="70">
        <f t="shared" si="261"/>
        <v>1.9371787319058362</v>
      </c>
      <c r="DD216" s="70">
        <f t="shared" si="262"/>
        <v>6.3571701974083545</v>
      </c>
      <c r="DE216" s="70">
        <f t="shared" si="263"/>
        <v>8.377106442466804</v>
      </c>
      <c r="DF216" s="70">
        <f t="shared" si="264"/>
        <v>1.5479665948871422</v>
      </c>
      <c r="DG216" s="70">
        <f t="shared" si="265"/>
        <v>9.9250730373539469</v>
      </c>
      <c r="DH216" s="69">
        <f t="shared" si="266"/>
        <v>21.370386960374532</v>
      </c>
      <c r="DI216" s="69">
        <f t="shared" si="267"/>
        <v>9.366140056003184</v>
      </c>
      <c r="DJ216" s="70">
        <f t="shared" si="268"/>
        <v>30.736527016377714</v>
      </c>
      <c r="DK216" s="69">
        <f t="shared" si="269"/>
        <v>17.481555892976445</v>
      </c>
      <c r="DL216" s="69">
        <f t="shared" si="270"/>
        <v>3.2303355263337683</v>
      </c>
      <c r="DM216" s="70">
        <f t="shared" si="271"/>
        <v>20.711891419310213</v>
      </c>
    </row>
    <row r="217" spans="1:117">
      <c r="A217" t="s">
        <v>472</v>
      </c>
      <c r="B217">
        <v>4287323</v>
      </c>
      <c r="C217">
        <v>2382340</v>
      </c>
      <c r="D217" s="51">
        <v>40903.370000000003</v>
      </c>
      <c r="E217" s="32">
        <f t="shared" si="204"/>
        <v>97445734485.800003</v>
      </c>
      <c r="F217">
        <v>169027</v>
      </c>
      <c r="G217" s="37">
        <f t="shared" si="205"/>
        <v>3.9424834564598936E-2</v>
      </c>
      <c r="H217">
        <v>0</v>
      </c>
      <c r="I217" s="3">
        <f t="shared" si="206"/>
        <v>0</v>
      </c>
      <c r="J217" s="11">
        <f>+'Seat capacity elasticities'!K247</f>
        <v>0</v>
      </c>
      <c r="K217" s="11">
        <f>+'Seat capacity elasticities'!L247</f>
        <v>0</v>
      </c>
      <c r="L217" s="11">
        <f>+'Seat capacity elasticities'!M247</f>
        <v>0</v>
      </c>
      <c r="M217" s="11">
        <f>+'Seat capacity elasticities'!N247</f>
        <v>0</v>
      </c>
      <c r="N217" s="32">
        <f t="shared" si="216"/>
        <v>0</v>
      </c>
      <c r="O217" s="33">
        <f t="shared" si="217"/>
        <v>0</v>
      </c>
      <c r="P217" s="40">
        <f t="shared" si="218"/>
        <v>0</v>
      </c>
      <c r="Q217" s="33">
        <f t="shared" si="219"/>
        <v>0</v>
      </c>
      <c r="R217" s="40">
        <f t="shared" si="220"/>
        <v>0</v>
      </c>
      <c r="S217" s="41">
        <f t="shared" si="221"/>
        <v>0</v>
      </c>
      <c r="T217" s="40">
        <f t="shared" si="222"/>
        <v>0</v>
      </c>
      <c r="U217" s="41">
        <f t="shared" si="223"/>
        <v>0</v>
      </c>
      <c r="V217" s="53"/>
      <c r="W217" s="53"/>
      <c r="X217" t="s">
        <v>472</v>
      </c>
      <c r="Y217">
        <v>4287323</v>
      </c>
      <c r="Z217">
        <v>2382340</v>
      </c>
      <c r="AA217" s="51">
        <v>40903.370000000003</v>
      </c>
      <c r="AB217" s="32">
        <f t="shared" si="207"/>
        <v>97445734485.800003</v>
      </c>
      <c r="AC217">
        <v>169027</v>
      </c>
      <c r="AD217" s="37">
        <f t="shared" si="208"/>
        <v>3.9424834564598936E-2</v>
      </c>
      <c r="AE217">
        <v>7.1879999999999999E-3</v>
      </c>
      <c r="AF217" s="3">
        <f t="shared" si="209"/>
        <v>7.1879999999999996E-5</v>
      </c>
      <c r="AG217" s="11">
        <f>+'Seat capacity elasticities'!R247</f>
        <v>1.1200617070286438E-2</v>
      </c>
      <c r="AH217" s="11">
        <f>+'Seat capacity elasticities'!S247</f>
        <v>2.1228267554682382E-2</v>
      </c>
      <c r="AI217" s="11">
        <f>+'Seat capacity elasticities'!T247</f>
        <v>3.0730934922085531E-2</v>
      </c>
      <c r="AJ217" s="11">
        <f>+'Seat capacity elasticities'!U247</f>
        <v>2.5138737893702821E-2</v>
      </c>
      <c r="AK217" s="32">
        <f t="shared" si="224"/>
        <v>10914523.571082514</v>
      </c>
      <c r="AL217" s="33">
        <f t="shared" si="225"/>
        <v>1.1200617070286439E-4</v>
      </c>
      <c r="AM217" s="40">
        <f t="shared" si="226"/>
        <v>20686041.237271022</v>
      </c>
      <c r="AN217" s="33">
        <f t="shared" si="227"/>
        <v>2.122826755468238E-4</v>
      </c>
      <c r="AO217" s="40">
        <f t="shared" si="228"/>
        <v>51943577.370753519</v>
      </c>
      <c r="AP217" s="41">
        <f t="shared" si="229"/>
        <v>3.0730934922085538E-4</v>
      </c>
      <c r="AQ217" s="40">
        <f t="shared" si="230"/>
        <v>42491254.499589071</v>
      </c>
      <c r="AR217" s="41">
        <f t="shared" si="231"/>
        <v>2.5138737893702824E-4</v>
      </c>
      <c r="AV217" t="s">
        <v>472</v>
      </c>
      <c r="AW217">
        <v>4287323</v>
      </c>
      <c r="AX217">
        <v>2382340</v>
      </c>
      <c r="AY217" s="51">
        <v>40903.370000000003</v>
      </c>
      <c r="AZ217" s="32">
        <f t="shared" si="210"/>
        <v>97445734485.800003</v>
      </c>
      <c r="BA217">
        <v>169027</v>
      </c>
      <c r="BB217" s="37">
        <f t="shared" si="211"/>
        <v>3.9424834564598936E-2</v>
      </c>
      <c r="BC217">
        <v>0</v>
      </c>
      <c r="BD217" s="3">
        <f t="shared" si="212"/>
        <v>0</v>
      </c>
      <c r="BE217" s="11">
        <f>+'Seat capacity elasticities'!Y247</f>
        <v>0</v>
      </c>
      <c r="BF217" s="11">
        <f>+'Seat capacity elasticities'!Z247</f>
        <v>0</v>
      </c>
      <c r="BG217" s="11">
        <f>+'Seat capacity elasticities'!AA247</f>
        <v>0</v>
      </c>
      <c r="BH217" s="11">
        <f>+'Seat capacity elasticities'!AB247</f>
        <v>0</v>
      </c>
      <c r="BI217" s="32">
        <f t="shared" si="232"/>
        <v>0</v>
      </c>
      <c r="BJ217" s="33">
        <f t="shared" si="233"/>
        <v>0</v>
      </c>
      <c r="BK217" s="40">
        <f t="shared" si="234"/>
        <v>0</v>
      </c>
      <c r="BL217" s="33">
        <f t="shared" si="235"/>
        <v>0</v>
      </c>
      <c r="BM217" s="40">
        <f t="shared" si="236"/>
        <v>0</v>
      </c>
      <c r="BN217" s="41">
        <f t="shared" si="237"/>
        <v>0</v>
      </c>
      <c r="BO217" s="40">
        <f t="shared" si="238"/>
        <v>0</v>
      </c>
      <c r="BP217" s="41">
        <f t="shared" si="239"/>
        <v>0</v>
      </c>
      <c r="BQ217" s="53"/>
      <c r="BR217" s="53"/>
      <c r="BS217" t="s">
        <v>472</v>
      </c>
      <c r="BT217">
        <v>4287323</v>
      </c>
      <c r="BU217">
        <v>2382340</v>
      </c>
      <c r="BV217" s="51">
        <v>40903.370000000003</v>
      </c>
      <c r="BW217" s="32">
        <f t="shared" si="213"/>
        <v>97445734485.800003</v>
      </c>
      <c r="BX217">
        <v>169027</v>
      </c>
      <c r="BY217" s="37">
        <f t="shared" si="214"/>
        <v>3.9424834564598936E-2</v>
      </c>
      <c r="BZ217">
        <v>7.1879999999999999E-3</v>
      </c>
      <c r="CA217" s="3">
        <f t="shared" si="215"/>
        <v>7.1879999999999996E-5</v>
      </c>
      <c r="CB217" s="11">
        <f>+'Seat capacity elasticities'!AF247</f>
        <v>3.5593275986176361E-3</v>
      </c>
      <c r="CC217" s="11">
        <f>+'Seat capacity elasticities'!AG247</f>
        <v>2.8441981796379699E-3</v>
      </c>
      <c r="CD217" s="11">
        <f>+'Seat capacity elasticities'!AH247</f>
        <v>9.7656641694924308E-3</v>
      </c>
      <c r="CE217" s="11">
        <f>+'Seat capacity elasticities'!AI247</f>
        <v>3.3681294232554906E-3</v>
      </c>
      <c r="CF217" s="32">
        <f t="shared" si="240"/>
        <v>3468412.9212287432</v>
      </c>
      <c r="CG217" s="33">
        <f t="shared" si="241"/>
        <v>3.5593275986176366E-5</v>
      </c>
      <c r="CH217" s="40">
        <f t="shared" si="242"/>
        <v>2771549.806379973</v>
      </c>
      <c r="CI217" s="33">
        <f t="shared" si="243"/>
        <v>2.8441981796379697E-5</v>
      </c>
      <c r="CJ217" s="40">
        <f t="shared" si="244"/>
        <v>16506609.175767969</v>
      </c>
      <c r="CK217" s="41">
        <f t="shared" si="245"/>
        <v>9.7656641694924304E-5</v>
      </c>
      <c r="CL217" s="40">
        <f t="shared" si="246"/>
        <v>5693048.1202460574</v>
      </c>
      <c r="CM217" s="41">
        <f t="shared" si="247"/>
        <v>3.3681294232554904E-5</v>
      </c>
      <c r="CO217" s="70">
        <f t="shared" si="248"/>
        <v>0</v>
      </c>
      <c r="CP217" s="70">
        <f t="shared" si="249"/>
        <v>0</v>
      </c>
      <c r="CQ217" s="70">
        <f t="shared" si="250"/>
        <v>0</v>
      </c>
      <c r="CR217" s="70">
        <f t="shared" si="251"/>
        <v>0</v>
      </c>
      <c r="CS217" s="70">
        <f t="shared" si="252"/>
        <v>0</v>
      </c>
      <c r="CT217" s="70">
        <f t="shared" si="253"/>
        <v>0</v>
      </c>
      <c r="CU217" s="69">
        <f t="shared" si="254"/>
        <v>0</v>
      </c>
      <c r="CV217" s="69">
        <f t="shared" si="255"/>
        <v>0</v>
      </c>
      <c r="CW217" s="70">
        <f t="shared" si="256"/>
        <v>0</v>
      </c>
      <c r="CX217" s="69">
        <f t="shared" si="257"/>
        <v>0</v>
      </c>
      <c r="CY217" s="69">
        <f t="shared" si="258"/>
        <v>0</v>
      </c>
      <c r="CZ217" s="70">
        <f t="shared" si="259"/>
        <v>0</v>
      </c>
      <c r="DB217" s="70">
        <f t="shared" si="260"/>
        <v>4.5814298425424225</v>
      </c>
      <c r="DC217" s="70">
        <f t="shared" si="261"/>
        <v>1.4558849371746867</v>
      </c>
      <c r="DD217" s="70">
        <f t="shared" si="262"/>
        <v>6.0373147797171089</v>
      </c>
      <c r="DE217" s="70">
        <f t="shared" si="263"/>
        <v>8.6830768224816861</v>
      </c>
      <c r="DF217" s="70">
        <f t="shared" si="264"/>
        <v>1.1633729049505834</v>
      </c>
      <c r="DG217" s="70">
        <f t="shared" si="265"/>
        <v>9.8464497274322689</v>
      </c>
      <c r="DH217" s="69">
        <f t="shared" si="266"/>
        <v>21.80359536034047</v>
      </c>
      <c r="DI217" s="69">
        <f t="shared" si="267"/>
        <v>6.928737785441192</v>
      </c>
      <c r="DJ217" s="70">
        <f t="shared" si="268"/>
        <v>28.732333145781663</v>
      </c>
      <c r="DK217" s="69">
        <f t="shared" si="269"/>
        <v>17.83593210859452</v>
      </c>
      <c r="DL217" s="69">
        <f t="shared" si="270"/>
        <v>2.3896875006279781</v>
      </c>
      <c r="DM217" s="70">
        <f t="shared" si="271"/>
        <v>20.225619609222498</v>
      </c>
    </row>
    <row r="218" spans="1:117">
      <c r="A218" t="s">
        <v>1001</v>
      </c>
      <c r="B218">
        <v>101307</v>
      </c>
      <c r="C218">
        <v>48042</v>
      </c>
      <c r="D218" s="51">
        <v>31347.94</v>
      </c>
      <c r="E218" s="32">
        <f t="shared" si="204"/>
        <v>1506017733.48</v>
      </c>
      <c r="F218">
        <v>2202</v>
      </c>
      <c r="G218" s="37">
        <f t="shared" si="205"/>
        <v>2.1735911634931444E-2</v>
      </c>
      <c r="H218">
        <v>0</v>
      </c>
      <c r="I218" s="3">
        <f t="shared" si="206"/>
        <v>0</v>
      </c>
      <c r="J218" s="11">
        <f>+'Seat capacity elasticities'!K248</f>
        <v>0</v>
      </c>
      <c r="K218" s="11">
        <f>+'Seat capacity elasticities'!L248</f>
        <v>0</v>
      </c>
      <c r="L218" s="11">
        <f>+'Seat capacity elasticities'!M248</f>
        <v>0</v>
      </c>
      <c r="M218" s="11">
        <f>+'Seat capacity elasticities'!N248</f>
        <v>0</v>
      </c>
      <c r="N218" s="32">
        <f t="shared" si="216"/>
        <v>0</v>
      </c>
      <c r="O218" s="33">
        <f t="shared" si="217"/>
        <v>0</v>
      </c>
      <c r="P218" s="40">
        <f t="shared" si="218"/>
        <v>0</v>
      </c>
      <c r="Q218" s="33">
        <f t="shared" si="219"/>
        <v>0</v>
      </c>
      <c r="R218" s="40">
        <f t="shared" si="220"/>
        <v>0</v>
      </c>
      <c r="S218" s="41">
        <f t="shared" si="221"/>
        <v>0</v>
      </c>
      <c r="T218" s="40">
        <f t="shared" si="222"/>
        <v>0</v>
      </c>
      <c r="U218" s="41">
        <f t="shared" si="223"/>
        <v>0</v>
      </c>
      <c r="V218" s="53"/>
      <c r="W218" s="53"/>
      <c r="X218" t="s">
        <v>1001</v>
      </c>
      <c r="Y218">
        <v>101307</v>
      </c>
      <c r="Z218">
        <v>48042</v>
      </c>
      <c r="AA218" s="51">
        <v>31347.94</v>
      </c>
      <c r="AB218" s="32">
        <f t="shared" si="207"/>
        <v>1506017733.48</v>
      </c>
      <c r="AC218">
        <v>2202</v>
      </c>
      <c r="AD218" s="37">
        <f t="shared" si="208"/>
        <v>2.1735911634931444E-2</v>
      </c>
      <c r="AE218">
        <v>1.9735999999999998E-3</v>
      </c>
      <c r="AF218" s="3">
        <f t="shared" si="209"/>
        <v>1.9735999999999999E-5</v>
      </c>
      <c r="AG218" s="11">
        <f>+'Seat capacity elasticities'!R248</f>
        <v>1.0274569536380651E-2</v>
      </c>
      <c r="AH218" s="11">
        <f>+'Seat capacity elasticities'!S248</f>
        <v>1.9473151323608238E-2</v>
      </c>
      <c r="AI218" s="11">
        <f>+'Seat capacity elasticities'!T248</f>
        <v>2.8190154684654491E-2</v>
      </c>
      <c r="AJ218" s="11">
        <f>+'Seat capacity elasticities'!U248</f>
        <v>2.3060310777957126E-2</v>
      </c>
      <c r="AK218" s="32">
        <f t="shared" si="224"/>
        <v>154736.83925662644</v>
      </c>
      <c r="AL218" s="33">
        <f t="shared" si="225"/>
        <v>1.0274569536380651E-4</v>
      </c>
      <c r="AM218" s="40">
        <f t="shared" si="226"/>
        <v>293269.11220093543</v>
      </c>
      <c r="AN218" s="33">
        <f t="shared" si="227"/>
        <v>1.9473151323608239E-4</v>
      </c>
      <c r="AO218" s="40">
        <f t="shared" si="228"/>
        <v>620747.20615609176</v>
      </c>
      <c r="AP218" s="41">
        <f t="shared" si="229"/>
        <v>2.8190154684654486E-4</v>
      </c>
      <c r="AQ218" s="40">
        <f t="shared" si="230"/>
        <v>507788.04333061591</v>
      </c>
      <c r="AR218" s="41">
        <f t="shared" si="231"/>
        <v>2.3060310777957125E-4</v>
      </c>
      <c r="AV218" t="s">
        <v>1001</v>
      </c>
      <c r="AW218">
        <v>101307</v>
      </c>
      <c r="AX218">
        <v>48042</v>
      </c>
      <c r="AY218" s="51">
        <v>31347.94</v>
      </c>
      <c r="AZ218" s="32">
        <f t="shared" si="210"/>
        <v>1506017733.48</v>
      </c>
      <c r="BA218">
        <v>2202</v>
      </c>
      <c r="BB218" s="37">
        <f t="shared" si="211"/>
        <v>2.1735911634931444E-2</v>
      </c>
      <c r="BC218">
        <v>0</v>
      </c>
      <c r="BD218" s="3">
        <f t="shared" si="212"/>
        <v>0</v>
      </c>
      <c r="BE218" s="11">
        <f>+'Seat capacity elasticities'!Y248</f>
        <v>0</v>
      </c>
      <c r="BF218" s="11">
        <f>+'Seat capacity elasticities'!Z248</f>
        <v>0</v>
      </c>
      <c r="BG218" s="11">
        <f>+'Seat capacity elasticities'!AA248</f>
        <v>0</v>
      </c>
      <c r="BH218" s="11">
        <f>+'Seat capacity elasticities'!AB248</f>
        <v>0</v>
      </c>
      <c r="BI218" s="32">
        <f t="shared" si="232"/>
        <v>0</v>
      </c>
      <c r="BJ218" s="33">
        <f t="shared" si="233"/>
        <v>0</v>
      </c>
      <c r="BK218" s="40">
        <f t="shared" si="234"/>
        <v>0</v>
      </c>
      <c r="BL218" s="33">
        <f t="shared" si="235"/>
        <v>0</v>
      </c>
      <c r="BM218" s="40">
        <f t="shared" si="236"/>
        <v>0</v>
      </c>
      <c r="BN218" s="41">
        <f t="shared" si="237"/>
        <v>0</v>
      </c>
      <c r="BO218" s="40">
        <f t="shared" si="238"/>
        <v>0</v>
      </c>
      <c r="BP218" s="41">
        <f t="shared" si="239"/>
        <v>0</v>
      </c>
      <c r="BQ218" s="53"/>
      <c r="BR218" s="53"/>
      <c r="BS218" t="s">
        <v>1001</v>
      </c>
      <c r="BT218">
        <v>101307</v>
      </c>
      <c r="BU218">
        <v>48042</v>
      </c>
      <c r="BV218" s="51">
        <v>31347.94</v>
      </c>
      <c r="BW218" s="32">
        <f t="shared" si="213"/>
        <v>1506017733.48</v>
      </c>
      <c r="BX218">
        <v>2202</v>
      </c>
      <c r="BY218" s="37">
        <f t="shared" si="214"/>
        <v>2.1735911634931444E-2</v>
      </c>
      <c r="BZ218">
        <v>1.9735999999999998E-3</v>
      </c>
      <c r="CA218" s="3">
        <f t="shared" si="215"/>
        <v>1.9735999999999999E-5</v>
      </c>
      <c r="CB218" s="11">
        <f>+'Seat capacity elasticities'!AF248</f>
        <v>4.1358595215781252E-2</v>
      </c>
      <c r="CC218" s="11">
        <f>+'Seat capacity elasticities'!AG248</f>
        <v>3.3048950389055046E-2</v>
      </c>
      <c r="CD218" s="11">
        <f>+'Seat capacity elasticities'!AH248</f>
        <v>0.11347484607939982</v>
      </c>
      <c r="CE218" s="11">
        <f>+'Seat capacity elasticities'!AI248</f>
        <v>3.9136914934407296E-2</v>
      </c>
      <c r="CF218" s="32">
        <f t="shared" si="240"/>
        <v>622867.77826787659</v>
      </c>
      <c r="CG218" s="33">
        <f t="shared" si="241"/>
        <v>4.1358595215781256E-4</v>
      </c>
      <c r="CH218" s="40">
        <f t="shared" si="242"/>
        <v>497723.0535881765</v>
      </c>
      <c r="CI218" s="33">
        <f t="shared" si="243"/>
        <v>3.3048950389055049E-4</v>
      </c>
      <c r="CJ218" s="40">
        <f t="shared" si="244"/>
        <v>2498716.110668384</v>
      </c>
      <c r="CK218" s="41">
        <f t="shared" si="245"/>
        <v>1.1347484607939983E-3</v>
      </c>
      <c r="CL218" s="40">
        <f t="shared" si="246"/>
        <v>861794.86685564858</v>
      </c>
      <c r="CM218" s="41">
        <f t="shared" si="247"/>
        <v>3.9136914934407294E-4</v>
      </c>
      <c r="CO218" s="70">
        <f t="shared" si="248"/>
        <v>0</v>
      </c>
      <c r="CP218" s="70">
        <f t="shared" si="249"/>
        <v>0</v>
      </c>
      <c r="CQ218" s="70">
        <f t="shared" si="250"/>
        <v>0</v>
      </c>
      <c r="CR218" s="70">
        <f t="shared" si="251"/>
        <v>0</v>
      </c>
      <c r="CS218" s="70">
        <f t="shared" si="252"/>
        <v>0</v>
      </c>
      <c r="CT218" s="70">
        <f t="shared" si="253"/>
        <v>0</v>
      </c>
      <c r="CU218" s="69">
        <f t="shared" si="254"/>
        <v>0</v>
      </c>
      <c r="CV218" s="69">
        <f t="shared" si="255"/>
        <v>0</v>
      </c>
      <c r="CW218" s="70">
        <f t="shared" si="256"/>
        <v>0</v>
      </c>
      <c r="CX218" s="69">
        <f t="shared" si="257"/>
        <v>0</v>
      </c>
      <c r="CY218" s="69">
        <f t="shared" si="258"/>
        <v>0</v>
      </c>
      <c r="CZ218" s="70">
        <f t="shared" si="259"/>
        <v>0</v>
      </c>
      <c r="DB218" s="70">
        <f t="shared" si="260"/>
        <v>3.2208658935228849</v>
      </c>
      <c r="DC218" s="70">
        <f t="shared" si="261"/>
        <v>12.96506761308598</v>
      </c>
      <c r="DD218" s="70">
        <f t="shared" si="262"/>
        <v>16.185933506608865</v>
      </c>
      <c r="DE218" s="70">
        <f t="shared" si="263"/>
        <v>6.1044317930339167</v>
      </c>
      <c r="DF218" s="70">
        <f t="shared" si="264"/>
        <v>10.360165138590743</v>
      </c>
      <c r="DG218" s="70">
        <f t="shared" si="265"/>
        <v>16.464596931624659</v>
      </c>
      <c r="DH218" s="69">
        <f t="shared" si="266"/>
        <v>12.92092764989159</v>
      </c>
      <c r="DI218" s="69">
        <f t="shared" si="267"/>
        <v>52.01107594747063</v>
      </c>
      <c r="DJ218" s="70">
        <f t="shared" si="268"/>
        <v>64.932003597362225</v>
      </c>
      <c r="DK218" s="69">
        <f t="shared" si="269"/>
        <v>10.569669108917529</v>
      </c>
      <c r="DL218" s="69">
        <f t="shared" si="270"/>
        <v>17.938363657958632</v>
      </c>
      <c r="DM218" s="70">
        <f t="shared" si="271"/>
        <v>28.508032766876163</v>
      </c>
    </row>
    <row r="219" spans="1:117">
      <c r="A219" t="s">
        <v>313</v>
      </c>
      <c r="B219">
        <v>2355391</v>
      </c>
      <c r="C219">
        <v>1452482</v>
      </c>
      <c r="D219" s="51">
        <v>40947</v>
      </c>
      <c r="E219" s="32">
        <f t="shared" si="204"/>
        <v>59474780454</v>
      </c>
      <c r="F219">
        <v>105749</v>
      </c>
      <c r="G219" s="37">
        <f t="shared" si="205"/>
        <v>4.4896579803523066E-2</v>
      </c>
      <c r="H219">
        <v>1.8675E-3</v>
      </c>
      <c r="I219" s="3">
        <f t="shared" si="206"/>
        <v>1.8675E-5</v>
      </c>
      <c r="J219" s="11">
        <f>+'Seat capacity elasticities'!K249</f>
        <v>1.7523367274111113E-3</v>
      </c>
      <c r="K219" s="11">
        <f>+'Seat capacity elasticities'!L249</f>
        <v>8.6948726632055263E-3</v>
      </c>
      <c r="L219" s="11">
        <f>+'Seat capacity elasticities'!M249</f>
        <v>4.8078552809835548E-3</v>
      </c>
      <c r="M219" s="11">
        <f>+'Seat capacity elasticities'!N249</f>
        <v>1.0296559732743387E-2</v>
      </c>
      <c r="N219" s="32">
        <f t="shared" si="216"/>
        <v>1042198.4214425668</v>
      </c>
      <c r="O219" s="33">
        <f t="shared" si="217"/>
        <v>1.7523367274111112E-5</v>
      </c>
      <c r="P219" s="40">
        <f t="shared" si="218"/>
        <v>5171256.427196349</v>
      </c>
      <c r="Q219" s="33">
        <f t="shared" si="219"/>
        <v>8.6948726632055248E-5</v>
      </c>
      <c r="R219" s="40">
        <f t="shared" si="220"/>
        <v>5084258.8810872994</v>
      </c>
      <c r="S219" s="41">
        <f t="shared" si="221"/>
        <v>4.8078552809835549E-5</v>
      </c>
      <c r="T219" s="40">
        <f t="shared" si="222"/>
        <v>10888508.951778803</v>
      </c>
      <c r="U219" s="41">
        <f t="shared" si="223"/>
        <v>1.0296559732743385E-4</v>
      </c>
      <c r="V219" s="53"/>
      <c r="W219" s="53"/>
      <c r="X219" t="s">
        <v>313</v>
      </c>
      <c r="Y219">
        <v>2355391</v>
      </c>
      <c r="Z219">
        <v>1452482</v>
      </c>
      <c r="AA219" s="51">
        <v>40947</v>
      </c>
      <c r="AB219" s="32">
        <f t="shared" si="207"/>
        <v>59474780454</v>
      </c>
      <c r="AC219">
        <v>105749</v>
      </c>
      <c r="AD219" s="37">
        <f t="shared" si="208"/>
        <v>4.4896579803523066E-2</v>
      </c>
      <c r="AE219">
        <v>1.63126E-2</v>
      </c>
      <c r="AF219" s="3">
        <f t="shared" si="209"/>
        <v>1.6312600000000001E-4</v>
      </c>
      <c r="AG219" s="11">
        <f>+'Seat capacity elasticities'!R249</f>
        <v>1.4071504210024153E-2</v>
      </c>
      <c r="AH219" s="11">
        <f>+'Seat capacity elasticities'!S249</f>
        <v>2.6669392801551534E-2</v>
      </c>
      <c r="AI219" s="11">
        <f>+'Seat capacity elasticities'!T249</f>
        <v>3.8607737182737745E-2</v>
      </c>
      <c r="AJ219" s="11">
        <f>+'Seat capacity elasticities'!U249</f>
        <v>3.1582175686047868E-2</v>
      </c>
      <c r="AK219" s="32">
        <f t="shared" si="224"/>
        <v>8368996.2354872311</v>
      </c>
      <c r="AL219" s="33">
        <f t="shared" si="225"/>
        <v>1.407150421002415E-4</v>
      </c>
      <c r="AM219" s="40">
        <f t="shared" si="226"/>
        <v>15861562.817137653</v>
      </c>
      <c r="AN219" s="33">
        <f t="shared" si="227"/>
        <v>2.6669392801551532E-4</v>
      </c>
      <c r="AO219" s="40">
        <f t="shared" si="228"/>
        <v>40827295.993373342</v>
      </c>
      <c r="AP219" s="41">
        <f t="shared" si="229"/>
        <v>3.8607737182737745E-4</v>
      </c>
      <c r="AQ219" s="40">
        <f t="shared" si="230"/>
        <v>33397834.966238763</v>
      </c>
      <c r="AR219" s="41">
        <f t="shared" si="231"/>
        <v>3.1582175686047873E-4</v>
      </c>
      <c r="AV219" t="s">
        <v>313</v>
      </c>
      <c r="AW219">
        <v>2355391</v>
      </c>
      <c r="AX219">
        <v>1452482</v>
      </c>
      <c r="AY219" s="51">
        <v>40947</v>
      </c>
      <c r="AZ219" s="32">
        <f t="shared" si="210"/>
        <v>59474780454</v>
      </c>
      <c r="BA219">
        <v>105749</v>
      </c>
      <c r="BB219" s="37">
        <f t="shared" si="211"/>
        <v>4.4896579803523066E-2</v>
      </c>
      <c r="BC219">
        <v>1.8675E-3</v>
      </c>
      <c r="BD219" s="3">
        <f t="shared" si="212"/>
        <v>1.8675E-5</v>
      </c>
      <c r="BE219" s="11">
        <f>+'Seat capacity elasticities'!Y249</f>
        <v>1.6036453688106925E-2</v>
      </c>
      <c r="BF219" s="11">
        <f>+'Seat capacity elasticities'!Z249</f>
        <v>4.3744925802537887E-2</v>
      </c>
      <c r="BG219" s="11">
        <f>+'Seat capacity elasticities'!AA249</f>
        <v>4.3998934306719355E-2</v>
      </c>
      <c r="BH219" s="11">
        <f>+'Seat capacity elasticities'!AB249</f>
        <v>5.1803201608268547E-2</v>
      </c>
      <c r="BI219" s="32">
        <f t="shared" si="232"/>
        <v>9537645.6236089785</v>
      </c>
      <c r="BJ219" s="33">
        <f t="shared" si="233"/>
        <v>1.6036453688106922E-4</v>
      </c>
      <c r="BK219" s="40">
        <f t="shared" si="234"/>
        <v>26017198.580824606</v>
      </c>
      <c r="BL219" s="33">
        <f t="shared" si="235"/>
        <v>4.3744925802537886E-4</v>
      </c>
      <c r="BM219" s="40">
        <f t="shared" si="236"/>
        <v>46528433.04001265</v>
      </c>
      <c r="BN219" s="41">
        <f t="shared" si="237"/>
        <v>4.3998934306719353E-4</v>
      </c>
      <c r="BO219" s="40">
        <f t="shared" si="238"/>
        <v>54781367.668727912</v>
      </c>
      <c r="BP219" s="41">
        <f t="shared" si="239"/>
        <v>5.1803201608268561E-4</v>
      </c>
      <c r="BQ219" s="53"/>
      <c r="BR219" s="53"/>
      <c r="BS219" t="s">
        <v>313</v>
      </c>
      <c r="BT219">
        <v>2355391</v>
      </c>
      <c r="BU219">
        <v>1452482</v>
      </c>
      <c r="BV219" s="51">
        <v>40947</v>
      </c>
      <c r="BW219" s="32">
        <f t="shared" si="213"/>
        <v>59474780454</v>
      </c>
      <c r="BX219">
        <v>105749</v>
      </c>
      <c r="BY219" s="37">
        <f t="shared" si="214"/>
        <v>4.4896579803523066E-2</v>
      </c>
      <c r="BZ219">
        <v>1.63126E-2</v>
      </c>
      <c r="CA219" s="3">
        <f t="shared" si="215"/>
        <v>1.6312600000000001E-4</v>
      </c>
      <c r="CB219" s="11">
        <f>+'Seat capacity elasticities'!AF249</f>
        <v>1.4703010696102104E-2</v>
      </c>
      <c r="CC219" s="11">
        <f>+'Seat capacity elasticities'!AG249</f>
        <v>1.1748925913223749E-2</v>
      </c>
      <c r="CD219" s="11">
        <f>+'Seat capacity elasticities'!AH249</f>
        <v>4.0340390357536456E-2</v>
      </c>
      <c r="CE219" s="11">
        <f>+'Seat capacity elasticities'!AI249</f>
        <v>1.3913201739343914E-2</v>
      </c>
      <c r="CF219" s="32">
        <f t="shared" si="240"/>
        <v>8744583.3316348623</v>
      </c>
      <c r="CG219" s="33">
        <f t="shared" si="241"/>
        <v>1.4703010696102102E-4</v>
      </c>
      <c r="CH219" s="40">
        <f t="shared" si="242"/>
        <v>6987647.8925929386</v>
      </c>
      <c r="CI219" s="33">
        <f t="shared" si="243"/>
        <v>1.1748925913223748E-4</v>
      </c>
      <c r="CJ219" s="40">
        <f t="shared" si="244"/>
        <v>42659559.399191231</v>
      </c>
      <c r="CK219" s="41">
        <f t="shared" si="245"/>
        <v>4.0340390357536464E-4</v>
      </c>
      <c r="CL219" s="40">
        <f t="shared" si="246"/>
        <v>14713071.707338799</v>
      </c>
      <c r="CM219" s="41">
        <f t="shared" si="247"/>
        <v>1.3913201739343916E-4</v>
      </c>
      <c r="CO219" s="70">
        <f t="shared" si="248"/>
        <v>0.7175293197730277</v>
      </c>
      <c r="CP219" s="70">
        <f t="shared" si="249"/>
        <v>6.5664466916691415</v>
      </c>
      <c r="CQ219" s="70">
        <f t="shared" si="250"/>
        <v>7.283976011442169</v>
      </c>
      <c r="CR219" s="70">
        <f t="shared" si="251"/>
        <v>3.5602895094027662</v>
      </c>
      <c r="CS219" s="70">
        <f t="shared" si="252"/>
        <v>17.912234768365188</v>
      </c>
      <c r="CT219" s="70">
        <f t="shared" si="253"/>
        <v>21.472524277767953</v>
      </c>
      <c r="CU219" s="69">
        <f t="shared" si="254"/>
        <v>3.5003937267981975</v>
      </c>
      <c r="CV219" s="69">
        <f t="shared" si="255"/>
        <v>32.033741581659982</v>
      </c>
      <c r="CW219" s="70">
        <f t="shared" si="256"/>
        <v>35.534135308458175</v>
      </c>
      <c r="CX219" s="69">
        <f t="shared" si="257"/>
        <v>7.4964846048204405</v>
      </c>
      <c r="CY219" s="69">
        <f t="shared" si="258"/>
        <v>37.71569469964372</v>
      </c>
      <c r="CZ219" s="70">
        <f t="shared" si="259"/>
        <v>45.212179304464158</v>
      </c>
      <c r="DB219" s="70">
        <f t="shared" si="260"/>
        <v>5.761858828878589</v>
      </c>
      <c r="DC219" s="70">
        <f t="shared" si="261"/>
        <v>6.0204417897329279</v>
      </c>
      <c r="DD219" s="70">
        <f t="shared" si="262"/>
        <v>11.782300618611517</v>
      </c>
      <c r="DE219" s="70">
        <f t="shared" si="263"/>
        <v>10.920316270451305</v>
      </c>
      <c r="DF219" s="70">
        <f t="shared" si="264"/>
        <v>4.8108326936877281</v>
      </c>
      <c r="DG219" s="70">
        <f t="shared" si="265"/>
        <v>15.731148964139035</v>
      </c>
      <c r="DH219" s="69">
        <f t="shared" si="266"/>
        <v>28.108641617158312</v>
      </c>
      <c r="DI219" s="69">
        <f t="shared" si="267"/>
        <v>29.370112262452292</v>
      </c>
      <c r="DJ219" s="70">
        <f t="shared" si="268"/>
        <v>57.478753879610608</v>
      </c>
      <c r="DK219" s="69">
        <f t="shared" si="269"/>
        <v>22.99363087889472</v>
      </c>
      <c r="DL219" s="69">
        <f t="shared" si="270"/>
        <v>10.129606912401529</v>
      </c>
      <c r="DM219" s="70">
        <f t="shared" si="271"/>
        <v>33.123237791296248</v>
      </c>
    </row>
    <row r="220" spans="1:117">
      <c r="A220" t="s">
        <v>473</v>
      </c>
      <c r="B220">
        <v>88984</v>
      </c>
      <c r="C220">
        <v>52972</v>
      </c>
      <c r="D220" s="51">
        <v>28777.56</v>
      </c>
      <c r="E220" s="32">
        <f t="shared" si="204"/>
        <v>1524404908.3200002</v>
      </c>
      <c r="F220">
        <v>2014</v>
      </c>
      <c r="G220" s="37">
        <f t="shared" si="205"/>
        <v>2.2633282387845007E-2</v>
      </c>
      <c r="H220">
        <v>0</v>
      </c>
      <c r="I220" s="3">
        <f t="shared" si="206"/>
        <v>0</v>
      </c>
      <c r="J220" s="11">
        <f>+'Seat capacity elasticities'!K250</f>
        <v>0</v>
      </c>
      <c r="K220" s="11">
        <f>+'Seat capacity elasticities'!L250</f>
        <v>0</v>
      </c>
      <c r="L220" s="11">
        <f>+'Seat capacity elasticities'!M250</f>
        <v>0</v>
      </c>
      <c r="M220" s="11">
        <f>+'Seat capacity elasticities'!N250</f>
        <v>0</v>
      </c>
      <c r="N220" s="32">
        <f t="shared" si="216"/>
        <v>0</v>
      </c>
      <c r="O220" s="33">
        <f t="shared" si="217"/>
        <v>0</v>
      </c>
      <c r="P220" s="40">
        <f t="shared" si="218"/>
        <v>0</v>
      </c>
      <c r="Q220" s="33">
        <f t="shared" si="219"/>
        <v>0</v>
      </c>
      <c r="R220" s="40">
        <f t="shared" si="220"/>
        <v>0</v>
      </c>
      <c r="S220" s="41">
        <f t="shared" si="221"/>
        <v>0</v>
      </c>
      <c r="T220" s="40">
        <f t="shared" si="222"/>
        <v>0</v>
      </c>
      <c r="U220" s="41">
        <f t="shared" si="223"/>
        <v>0</v>
      </c>
      <c r="V220" s="53"/>
      <c r="W220" s="53"/>
      <c r="X220" t="s">
        <v>473</v>
      </c>
      <c r="Y220">
        <v>88984</v>
      </c>
      <c r="Z220">
        <v>52972</v>
      </c>
      <c r="AA220" s="51">
        <v>28777.56</v>
      </c>
      <c r="AB220" s="32">
        <f t="shared" si="207"/>
        <v>1524404908.3200002</v>
      </c>
      <c r="AC220">
        <v>2014</v>
      </c>
      <c r="AD220" s="37">
        <f t="shared" si="208"/>
        <v>2.2633282387845007E-2</v>
      </c>
      <c r="AE220">
        <v>3.9598999999999997E-3</v>
      </c>
      <c r="AF220" s="3">
        <f t="shared" si="209"/>
        <v>3.9598999999999998E-5</v>
      </c>
      <c r="AG220" s="11">
        <f>+'Seat capacity elasticities'!R250</f>
        <v>1.2785308521169471E-2</v>
      </c>
      <c r="AH220" s="11">
        <f>+'Seat capacity elasticities'!S250</f>
        <v>2.4231696196145847E-2</v>
      </c>
      <c r="AI220" s="11">
        <f>+'Seat capacity elasticities'!T250</f>
        <v>3.507882482342526E-2</v>
      </c>
      <c r="AJ220" s="11">
        <f>+'Seat capacity elasticities'!U250</f>
        <v>2.8695429705962189E-2</v>
      </c>
      <c r="AK220" s="32">
        <f t="shared" si="224"/>
        <v>194899.87064056264</v>
      </c>
      <c r="AL220" s="33">
        <f t="shared" si="225"/>
        <v>1.278530852116947E-4</v>
      </c>
      <c r="AM220" s="40">
        <f t="shared" si="226"/>
        <v>369389.16618323809</v>
      </c>
      <c r="AN220" s="33">
        <f t="shared" si="227"/>
        <v>2.4231696196145848E-4</v>
      </c>
      <c r="AO220" s="40">
        <f t="shared" si="228"/>
        <v>706487.53194378479</v>
      </c>
      <c r="AP220" s="41">
        <f t="shared" si="229"/>
        <v>3.5078824823425264E-4</v>
      </c>
      <c r="AQ220" s="40">
        <f t="shared" si="230"/>
        <v>577925.95427807851</v>
      </c>
      <c r="AR220" s="41">
        <f t="shared" si="231"/>
        <v>2.8695429705962193E-4</v>
      </c>
      <c r="AV220" t="s">
        <v>473</v>
      </c>
      <c r="AW220">
        <v>88984</v>
      </c>
      <c r="AX220">
        <v>52972</v>
      </c>
      <c r="AY220" s="51">
        <v>28777.56</v>
      </c>
      <c r="AZ220" s="32">
        <f t="shared" si="210"/>
        <v>1524404908.3200002</v>
      </c>
      <c r="BA220">
        <v>2014</v>
      </c>
      <c r="BB220" s="37">
        <f t="shared" si="211"/>
        <v>2.2633282387845007E-2</v>
      </c>
      <c r="BC220">
        <v>0</v>
      </c>
      <c r="BD220" s="3">
        <f t="shared" si="212"/>
        <v>0</v>
      </c>
      <c r="BE220" s="11">
        <f>+'Seat capacity elasticities'!Y250</f>
        <v>0</v>
      </c>
      <c r="BF220" s="11">
        <f>+'Seat capacity elasticities'!Z250</f>
        <v>0</v>
      </c>
      <c r="BG220" s="11">
        <f>+'Seat capacity elasticities'!AA250</f>
        <v>0</v>
      </c>
      <c r="BH220" s="11">
        <f>+'Seat capacity elasticities'!AB250</f>
        <v>0</v>
      </c>
      <c r="BI220" s="32">
        <f t="shared" si="232"/>
        <v>0</v>
      </c>
      <c r="BJ220" s="33">
        <f t="shared" si="233"/>
        <v>0</v>
      </c>
      <c r="BK220" s="40">
        <f t="shared" si="234"/>
        <v>0</v>
      </c>
      <c r="BL220" s="33">
        <f t="shared" si="235"/>
        <v>0</v>
      </c>
      <c r="BM220" s="40">
        <f t="shared" si="236"/>
        <v>0</v>
      </c>
      <c r="BN220" s="41">
        <f t="shared" si="237"/>
        <v>0</v>
      </c>
      <c r="BO220" s="40">
        <f t="shared" si="238"/>
        <v>0</v>
      </c>
      <c r="BP220" s="41">
        <f t="shared" si="239"/>
        <v>0</v>
      </c>
      <c r="BQ220" s="53"/>
      <c r="BR220" s="53"/>
      <c r="BS220" t="s">
        <v>473</v>
      </c>
      <c r="BT220">
        <v>88984</v>
      </c>
      <c r="BU220">
        <v>52972</v>
      </c>
      <c r="BV220" s="51">
        <v>28777.56</v>
      </c>
      <c r="BW220" s="32">
        <f t="shared" si="213"/>
        <v>1524404908.3200002</v>
      </c>
      <c r="BX220">
        <v>2014</v>
      </c>
      <c r="BY220" s="37">
        <f t="shared" si="214"/>
        <v>2.2633282387845007E-2</v>
      </c>
      <c r="BZ220">
        <v>3.9598999999999997E-3</v>
      </c>
      <c r="CA220" s="3">
        <f t="shared" si="215"/>
        <v>3.9598999999999998E-5</v>
      </c>
      <c r="CB220" s="11">
        <f>+'Seat capacity elasticities'!AF250</f>
        <v>9.4475324430595004E-2</v>
      </c>
      <c r="CC220" s="11">
        <f>+'Seat capacity elasticities'!AG250</f>
        <v>7.549362578217432E-2</v>
      </c>
      <c r="CD220" s="11">
        <f>+'Seat capacity elasticities'!AH250</f>
        <v>0.25921027641607297</v>
      </c>
      <c r="CE220" s="11">
        <f>+'Seat capacity elasticities'!AI250</f>
        <v>8.9400346320995902E-2</v>
      </c>
      <c r="CF220" s="32">
        <f t="shared" si="240"/>
        <v>1440186.4827712346</v>
      </c>
      <c r="CG220" s="33">
        <f t="shared" si="241"/>
        <v>9.4475324430595014E-4</v>
      </c>
      <c r="CH220" s="40">
        <f t="shared" si="242"/>
        <v>1150828.5368921985</v>
      </c>
      <c r="CI220" s="33">
        <f t="shared" si="243"/>
        <v>7.5493625782174323E-4</v>
      </c>
      <c r="CJ220" s="40">
        <f t="shared" si="244"/>
        <v>5220494.9670197098</v>
      </c>
      <c r="CK220" s="41">
        <f t="shared" si="245"/>
        <v>2.5921027641607297E-3</v>
      </c>
      <c r="CL220" s="40">
        <f t="shared" si="246"/>
        <v>1800522.9749048576</v>
      </c>
      <c r="CM220" s="41">
        <f t="shared" si="247"/>
        <v>8.9400346320995898E-4</v>
      </c>
      <c r="CO220" s="70">
        <f t="shared" si="248"/>
        <v>0</v>
      </c>
      <c r="CP220" s="70">
        <f t="shared" si="249"/>
        <v>0</v>
      </c>
      <c r="CQ220" s="70">
        <f t="shared" si="250"/>
        <v>0</v>
      </c>
      <c r="CR220" s="70">
        <f t="shared" si="251"/>
        <v>0</v>
      </c>
      <c r="CS220" s="70">
        <f t="shared" si="252"/>
        <v>0</v>
      </c>
      <c r="CT220" s="70">
        <f t="shared" si="253"/>
        <v>0</v>
      </c>
      <c r="CU220" s="69">
        <f t="shared" si="254"/>
        <v>0</v>
      </c>
      <c r="CV220" s="69">
        <f t="shared" si="255"/>
        <v>0</v>
      </c>
      <c r="CW220" s="70">
        <f t="shared" si="256"/>
        <v>0</v>
      </c>
      <c r="CX220" s="69">
        <f t="shared" si="257"/>
        <v>0</v>
      </c>
      <c r="CY220" s="69">
        <f t="shared" si="258"/>
        <v>0</v>
      </c>
      <c r="CZ220" s="70">
        <f t="shared" si="259"/>
        <v>0</v>
      </c>
      <c r="DB220" s="70">
        <f t="shared" si="260"/>
        <v>3.6792998308646578</v>
      </c>
      <c r="DC220" s="70">
        <f t="shared" si="261"/>
        <v>27.187693173209141</v>
      </c>
      <c r="DD220" s="70">
        <f t="shared" si="262"/>
        <v>30.866993004073798</v>
      </c>
      <c r="DE220" s="70">
        <f t="shared" si="263"/>
        <v>6.9732909118635904</v>
      </c>
      <c r="DF220" s="70">
        <f t="shared" si="264"/>
        <v>21.725223455640688</v>
      </c>
      <c r="DG220" s="70">
        <f t="shared" si="265"/>
        <v>28.698514367504277</v>
      </c>
      <c r="DH220" s="69">
        <f t="shared" si="266"/>
        <v>13.336999394846046</v>
      </c>
      <c r="DI220" s="69">
        <f t="shared" si="267"/>
        <v>98.551970229927321</v>
      </c>
      <c r="DJ220" s="70">
        <f t="shared" si="268"/>
        <v>111.88896962477337</v>
      </c>
      <c r="DK220" s="69">
        <f t="shared" si="269"/>
        <v>10.910027076154922</v>
      </c>
      <c r="DL220" s="69">
        <f t="shared" si="270"/>
        <v>33.990088629933879</v>
      </c>
      <c r="DM220" s="70">
        <f t="shared" si="271"/>
        <v>44.900115706088798</v>
      </c>
    </row>
    <row r="221" spans="1:117">
      <c r="A221" t="s">
        <v>474</v>
      </c>
      <c r="B221">
        <v>404726</v>
      </c>
      <c r="C221">
        <v>188921</v>
      </c>
      <c r="D221" s="51">
        <v>31359.47</v>
      </c>
      <c r="E221" s="32">
        <f t="shared" si="204"/>
        <v>5924462431.8699999</v>
      </c>
      <c r="F221">
        <v>9961</v>
      </c>
      <c r="G221" s="37">
        <f t="shared" si="205"/>
        <v>2.4611712615448478E-2</v>
      </c>
      <c r="H221">
        <v>0</v>
      </c>
      <c r="I221" s="3">
        <f t="shared" si="206"/>
        <v>0</v>
      </c>
      <c r="J221" s="11">
        <f>+'Seat capacity elasticities'!K251</f>
        <v>0</v>
      </c>
      <c r="K221" s="11">
        <f>+'Seat capacity elasticities'!L251</f>
        <v>0</v>
      </c>
      <c r="L221" s="11">
        <f>+'Seat capacity elasticities'!M251</f>
        <v>0</v>
      </c>
      <c r="M221" s="11">
        <f>+'Seat capacity elasticities'!N251</f>
        <v>0</v>
      </c>
      <c r="N221" s="32">
        <f t="shared" si="216"/>
        <v>0</v>
      </c>
      <c r="O221" s="33">
        <f t="shared" si="217"/>
        <v>0</v>
      </c>
      <c r="P221" s="40">
        <f t="shared" si="218"/>
        <v>0</v>
      </c>
      <c r="Q221" s="33">
        <f t="shared" si="219"/>
        <v>0</v>
      </c>
      <c r="R221" s="40">
        <f t="shared" si="220"/>
        <v>0</v>
      </c>
      <c r="S221" s="41">
        <f t="shared" si="221"/>
        <v>0</v>
      </c>
      <c r="T221" s="40">
        <f t="shared" si="222"/>
        <v>0</v>
      </c>
      <c r="U221" s="41">
        <f t="shared" si="223"/>
        <v>0</v>
      </c>
      <c r="V221" s="53"/>
      <c r="W221" s="53"/>
      <c r="X221" t="s">
        <v>474</v>
      </c>
      <c r="Y221">
        <v>404726</v>
      </c>
      <c r="Z221">
        <v>188921</v>
      </c>
      <c r="AA221" s="51">
        <v>31359.47</v>
      </c>
      <c r="AB221" s="32">
        <f t="shared" si="207"/>
        <v>5924462431.8699999</v>
      </c>
      <c r="AC221">
        <v>9961</v>
      </c>
      <c r="AD221" s="37">
        <f t="shared" si="208"/>
        <v>2.4611712615448478E-2</v>
      </c>
      <c r="AE221">
        <v>6.8369999999999998E-4</v>
      </c>
      <c r="AF221" s="3">
        <f t="shared" si="209"/>
        <v>6.8369999999999999E-6</v>
      </c>
      <c r="AG221" s="11">
        <f>+'Seat capacity elasticities'!R251</f>
        <v>8.3801450969239501E-3</v>
      </c>
      <c r="AH221" s="11">
        <f>+'Seat capacity elasticities'!S251</f>
        <v>1.5882692993450579E-2</v>
      </c>
      <c r="AI221" s="11">
        <f>+'Seat capacity elasticities'!T251</f>
        <v>2.2992455861596397E-2</v>
      </c>
      <c r="AJ221" s="11">
        <f>+'Seat capacity elasticities'!U251</f>
        <v>1.8808452229086215E-2</v>
      </c>
      <c r="AK221" s="32">
        <f t="shared" si="224"/>
        <v>496478.54800345522</v>
      </c>
      <c r="AL221" s="33">
        <f t="shared" si="225"/>
        <v>8.3801450969239497E-5</v>
      </c>
      <c r="AM221" s="40">
        <f t="shared" si="226"/>
        <v>940964.1795662283</v>
      </c>
      <c r="AN221" s="33">
        <f t="shared" si="227"/>
        <v>1.588269299345058E-4</v>
      </c>
      <c r="AO221" s="40">
        <f t="shared" si="228"/>
        <v>2290278.5283736172</v>
      </c>
      <c r="AP221" s="41">
        <f t="shared" si="229"/>
        <v>2.2992455861596398E-4</v>
      </c>
      <c r="AQ221" s="40">
        <f t="shared" si="230"/>
        <v>1873509.9265392779</v>
      </c>
      <c r="AR221" s="41">
        <f t="shared" si="231"/>
        <v>1.8808452229086213E-4</v>
      </c>
      <c r="AV221" t="s">
        <v>474</v>
      </c>
      <c r="AW221">
        <v>404726</v>
      </c>
      <c r="AX221">
        <v>188921</v>
      </c>
      <c r="AY221" s="51">
        <v>31359.47</v>
      </c>
      <c r="AZ221" s="32">
        <f t="shared" si="210"/>
        <v>5924462431.8699999</v>
      </c>
      <c r="BA221">
        <v>9961</v>
      </c>
      <c r="BB221" s="37">
        <f t="shared" si="211"/>
        <v>2.4611712615448478E-2</v>
      </c>
      <c r="BC221">
        <v>0</v>
      </c>
      <c r="BD221" s="3">
        <f t="shared" si="212"/>
        <v>0</v>
      </c>
      <c r="BE221" s="11">
        <f>+'Seat capacity elasticities'!Y251</f>
        <v>0</v>
      </c>
      <c r="BF221" s="11">
        <f>+'Seat capacity elasticities'!Z251</f>
        <v>0</v>
      </c>
      <c r="BG221" s="11">
        <f>+'Seat capacity elasticities'!AA251</f>
        <v>0</v>
      </c>
      <c r="BH221" s="11">
        <f>+'Seat capacity elasticities'!AB251</f>
        <v>0</v>
      </c>
      <c r="BI221" s="32">
        <f t="shared" si="232"/>
        <v>0</v>
      </c>
      <c r="BJ221" s="33">
        <f t="shared" si="233"/>
        <v>0</v>
      </c>
      <c r="BK221" s="40">
        <f t="shared" si="234"/>
        <v>0</v>
      </c>
      <c r="BL221" s="33">
        <f t="shared" si="235"/>
        <v>0</v>
      </c>
      <c r="BM221" s="40">
        <f t="shared" si="236"/>
        <v>0</v>
      </c>
      <c r="BN221" s="41">
        <f t="shared" si="237"/>
        <v>0</v>
      </c>
      <c r="BO221" s="40">
        <f t="shared" si="238"/>
        <v>0</v>
      </c>
      <c r="BP221" s="41">
        <f t="shared" si="239"/>
        <v>0</v>
      </c>
      <c r="BQ221" s="53"/>
      <c r="BR221" s="53"/>
      <c r="BS221" t="s">
        <v>474</v>
      </c>
      <c r="BT221">
        <v>404726</v>
      </c>
      <c r="BU221">
        <v>188921</v>
      </c>
      <c r="BV221" s="51">
        <v>31359.47</v>
      </c>
      <c r="BW221" s="32">
        <f t="shared" si="213"/>
        <v>5924462431.8699999</v>
      </c>
      <c r="BX221">
        <v>9961</v>
      </c>
      <c r="BY221" s="37">
        <f t="shared" si="214"/>
        <v>2.4611712615448478E-2</v>
      </c>
      <c r="BZ221">
        <v>6.8369999999999998E-4</v>
      </c>
      <c r="CA221" s="3">
        <f t="shared" si="215"/>
        <v>6.8369999999999999E-6</v>
      </c>
      <c r="CB221" s="11">
        <f>+'Seat capacity elasticities'!AF251</f>
        <v>3.5863326705412642E-3</v>
      </c>
      <c r="CC221" s="11">
        <f>+'Seat capacity elasticities'!AG251</f>
        <v>2.8657774735574193E-3</v>
      </c>
      <c r="CD221" s="11">
        <f>+'Seat capacity elasticities'!AH251</f>
        <v>9.8397575076222422E-3</v>
      </c>
      <c r="CE221" s="11">
        <f>+'Seat capacity elasticities'!AI251</f>
        <v>3.3936838502653648E-3</v>
      </c>
      <c r="CF221" s="32">
        <f t="shared" si="240"/>
        <v>212470.9317480973</v>
      </c>
      <c r="CG221" s="33">
        <f t="shared" si="241"/>
        <v>3.5863326705412641E-5</v>
      </c>
      <c r="CH221" s="40">
        <f t="shared" si="242"/>
        <v>169781.90980190254</v>
      </c>
      <c r="CI221" s="33">
        <f t="shared" si="243"/>
        <v>2.8657774735574197E-5</v>
      </c>
      <c r="CJ221" s="40">
        <f t="shared" si="244"/>
        <v>980138.24533425167</v>
      </c>
      <c r="CK221" s="41">
        <f t="shared" si="245"/>
        <v>9.8397575076222441E-5</v>
      </c>
      <c r="CL221" s="40">
        <f t="shared" si="246"/>
        <v>338044.84832493303</v>
      </c>
      <c r="CM221" s="41">
        <f t="shared" si="247"/>
        <v>3.3936838502653651E-5</v>
      </c>
      <c r="CO221" s="70">
        <f t="shared" si="248"/>
        <v>0</v>
      </c>
      <c r="CP221" s="70">
        <f t="shared" si="249"/>
        <v>0</v>
      </c>
      <c r="CQ221" s="70">
        <f t="shared" si="250"/>
        <v>0</v>
      </c>
      <c r="CR221" s="70">
        <f t="shared" si="251"/>
        <v>0</v>
      </c>
      <c r="CS221" s="70">
        <f t="shared" si="252"/>
        <v>0</v>
      </c>
      <c r="CT221" s="70">
        <f t="shared" si="253"/>
        <v>0</v>
      </c>
      <c r="CU221" s="69">
        <f t="shared" si="254"/>
        <v>0</v>
      </c>
      <c r="CV221" s="69">
        <f t="shared" si="255"/>
        <v>0</v>
      </c>
      <c r="CW221" s="70">
        <f t="shared" si="256"/>
        <v>0</v>
      </c>
      <c r="CX221" s="69">
        <f t="shared" si="257"/>
        <v>0</v>
      </c>
      <c r="CY221" s="69">
        <f t="shared" si="258"/>
        <v>0</v>
      </c>
      <c r="CZ221" s="70">
        <f t="shared" si="259"/>
        <v>0</v>
      </c>
      <c r="DB221" s="70">
        <f t="shared" si="260"/>
        <v>2.6279690876263371</v>
      </c>
      <c r="DC221" s="70">
        <f t="shared" si="261"/>
        <v>1.1246549179185865</v>
      </c>
      <c r="DD221" s="70">
        <f t="shared" si="262"/>
        <v>3.7526240055449236</v>
      </c>
      <c r="DE221" s="70">
        <f t="shared" si="263"/>
        <v>4.9807283444732366</v>
      </c>
      <c r="DF221" s="70">
        <f t="shared" si="264"/>
        <v>0.89869262708699693</v>
      </c>
      <c r="DG221" s="70">
        <f t="shared" si="265"/>
        <v>5.8794209715602337</v>
      </c>
      <c r="DH221" s="69">
        <f t="shared" si="266"/>
        <v>12.122943073420197</v>
      </c>
      <c r="DI221" s="69">
        <f t="shared" si="267"/>
        <v>5.1880852066961944</v>
      </c>
      <c r="DJ221" s="70">
        <f t="shared" si="268"/>
        <v>17.311028280116393</v>
      </c>
      <c r="DK221" s="69">
        <f t="shared" si="269"/>
        <v>9.9168960916958824</v>
      </c>
      <c r="DL221" s="69">
        <f t="shared" si="270"/>
        <v>1.7893450083629296</v>
      </c>
      <c r="DM221" s="70">
        <f t="shared" si="271"/>
        <v>11.706241100058811</v>
      </c>
    </row>
    <row r="222" spans="1:117">
      <c r="A222" t="s">
        <v>1002</v>
      </c>
      <c r="B222">
        <v>516026</v>
      </c>
      <c r="C222">
        <v>356333</v>
      </c>
      <c r="D222" s="51">
        <v>38003.480000000003</v>
      </c>
      <c r="E222" s="32">
        <f t="shared" si="204"/>
        <v>13541894038.840002</v>
      </c>
      <c r="F222">
        <v>21759</v>
      </c>
      <c r="G222" s="37">
        <f t="shared" si="205"/>
        <v>4.2166479983566721E-2</v>
      </c>
      <c r="H222">
        <v>1.1521999999999999E-3</v>
      </c>
      <c r="I222" s="3">
        <f t="shared" si="206"/>
        <v>1.1521999999999999E-5</v>
      </c>
      <c r="J222" s="11">
        <f>+'Seat capacity elasticities'!K252</f>
        <v>1.8114977958124908E-3</v>
      </c>
      <c r="K222" s="11">
        <f>+'Seat capacity elasticities'!L252</f>
        <v>8.9884223836003904E-3</v>
      </c>
      <c r="L222" s="11">
        <f>+'Seat capacity elasticities'!M252</f>
        <v>4.9701744578248847E-3</v>
      </c>
      <c r="M222" s="11">
        <f>+'Seat capacity elasticities'!N252</f>
        <v>1.0644184401632043E-2</v>
      </c>
      <c r="N222" s="32">
        <f t="shared" si="216"/>
        <v>245311.11202484972</v>
      </c>
      <c r="O222" s="33">
        <f t="shared" si="217"/>
        <v>1.8114977958124909E-5</v>
      </c>
      <c r="P222" s="40">
        <f t="shared" si="218"/>
        <v>1217202.6349505417</v>
      </c>
      <c r="Q222" s="33">
        <f t="shared" si="219"/>
        <v>8.9884223836003899E-5</v>
      </c>
      <c r="R222" s="40">
        <f t="shared" si="220"/>
        <v>1081460.2602781167</v>
      </c>
      <c r="S222" s="41">
        <f t="shared" si="221"/>
        <v>4.9701744578248847E-5</v>
      </c>
      <c r="T222" s="40">
        <f t="shared" si="222"/>
        <v>2316068.0839511161</v>
      </c>
      <c r="U222" s="41">
        <f t="shared" si="223"/>
        <v>1.0644184401632042E-4</v>
      </c>
      <c r="V222" s="53"/>
      <c r="W222" s="53"/>
      <c r="X222" t="s">
        <v>1002</v>
      </c>
      <c r="Y222">
        <v>516026</v>
      </c>
      <c r="Z222">
        <v>356333</v>
      </c>
      <c r="AA222" s="51">
        <v>38003.480000000003</v>
      </c>
      <c r="AB222" s="32">
        <f t="shared" si="207"/>
        <v>13541894038.840002</v>
      </c>
      <c r="AC222">
        <v>21759</v>
      </c>
      <c r="AD222" s="37">
        <f t="shared" si="208"/>
        <v>4.2166479983566721E-2</v>
      </c>
      <c r="AE222">
        <v>2.6917999999999998E-3</v>
      </c>
      <c r="AF222" s="3">
        <f t="shared" si="209"/>
        <v>2.6917999999999999E-5</v>
      </c>
      <c r="AG222" s="11">
        <f>+'Seat capacity elasticities'!R252</f>
        <v>3.8905689172332087E-3</v>
      </c>
      <c r="AH222" s="11">
        <f>+'Seat capacity elasticities'!S252</f>
        <v>7.3737042697456833E-3</v>
      </c>
      <c r="AI222" s="11">
        <f>+'Seat capacity elasticities'!T252</f>
        <v>1.0674485115874507E-2</v>
      </c>
      <c r="AJ222" s="11">
        <f>+'Seat capacity elasticities'!U252</f>
        <v>8.7320182141725211E-3</v>
      </c>
      <c r="AK222" s="32">
        <f t="shared" si="224"/>
        <v>526856.7202797659</v>
      </c>
      <c r="AL222" s="33">
        <f t="shared" si="225"/>
        <v>3.8905689172332085E-5</v>
      </c>
      <c r="AM222" s="40">
        <f t="shared" si="226"/>
        <v>998539.21894638136</v>
      </c>
      <c r="AN222" s="33">
        <f t="shared" si="227"/>
        <v>7.3737042697456833E-5</v>
      </c>
      <c r="AO222" s="40">
        <f t="shared" si="228"/>
        <v>2322661.2163631339</v>
      </c>
      <c r="AP222" s="41">
        <f t="shared" si="229"/>
        <v>1.0674485115874507E-4</v>
      </c>
      <c r="AQ222" s="40">
        <f t="shared" si="230"/>
        <v>1899999.843221799</v>
      </c>
      <c r="AR222" s="41">
        <f t="shared" si="231"/>
        <v>8.7320182141725216E-5</v>
      </c>
      <c r="AV222" t="s">
        <v>1002</v>
      </c>
      <c r="AW222">
        <v>516026</v>
      </c>
      <c r="AX222">
        <v>356333</v>
      </c>
      <c r="AY222" s="51">
        <v>38003.480000000003</v>
      </c>
      <c r="AZ222" s="32">
        <f t="shared" si="210"/>
        <v>13541894038.840002</v>
      </c>
      <c r="BA222">
        <v>21759</v>
      </c>
      <c r="BB222" s="37">
        <f t="shared" si="211"/>
        <v>4.2166479983566721E-2</v>
      </c>
      <c r="BC222">
        <v>1.1521999999999999E-3</v>
      </c>
      <c r="BD222" s="3">
        <f t="shared" si="212"/>
        <v>1.1521999999999999E-5</v>
      </c>
      <c r="BE222" s="11">
        <f>+'Seat capacity elasticities'!Y252</f>
        <v>4.5161361044640004E-2</v>
      </c>
      <c r="BF222" s="11">
        <f>+'Seat capacity elasticities'!Z252</f>
        <v>0.12319309658247862</v>
      </c>
      <c r="BG222" s="11">
        <f>+'Seat capacity elasticities'!AA252</f>
        <v>0.12390842741489676</v>
      </c>
      <c r="BH222" s="11">
        <f>+'Seat capacity elasticities'!AB252</f>
        <v>0.14588656174240891</v>
      </c>
      <c r="BI222" s="32">
        <f t="shared" si="232"/>
        <v>6115703.6591631155</v>
      </c>
      <c r="BJ222" s="33">
        <f t="shared" si="233"/>
        <v>4.5161361044640004E-4</v>
      </c>
      <c r="BK222" s="40">
        <f t="shared" si="234"/>
        <v>16682678.602365078</v>
      </c>
      <c r="BL222" s="33">
        <f t="shared" si="235"/>
        <v>1.2319309658247863E-3</v>
      </c>
      <c r="BM222" s="40">
        <f t="shared" si="236"/>
        <v>26961234.721207388</v>
      </c>
      <c r="BN222" s="41">
        <f t="shared" si="237"/>
        <v>1.2390842741489677E-3</v>
      </c>
      <c r="BO222" s="40">
        <f t="shared" si="238"/>
        <v>31743456.969530758</v>
      </c>
      <c r="BP222" s="41">
        <f t="shared" si="239"/>
        <v>1.4588656174240892E-3</v>
      </c>
      <c r="BQ222" s="53"/>
      <c r="BR222" s="53"/>
      <c r="BS222" t="s">
        <v>1002</v>
      </c>
      <c r="BT222">
        <v>516026</v>
      </c>
      <c r="BU222">
        <v>356333</v>
      </c>
      <c r="BV222" s="51">
        <v>38003.480000000003</v>
      </c>
      <c r="BW222" s="32">
        <f t="shared" si="213"/>
        <v>13541894038.840002</v>
      </c>
      <c r="BX222">
        <v>21759</v>
      </c>
      <c r="BY222" s="37">
        <f t="shared" si="214"/>
        <v>4.2166479983566721E-2</v>
      </c>
      <c r="BZ222">
        <v>2.6917999999999998E-3</v>
      </c>
      <c r="CA222" s="3">
        <f t="shared" si="215"/>
        <v>2.6917999999999999E-5</v>
      </c>
      <c r="CB222" s="11">
        <f>+'Seat capacity elasticities'!AF252</f>
        <v>1.107432595404723E-2</v>
      </c>
      <c r="CC222" s="11">
        <f>+'Seat capacity elasticities'!AG252</f>
        <v>8.8493056192556173E-3</v>
      </c>
      <c r="CD222" s="11">
        <f>+'Seat capacity elasticities'!AH252</f>
        <v>3.0384432220490594E-2</v>
      </c>
      <c r="CE222" s="11">
        <f>+'Seat capacity elasticities'!AI252</f>
        <v>1.0479440864907968E-2</v>
      </c>
      <c r="CF222" s="32">
        <f t="shared" si="240"/>
        <v>1499673.4862128329</v>
      </c>
      <c r="CG222" s="33">
        <f t="shared" si="241"/>
        <v>1.1074325954047229E-4</v>
      </c>
      <c r="CH222" s="40">
        <f t="shared" si="242"/>
        <v>1198363.5901327098</v>
      </c>
      <c r="CI222" s="33">
        <f t="shared" si="243"/>
        <v>8.8493056192556177E-5</v>
      </c>
      <c r="CJ222" s="40">
        <f t="shared" si="244"/>
        <v>6611348.6068565473</v>
      </c>
      <c r="CK222" s="41">
        <f t="shared" si="245"/>
        <v>3.0384432220490588E-4</v>
      </c>
      <c r="CL222" s="40">
        <f t="shared" si="246"/>
        <v>2280221.5377953248</v>
      </c>
      <c r="CM222" s="41">
        <f t="shared" si="247"/>
        <v>1.0479440864907969E-4</v>
      </c>
      <c r="CO222" s="70">
        <f t="shared" si="248"/>
        <v>0.68843220253204085</v>
      </c>
      <c r="CP222" s="70">
        <f t="shared" si="249"/>
        <v>17.162888812327559</v>
      </c>
      <c r="CQ222" s="70">
        <f t="shared" si="250"/>
        <v>17.8513210148596</v>
      </c>
      <c r="CR222" s="70">
        <f t="shared" si="251"/>
        <v>3.4159133028670983</v>
      </c>
      <c r="CS222" s="70">
        <f t="shared" si="252"/>
        <v>46.817663821102954</v>
      </c>
      <c r="CT222" s="70">
        <f t="shared" si="253"/>
        <v>50.233577123970051</v>
      </c>
      <c r="CU222" s="69">
        <f t="shared" si="254"/>
        <v>3.0349708286297274</v>
      </c>
      <c r="CV222" s="69">
        <f t="shared" si="255"/>
        <v>75.663030707813718</v>
      </c>
      <c r="CW222" s="70">
        <f t="shared" si="256"/>
        <v>78.698001536443442</v>
      </c>
      <c r="CX222" s="69">
        <f t="shared" si="257"/>
        <v>6.4997294214993167</v>
      </c>
      <c r="CY222" s="69">
        <f t="shared" si="258"/>
        <v>89.083685680334852</v>
      </c>
      <c r="CZ222" s="70">
        <f t="shared" si="259"/>
        <v>95.583415101834163</v>
      </c>
      <c r="DB222" s="70">
        <f t="shared" si="260"/>
        <v>1.4785515803469393</v>
      </c>
      <c r="DC222" s="70">
        <f t="shared" si="261"/>
        <v>4.2086292490811488</v>
      </c>
      <c r="DD222" s="70">
        <f t="shared" si="262"/>
        <v>5.6871808294280886</v>
      </c>
      <c r="DE222" s="70">
        <f t="shared" si="263"/>
        <v>2.8022642274119471</v>
      </c>
      <c r="DF222" s="70">
        <f t="shared" si="264"/>
        <v>3.3630440911526853</v>
      </c>
      <c r="DG222" s="70">
        <f t="shared" si="265"/>
        <v>6.165308318564632</v>
      </c>
      <c r="DH222" s="69">
        <f t="shared" si="266"/>
        <v>6.5182321490379334</v>
      </c>
      <c r="DI222" s="69">
        <f t="shared" si="267"/>
        <v>18.553848806752523</v>
      </c>
      <c r="DJ222" s="70">
        <f t="shared" si="268"/>
        <v>25.072080955790454</v>
      </c>
      <c r="DK222" s="69">
        <f t="shared" si="269"/>
        <v>5.3320906096875644</v>
      </c>
      <c r="DL222" s="69">
        <f t="shared" si="270"/>
        <v>6.399130975226333</v>
      </c>
      <c r="DM222" s="70">
        <f t="shared" si="271"/>
        <v>11.731221584913897</v>
      </c>
    </row>
    <row r="223" spans="1:117">
      <c r="A223" t="s">
        <v>315</v>
      </c>
      <c r="B223">
        <v>2203745</v>
      </c>
      <c r="C223">
        <v>1388060</v>
      </c>
      <c r="D223" s="51">
        <v>43022.45</v>
      </c>
      <c r="E223" s="32">
        <f t="shared" si="204"/>
        <v>59717741946.999992</v>
      </c>
      <c r="F223">
        <v>101230</v>
      </c>
      <c r="G223" s="37">
        <f t="shared" si="205"/>
        <v>4.5935441713991408E-2</v>
      </c>
      <c r="H223">
        <v>3.4397E-3</v>
      </c>
      <c r="I223" s="3">
        <f t="shared" si="206"/>
        <v>3.4397000000000003E-5</v>
      </c>
      <c r="J223" s="11">
        <f>+'Seat capacity elasticities'!K253</f>
        <v>4.9884924227704026E-3</v>
      </c>
      <c r="K223" s="11">
        <f>+'Seat capacity elasticities'!L253</f>
        <v>2.4752266912441614E-2</v>
      </c>
      <c r="L223" s="11">
        <f>+'Seat capacity elasticities'!M253</f>
        <v>1.3686838416265366E-2</v>
      </c>
      <c r="M223" s="11">
        <f>+'Seat capacity elasticities'!N253</f>
        <v>2.9311895027891388E-2</v>
      </c>
      <c r="N223" s="32">
        <f t="shared" si="216"/>
        <v>2979015.0320756771</v>
      </c>
      <c r="O223" s="33">
        <f t="shared" si="217"/>
        <v>4.9884924227704032E-5</v>
      </c>
      <c r="P223" s="40">
        <f t="shared" si="218"/>
        <v>14781494.880804544</v>
      </c>
      <c r="Q223" s="33">
        <f t="shared" si="219"/>
        <v>2.4752266912441611E-4</v>
      </c>
      <c r="R223" s="40">
        <f t="shared" si="220"/>
        <v>13855186.528785428</v>
      </c>
      <c r="S223" s="41">
        <f t="shared" si="221"/>
        <v>1.3686838416265362E-4</v>
      </c>
      <c r="T223" s="40">
        <f t="shared" si="222"/>
        <v>29672431.336734455</v>
      </c>
      <c r="U223" s="41">
        <f t="shared" si="223"/>
        <v>2.9311895027891392E-4</v>
      </c>
      <c r="V223" s="53"/>
      <c r="W223" s="53"/>
      <c r="X223" t="s">
        <v>315</v>
      </c>
      <c r="Y223">
        <v>2203745</v>
      </c>
      <c r="Z223">
        <v>1388060</v>
      </c>
      <c r="AA223" s="51">
        <v>43022.45</v>
      </c>
      <c r="AB223" s="32">
        <f t="shared" si="207"/>
        <v>59717741946.999992</v>
      </c>
      <c r="AC223">
        <v>101230</v>
      </c>
      <c r="AD223" s="37">
        <f t="shared" si="208"/>
        <v>4.5935441713991408E-2</v>
      </c>
      <c r="AE223">
        <v>1.3317799999999999E-2</v>
      </c>
      <c r="AF223" s="3">
        <f t="shared" si="209"/>
        <v>1.3317799999999999E-4</v>
      </c>
      <c r="AG223" s="11">
        <f>+'Seat capacity elasticities'!R253</f>
        <v>1.7755856399985823E-2</v>
      </c>
      <c r="AH223" s="11">
        <f>+'Seat capacity elasticities'!S253</f>
        <v>3.3652259331438727E-2</v>
      </c>
      <c r="AI223" s="11">
        <f>+'Seat capacity elasticities'!T253</f>
        <v>4.871642911187446E-2</v>
      </c>
      <c r="AJ223" s="11">
        <f>+'Seat capacity elasticities'!U253</f>
        <v>3.9851359734598489E-2</v>
      </c>
      <c r="AK223" s="32">
        <f t="shared" si="224"/>
        <v>10603396.505423415</v>
      </c>
      <c r="AL223" s="33">
        <f t="shared" si="225"/>
        <v>1.7755856399985821E-4</v>
      </c>
      <c r="AM223" s="40">
        <f t="shared" si="226"/>
        <v>20096369.386883803</v>
      </c>
      <c r="AN223" s="33">
        <f t="shared" si="227"/>
        <v>3.3652259331438727E-4</v>
      </c>
      <c r="AO223" s="40">
        <f t="shared" si="228"/>
        <v>49315641.189950518</v>
      </c>
      <c r="AP223" s="41">
        <f t="shared" si="229"/>
        <v>4.8716429111874462E-4</v>
      </c>
      <c r="AQ223" s="40">
        <f t="shared" si="230"/>
        <v>40341531.459334053</v>
      </c>
      <c r="AR223" s="41">
        <f t="shared" si="231"/>
        <v>3.9851359734598493E-4</v>
      </c>
      <c r="AV223" t="s">
        <v>315</v>
      </c>
      <c r="AW223">
        <v>2203745</v>
      </c>
      <c r="AX223">
        <v>1388060</v>
      </c>
      <c r="AY223" s="51">
        <v>43022.45</v>
      </c>
      <c r="AZ223" s="32">
        <f t="shared" si="210"/>
        <v>59717741946.999992</v>
      </c>
      <c r="BA223">
        <v>101230</v>
      </c>
      <c r="BB223" s="37">
        <f t="shared" si="211"/>
        <v>4.5935441713991408E-2</v>
      </c>
      <c r="BC223">
        <v>3.4397E-3</v>
      </c>
      <c r="BD223" s="3">
        <f t="shared" si="212"/>
        <v>3.4397000000000003E-5</v>
      </c>
      <c r="BE223" s="11">
        <f>+'Seat capacity elasticities'!Y253</f>
        <v>3.1569664143042707E-2</v>
      </c>
      <c r="BF223" s="11">
        <f>+'Seat capacity elasticities'!Z253</f>
        <v>8.611708314118359E-2</v>
      </c>
      <c r="BG223" s="11">
        <f>+'Seat capacity elasticities'!AA253</f>
        <v>8.6617129056723668E-2</v>
      </c>
      <c r="BH223" s="11">
        <f>+'Seat capacity elasticities'!AB253</f>
        <v>0.10198075635140162</v>
      </c>
      <c r="BI223" s="32">
        <f t="shared" si="232"/>
        <v>18852690.566476829</v>
      </c>
      <c r="BJ223" s="33">
        <f t="shared" si="233"/>
        <v>3.1569664143042708E-4</v>
      </c>
      <c r="BK223" s="40">
        <f t="shared" si="234"/>
        <v>51427177.482535452</v>
      </c>
      <c r="BL223" s="33">
        <f t="shared" si="235"/>
        <v>8.6117083141183594E-4</v>
      </c>
      <c r="BM223" s="40">
        <f t="shared" si="236"/>
        <v>87682519.744121358</v>
      </c>
      <c r="BN223" s="41">
        <f t="shared" si="237"/>
        <v>8.6617129056723661E-4</v>
      </c>
      <c r="BO223" s="40">
        <f t="shared" si="238"/>
        <v>103235119.65452385</v>
      </c>
      <c r="BP223" s="41">
        <f t="shared" si="239"/>
        <v>1.0198075635140162E-3</v>
      </c>
      <c r="BQ223" s="53"/>
      <c r="BR223" s="53"/>
      <c r="BS223" t="s">
        <v>315</v>
      </c>
      <c r="BT223">
        <v>2203745</v>
      </c>
      <c r="BU223">
        <v>1388060</v>
      </c>
      <c r="BV223" s="51">
        <v>43022.45</v>
      </c>
      <c r="BW223" s="32">
        <f t="shared" si="213"/>
        <v>59717741946.999992</v>
      </c>
      <c r="BX223">
        <v>101230</v>
      </c>
      <c r="BY223" s="37">
        <f t="shared" si="214"/>
        <v>4.5935441713991408E-2</v>
      </c>
      <c r="BZ223">
        <v>1.3317799999999999E-2</v>
      </c>
      <c r="CA223" s="3">
        <f t="shared" si="215"/>
        <v>1.3317799999999999E-4</v>
      </c>
      <c r="CB223" s="11">
        <f>+'Seat capacity elasticities'!AF253</f>
        <v>1.2829722002087126E-2</v>
      </c>
      <c r="CC223" s="11">
        <f>+'Seat capacity elasticities'!AG253</f>
        <v>1.0252012761559074E-2</v>
      </c>
      <c r="CD223" s="11">
        <f>+'Seat capacity elasticities'!AH253</f>
        <v>3.5200681305365397E-2</v>
      </c>
      <c r="CE223" s="11">
        <f>+'Seat capacity elasticities'!AI253</f>
        <v>1.2140541428162061E-2</v>
      </c>
      <c r="CF223" s="32">
        <f t="shared" si="240"/>
        <v>7661620.2777238702</v>
      </c>
      <c r="CG223" s="33">
        <f t="shared" si="241"/>
        <v>1.2829722002087124E-4</v>
      </c>
      <c r="CH223" s="40">
        <f t="shared" si="242"/>
        <v>6122270.5253213551</v>
      </c>
      <c r="CI223" s="33">
        <f t="shared" si="243"/>
        <v>1.0252012761559073E-4</v>
      </c>
      <c r="CJ223" s="40">
        <f t="shared" si="244"/>
        <v>35633649.685421392</v>
      </c>
      <c r="CK223" s="41">
        <f t="shared" si="245"/>
        <v>3.5200681305365395E-4</v>
      </c>
      <c r="CL223" s="40">
        <f t="shared" si="246"/>
        <v>12289870.087728454</v>
      </c>
      <c r="CM223" s="41">
        <f t="shared" si="247"/>
        <v>1.2140541428162061E-4</v>
      </c>
      <c r="CO223" s="70">
        <f t="shared" si="248"/>
        <v>2.1461716583401849</v>
      </c>
      <c r="CP223" s="70">
        <f t="shared" si="249"/>
        <v>13.582042971108475</v>
      </c>
      <c r="CQ223" s="70">
        <f t="shared" si="250"/>
        <v>15.72821462944866</v>
      </c>
      <c r="CR223" s="70">
        <f t="shared" si="251"/>
        <v>10.649031656271735</v>
      </c>
      <c r="CS223" s="70">
        <f t="shared" si="252"/>
        <v>37.049679035874135</v>
      </c>
      <c r="CT223" s="70">
        <f t="shared" si="253"/>
        <v>47.698710692145866</v>
      </c>
      <c r="CU223" s="69">
        <f t="shared" si="254"/>
        <v>9.9816913741375934</v>
      </c>
      <c r="CV223" s="69">
        <f t="shared" si="255"/>
        <v>63.169113542729676</v>
      </c>
      <c r="CW223" s="70">
        <f t="shared" si="256"/>
        <v>73.150804916867273</v>
      </c>
      <c r="CX223" s="69">
        <f t="shared" si="257"/>
        <v>21.376908301323038</v>
      </c>
      <c r="CY223" s="69">
        <f t="shared" si="258"/>
        <v>74.37367235892097</v>
      </c>
      <c r="CZ223" s="70">
        <f t="shared" si="259"/>
        <v>95.750580660244012</v>
      </c>
      <c r="DB223" s="70">
        <f t="shared" si="260"/>
        <v>7.6390044417556986</v>
      </c>
      <c r="DC223" s="70">
        <f t="shared" si="261"/>
        <v>5.5196607334869316</v>
      </c>
      <c r="DD223" s="70">
        <f t="shared" si="262"/>
        <v>13.15866517524263</v>
      </c>
      <c r="DE223" s="70">
        <f t="shared" si="263"/>
        <v>14.478026444738559</v>
      </c>
      <c r="DF223" s="70">
        <f t="shared" si="264"/>
        <v>4.4106670643353709</v>
      </c>
      <c r="DG223" s="70">
        <f t="shared" si="265"/>
        <v>18.888693509073931</v>
      </c>
      <c r="DH223" s="69">
        <f t="shared" si="266"/>
        <v>35.528465044703054</v>
      </c>
      <c r="DI223" s="69">
        <f t="shared" si="267"/>
        <v>25.671548553680239</v>
      </c>
      <c r="DJ223" s="70">
        <f t="shared" si="268"/>
        <v>61.200013598383293</v>
      </c>
      <c r="DK223" s="69">
        <f t="shared" si="269"/>
        <v>29.063247596886342</v>
      </c>
      <c r="DL223" s="69">
        <f t="shared" si="270"/>
        <v>8.8539905247096335</v>
      </c>
      <c r="DM223" s="70">
        <f t="shared" si="271"/>
        <v>37.917238121595972</v>
      </c>
    </row>
    <row r="224" spans="1:117">
      <c r="A224" t="s">
        <v>475</v>
      </c>
      <c r="B224">
        <v>672020</v>
      </c>
      <c r="C224">
        <v>340746</v>
      </c>
      <c r="D224" s="51">
        <v>37933.53</v>
      </c>
      <c r="E224" s="32">
        <f t="shared" si="204"/>
        <v>12925698613.379999</v>
      </c>
      <c r="F224">
        <v>16549</v>
      </c>
      <c r="G224" s="37">
        <f t="shared" si="205"/>
        <v>2.4625755185857565E-2</v>
      </c>
      <c r="H224">
        <v>0</v>
      </c>
      <c r="I224" s="3">
        <f t="shared" si="206"/>
        <v>0</v>
      </c>
      <c r="J224" s="11">
        <f>+'Seat capacity elasticities'!K254</f>
        <v>0</v>
      </c>
      <c r="K224" s="11">
        <f>+'Seat capacity elasticities'!L254</f>
        <v>0</v>
      </c>
      <c r="L224" s="11">
        <f>+'Seat capacity elasticities'!M254</f>
        <v>0</v>
      </c>
      <c r="M224" s="11">
        <f>+'Seat capacity elasticities'!N254</f>
        <v>0</v>
      </c>
      <c r="N224" s="32">
        <f t="shared" si="216"/>
        <v>0</v>
      </c>
      <c r="O224" s="33">
        <f t="shared" si="217"/>
        <v>0</v>
      </c>
      <c r="P224" s="40">
        <f t="shared" si="218"/>
        <v>0</v>
      </c>
      <c r="Q224" s="33">
        <f t="shared" si="219"/>
        <v>0</v>
      </c>
      <c r="R224" s="40">
        <f t="shared" si="220"/>
        <v>0</v>
      </c>
      <c r="S224" s="41">
        <f t="shared" si="221"/>
        <v>0</v>
      </c>
      <c r="T224" s="40">
        <f t="shared" si="222"/>
        <v>0</v>
      </c>
      <c r="U224" s="41">
        <f t="shared" si="223"/>
        <v>0</v>
      </c>
      <c r="V224" s="53"/>
      <c r="W224" s="53"/>
      <c r="X224" t="s">
        <v>475</v>
      </c>
      <c r="Y224">
        <v>672020</v>
      </c>
      <c r="Z224">
        <v>340746</v>
      </c>
      <c r="AA224" s="51">
        <v>37933.53</v>
      </c>
      <c r="AB224" s="32">
        <f t="shared" si="207"/>
        <v>12925698613.379999</v>
      </c>
      <c r="AC224">
        <v>16549</v>
      </c>
      <c r="AD224" s="37">
        <f t="shared" si="208"/>
        <v>2.4625755185857565E-2</v>
      </c>
      <c r="AE224">
        <v>4.9159E-3</v>
      </c>
      <c r="AF224" s="3">
        <f t="shared" si="209"/>
        <v>4.9159000000000001E-5</v>
      </c>
      <c r="AG224" s="11">
        <f>+'Seat capacity elasticities'!R254</f>
        <v>8.6692869240648784E-3</v>
      </c>
      <c r="AH224" s="11">
        <f>+'Seat capacity elasticities'!S254</f>
        <v>1.6430696735501588E-2</v>
      </c>
      <c r="AI224" s="11">
        <f>+'Seat capacity elasticities'!T254</f>
        <v>2.3785769177939741E-2</v>
      </c>
      <c r="AJ224" s="11">
        <f>+'Seat capacity elasticities'!U254</f>
        <v>1.9457404028883463E-2</v>
      </c>
      <c r="AK224" s="32">
        <f t="shared" si="224"/>
        <v>1120565.8997337876</v>
      </c>
      <c r="AL224" s="33">
        <f t="shared" si="225"/>
        <v>8.6692869240648796E-5</v>
      </c>
      <c r="AM224" s="40">
        <f t="shared" si="226"/>
        <v>2123782.3401094018</v>
      </c>
      <c r="AN224" s="33">
        <f t="shared" si="227"/>
        <v>1.6430696735501591E-4</v>
      </c>
      <c r="AO224" s="40">
        <f t="shared" si="228"/>
        <v>3936306.9412572477</v>
      </c>
      <c r="AP224" s="41">
        <f t="shared" si="229"/>
        <v>2.3785769177939742E-4</v>
      </c>
      <c r="AQ224" s="40">
        <f t="shared" si="230"/>
        <v>3220005.792739925</v>
      </c>
      <c r="AR224" s="41">
        <f t="shared" si="231"/>
        <v>1.9457404028883467E-4</v>
      </c>
      <c r="AV224" t="s">
        <v>475</v>
      </c>
      <c r="AW224">
        <v>672020</v>
      </c>
      <c r="AX224">
        <v>340746</v>
      </c>
      <c r="AY224" s="51">
        <v>37933.53</v>
      </c>
      <c r="AZ224" s="32">
        <f t="shared" si="210"/>
        <v>12925698613.379999</v>
      </c>
      <c r="BA224">
        <v>16549</v>
      </c>
      <c r="BB224" s="37">
        <f t="shared" si="211"/>
        <v>2.4625755185857565E-2</v>
      </c>
      <c r="BC224">
        <v>0</v>
      </c>
      <c r="BD224" s="3">
        <f t="shared" si="212"/>
        <v>0</v>
      </c>
      <c r="BE224" s="11">
        <f>+'Seat capacity elasticities'!Y254</f>
        <v>0</v>
      </c>
      <c r="BF224" s="11">
        <f>+'Seat capacity elasticities'!Z254</f>
        <v>0</v>
      </c>
      <c r="BG224" s="11">
        <f>+'Seat capacity elasticities'!AA254</f>
        <v>0</v>
      </c>
      <c r="BH224" s="11">
        <f>+'Seat capacity elasticities'!AB254</f>
        <v>0</v>
      </c>
      <c r="BI224" s="32">
        <f t="shared" si="232"/>
        <v>0</v>
      </c>
      <c r="BJ224" s="33">
        <f t="shared" si="233"/>
        <v>0</v>
      </c>
      <c r="BK224" s="40">
        <f t="shared" si="234"/>
        <v>0</v>
      </c>
      <c r="BL224" s="33">
        <f t="shared" si="235"/>
        <v>0</v>
      </c>
      <c r="BM224" s="40">
        <f t="shared" si="236"/>
        <v>0</v>
      </c>
      <c r="BN224" s="41">
        <f t="shared" si="237"/>
        <v>0</v>
      </c>
      <c r="BO224" s="40">
        <f t="shared" si="238"/>
        <v>0</v>
      </c>
      <c r="BP224" s="41">
        <f t="shared" si="239"/>
        <v>0</v>
      </c>
      <c r="BQ224" s="53"/>
      <c r="BR224" s="53"/>
      <c r="BS224" t="s">
        <v>475</v>
      </c>
      <c r="BT224">
        <v>672020</v>
      </c>
      <c r="BU224">
        <v>340746</v>
      </c>
      <c r="BV224" s="51">
        <v>37933.53</v>
      </c>
      <c r="BW224" s="32">
        <f t="shared" si="213"/>
        <v>12925698613.379999</v>
      </c>
      <c r="BX224">
        <v>16549</v>
      </c>
      <c r="BY224" s="37">
        <f t="shared" si="214"/>
        <v>2.4625755185857565E-2</v>
      </c>
      <c r="BZ224">
        <v>4.9159E-3</v>
      </c>
      <c r="CA224" s="3">
        <f t="shared" si="215"/>
        <v>4.9159000000000001E-5</v>
      </c>
      <c r="CB224" s="11">
        <f>+'Seat capacity elasticities'!AF254</f>
        <v>1.5529838484857573E-2</v>
      </c>
      <c r="CC224" s="11">
        <f>+'Seat capacity elasticities'!AG254</f>
        <v>1.2409629944110294E-2</v>
      </c>
      <c r="CD224" s="11">
        <f>+'Seat capacity elasticities'!AH254</f>
        <v>4.2608943135349298E-2</v>
      </c>
      <c r="CE224" s="11">
        <f>+'Seat capacity elasticities'!AI254</f>
        <v>1.4695614407499034E-2</v>
      </c>
      <c r="CF224" s="32">
        <f t="shared" si="240"/>
        <v>2007340.1176973889</v>
      </c>
      <c r="CG224" s="33">
        <f t="shared" si="241"/>
        <v>1.5529838484857573E-4</v>
      </c>
      <c r="CH224" s="40">
        <f t="shared" si="242"/>
        <v>1604031.3656114535</v>
      </c>
      <c r="CI224" s="33">
        <f t="shared" si="243"/>
        <v>1.2409629944110293E-4</v>
      </c>
      <c r="CJ224" s="40">
        <f t="shared" si="244"/>
        <v>7051353.9994689552</v>
      </c>
      <c r="CK224" s="41">
        <f t="shared" si="245"/>
        <v>4.2608943135349296E-4</v>
      </c>
      <c r="CL224" s="40">
        <f t="shared" si="246"/>
        <v>2431977.2282970152</v>
      </c>
      <c r="CM224" s="41">
        <f t="shared" si="247"/>
        <v>1.4695614407499034E-4</v>
      </c>
      <c r="CO224" s="70">
        <f t="shared" si="248"/>
        <v>0</v>
      </c>
      <c r="CP224" s="70">
        <f t="shared" si="249"/>
        <v>0</v>
      </c>
      <c r="CQ224" s="70">
        <f t="shared" si="250"/>
        <v>0</v>
      </c>
      <c r="CR224" s="70">
        <f t="shared" si="251"/>
        <v>0</v>
      </c>
      <c r="CS224" s="70">
        <f t="shared" si="252"/>
        <v>0</v>
      </c>
      <c r="CT224" s="70">
        <f t="shared" si="253"/>
        <v>0</v>
      </c>
      <c r="CU224" s="69">
        <f t="shared" si="254"/>
        <v>0</v>
      </c>
      <c r="CV224" s="69">
        <f t="shared" si="255"/>
        <v>0</v>
      </c>
      <c r="CW224" s="70">
        <f t="shared" si="256"/>
        <v>0</v>
      </c>
      <c r="CX224" s="69">
        <f t="shared" si="257"/>
        <v>0</v>
      </c>
      <c r="CY224" s="69">
        <f t="shared" si="258"/>
        <v>0</v>
      </c>
      <c r="CZ224" s="70">
        <f t="shared" si="259"/>
        <v>0</v>
      </c>
      <c r="DB224" s="70">
        <f t="shared" si="260"/>
        <v>3.2885665561262281</v>
      </c>
      <c r="DC224" s="70">
        <f t="shared" si="261"/>
        <v>5.8910159406049925</v>
      </c>
      <c r="DD224" s="70">
        <f t="shared" si="262"/>
        <v>9.1795824967312214</v>
      </c>
      <c r="DE224" s="70">
        <f t="shared" si="263"/>
        <v>6.2327432753705159</v>
      </c>
      <c r="DF224" s="70">
        <f t="shared" si="264"/>
        <v>4.7074106977380614</v>
      </c>
      <c r="DG224" s="70">
        <f t="shared" si="265"/>
        <v>10.940153973108577</v>
      </c>
      <c r="DH224" s="69">
        <f t="shared" si="266"/>
        <v>11.552026850666619</v>
      </c>
      <c r="DI224" s="69">
        <f t="shared" si="267"/>
        <v>20.693871679987307</v>
      </c>
      <c r="DJ224" s="70">
        <f t="shared" si="268"/>
        <v>32.245898530653925</v>
      </c>
      <c r="DK224" s="69">
        <f t="shared" si="269"/>
        <v>9.4498711437256055</v>
      </c>
      <c r="DL224" s="69">
        <f t="shared" si="270"/>
        <v>7.1372143129985828</v>
      </c>
      <c r="DM224" s="70">
        <f t="shared" si="271"/>
        <v>16.587085456724189</v>
      </c>
    </row>
    <row r="225" spans="1:117">
      <c r="A225" t="s">
        <v>317</v>
      </c>
      <c r="B225">
        <v>1599312</v>
      </c>
      <c r="C225">
        <v>890702</v>
      </c>
      <c r="D225" s="51">
        <v>39287.08</v>
      </c>
      <c r="E225" s="32">
        <f t="shared" si="204"/>
        <v>34993080730.160004</v>
      </c>
      <c r="F225">
        <v>57032</v>
      </c>
      <c r="G225" s="37">
        <f t="shared" si="205"/>
        <v>3.5660333943595746E-2</v>
      </c>
      <c r="H225">
        <v>0</v>
      </c>
      <c r="I225" s="3">
        <f t="shared" si="206"/>
        <v>0</v>
      </c>
      <c r="J225" s="11">
        <f>+'Seat capacity elasticities'!K255</f>
        <v>0</v>
      </c>
      <c r="K225" s="11">
        <f>+'Seat capacity elasticities'!L255</f>
        <v>0</v>
      </c>
      <c r="L225" s="11">
        <f>+'Seat capacity elasticities'!M255</f>
        <v>0</v>
      </c>
      <c r="M225" s="11">
        <f>+'Seat capacity elasticities'!N255</f>
        <v>0</v>
      </c>
      <c r="N225" s="32">
        <f t="shared" si="216"/>
        <v>0</v>
      </c>
      <c r="O225" s="33">
        <f t="shared" si="217"/>
        <v>0</v>
      </c>
      <c r="P225" s="40">
        <f t="shared" si="218"/>
        <v>0</v>
      </c>
      <c r="Q225" s="33">
        <f t="shared" si="219"/>
        <v>0</v>
      </c>
      <c r="R225" s="40">
        <f t="shared" si="220"/>
        <v>0</v>
      </c>
      <c r="S225" s="41">
        <f t="shared" si="221"/>
        <v>0</v>
      </c>
      <c r="T225" s="40">
        <f t="shared" si="222"/>
        <v>0</v>
      </c>
      <c r="U225" s="41">
        <f t="shared" si="223"/>
        <v>0</v>
      </c>
      <c r="V225" s="53"/>
      <c r="W225" s="53"/>
      <c r="X225" t="s">
        <v>317</v>
      </c>
      <c r="Y225">
        <v>1599312</v>
      </c>
      <c r="Z225">
        <v>890702</v>
      </c>
      <c r="AA225" s="51">
        <v>39287.08</v>
      </c>
      <c r="AB225" s="32">
        <f t="shared" si="207"/>
        <v>34993080730.160004</v>
      </c>
      <c r="AC225">
        <v>57032</v>
      </c>
      <c r="AD225" s="37">
        <f t="shared" si="208"/>
        <v>3.5660333943595746E-2</v>
      </c>
      <c r="AE225">
        <v>9.1266000000000003E-3</v>
      </c>
      <c r="AF225" s="3">
        <f t="shared" si="209"/>
        <v>9.1266000000000003E-5</v>
      </c>
      <c r="AG225" s="11">
        <f>+'Seat capacity elasticities'!R255</f>
        <v>1.2794041054328681E-2</v>
      </c>
      <c r="AH225" s="11">
        <f>+'Seat capacity elasticities'!S255</f>
        <v>2.4248246761991509E-2</v>
      </c>
      <c r="AI225" s="11">
        <f>+'Seat capacity elasticities'!T255</f>
        <v>3.5102784120179774E-2</v>
      </c>
      <c r="AJ225" s="11">
        <f>+'Seat capacity elasticities'!U255</f>
        <v>2.8715029060253104E-2</v>
      </c>
      <c r="AK225" s="32">
        <f t="shared" si="224"/>
        <v>4477029.1147910496</v>
      </c>
      <c r="AL225" s="33">
        <f t="shared" si="225"/>
        <v>1.2794041054328681E-4</v>
      </c>
      <c r="AM225" s="40">
        <f t="shared" si="226"/>
        <v>8485208.5650720987</v>
      </c>
      <c r="AN225" s="33">
        <f t="shared" si="227"/>
        <v>2.4248246761991512E-4</v>
      </c>
      <c r="AO225" s="40">
        <f t="shared" si="228"/>
        <v>20019819.83942093</v>
      </c>
      <c r="AP225" s="41">
        <f t="shared" si="229"/>
        <v>3.5102784120179774E-4</v>
      </c>
      <c r="AQ225" s="40">
        <f t="shared" si="230"/>
        <v>16376755.373643547</v>
      </c>
      <c r="AR225" s="41">
        <f t="shared" si="231"/>
        <v>2.8715029060253104E-4</v>
      </c>
      <c r="AV225" t="s">
        <v>317</v>
      </c>
      <c r="AW225">
        <v>1599312</v>
      </c>
      <c r="AX225">
        <v>890702</v>
      </c>
      <c r="AY225" s="51">
        <v>39287.08</v>
      </c>
      <c r="AZ225" s="32">
        <f t="shared" si="210"/>
        <v>34993080730.160004</v>
      </c>
      <c r="BA225">
        <v>57032</v>
      </c>
      <c r="BB225" s="37">
        <f t="shared" si="211"/>
        <v>3.5660333943595746E-2</v>
      </c>
      <c r="BC225">
        <v>0</v>
      </c>
      <c r="BD225" s="3">
        <f t="shared" si="212"/>
        <v>0</v>
      </c>
      <c r="BE225" s="11">
        <f>+'Seat capacity elasticities'!Y255</f>
        <v>0</v>
      </c>
      <c r="BF225" s="11">
        <f>+'Seat capacity elasticities'!Z255</f>
        <v>0</v>
      </c>
      <c r="BG225" s="11">
        <f>+'Seat capacity elasticities'!AA255</f>
        <v>0</v>
      </c>
      <c r="BH225" s="11">
        <f>+'Seat capacity elasticities'!AB255</f>
        <v>0</v>
      </c>
      <c r="BI225" s="32">
        <f t="shared" si="232"/>
        <v>0</v>
      </c>
      <c r="BJ225" s="33">
        <f t="shared" si="233"/>
        <v>0</v>
      </c>
      <c r="BK225" s="40">
        <f t="shared" si="234"/>
        <v>0</v>
      </c>
      <c r="BL225" s="33">
        <f t="shared" si="235"/>
        <v>0</v>
      </c>
      <c r="BM225" s="40">
        <f t="shared" si="236"/>
        <v>0</v>
      </c>
      <c r="BN225" s="41">
        <f t="shared" si="237"/>
        <v>0</v>
      </c>
      <c r="BO225" s="40">
        <f t="shared" si="238"/>
        <v>0</v>
      </c>
      <c r="BP225" s="41">
        <f t="shared" si="239"/>
        <v>0</v>
      </c>
      <c r="BQ225" s="53"/>
      <c r="BR225" s="53"/>
      <c r="BS225" t="s">
        <v>317</v>
      </c>
      <c r="BT225">
        <v>1599312</v>
      </c>
      <c r="BU225">
        <v>890702</v>
      </c>
      <c r="BV225" s="51">
        <v>39287.08</v>
      </c>
      <c r="BW225" s="32">
        <f t="shared" si="213"/>
        <v>34993080730.160004</v>
      </c>
      <c r="BX225">
        <v>57032</v>
      </c>
      <c r="BY225" s="37">
        <f t="shared" si="214"/>
        <v>3.5660333943595746E-2</v>
      </c>
      <c r="BZ225">
        <v>9.1266000000000003E-3</v>
      </c>
      <c r="CA225" s="3">
        <f t="shared" si="215"/>
        <v>9.1266000000000003E-5</v>
      </c>
      <c r="CB225" s="11">
        <f>+'Seat capacity elasticities'!AF255</f>
        <v>1.2114958150953105E-2</v>
      </c>
      <c r="CC225" s="11">
        <f>+'Seat capacity elasticities'!AG255</f>
        <v>9.680857118269607E-3</v>
      </c>
      <c r="CD225" s="11">
        <f>+'Seat capacity elasticities'!AH255</f>
        <v>3.3239596370846058E-2</v>
      </c>
      <c r="CE225" s="11">
        <f>+'Seat capacity elasticities'!AI255</f>
        <v>1.1464172903214009E-2</v>
      </c>
      <c r="CF225" s="32">
        <f t="shared" si="240"/>
        <v>4239397.0861881198</v>
      </c>
      <c r="CG225" s="33">
        <f t="shared" si="241"/>
        <v>1.2114958150953105E-4</v>
      </c>
      <c r="CH225" s="40">
        <f t="shared" si="242"/>
        <v>3387630.146767525</v>
      </c>
      <c r="CI225" s="33">
        <f t="shared" si="243"/>
        <v>9.680857118269607E-5</v>
      </c>
      <c r="CJ225" s="40">
        <f t="shared" si="244"/>
        <v>18957206.602220926</v>
      </c>
      <c r="CK225" s="41">
        <f t="shared" si="245"/>
        <v>3.3239596370846061E-4</v>
      </c>
      <c r="CL225" s="40">
        <f t="shared" si="246"/>
        <v>6538247.0901610143</v>
      </c>
      <c r="CM225" s="41">
        <f t="shared" si="247"/>
        <v>1.1464172903214011E-4</v>
      </c>
      <c r="CO225" s="70">
        <f t="shared" si="248"/>
        <v>0</v>
      </c>
      <c r="CP225" s="70">
        <f t="shared" si="249"/>
        <v>0</v>
      </c>
      <c r="CQ225" s="70">
        <f t="shared" si="250"/>
        <v>0</v>
      </c>
      <c r="CR225" s="70">
        <f t="shared" si="251"/>
        <v>0</v>
      </c>
      <c r="CS225" s="70">
        <f t="shared" si="252"/>
        <v>0</v>
      </c>
      <c r="CT225" s="70">
        <f t="shared" si="253"/>
        <v>0</v>
      </c>
      <c r="CU225" s="69">
        <f t="shared" si="254"/>
        <v>0</v>
      </c>
      <c r="CV225" s="69">
        <f t="shared" si="255"/>
        <v>0</v>
      </c>
      <c r="CW225" s="70">
        <f t="shared" si="256"/>
        <v>0</v>
      </c>
      <c r="CX225" s="69">
        <f t="shared" si="257"/>
        <v>0</v>
      </c>
      <c r="CY225" s="69">
        <f t="shared" si="258"/>
        <v>0</v>
      </c>
      <c r="CZ225" s="70">
        <f t="shared" si="259"/>
        <v>0</v>
      </c>
      <c r="DB225" s="70">
        <f t="shared" si="260"/>
        <v>5.0264051442469535</v>
      </c>
      <c r="DC225" s="70">
        <f t="shared" si="261"/>
        <v>4.759613300731468</v>
      </c>
      <c r="DD225" s="70">
        <f t="shared" si="262"/>
        <v>9.7860184449784207</v>
      </c>
      <c r="DE225" s="70">
        <f t="shared" si="263"/>
        <v>9.526428103981015</v>
      </c>
      <c r="DF225" s="70">
        <f t="shared" si="264"/>
        <v>3.8033260807402756</v>
      </c>
      <c r="DG225" s="70">
        <f t="shared" si="265"/>
        <v>13.32975418472129</v>
      </c>
      <c r="DH225" s="69">
        <f t="shared" si="266"/>
        <v>22.47645097846522</v>
      </c>
      <c r="DI225" s="69">
        <f t="shared" si="267"/>
        <v>21.283444521535738</v>
      </c>
      <c r="DJ225" s="70">
        <f t="shared" si="268"/>
        <v>43.759895500000958</v>
      </c>
      <c r="DK225" s="69">
        <f t="shared" si="269"/>
        <v>18.386346245594538</v>
      </c>
      <c r="DL225" s="69">
        <f t="shared" si="270"/>
        <v>7.3405550792083263</v>
      </c>
      <c r="DM225" s="70">
        <f t="shared" si="271"/>
        <v>25.726901324802864</v>
      </c>
    </row>
    <row r="226" spans="1:117">
      <c r="A226" t="s">
        <v>476</v>
      </c>
      <c r="B226">
        <v>156009</v>
      </c>
      <c r="C226">
        <v>77291</v>
      </c>
      <c r="D226" s="51">
        <v>30336.55</v>
      </c>
      <c r="E226" s="32">
        <f t="shared" si="204"/>
        <v>2344742286.0499997</v>
      </c>
      <c r="F226">
        <v>3174</v>
      </c>
      <c r="G226" s="37">
        <f t="shared" si="205"/>
        <v>2.0344980097302078E-2</v>
      </c>
      <c r="H226">
        <v>0</v>
      </c>
      <c r="I226" s="3">
        <f t="shared" si="206"/>
        <v>0</v>
      </c>
      <c r="J226" s="11">
        <f>+'Seat capacity elasticities'!K256</f>
        <v>0</v>
      </c>
      <c r="K226" s="11">
        <f>+'Seat capacity elasticities'!L256</f>
        <v>0</v>
      </c>
      <c r="L226" s="11">
        <f>+'Seat capacity elasticities'!M256</f>
        <v>0</v>
      </c>
      <c r="M226" s="11">
        <f>+'Seat capacity elasticities'!N256</f>
        <v>0</v>
      </c>
      <c r="N226" s="32">
        <f t="shared" si="216"/>
        <v>0</v>
      </c>
      <c r="O226" s="33">
        <f t="shared" si="217"/>
        <v>0</v>
      </c>
      <c r="P226" s="40">
        <f t="shared" si="218"/>
        <v>0</v>
      </c>
      <c r="Q226" s="33">
        <f t="shared" si="219"/>
        <v>0</v>
      </c>
      <c r="R226" s="40">
        <f t="shared" si="220"/>
        <v>0</v>
      </c>
      <c r="S226" s="41">
        <f t="shared" si="221"/>
        <v>0</v>
      </c>
      <c r="T226" s="40">
        <f t="shared" si="222"/>
        <v>0</v>
      </c>
      <c r="U226" s="41">
        <f t="shared" si="223"/>
        <v>0</v>
      </c>
      <c r="V226" s="53"/>
      <c r="W226" s="53"/>
      <c r="X226" t="s">
        <v>476</v>
      </c>
      <c r="Y226">
        <v>156009</v>
      </c>
      <c r="Z226">
        <v>77291</v>
      </c>
      <c r="AA226" s="51">
        <v>30336.55</v>
      </c>
      <c r="AB226" s="32">
        <f t="shared" si="207"/>
        <v>2344742286.0499997</v>
      </c>
      <c r="AC226">
        <v>3174</v>
      </c>
      <c r="AD226" s="37">
        <f t="shared" si="208"/>
        <v>2.0344980097302078E-2</v>
      </c>
      <c r="AE226">
        <v>3.5828000000000001E-3</v>
      </c>
      <c r="AF226" s="3">
        <f t="shared" si="209"/>
        <v>3.5828000000000003E-5</v>
      </c>
      <c r="AG226" s="11">
        <f>+'Seat capacity elasticities'!R256</f>
        <v>1.0390417307622121E-2</v>
      </c>
      <c r="AH226" s="11">
        <f>+'Seat capacity elasticities'!S256</f>
        <v>1.9692714894802149E-2</v>
      </c>
      <c r="AI226" s="11">
        <f>+'Seat capacity elasticities'!T256</f>
        <v>2.8508004165317014E-2</v>
      </c>
      <c r="AJ226" s="11">
        <f>+'Seat capacity elasticities'!U256</f>
        <v>2.3320320270160441E-2</v>
      </c>
      <c r="AK226" s="32">
        <f t="shared" si="224"/>
        <v>243628.50830887374</v>
      </c>
      <c r="AL226" s="33">
        <f t="shared" si="225"/>
        <v>1.039041730762212E-4</v>
      </c>
      <c r="AM226" s="40">
        <f t="shared" si="226"/>
        <v>461743.4134096927</v>
      </c>
      <c r="AN226" s="33">
        <f t="shared" si="227"/>
        <v>1.9692714894802149E-4</v>
      </c>
      <c r="AO226" s="40">
        <f t="shared" si="228"/>
        <v>904844.05220716191</v>
      </c>
      <c r="AP226" s="41">
        <f t="shared" si="229"/>
        <v>2.8508004165317012E-4</v>
      </c>
      <c r="AQ226" s="40">
        <f t="shared" si="230"/>
        <v>740186.96537489234</v>
      </c>
      <c r="AR226" s="41">
        <f t="shared" si="231"/>
        <v>2.3320320270160439E-4</v>
      </c>
      <c r="AV226" t="s">
        <v>476</v>
      </c>
      <c r="AW226">
        <v>156009</v>
      </c>
      <c r="AX226">
        <v>77291</v>
      </c>
      <c r="AY226" s="51">
        <v>30336.55</v>
      </c>
      <c r="AZ226" s="32">
        <f t="shared" si="210"/>
        <v>2344742286.0499997</v>
      </c>
      <c r="BA226">
        <v>3174</v>
      </c>
      <c r="BB226" s="37">
        <f t="shared" si="211"/>
        <v>2.0344980097302078E-2</v>
      </c>
      <c r="BC226">
        <v>0</v>
      </c>
      <c r="BD226" s="3">
        <f t="shared" si="212"/>
        <v>0</v>
      </c>
      <c r="BE226" s="11">
        <f>+'Seat capacity elasticities'!Y256</f>
        <v>0</v>
      </c>
      <c r="BF226" s="11">
        <f>+'Seat capacity elasticities'!Z256</f>
        <v>0</v>
      </c>
      <c r="BG226" s="11">
        <f>+'Seat capacity elasticities'!AA256</f>
        <v>0</v>
      </c>
      <c r="BH226" s="11">
        <f>+'Seat capacity elasticities'!AB256</f>
        <v>0</v>
      </c>
      <c r="BI226" s="32">
        <f t="shared" si="232"/>
        <v>0</v>
      </c>
      <c r="BJ226" s="33">
        <f t="shared" si="233"/>
        <v>0</v>
      </c>
      <c r="BK226" s="40">
        <f t="shared" si="234"/>
        <v>0</v>
      </c>
      <c r="BL226" s="33">
        <f t="shared" si="235"/>
        <v>0</v>
      </c>
      <c r="BM226" s="40">
        <f t="shared" si="236"/>
        <v>0</v>
      </c>
      <c r="BN226" s="41">
        <f t="shared" si="237"/>
        <v>0</v>
      </c>
      <c r="BO226" s="40">
        <f t="shared" si="238"/>
        <v>0</v>
      </c>
      <c r="BP226" s="41">
        <f t="shared" si="239"/>
        <v>0</v>
      </c>
      <c r="BQ226" s="53"/>
      <c r="BR226" s="53"/>
      <c r="BS226" t="s">
        <v>476</v>
      </c>
      <c r="BT226">
        <v>156009</v>
      </c>
      <c r="BU226">
        <v>77291</v>
      </c>
      <c r="BV226" s="51">
        <v>30336.55</v>
      </c>
      <c r="BW226" s="32">
        <f t="shared" si="213"/>
        <v>2344742286.0499997</v>
      </c>
      <c r="BX226">
        <v>3174</v>
      </c>
      <c r="BY226" s="37">
        <f t="shared" si="214"/>
        <v>2.0344980097302078E-2</v>
      </c>
      <c r="BZ226">
        <v>3.5828000000000001E-3</v>
      </c>
      <c r="CA226" s="3">
        <f t="shared" si="215"/>
        <v>3.5828000000000003E-5</v>
      </c>
      <c r="CB226" s="11">
        <f>+'Seat capacity elasticities'!AF256</f>
        <v>4.8754983061165033E-2</v>
      </c>
      <c r="CC226" s="11">
        <f>+'Seat capacity elasticities'!AG256</f>
        <v>3.8959278186335405E-2</v>
      </c>
      <c r="CD226" s="11">
        <f>+'Seat capacity elasticities'!AH256</f>
        <v>0.13376818457214953</v>
      </c>
      <c r="CE226" s="11">
        <f>+'Seat capacity elasticities'!AI256</f>
        <v>4.6135987325923514E-2</v>
      </c>
      <c r="CF226" s="32">
        <f t="shared" si="240"/>
        <v>1143178.7043916511</v>
      </c>
      <c r="CG226" s="33">
        <f t="shared" si="241"/>
        <v>4.8754983061165031E-4</v>
      </c>
      <c r="CH226" s="40">
        <f t="shared" si="242"/>
        <v>913494.66997485969</v>
      </c>
      <c r="CI226" s="33">
        <f t="shared" si="243"/>
        <v>3.8959278186335408E-4</v>
      </c>
      <c r="CJ226" s="40">
        <f t="shared" si="244"/>
        <v>4245802.178320026</v>
      </c>
      <c r="CK226" s="41">
        <f t="shared" si="245"/>
        <v>1.3376818457214953E-3</v>
      </c>
      <c r="CL226" s="40">
        <f t="shared" si="246"/>
        <v>1464356.2377248122</v>
      </c>
      <c r="CM226" s="41">
        <f t="shared" si="247"/>
        <v>4.613598732592351E-4</v>
      </c>
      <c r="CO226" s="70">
        <f t="shared" si="248"/>
        <v>0</v>
      </c>
      <c r="CP226" s="70">
        <f t="shared" si="249"/>
        <v>0</v>
      </c>
      <c r="CQ226" s="70">
        <f t="shared" si="250"/>
        <v>0</v>
      </c>
      <c r="CR226" s="70">
        <f t="shared" si="251"/>
        <v>0</v>
      </c>
      <c r="CS226" s="70">
        <f t="shared" si="252"/>
        <v>0</v>
      </c>
      <c r="CT226" s="70">
        <f t="shared" si="253"/>
        <v>0</v>
      </c>
      <c r="CU226" s="69">
        <f t="shared" si="254"/>
        <v>0</v>
      </c>
      <c r="CV226" s="69">
        <f t="shared" si="255"/>
        <v>0</v>
      </c>
      <c r="CW226" s="70">
        <f t="shared" si="256"/>
        <v>0</v>
      </c>
      <c r="CX226" s="69">
        <f t="shared" si="257"/>
        <v>0</v>
      </c>
      <c r="CY226" s="69">
        <f t="shared" si="258"/>
        <v>0</v>
      </c>
      <c r="CZ226" s="70">
        <f t="shared" si="259"/>
        <v>0</v>
      </c>
      <c r="DB226" s="70">
        <f t="shared" si="260"/>
        <v>3.152094141735438</v>
      </c>
      <c r="DC226" s="70">
        <f t="shared" si="261"/>
        <v>14.790579813841859</v>
      </c>
      <c r="DD226" s="70">
        <f t="shared" si="262"/>
        <v>17.942673955577298</v>
      </c>
      <c r="DE226" s="70">
        <f t="shared" si="263"/>
        <v>5.9740903004191006</v>
      </c>
      <c r="DF226" s="70">
        <f t="shared" si="264"/>
        <v>11.818900906636733</v>
      </c>
      <c r="DG226" s="70">
        <f t="shared" si="265"/>
        <v>17.792991207055834</v>
      </c>
      <c r="DH226" s="69">
        <f t="shared" si="266"/>
        <v>11.706978201953163</v>
      </c>
      <c r="DI226" s="69">
        <f t="shared" si="267"/>
        <v>54.932685284444837</v>
      </c>
      <c r="DJ226" s="70">
        <f t="shared" si="268"/>
        <v>66.639663486398007</v>
      </c>
      <c r="DK226" s="69">
        <f t="shared" si="269"/>
        <v>9.5766255498685791</v>
      </c>
      <c r="DL226" s="69">
        <f t="shared" si="270"/>
        <v>18.94601231352696</v>
      </c>
      <c r="DM226" s="70">
        <f t="shared" si="271"/>
        <v>28.522637863395538</v>
      </c>
    </row>
    <row r="227" spans="1:117">
      <c r="A227" t="s">
        <v>477</v>
      </c>
      <c r="B227">
        <v>200109</v>
      </c>
      <c r="C227">
        <v>94881</v>
      </c>
      <c r="D227" s="51">
        <v>40663.699999999997</v>
      </c>
      <c r="E227" s="32">
        <f t="shared" si="204"/>
        <v>3858212519.6999998</v>
      </c>
      <c r="F227">
        <v>6467</v>
      </c>
      <c r="G227" s="37">
        <f t="shared" si="205"/>
        <v>3.2317387024071879E-2</v>
      </c>
      <c r="H227">
        <v>0</v>
      </c>
      <c r="I227" s="3">
        <f t="shared" si="206"/>
        <v>0</v>
      </c>
      <c r="J227" s="11">
        <f>+'Seat capacity elasticities'!K257</f>
        <v>0</v>
      </c>
      <c r="K227" s="11">
        <f>+'Seat capacity elasticities'!L257</f>
        <v>0</v>
      </c>
      <c r="L227" s="11">
        <f>+'Seat capacity elasticities'!M257</f>
        <v>0</v>
      </c>
      <c r="M227" s="11">
        <f>+'Seat capacity elasticities'!N257</f>
        <v>0</v>
      </c>
      <c r="N227" s="32">
        <f t="shared" si="216"/>
        <v>0</v>
      </c>
      <c r="O227" s="33">
        <f t="shared" si="217"/>
        <v>0</v>
      </c>
      <c r="P227" s="40">
        <f t="shared" si="218"/>
        <v>0</v>
      </c>
      <c r="Q227" s="33">
        <f t="shared" si="219"/>
        <v>0</v>
      </c>
      <c r="R227" s="40">
        <f t="shared" si="220"/>
        <v>0</v>
      </c>
      <c r="S227" s="41">
        <f t="shared" si="221"/>
        <v>0</v>
      </c>
      <c r="T227" s="40">
        <f t="shared" si="222"/>
        <v>0</v>
      </c>
      <c r="U227" s="41">
        <f t="shared" si="223"/>
        <v>0</v>
      </c>
      <c r="V227" s="53"/>
      <c r="W227" s="53"/>
      <c r="X227" t="s">
        <v>477</v>
      </c>
      <c r="Y227">
        <v>200109</v>
      </c>
      <c r="Z227">
        <v>94881</v>
      </c>
      <c r="AA227" s="51">
        <v>40663.699999999997</v>
      </c>
      <c r="AB227" s="32">
        <f t="shared" si="207"/>
        <v>3858212519.6999998</v>
      </c>
      <c r="AC227">
        <v>6467</v>
      </c>
      <c r="AD227" s="37">
        <f t="shared" si="208"/>
        <v>3.2317387024071879E-2</v>
      </c>
      <c r="AE227">
        <v>5.9918999999999997E-3</v>
      </c>
      <c r="AF227" s="3">
        <f t="shared" si="209"/>
        <v>5.9919E-5</v>
      </c>
      <c r="AG227" s="11">
        <f>+'Seat capacity elasticities'!R257</f>
        <v>1.0550997357838404E-2</v>
      </c>
      <c r="AH227" s="11">
        <f>+'Seat capacity elasticities'!S257</f>
        <v>1.9997058508064207E-2</v>
      </c>
      <c r="AI227" s="11">
        <f>+'Seat capacity elasticities'!T257</f>
        <v>2.8948584808509703E-2</v>
      </c>
      <c r="AJ227" s="11">
        <f>+'Seat capacity elasticities'!U257</f>
        <v>2.3680727180602351E-2</v>
      </c>
      <c r="AK227" s="32">
        <f t="shared" si="224"/>
        <v>407079.90101333748</v>
      </c>
      <c r="AL227" s="33">
        <f t="shared" si="225"/>
        <v>1.0550997357838403E-4</v>
      </c>
      <c r="AM227" s="40">
        <f t="shared" si="226"/>
        <v>771529.01492986723</v>
      </c>
      <c r="AN227" s="33">
        <f t="shared" si="227"/>
        <v>1.9997058508064208E-4</v>
      </c>
      <c r="AO227" s="40">
        <f t="shared" si="228"/>
        <v>1872104.9795663222</v>
      </c>
      <c r="AP227" s="41">
        <f t="shared" si="229"/>
        <v>2.8948584808509697E-4</v>
      </c>
      <c r="AQ227" s="40">
        <f t="shared" si="230"/>
        <v>1531432.6267695541</v>
      </c>
      <c r="AR227" s="41">
        <f t="shared" si="231"/>
        <v>2.3680727180602353E-4</v>
      </c>
      <c r="AV227" t="s">
        <v>477</v>
      </c>
      <c r="AW227">
        <v>200109</v>
      </c>
      <c r="AX227">
        <v>94881</v>
      </c>
      <c r="AY227" s="51">
        <v>40663.699999999997</v>
      </c>
      <c r="AZ227" s="32">
        <f t="shared" si="210"/>
        <v>3858212519.6999998</v>
      </c>
      <c r="BA227">
        <v>6467</v>
      </c>
      <c r="BB227" s="37">
        <f t="shared" si="211"/>
        <v>3.2317387024071879E-2</v>
      </c>
      <c r="BC227">
        <v>0</v>
      </c>
      <c r="BD227" s="3">
        <f t="shared" si="212"/>
        <v>0</v>
      </c>
      <c r="BE227" s="11">
        <f>+'Seat capacity elasticities'!Y257</f>
        <v>0</v>
      </c>
      <c r="BF227" s="11">
        <f>+'Seat capacity elasticities'!Z257</f>
        <v>0</v>
      </c>
      <c r="BG227" s="11">
        <f>+'Seat capacity elasticities'!AA257</f>
        <v>0</v>
      </c>
      <c r="BH227" s="11">
        <f>+'Seat capacity elasticities'!AB257</f>
        <v>0</v>
      </c>
      <c r="BI227" s="32">
        <f t="shared" si="232"/>
        <v>0</v>
      </c>
      <c r="BJ227" s="33">
        <f t="shared" si="233"/>
        <v>0</v>
      </c>
      <c r="BK227" s="40">
        <f t="shared" si="234"/>
        <v>0</v>
      </c>
      <c r="BL227" s="33">
        <f t="shared" si="235"/>
        <v>0</v>
      </c>
      <c r="BM227" s="40">
        <f t="shared" si="236"/>
        <v>0</v>
      </c>
      <c r="BN227" s="41">
        <f t="shared" si="237"/>
        <v>0</v>
      </c>
      <c r="BO227" s="40">
        <f t="shared" si="238"/>
        <v>0</v>
      </c>
      <c r="BP227" s="41">
        <f t="shared" si="239"/>
        <v>0</v>
      </c>
      <c r="BQ227" s="53"/>
      <c r="BR227" s="53"/>
      <c r="BS227" t="s">
        <v>477</v>
      </c>
      <c r="BT227">
        <v>200109</v>
      </c>
      <c r="BU227">
        <v>94881</v>
      </c>
      <c r="BV227" s="51">
        <v>40663.699999999997</v>
      </c>
      <c r="BW227" s="32">
        <f t="shared" si="213"/>
        <v>3858212519.6999998</v>
      </c>
      <c r="BX227">
        <v>6467</v>
      </c>
      <c r="BY227" s="37">
        <f t="shared" si="214"/>
        <v>3.2317387024071879E-2</v>
      </c>
      <c r="BZ227">
        <v>5.9918999999999997E-3</v>
      </c>
      <c r="CA227" s="3">
        <f t="shared" si="215"/>
        <v>5.9919E-5</v>
      </c>
      <c r="CB227" s="11">
        <f>+'Seat capacity elasticities'!AF257</f>
        <v>6.3568802813538147E-2</v>
      </c>
      <c r="CC227" s="11">
        <f>+'Seat capacity elasticities'!AG257</f>
        <v>5.0796749732800621E-2</v>
      </c>
      <c r="CD227" s="11">
        <f>+'Seat capacity elasticities'!AH257</f>
        <v>0.1744125997772166</v>
      </c>
      <c r="CE227" s="11">
        <f>+'Seat capacity elasticities'!AI257</f>
        <v>6.0154045736211262E-2</v>
      </c>
      <c r="CF227" s="32">
        <f t="shared" si="240"/>
        <v>2452619.5087753343</v>
      </c>
      <c r="CG227" s="33">
        <f t="shared" si="241"/>
        <v>6.3568802813538142E-4</v>
      </c>
      <c r="CH227" s="40">
        <f t="shared" si="242"/>
        <v>1959846.5577915898</v>
      </c>
      <c r="CI227" s="33">
        <f t="shared" si="243"/>
        <v>5.0796749732800626E-4</v>
      </c>
      <c r="CJ227" s="40">
        <f t="shared" si="244"/>
        <v>11279262.827592598</v>
      </c>
      <c r="CK227" s="41">
        <f t="shared" si="245"/>
        <v>1.7441259977721661E-3</v>
      </c>
      <c r="CL227" s="40">
        <f t="shared" si="246"/>
        <v>3890162.1377607821</v>
      </c>
      <c r="CM227" s="41">
        <f t="shared" si="247"/>
        <v>6.0154045736211261E-4</v>
      </c>
      <c r="CO227" s="70">
        <f t="shared" si="248"/>
        <v>0</v>
      </c>
      <c r="CP227" s="70">
        <f t="shared" si="249"/>
        <v>0</v>
      </c>
      <c r="CQ227" s="70">
        <f t="shared" si="250"/>
        <v>0</v>
      </c>
      <c r="CR227" s="70">
        <f t="shared" si="251"/>
        <v>0</v>
      </c>
      <c r="CS227" s="70">
        <f t="shared" si="252"/>
        <v>0</v>
      </c>
      <c r="CT227" s="70">
        <f t="shared" si="253"/>
        <v>0</v>
      </c>
      <c r="CU227" s="69">
        <f t="shared" si="254"/>
        <v>0</v>
      </c>
      <c r="CV227" s="69">
        <f t="shared" si="255"/>
        <v>0</v>
      </c>
      <c r="CW227" s="70">
        <f t="shared" si="256"/>
        <v>0</v>
      </c>
      <c r="CX227" s="69">
        <f t="shared" si="257"/>
        <v>0</v>
      </c>
      <c r="CY227" s="69">
        <f t="shared" si="258"/>
        <v>0</v>
      </c>
      <c r="CZ227" s="70">
        <f t="shared" si="259"/>
        <v>0</v>
      </c>
      <c r="DB227" s="70">
        <f t="shared" si="260"/>
        <v>4.2904259125993347</v>
      </c>
      <c r="DC227" s="70">
        <f t="shared" si="261"/>
        <v>25.849427269688707</v>
      </c>
      <c r="DD227" s="70">
        <f t="shared" si="262"/>
        <v>30.139853182288043</v>
      </c>
      <c r="DE227" s="70">
        <f t="shared" si="263"/>
        <v>8.1315438805437044</v>
      </c>
      <c r="DF227" s="70">
        <f t="shared" si="264"/>
        <v>20.655837921096847</v>
      </c>
      <c r="DG227" s="70">
        <f t="shared" si="265"/>
        <v>28.787381801640549</v>
      </c>
      <c r="DH227" s="69">
        <f t="shared" si="266"/>
        <v>19.731083984847569</v>
      </c>
      <c r="DI227" s="69">
        <f t="shared" si="267"/>
        <v>118.87799272343882</v>
      </c>
      <c r="DJ227" s="70">
        <f t="shared" si="268"/>
        <v>138.60907670828638</v>
      </c>
      <c r="DK227" s="69">
        <f t="shared" si="269"/>
        <v>16.140561616862744</v>
      </c>
      <c r="DL227" s="69">
        <f t="shared" si="270"/>
        <v>41.000433572167054</v>
      </c>
      <c r="DM227" s="70">
        <f t="shared" si="271"/>
        <v>57.140995189029795</v>
      </c>
    </row>
    <row r="228" spans="1:117">
      <c r="A228" t="s">
        <v>478</v>
      </c>
      <c r="B228">
        <v>122697</v>
      </c>
      <c r="C228">
        <v>83022</v>
      </c>
      <c r="D228" s="51">
        <v>31293.37</v>
      </c>
      <c r="E228" s="32">
        <f t="shared" si="204"/>
        <v>2598038164.1399999</v>
      </c>
      <c r="F228">
        <v>3934</v>
      </c>
      <c r="G228" s="37">
        <f t="shared" si="205"/>
        <v>3.2062723619974406E-2</v>
      </c>
      <c r="H228">
        <v>0</v>
      </c>
      <c r="I228" s="3">
        <f t="shared" si="206"/>
        <v>0</v>
      </c>
      <c r="J228" s="11">
        <f>+'Seat capacity elasticities'!K258</f>
        <v>0</v>
      </c>
      <c r="K228" s="11">
        <f>+'Seat capacity elasticities'!L258</f>
        <v>0</v>
      </c>
      <c r="L228" s="11">
        <f>+'Seat capacity elasticities'!M258</f>
        <v>0</v>
      </c>
      <c r="M228" s="11">
        <f>+'Seat capacity elasticities'!N258</f>
        <v>0</v>
      </c>
      <c r="N228" s="32">
        <f t="shared" si="216"/>
        <v>0</v>
      </c>
      <c r="O228" s="33">
        <f t="shared" si="217"/>
        <v>0</v>
      </c>
      <c r="P228" s="40">
        <f t="shared" si="218"/>
        <v>0</v>
      </c>
      <c r="Q228" s="33">
        <f t="shared" si="219"/>
        <v>0</v>
      </c>
      <c r="R228" s="40">
        <f t="shared" si="220"/>
        <v>0</v>
      </c>
      <c r="S228" s="41">
        <f t="shared" si="221"/>
        <v>0</v>
      </c>
      <c r="T228" s="40">
        <f t="shared" si="222"/>
        <v>0</v>
      </c>
      <c r="U228" s="41">
        <f t="shared" si="223"/>
        <v>0</v>
      </c>
      <c r="V228" s="53"/>
      <c r="W228" s="53"/>
      <c r="X228" t="s">
        <v>478</v>
      </c>
      <c r="Y228">
        <v>122697</v>
      </c>
      <c r="Z228">
        <v>83022</v>
      </c>
      <c r="AA228" s="51">
        <v>31293.37</v>
      </c>
      <c r="AB228" s="32">
        <f t="shared" si="207"/>
        <v>2598038164.1399999</v>
      </c>
      <c r="AC228">
        <v>3934</v>
      </c>
      <c r="AD228" s="37">
        <f t="shared" si="208"/>
        <v>3.2062723619974406E-2</v>
      </c>
      <c r="AE228">
        <v>2.0067000000000002E-3</v>
      </c>
      <c r="AF228" s="3">
        <f t="shared" si="209"/>
        <v>2.0067000000000003E-5</v>
      </c>
      <c r="AG228" s="11">
        <f>+'Seat capacity elasticities'!R258</f>
        <v>5.8756745083485456E-3</v>
      </c>
      <c r="AH228" s="11">
        <f>+'Seat capacity elasticities'!S258</f>
        <v>1.1136028465640603E-2</v>
      </c>
      <c r="AI228" s="11">
        <f>+'Seat capacity elasticities'!T258</f>
        <v>1.6120984210631389E-2</v>
      </c>
      <c r="AJ228" s="11">
        <f>+'Seat capacity elasticities'!U258</f>
        <v>1.3187402130363873E-2</v>
      </c>
      <c r="AK228" s="32">
        <f t="shared" si="224"/>
        <v>152652.26612754053</v>
      </c>
      <c r="AL228" s="33">
        <f t="shared" si="225"/>
        <v>5.875674508348546E-5</v>
      </c>
      <c r="AM228" s="40">
        <f t="shared" si="226"/>
        <v>289318.26950683695</v>
      </c>
      <c r="AN228" s="33">
        <f t="shared" si="227"/>
        <v>1.1136028465640604E-4</v>
      </c>
      <c r="AO228" s="40">
        <f t="shared" si="228"/>
        <v>634199.51884623885</v>
      </c>
      <c r="AP228" s="41">
        <f t="shared" si="229"/>
        <v>1.6120984210631387E-4</v>
      </c>
      <c r="AQ228" s="40">
        <f t="shared" si="230"/>
        <v>518792.39980851475</v>
      </c>
      <c r="AR228" s="41">
        <f t="shared" si="231"/>
        <v>1.3187402130363874E-4</v>
      </c>
      <c r="AV228" t="s">
        <v>478</v>
      </c>
      <c r="AW228">
        <v>122697</v>
      </c>
      <c r="AX228">
        <v>83022</v>
      </c>
      <c r="AY228" s="51">
        <v>31293.37</v>
      </c>
      <c r="AZ228" s="32">
        <f t="shared" si="210"/>
        <v>2598038164.1399999</v>
      </c>
      <c r="BA228">
        <v>3934</v>
      </c>
      <c r="BB228" s="37">
        <f t="shared" si="211"/>
        <v>3.2062723619974406E-2</v>
      </c>
      <c r="BC228">
        <v>0</v>
      </c>
      <c r="BD228" s="3">
        <f t="shared" si="212"/>
        <v>0</v>
      </c>
      <c r="BE228" s="11">
        <f>+'Seat capacity elasticities'!Y258</f>
        <v>0</v>
      </c>
      <c r="BF228" s="11">
        <f>+'Seat capacity elasticities'!Z258</f>
        <v>0</v>
      </c>
      <c r="BG228" s="11">
        <f>+'Seat capacity elasticities'!AA258</f>
        <v>0</v>
      </c>
      <c r="BH228" s="11">
        <f>+'Seat capacity elasticities'!AB258</f>
        <v>0</v>
      </c>
      <c r="BI228" s="32">
        <f t="shared" si="232"/>
        <v>0</v>
      </c>
      <c r="BJ228" s="33">
        <f t="shared" si="233"/>
        <v>0</v>
      </c>
      <c r="BK228" s="40">
        <f t="shared" si="234"/>
        <v>0</v>
      </c>
      <c r="BL228" s="33">
        <f t="shared" si="235"/>
        <v>0</v>
      </c>
      <c r="BM228" s="40">
        <f t="shared" si="236"/>
        <v>0</v>
      </c>
      <c r="BN228" s="41">
        <f t="shared" si="237"/>
        <v>0</v>
      </c>
      <c r="BO228" s="40">
        <f t="shared" si="238"/>
        <v>0</v>
      </c>
      <c r="BP228" s="41">
        <f t="shared" si="239"/>
        <v>0</v>
      </c>
      <c r="BQ228" s="53"/>
      <c r="BR228" s="53"/>
      <c r="BS228" t="s">
        <v>478</v>
      </c>
      <c r="BT228">
        <v>122697</v>
      </c>
      <c r="BU228">
        <v>83022</v>
      </c>
      <c r="BV228" s="51">
        <v>31293.37</v>
      </c>
      <c r="BW228" s="32">
        <f t="shared" si="213"/>
        <v>2598038164.1399999</v>
      </c>
      <c r="BX228">
        <v>3934</v>
      </c>
      <c r="BY228" s="37">
        <f t="shared" si="214"/>
        <v>3.2062723619974406E-2</v>
      </c>
      <c r="BZ228">
        <v>2.0067000000000002E-3</v>
      </c>
      <c r="CA228" s="3">
        <f t="shared" si="215"/>
        <v>2.0067000000000003E-5</v>
      </c>
      <c r="CB228" s="11">
        <f>+'Seat capacity elasticities'!AF258</f>
        <v>3.472119020851238E-2</v>
      </c>
      <c r="CC228" s="11">
        <f>+'Seat capacity elasticities'!AG258</f>
        <v>2.7745112875889391E-2</v>
      </c>
      <c r="CD228" s="11">
        <f>+'Seat capacity elasticities'!AH258</f>
        <v>9.5263915373535776E-2</v>
      </c>
      <c r="CE228" s="11">
        <f>+'Seat capacity elasticities'!AI258</f>
        <v>3.2856054721447966E-2</v>
      </c>
      <c r="CF228" s="32">
        <f t="shared" si="240"/>
        <v>902069.77266079246</v>
      </c>
      <c r="CG228" s="33">
        <f t="shared" si="241"/>
        <v>3.4721190208512382E-4</v>
      </c>
      <c r="CH228" s="40">
        <f t="shared" si="242"/>
        <v>720828.6211993274</v>
      </c>
      <c r="CI228" s="33">
        <f t="shared" si="243"/>
        <v>2.7745112875889391E-4</v>
      </c>
      <c r="CJ228" s="40">
        <f t="shared" si="244"/>
        <v>3747682.4307948975</v>
      </c>
      <c r="CK228" s="41">
        <f t="shared" si="245"/>
        <v>9.526391537353578E-4</v>
      </c>
      <c r="CL228" s="40">
        <f t="shared" si="246"/>
        <v>1292557.1927417626</v>
      </c>
      <c r="CM228" s="41">
        <f t="shared" si="247"/>
        <v>3.2856054721447961E-4</v>
      </c>
      <c r="CO228" s="70">
        <f t="shared" si="248"/>
        <v>0</v>
      </c>
      <c r="CP228" s="70">
        <f t="shared" si="249"/>
        <v>0</v>
      </c>
      <c r="CQ228" s="70">
        <f t="shared" si="250"/>
        <v>0</v>
      </c>
      <c r="CR228" s="70">
        <f t="shared" si="251"/>
        <v>0</v>
      </c>
      <c r="CS228" s="70">
        <f t="shared" si="252"/>
        <v>0</v>
      </c>
      <c r="CT228" s="70">
        <f t="shared" si="253"/>
        <v>0</v>
      </c>
      <c r="CU228" s="69">
        <f t="shared" si="254"/>
        <v>0</v>
      </c>
      <c r="CV228" s="69">
        <f t="shared" si="255"/>
        <v>0</v>
      </c>
      <c r="CW228" s="70">
        <f t="shared" si="256"/>
        <v>0</v>
      </c>
      <c r="CX228" s="69">
        <f t="shared" si="257"/>
        <v>0</v>
      </c>
      <c r="CY228" s="69">
        <f t="shared" si="258"/>
        <v>0</v>
      </c>
      <c r="CZ228" s="70">
        <f t="shared" si="259"/>
        <v>0</v>
      </c>
      <c r="DB228" s="70">
        <f t="shared" si="260"/>
        <v>1.8386965638931914</v>
      </c>
      <c r="DC228" s="70">
        <f t="shared" si="261"/>
        <v>10.86543052035355</v>
      </c>
      <c r="DD228" s="70">
        <f t="shared" si="262"/>
        <v>12.704127084246743</v>
      </c>
      <c r="DE228" s="70">
        <f t="shared" si="263"/>
        <v>3.4848385910582369</v>
      </c>
      <c r="DF228" s="70">
        <f t="shared" si="264"/>
        <v>8.6823808291697073</v>
      </c>
      <c r="DG228" s="70">
        <f t="shared" si="265"/>
        <v>12.167219420227944</v>
      </c>
      <c r="DH228" s="69">
        <f t="shared" si="266"/>
        <v>7.6389332808922799</v>
      </c>
      <c r="DI228" s="69">
        <f t="shared" si="267"/>
        <v>45.140835330332891</v>
      </c>
      <c r="DJ228" s="70">
        <f t="shared" si="268"/>
        <v>52.779768611225172</v>
      </c>
      <c r="DK228" s="69">
        <f t="shared" si="269"/>
        <v>6.2488545181821049</v>
      </c>
      <c r="DL228" s="69">
        <f t="shared" si="270"/>
        <v>15.568851542263046</v>
      </c>
      <c r="DM228" s="70">
        <f t="shared" si="271"/>
        <v>21.81770606044515</v>
      </c>
    </row>
    <row r="229" spans="1:117">
      <c r="A229" t="s">
        <v>479</v>
      </c>
      <c r="B229">
        <v>404771</v>
      </c>
      <c r="C229">
        <v>229249</v>
      </c>
      <c r="D229" s="51">
        <v>39030.93</v>
      </c>
      <c r="E229" s="32">
        <f t="shared" si="204"/>
        <v>8947801671.5699997</v>
      </c>
      <c r="F229">
        <v>13399</v>
      </c>
      <c r="G229" s="37">
        <f t="shared" si="205"/>
        <v>3.3102667928285374E-2</v>
      </c>
      <c r="H229">
        <v>0</v>
      </c>
      <c r="I229" s="3">
        <f t="shared" si="206"/>
        <v>0</v>
      </c>
      <c r="J229" s="11">
        <f>+'Seat capacity elasticities'!K259</f>
        <v>0</v>
      </c>
      <c r="K229" s="11">
        <f>+'Seat capacity elasticities'!L259</f>
        <v>0</v>
      </c>
      <c r="L229" s="11">
        <f>+'Seat capacity elasticities'!M259</f>
        <v>0</v>
      </c>
      <c r="M229" s="11">
        <f>+'Seat capacity elasticities'!N259</f>
        <v>0</v>
      </c>
      <c r="N229" s="32">
        <f t="shared" si="216"/>
        <v>0</v>
      </c>
      <c r="O229" s="33">
        <f t="shared" si="217"/>
        <v>0</v>
      </c>
      <c r="P229" s="40">
        <f t="shared" si="218"/>
        <v>0</v>
      </c>
      <c r="Q229" s="33">
        <f t="shared" si="219"/>
        <v>0</v>
      </c>
      <c r="R229" s="40">
        <f t="shared" si="220"/>
        <v>0</v>
      </c>
      <c r="S229" s="41">
        <f t="shared" si="221"/>
        <v>0</v>
      </c>
      <c r="T229" s="40">
        <f t="shared" si="222"/>
        <v>0</v>
      </c>
      <c r="U229" s="41">
        <f t="shared" si="223"/>
        <v>0</v>
      </c>
      <c r="V229" s="53"/>
      <c r="W229" s="53"/>
      <c r="X229" t="s">
        <v>479</v>
      </c>
      <c r="Y229">
        <v>404771</v>
      </c>
      <c r="Z229">
        <v>229249</v>
      </c>
      <c r="AA229" s="51">
        <v>39030.93</v>
      </c>
      <c r="AB229" s="32">
        <f t="shared" si="207"/>
        <v>8947801671.5699997</v>
      </c>
      <c r="AC229">
        <v>13399</v>
      </c>
      <c r="AD229" s="37">
        <f t="shared" si="208"/>
        <v>3.3102667928285374E-2</v>
      </c>
      <c r="AE229">
        <v>4.9443999999999998E-3</v>
      </c>
      <c r="AF229" s="3">
        <f t="shared" si="209"/>
        <v>4.9443999999999996E-5</v>
      </c>
      <c r="AG229" s="11">
        <f>+'Seat capacity elasticities'!R259</f>
        <v>5.1247949233693716E-3</v>
      </c>
      <c r="AH229" s="11">
        <f>+'Seat capacity elasticities'!S259</f>
        <v>9.7129039510481987E-3</v>
      </c>
      <c r="AI229" s="11">
        <f>+'Seat capacity elasticities'!T259</f>
        <v>1.4060809176031488E-2</v>
      </c>
      <c r="AJ229" s="11">
        <f>+'Seat capacity elasticities'!U259</f>
        <v>1.1502123099925498E-2</v>
      </c>
      <c r="AK229" s="32">
        <f t="shared" si="224"/>
        <v>458556.48581777915</v>
      </c>
      <c r="AL229" s="33">
        <f t="shared" si="225"/>
        <v>5.1247949233693722E-5</v>
      </c>
      <c r="AM229" s="40">
        <f t="shared" si="226"/>
        <v>869091.38208987925</v>
      </c>
      <c r="AN229" s="33">
        <f t="shared" si="227"/>
        <v>9.7129039510481988E-5</v>
      </c>
      <c r="AO229" s="40">
        <f t="shared" si="228"/>
        <v>1884007.8214964592</v>
      </c>
      <c r="AP229" s="41">
        <f t="shared" si="229"/>
        <v>1.4060809176031489E-4</v>
      </c>
      <c r="AQ229" s="40">
        <f t="shared" si="230"/>
        <v>1541169.4741590174</v>
      </c>
      <c r="AR229" s="41">
        <f t="shared" si="231"/>
        <v>1.1502123099925498E-4</v>
      </c>
      <c r="AV229" t="s">
        <v>479</v>
      </c>
      <c r="AW229">
        <v>404771</v>
      </c>
      <c r="AX229">
        <v>229249</v>
      </c>
      <c r="AY229" s="51">
        <v>39030.93</v>
      </c>
      <c r="AZ229" s="32">
        <f t="shared" si="210"/>
        <v>8947801671.5699997</v>
      </c>
      <c r="BA229">
        <v>13399</v>
      </c>
      <c r="BB229" s="37">
        <f t="shared" si="211"/>
        <v>3.3102667928285374E-2</v>
      </c>
      <c r="BC229">
        <v>0</v>
      </c>
      <c r="BD229" s="3">
        <f t="shared" si="212"/>
        <v>0</v>
      </c>
      <c r="BE229" s="11">
        <f>+'Seat capacity elasticities'!Y259</f>
        <v>0</v>
      </c>
      <c r="BF229" s="11">
        <f>+'Seat capacity elasticities'!Z259</f>
        <v>0</v>
      </c>
      <c r="BG229" s="11">
        <f>+'Seat capacity elasticities'!AA259</f>
        <v>0</v>
      </c>
      <c r="BH229" s="11">
        <f>+'Seat capacity elasticities'!AB259</f>
        <v>0</v>
      </c>
      <c r="BI229" s="32">
        <f t="shared" si="232"/>
        <v>0</v>
      </c>
      <c r="BJ229" s="33">
        <f t="shared" si="233"/>
        <v>0</v>
      </c>
      <c r="BK229" s="40">
        <f t="shared" si="234"/>
        <v>0</v>
      </c>
      <c r="BL229" s="33">
        <f t="shared" si="235"/>
        <v>0</v>
      </c>
      <c r="BM229" s="40">
        <f t="shared" si="236"/>
        <v>0</v>
      </c>
      <c r="BN229" s="41">
        <f t="shared" si="237"/>
        <v>0</v>
      </c>
      <c r="BO229" s="40">
        <f t="shared" si="238"/>
        <v>0</v>
      </c>
      <c r="BP229" s="41">
        <f t="shared" si="239"/>
        <v>0</v>
      </c>
      <c r="BQ229" s="53"/>
      <c r="BR229" s="53"/>
      <c r="BS229" t="s">
        <v>479</v>
      </c>
      <c r="BT229">
        <v>404771</v>
      </c>
      <c r="BU229">
        <v>229249</v>
      </c>
      <c r="BV229" s="51">
        <v>39030.93</v>
      </c>
      <c r="BW229" s="32">
        <f t="shared" si="213"/>
        <v>8947801671.5699997</v>
      </c>
      <c r="BX229">
        <v>13399</v>
      </c>
      <c r="BY229" s="37">
        <f t="shared" si="214"/>
        <v>3.3102667928285374E-2</v>
      </c>
      <c r="BZ229">
        <v>4.9443999999999998E-3</v>
      </c>
      <c r="CA229" s="3">
        <f t="shared" si="215"/>
        <v>4.9443999999999996E-5</v>
      </c>
      <c r="CB229" s="11">
        <f>+'Seat capacity elasticities'!AF259</f>
        <v>2.5932853429980425E-2</v>
      </c>
      <c r="CC229" s="11">
        <f>+'Seat capacity elasticities'!AG259</f>
        <v>2.072250234763854E-2</v>
      </c>
      <c r="CD229" s="11">
        <f>+'Seat capacity elasticities'!AH259</f>
        <v>7.1151511215830771E-2</v>
      </c>
      <c r="CE229" s="11">
        <f>+'Seat capacity elasticities'!AI259</f>
        <v>2.4539805411677218E-2</v>
      </c>
      <c r="CF229" s="32">
        <f t="shared" si="240"/>
        <v>2320420.2926935866</v>
      </c>
      <c r="CG229" s="33">
        <f t="shared" si="241"/>
        <v>2.5932853429980424E-4</v>
      </c>
      <c r="CH229" s="40">
        <f t="shared" si="242"/>
        <v>1854208.4114531337</v>
      </c>
      <c r="CI229" s="33">
        <f t="shared" si="243"/>
        <v>2.072250234763854E-4</v>
      </c>
      <c r="CJ229" s="40">
        <f t="shared" si="244"/>
        <v>9533590.9878091644</v>
      </c>
      <c r="CK229" s="41">
        <f t="shared" si="245"/>
        <v>7.1151511215830773E-4</v>
      </c>
      <c r="CL229" s="40">
        <f t="shared" si="246"/>
        <v>3288088.5271106302</v>
      </c>
      <c r="CM229" s="41">
        <f t="shared" si="247"/>
        <v>2.4539805411677218E-4</v>
      </c>
      <c r="CO229" s="70">
        <f t="shared" si="248"/>
        <v>0</v>
      </c>
      <c r="CP229" s="70">
        <f t="shared" si="249"/>
        <v>0</v>
      </c>
      <c r="CQ229" s="70">
        <f t="shared" si="250"/>
        <v>0</v>
      </c>
      <c r="CR229" s="70">
        <f t="shared" si="251"/>
        <v>0</v>
      </c>
      <c r="CS229" s="70">
        <f t="shared" si="252"/>
        <v>0</v>
      </c>
      <c r="CT229" s="70">
        <f t="shared" si="253"/>
        <v>0</v>
      </c>
      <c r="CU229" s="69">
        <f t="shared" si="254"/>
        <v>0</v>
      </c>
      <c r="CV229" s="69">
        <f t="shared" si="255"/>
        <v>0</v>
      </c>
      <c r="CW229" s="70">
        <f t="shared" si="256"/>
        <v>0</v>
      </c>
      <c r="CX229" s="69">
        <f t="shared" si="257"/>
        <v>0</v>
      </c>
      <c r="CY229" s="69">
        <f t="shared" si="258"/>
        <v>0</v>
      </c>
      <c r="CZ229" s="70">
        <f t="shared" si="259"/>
        <v>0</v>
      </c>
      <c r="DB229" s="70">
        <f t="shared" si="260"/>
        <v>2.0002551191838531</v>
      </c>
      <c r="DC229" s="70">
        <f t="shared" si="261"/>
        <v>10.121833869258259</v>
      </c>
      <c r="DD229" s="70">
        <f t="shared" si="262"/>
        <v>12.122088988442112</v>
      </c>
      <c r="DE229" s="70">
        <f t="shared" si="263"/>
        <v>3.7910367421008564</v>
      </c>
      <c r="DF229" s="70">
        <f t="shared" si="264"/>
        <v>8.0881853855551551</v>
      </c>
      <c r="DG229" s="70">
        <f t="shared" si="265"/>
        <v>11.879222127656011</v>
      </c>
      <c r="DH229" s="69">
        <f t="shared" si="266"/>
        <v>8.2181724740193385</v>
      </c>
      <c r="DI229" s="69">
        <f t="shared" si="267"/>
        <v>41.586183528866712</v>
      </c>
      <c r="DJ229" s="70">
        <f t="shared" si="268"/>
        <v>49.804356002886053</v>
      </c>
      <c r="DK229" s="69">
        <f t="shared" si="269"/>
        <v>6.7226878815568112</v>
      </c>
      <c r="DL229" s="69">
        <f t="shared" si="270"/>
        <v>14.342869661855145</v>
      </c>
      <c r="DM229" s="70">
        <f t="shared" si="271"/>
        <v>21.065557543411956</v>
      </c>
    </row>
    <row r="230" spans="1:117">
      <c r="A230" t="s">
        <v>480</v>
      </c>
      <c r="B230">
        <v>180515</v>
      </c>
      <c r="C230">
        <v>93524</v>
      </c>
      <c r="D230" s="51">
        <v>32991.9</v>
      </c>
      <c r="E230" s="32">
        <f t="shared" si="204"/>
        <v>3085534455.5999999</v>
      </c>
      <c r="F230">
        <v>4515</v>
      </c>
      <c r="G230" s="37">
        <f t="shared" si="205"/>
        <v>2.5011771874913442E-2</v>
      </c>
      <c r="H230">
        <v>0</v>
      </c>
      <c r="I230" s="3">
        <f t="shared" si="206"/>
        <v>0</v>
      </c>
      <c r="J230" s="11">
        <f>+'Seat capacity elasticities'!K260</f>
        <v>0</v>
      </c>
      <c r="K230" s="11">
        <f>+'Seat capacity elasticities'!L260</f>
        <v>0</v>
      </c>
      <c r="L230" s="11">
        <f>+'Seat capacity elasticities'!M260</f>
        <v>0</v>
      </c>
      <c r="M230" s="11">
        <f>+'Seat capacity elasticities'!N260</f>
        <v>0</v>
      </c>
      <c r="N230" s="32">
        <f t="shared" si="216"/>
        <v>0</v>
      </c>
      <c r="O230" s="33">
        <f t="shared" si="217"/>
        <v>0</v>
      </c>
      <c r="P230" s="40">
        <f t="shared" si="218"/>
        <v>0</v>
      </c>
      <c r="Q230" s="33">
        <f t="shared" si="219"/>
        <v>0</v>
      </c>
      <c r="R230" s="40">
        <f t="shared" si="220"/>
        <v>0</v>
      </c>
      <c r="S230" s="41">
        <f t="shared" si="221"/>
        <v>0</v>
      </c>
      <c r="T230" s="40">
        <f t="shared" si="222"/>
        <v>0</v>
      </c>
      <c r="U230" s="41">
        <f t="shared" si="223"/>
        <v>0</v>
      </c>
      <c r="V230" s="53"/>
      <c r="W230" s="53"/>
      <c r="X230" t="s">
        <v>480</v>
      </c>
      <c r="Y230">
        <v>180515</v>
      </c>
      <c r="Z230">
        <v>93524</v>
      </c>
      <c r="AA230" s="51">
        <v>32991.9</v>
      </c>
      <c r="AB230" s="32">
        <f t="shared" si="207"/>
        <v>3085534455.5999999</v>
      </c>
      <c r="AC230">
        <v>4515</v>
      </c>
      <c r="AD230" s="37">
        <f t="shared" si="208"/>
        <v>2.5011771874913442E-2</v>
      </c>
      <c r="AE230">
        <v>3.5017999999999998E-3</v>
      </c>
      <c r="AF230" s="3">
        <f t="shared" si="209"/>
        <v>3.5017999999999996E-5</v>
      </c>
      <c r="AG230" s="11">
        <f>+'Seat capacity elasticities'!R260</f>
        <v>1.3778518392107884E-2</v>
      </c>
      <c r="AH230" s="11">
        <f>+'Seat capacity elasticities'!S260</f>
        <v>2.6114103633693663E-2</v>
      </c>
      <c r="AI230" s="11">
        <f>+'Seat capacity elasticities'!T260</f>
        <v>3.7803877176902499E-2</v>
      </c>
      <c r="AJ230" s="11">
        <f>+'Seat capacity elasticities'!U260</f>
        <v>3.0924596408321445E-2</v>
      </c>
      <c r="AK230" s="32">
        <f t="shared" si="224"/>
        <v>425140.93245967187</v>
      </c>
      <c r="AL230" s="33">
        <f t="shared" si="225"/>
        <v>1.3778518392107883E-4</v>
      </c>
      <c r="AM230" s="40">
        <f t="shared" si="226"/>
        <v>805759.66538870952</v>
      </c>
      <c r="AN230" s="33">
        <f t="shared" si="227"/>
        <v>2.6114103633693661E-4</v>
      </c>
      <c r="AO230" s="40">
        <f t="shared" si="228"/>
        <v>1706845.054537148</v>
      </c>
      <c r="AP230" s="41">
        <f t="shared" si="229"/>
        <v>3.7803877176902502E-4</v>
      </c>
      <c r="AQ230" s="40">
        <f t="shared" si="230"/>
        <v>1396245.5278357135</v>
      </c>
      <c r="AR230" s="41">
        <f t="shared" si="231"/>
        <v>3.092459640832145E-4</v>
      </c>
      <c r="AV230" t="s">
        <v>480</v>
      </c>
      <c r="AW230">
        <v>180515</v>
      </c>
      <c r="AX230">
        <v>93524</v>
      </c>
      <c r="AY230" s="51">
        <v>32991.9</v>
      </c>
      <c r="AZ230" s="32">
        <f t="shared" si="210"/>
        <v>3085534455.5999999</v>
      </c>
      <c r="BA230">
        <v>4515</v>
      </c>
      <c r="BB230" s="37">
        <f t="shared" si="211"/>
        <v>2.5011771874913442E-2</v>
      </c>
      <c r="BC230">
        <v>0</v>
      </c>
      <c r="BD230" s="3">
        <f t="shared" si="212"/>
        <v>0</v>
      </c>
      <c r="BE230" s="11">
        <f>+'Seat capacity elasticities'!Y260</f>
        <v>0</v>
      </c>
      <c r="BF230" s="11">
        <f>+'Seat capacity elasticities'!Z260</f>
        <v>0</v>
      </c>
      <c r="BG230" s="11">
        <f>+'Seat capacity elasticities'!AA260</f>
        <v>0</v>
      </c>
      <c r="BH230" s="11">
        <f>+'Seat capacity elasticities'!AB260</f>
        <v>0</v>
      </c>
      <c r="BI230" s="32">
        <f t="shared" si="232"/>
        <v>0</v>
      </c>
      <c r="BJ230" s="33">
        <f t="shared" si="233"/>
        <v>0</v>
      </c>
      <c r="BK230" s="40">
        <f t="shared" si="234"/>
        <v>0</v>
      </c>
      <c r="BL230" s="33">
        <f t="shared" si="235"/>
        <v>0</v>
      </c>
      <c r="BM230" s="40">
        <f t="shared" si="236"/>
        <v>0</v>
      </c>
      <c r="BN230" s="41">
        <f t="shared" si="237"/>
        <v>0</v>
      </c>
      <c r="BO230" s="40">
        <f t="shared" si="238"/>
        <v>0</v>
      </c>
      <c r="BP230" s="41">
        <f t="shared" si="239"/>
        <v>0</v>
      </c>
      <c r="BQ230" s="53"/>
      <c r="BR230" s="53"/>
      <c r="BS230" t="s">
        <v>480</v>
      </c>
      <c r="BT230">
        <v>180515</v>
      </c>
      <c r="BU230">
        <v>93524</v>
      </c>
      <c r="BV230" s="51">
        <v>32991.9</v>
      </c>
      <c r="BW230" s="32">
        <f t="shared" si="213"/>
        <v>3085534455.5999999</v>
      </c>
      <c r="BX230">
        <v>4515</v>
      </c>
      <c r="BY230" s="37">
        <f t="shared" si="214"/>
        <v>2.5011771874913442E-2</v>
      </c>
      <c r="BZ230">
        <v>3.5017999999999998E-3</v>
      </c>
      <c r="CA230" s="3">
        <f t="shared" si="215"/>
        <v>3.5017999999999996E-5</v>
      </c>
      <c r="CB230" s="11">
        <f>+'Seat capacity elasticities'!AF260</f>
        <v>4.1183584163822257E-2</v>
      </c>
      <c r="CC230" s="11">
        <f>+'Seat capacity elasticities'!AG260</f>
        <v>3.2909102032418362E-2</v>
      </c>
      <c r="CD230" s="11">
        <f>+'Seat capacity elasticities'!AH260</f>
        <v>0.11299467135200329</v>
      </c>
      <c r="CE230" s="11">
        <f>+'Seat capacity elasticities'!AI260</f>
        <v>3.8971305038390164E-2</v>
      </c>
      <c r="CF230" s="32">
        <f t="shared" si="240"/>
        <v>1270733.6794257609</v>
      </c>
      <c r="CG230" s="33">
        <f t="shared" si="241"/>
        <v>4.1183584163822259E-4</v>
      </c>
      <c r="CH230" s="40">
        <f t="shared" si="242"/>
        <v>1015421.6822388284</v>
      </c>
      <c r="CI230" s="33">
        <f t="shared" si="243"/>
        <v>3.2909102032418363E-4</v>
      </c>
      <c r="CJ230" s="40">
        <f t="shared" si="244"/>
        <v>5101709.4115429483</v>
      </c>
      <c r="CK230" s="41">
        <f t="shared" si="245"/>
        <v>1.1299467135200327E-3</v>
      </c>
      <c r="CL230" s="40">
        <f t="shared" si="246"/>
        <v>1759554.4224833159</v>
      </c>
      <c r="CM230" s="41">
        <f t="shared" si="247"/>
        <v>3.8971305038390167E-4</v>
      </c>
      <c r="CO230" s="70">
        <f t="shared" si="248"/>
        <v>0</v>
      </c>
      <c r="CP230" s="70">
        <f t="shared" si="249"/>
        <v>0</v>
      </c>
      <c r="CQ230" s="70">
        <f t="shared" si="250"/>
        <v>0</v>
      </c>
      <c r="CR230" s="70">
        <f t="shared" si="251"/>
        <v>0</v>
      </c>
      <c r="CS230" s="70">
        <f t="shared" si="252"/>
        <v>0</v>
      </c>
      <c r="CT230" s="70">
        <f t="shared" si="253"/>
        <v>0</v>
      </c>
      <c r="CU230" s="69">
        <f t="shared" si="254"/>
        <v>0</v>
      </c>
      <c r="CV230" s="69">
        <f t="shared" si="255"/>
        <v>0</v>
      </c>
      <c r="CW230" s="70">
        <f t="shared" si="256"/>
        <v>0</v>
      </c>
      <c r="CX230" s="69">
        <f t="shared" si="257"/>
        <v>0</v>
      </c>
      <c r="CY230" s="69">
        <f t="shared" si="258"/>
        <v>0</v>
      </c>
      <c r="CZ230" s="70">
        <f t="shared" si="259"/>
        <v>0</v>
      </c>
      <c r="DB230" s="70">
        <f t="shared" si="260"/>
        <v>4.5457950094058406</v>
      </c>
      <c r="DC230" s="70">
        <f t="shared" si="261"/>
        <v>13.587246903744076</v>
      </c>
      <c r="DD230" s="70">
        <f t="shared" si="262"/>
        <v>18.133041913149917</v>
      </c>
      <c r="DE230" s="70">
        <f t="shared" si="263"/>
        <v>8.6155389567245795</v>
      </c>
      <c r="DF230" s="70">
        <f t="shared" si="264"/>
        <v>10.857338033433432</v>
      </c>
      <c r="DG230" s="70">
        <f t="shared" si="265"/>
        <v>19.472876990158014</v>
      </c>
      <c r="DH230" s="69">
        <f t="shared" si="266"/>
        <v>18.250342741297935</v>
      </c>
      <c r="DI230" s="69">
        <f t="shared" si="267"/>
        <v>54.549734950846286</v>
      </c>
      <c r="DJ230" s="70">
        <f t="shared" si="268"/>
        <v>72.800077692144214</v>
      </c>
      <c r="DK230" s="69">
        <f t="shared" si="269"/>
        <v>14.929275136175885</v>
      </c>
      <c r="DL230" s="69">
        <f t="shared" si="270"/>
        <v>18.813934631573883</v>
      </c>
      <c r="DM230" s="70">
        <f t="shared" si="271"/>
        <v>33.743209767749768</v>
      </c>
    </row>
    <row r="231" spans="1:117">
      <c r="A231" t="s">
        <v>481</v>
      </c>
      <c r="B231">
        <v>416657</v>
      </c>
      <c r="C231">
        <v>281187</v>
      </c>
      <c r="D231" s="51">
        <v>38358.839999999997</v>
      </c>
      <c r="E231" s="32">
        <f t="shared" si="204"/>
        <v>10786007143.08</v>
      </c>
      <c r="F231">
        <v>18248</v>
      </c>
      <c r="G231" s="37">
        <f t="shared" si="205"/>
        <v>4.3796216072212873E-2</v>
      </c>
      <c r="H231">
        <v>0</v>
      </c>
      <c r="I231" s="3">
        <f t="shared" si="206"/>
        <v>0</v>
      </c>
      <c r="J231" s="11">
        <f>+'Seat capacity elasticities'!K261</f>
        <v>0</v>
      </c>
      <c r="K231" s="11">
        <f>+'Seat capacity elasticities'!L261</f>
        <v>0</v>
      </c>
      <c r="L231" s="11">
        <f>+'Seat capacity elasticities'!M261</f>
        <v>0</v>
      </c>
      <c r="M231" s="11">
        <f>+'Seat capacity elasticities'!N261</f>
        <v>0</v>
      </c>
      <c r="N231" s="32">
        <f t="shared" si="216"/>
        <v>0</v>
      </c>
      <c r="O231" s="33">
        <f t="shared" si="217"/>
        <v>0</v>
      </c>
      <c r="P231" s="40">
        <f t="shared" si="218"/>
        <v>0</v>
      </c>
      <c r="Q231" s="33">
        <f t="shared" si="219"/>
        <v>0</v>
      </c>
      <c r="R231" s="40">
        <f t="shared" si="220"/>
        <v>0</v>
      </c>
      <c r="S231" s="41">
        <f t="shared" si="221"/>
        <v>0</v>
      </c>
      <c r="T231" s="40">
        <f t="shared" si="222"/>
        <v>0</v>
      </c>
      <c r="U231" s="41">
        <f t="shared" si="223"/>
        <v>0</v>
      </c>
      <c r="V231" s="53"/>
      <c r="W231" s="53"/>
      <c r="X231" t="s">
        <v>481</v>
      </c>
      <c r="Y231">
        <v>416657</v>
      </c>
      <c r="Z231">
        <v>281187</v>
      </c>
      <c r="AA231" s="51">
        <v>38358.839999999997</v>
      </c>
      <c r="AB231" s="32">
        <f t="shared" si="207"/>
        <v>10786007143.08</v>
      </c>
      <c r="AC231">
        <v>18248</v>
      </c>
      <c r="AD231" s="37">
        <f t="shared" si="208"/>
        <v>4.3796216072212873E-2</v>
      </c>
      <c r="AE231">
        <v>7.6860000000000001E-3</v>
      </c>
      <c r="AF231" s="3">
        <f t="shared" si="209"/>
        <v>7.6860000000000006E-5</v>
      </c>
      <c r="AG231" s="11">
        <f>+'Seat capacity elasticities'!R261</f>
        <v>1.5578772917086583E-2</v>
      </c>
      <c r="AH231" s="11">
        <f>+'Seat capacity elasticities'!S261</f>
        <v>2.9526083927543505E-2</v>
      </c>
      <c r="AI231" s="11">
        <f>+'Seat capacity elasticities'!T261</f>
        <v>4.2743203671428892E-2</v>
      </c>
      <c r="AJ231" s="11">
        <f>+'Seat capacity elasticities'!U261</f>
        <v>3.496509938788047E-2</v>
      </c>
      <c r="AK231" s="32">
        <f t="shared" si="224"/>
        <v>1680327.5596411715</v>
      </c>
      <c r="AL231" s="33">
        <f t="shared" si="225"/>
        <v>1.5578772917086584E-4</v>
      </c>
      <c r="AM231" s="40">
        <f t="shared" si="226"/>
        <v>3184685.5214966387</v>
      </c>
      <c r="AN231" s="33">
        <f t="shared" si="227"/>
        <v>2.9526083927543511E-4</v>
      </c>
      <c r="AO231" s="40">
        <f t="shared" si="228"/>
        <v>7799779.8059623437</v>
      </c>
      <c r="AP231" s="41">
        <f t="shared" si="229"/>
        <v>4.2743203671428889E-4</v>
      </c>
      <c r="AQ231" s="40">
        <f t="shared" si="230"/>
        <v>6380431.336300428</v>
      </c>
      <c r="AR231" s="41">
        <f t="shared" si="231"/>
        <v>3.4965099387880468E-4</v>
      </c>
      <c r="AV231" t="s">
        <v>481</v>
      </c>
      <c r="AW231">
        <v>416657</v>
      </c>
      <c r="AX231">
        <v>281187</v>
      </c>
      <c r="AY231" s="51">
        <v>38358.839999999997</v>
      </c>
      <c r="AZ231" s="32">
        <f t="shared" si="210"/>
        <v>10786007143.08</v>
      </c>
      <c r="BA231">
        <v>18248</v>
      </c>
      <c r="BB231" s="37">
        <f t="shared" si="211"/>
        <v>4.3796216072212873E-2</v>
      </c>
      <c r="BC231">
        <v>0</v>
      </c>
      <c r="BD231" s="3">
        <f t="shared" si="212"/>
        <v>0</v>
      </c>
      <c r="BE231" s="11">
        <f>+'Seat capacity elasticities'!Y261</f>
        <v>0</v>
      </c>
      <c r="BF231" s="11">
        <f>+'Seat capacity elasticities'!Z261</f>
        <v>0</v>
      </c>
      <c r="BG231" s="11">
        <f>+'Seat capacity elasticities'!AA261</f>
        <v>0</v>
      </c>
      <c r="BH231" s="11">
        <f>+'Seat capacity elasticities'!AB261</f>
        <v>0</v>
      </c>
      <c r="BI231" s="32">
        <f t="shared" si="232"/>
        <v>0</v>
      </c>
      <c r="BJ231" s="33">
        <f t="shared" si="233"/>
        <v>0</v>
      </c>
      <c r="BK231" s="40">
        <f t="shared" si="234"/>
        <v>0</v>
      </c>
      <c r="BL231" s="33">
        <f t="shared" si="235"/>
        <v>0</v>
      </c>
      <c r="BM231" s="40">
        <f t="shared" si="236"/>
        <v>0</v>
      </c>
      <c r="BN231" s="41">
        <f t="shared" si="237"/>
        <v>0</v>
      </c>
      <c r="BO231" s="40">
        <f t="shared" si="238"/>
        <v>0</v>
      </c>
      <c r="BP231" s="41">
        <f t="shared" si="239"/>
        <v>0</v>
      </c>
      <c r="BQ231" s="53"/>
      <c r="BR231" s="53"/>
      <c r="BS231" t="s">
        <v>481</v>
      </c>
      <c r="BT231">
        <v>416657</v>
      </c>
      <c r="BU231">
        <v>281187</v>
      </c>
      <c r="BV231" s="51">
        <v>38358.839999999997</v>
      </c>
      <c r="BW231" s="32">
        <f t="shared" si="213"/>
        <v>10786007143.08</v>
      </c>
      <c r="BX231">
        <v>18248</v>
      </c>
      <c r="BY231" s="37">
        <f t="shared" si="214"/>
        <v>4.3796216072212873E-2</v>
      </c>
      <c r="BZ231">
        <v>7.6860000000000001E-3</v>
      </c>
      <c r="CA231" s="3">
        <f t="shared" si="215"/>
        <v>7.6860000000000006E-5</v>
      </c>
      <c r="CB231" s="11">
        <f>+'Seat capacity elasticities'!AF261</f>
        <v>3.916226438496298E-2</v>
      </c>
      <c r="CC231" s="11">
        <f>+'Seat capacity elasticities'!AG261</f>
        <v>3.1293899757210371E-2</v>
      </c>
      <c r="CD231" s="11">
        <f>+'Seat capacity elasticities'!AH261</f>
        <v>0.10744881203094536</v>
      </c>
      <c r="CE231" s="11">
        <f>+'Seat capacity elasticities'!AI261</f>
        <v>3.7058565501959649E-2</v>
      </c>
      <c r="CF231" s="32">
        <f t="shared" si="240"/>
        <v>4224044.633953982</v>
      </c>
      <c r="CG231" s="33">
        <f t="shared" si="241"/>
        <v>3.9162264384962981E-4</v>
      </c>
      <c r="CH231" s="40">
        <f t="shared" si="242"/>
        <v>3375362.2631610055</v>
      </c>
      <c r="CI231" s="33">
        <f t="shared" si="243"/>
        <v>3.1293899757210372E-4</v>
      </c>
      <c r="CJ231" s="40">
        <f t="shared" si="244"/>
        <v>19607259.219406907</v>
      </c>
      <c r="CK231" s="41">
        <f t="shared" si="245"/>
        <v>1.0744881203094536E-3</v>
      </c>
      <c r="CL231" s="40">
        <f t="shared" si="246"/>
        <v>6762447.0327975973</v>
      </c>
      <c r="CM231" s="41">
        <f t="shared" si="247"/>
        <v>3.705856550195965E-4</v>
      </c>
      <c r="CO231" s="70">
        <f t="shared" si="248"/>
        <v>0</v>
      </c>
      <c r="CP231" s="70">
        <f t="shared" si="249"/>
        <v>0</v>
      </c>
      <c r="CQ231" s="70">
        <f t="shared" si="250"/>
        <v>0</v>
      </c>
      <c r="CR231" s="70">
        <f t="shared" si="251"/>
        <v>0</v>
      </c>
      <c r="CS231" s="70">
        <f t="shared" si="252"/>
        <v>0</v>
      </c>
      <c r="CT231" s="70">
        <f t="shared" si="253"/>
        <v>0</v>
      </c>
      <c r="CU231" s="69">
        <f t="shared" si="254"/>
        <v>0</v>
      </c>
      <c r="CV231" s="69">
        <f t="shared" si="255"/>
        <v>0</v>
      </c>
      <c r="CW231" s="70">
        <f t="shared" si="256"/>
        <v>0</v>
      </c>
      <c r="CX231" s="69">
        <f t="shared" si="257"/>
        <v>0</v>
      </c>
      <c r="CY231" s="69">
        <f t="shared" si="258"/>
        <v>0</v>
      </c>
      <c r="CZ231" s="70">
        <f t="shared" si="259"/>
        <v>0</v>
      </c>
      <c r="DB231" s="70">
        <f t="shared" si="260"/>
        <v>5.9758365772285753</v>
      </c>
      <c r="DC231" s="70">
        <f t="shared" si="261"/>
        <v>15.022190335804934</v>
      </c>
      <c r="DD231" s="70">
        <f t="shared" si="262"/>
        <v>20.99802691303351</v>
      </c>
      <c r="DE231" s="70">
        <f t="shared" si="263"/>
        <v>11.32586329203213</v>
      </c>
      <c r="DF231" s="70">
        <f t="shared" si="264"/>
        <v>12.003976937628716</v>
      </c>
      <c r="DG231" s="70">
        <f t="shared" si="265"/>
        <v>23.329840229660846</v>
      </c>
      <c r="DH231" s="69">
        <f t="shared" si="266"/>
        <v>27.738763904314009</v>
      </c>
      <c r="DI231" s="69">
        <f t="shared" si="267"/>
        <v>69.730319038244673</v>
      </c>
      <c r="DJ231" s="70">
        <f t="shared" si="268"/>
        <v>97.469082942558686</v>
      </c>
      <c r="DK231" s="69">
        <f t="shared" si="269"/>
        <v>22.691060882261372</v>
      </c>
      <c r="DL231" s="69">
        <f t="shared" si="270"/>
        <v>24.049643236698699</v>
      </c>
      <c r="DM231" s="70">
        <f t="shared" si="271"/>
        <v>46.740704118960068</v>
      </c>
    </row>
    <row r="232" spans="1:117">
      <c r="A232" t="s">
        <v>482</v>
      </c>
      <c r="B232">
        <v>1227115</v>
      </c>
      <c r="C232">
        <v>783366</v>
      </c>
      <c r="D232" s="51">
        <v>43093.29</v>
      </c>
      <c r="E232" s="32">
        <f t="shared" si="204"/>
        <v>33757818214.139999</v>
      </c>
      <c r="F232">
        <v>52573</v>
      </c>
      <c r="G232" s="37">
        <f t="shared" si="205"/>
        <v>4.2842765347991023E-2</v>
      </c>
      <c r="H232">
        <v>0</v>
      </c>
      <c r="I232" s="3">
        <f t="shared" si="206"/>
        <v>0</v>
      </c>
      <c r="J232" s="11">
        <f>+'Seat capacity elasticities'!K262</f>
        <v>0</v>
      </c>
      <c r="K232" s="11">
        <f>+'Seat capacity elasticities'!L262</f>
        <v>0</v>
      </c>
      <c r="L232" s="11">
        <f>+'Seat capacity elasticities'!M262</f>
        <v>0</v>
      </c>
      <c r="M232" s="11">
        <f>+'Seat capacity elasticities'!N262</f>
        <v>0</v>
      </c>
      <c r="N232" s="32">
        <f t="shared" si="216"/>
        <v>0</v>
      </c>
      <c r="O232" s="33">
        <f t="shared" si="217"/>
        <v>0</v>
      </c>
      <c r="P232" s="40">
        <f t="shared" si="218"/>
        <v>0</v>
      </c>
      <c r="Q232" s="33">
        <f t="shared" si="219"/>
        <v>0</v>
      </c>
      <c r="R232" s="40">
        <f t="shared" si="220"/>
        <v>0</v>
      </c>
      <c r="S232" s="41">
        <f t="shared" si="221"/>
        <v>0</v>
      </c>
      <c r="T232" s="40">
        <f t="shared" si="222"/>
        <v>0</v>
      </c>
      <c r="U232" s="41">
        <f t="shared" si="223"/>
        <v>0</v>
      </c>
      <c r="V232" s="53"/>
      <c r="W232" s="53"/>
      <c r="X232" t="s">
        <v>482</v>
      </c>
      <c r="Y232">
        <v>1227115</v>
      </c>
      <c r="Z232">
        <v>783366</v>
      </c>
      <c r="AA232" s="51">
        <v>43093.29</v>
      </c>
      <c r="AB232" s="32">
        <f t="shared" si="207"/>
        <v>33757818214.139999</v>
      </c>
      <c r="AC232">
        <v>52573</v>
      </c>
      <c r="AD232" s="37">
        <f t="shared" si="208"/>
        <v>4.2842765347991023E-2</v>
      </c>
      <c r="AE232">
        <v>6.4888000000000003E-3</v>
      </c>
      <c r="AF232" s="3">
        <f t="shared" si="209"/>
        <v>6.4888000000000006E-5</v>
      </c>
      <c r="AG232" s="11">
        <f>+'Seat capacity elasticities'!R262</f>
        <v>9.1740612853441535E-3</v>
      </c>
      <c r="AH232" s="11">
        <f>+'Seat capacity elasticities'!S262</f>
        <v>1.738738377593322E-2</v>
      </c>
      <c r="AI232" s="11">
        <f>+'Seat capacity elasticities'!T262</f>
        <v>2.5170709663760133E-2</v>
      </c>
      <c r="AJ232" s="11">
        <f>+'Seat capacity elasticities'!U262</f>
        <v>2.0590322892552498E-2</v>
      </c>
      <c r="AK232" s="32">
        <f t="shared" si="224"/>
        <v>3096962.9315602747</v>
      </c>
      <c r="AL232" s="33">
        <f t="shared" si="225"/>
        <v>9.1740612853441538E-5</v>
      </c>
      <c r="AM232" s="40">
        <f t="shared" si="226"/>
        <v>5869601.4072744073</v>
      </c>
      <c r="AN232" s="33">
        <f t="shared" si="227"/>
        <v>1.7387383775933218E-4</v>
      </c>
      <c r="AO232" s="40">
        <f t="shared" si="228"/>
        <v>13232997.191528616</v>
      </c>
      <c r="AP232" s="41">
        <f t="shared" si="229"/>
        <v>2.5170709663760134E-4</v>
      </c>
      <c r="AQ232" s="40">
        <f t="shared" si="230"/>
        <v>10824950.454301625</v>
      </c>
      <c r="AR232" s="41">
        <f t="shared" si="231"/>
        <v>2.0590322892552498E-4</v>
      </c>
      <c r="AV232" t="s">
        <v>482</v>
      </c>
      <c r="AW232">
        <v>1227115</v>
      </c>
      <c r="AX232">
        <v>783366</v>
      </c>
      <c r="AY232" s="51">
        <v>43093.29</v>
      </c>
      <c r="AZ232" s="32">
        <f t="shared" si="210"/>
        <v>33757818214.139999</v>
      </c>
      <c r="BA232">
        <v>52573</v>
      </c>
      <c r="BB232" s="37">
        <f t="shared" si="211"/>
        <v>4.2842765347991023E-2</v>
      </c>
      <c r="BC232">
        <v>0</v>
      </c>
      <c r="BD232" s="3">
        <f t="shared" si="212"/>
        <v>0</v>
      </c>
      <c r="BE232" s="11">
        <f>+'Seat capacity elasticities'!Y262</f>
        <v>0</v>
      </c>
      <c r="BF232" s="11">
        <f>+'Seat capacity elasticities'!Z262</f>
        <v>0</v>
      </c>
      <c r="BG232" s="11">
        <f>+'Seat capacity elasticities'!AA262</f>
        <v>0</v>
      </c>
      <c r="BH232" s="11">
        <f>+'Seat capacity elasticities'!AB262</f>
        <v>0</v>
      </c>
      <c r="BI232" s="32">
        <f t="shared" si="232"/>
        <v>0</v>
      </c>
      <c r="BJ232" s="33">
        <f t="shared" si="233"/>
        <v>0</v>
      </c>
      <c r="BK232" s="40">
        <f t="shared" si="234"/>
        <v>0</v>
      </c>
      <c r="BL232" s="33">
        <f t="shared" si="235"/>
        <v>0</v>
      </c>
      <c r="BM232" s="40">
        <f t="shared" si="236"/>
        <v>0</v>
      </c>
      <c r="BN232" s="41">
        <f t="shared" si="237"/>
        <v>0</v>
      </c>
      <c r="BO232" s="40">
        <f t="shared" si="238"/>
        <v>0</v>
      </c>
      <c r="BP232" s="41">
        <f t="shared" si="239"/>
        <v>0</v>
      </c>
      <c r="BQ232" s="53"/>
      <c r="BR232" s="53"/>
      <c r="BS232" t="s">
        <v>482</v>
      </c>
      <c r="BT232">
        <v>1227115</v>
      </c>
      <c r="BU232">
        <v>783366</v>
      </c>
      <c r="BV232" s="51">
        <v>43093.29</v>
      </c>
      <c r="BW232" s="32">
        <f t="shared" si="213"/>
        <v>33757818214.139999</v>
      </c>
      <c r="BX232">
        <v>52573</v>
      </c>
      <c r="BY232" s="37">
        <f t="shared" si="214"/>
        <v>4.2842765347991023E-2</v>
      </c>
      <c r="BZ232">
        <v>6.4888000000000003E-3</v>
      </c>
      <c r="CA232" s="3">
        <f t="shared" si="215"/>
        <v>6.4888000000000006E-5</v>
      </c>
      <c r="CB232" s="11">
        <f>+'Seat capacity elasticities'!AF262</f>
        <v>1.1226004732176866E-2</v>
      </c>
      <c r="CC232" s="11">
        <f>+'Seat capacity elasticities'!AG262</f>
        <v>8.9705095524967114E-3</v>
      </c>
      <c r="CD232" s="11">
        <f>+'Seat capacity elasticities'!AH262</f>
        <v>3.0800590600918477E-2</v>
      </c>
      <c r="CE232" s="11">
        <f>+'Seat capacity elasticities'!AI262</f>
        <v>1.0622971838482946E-2</v>
      </c>
      <c r="CF232" s="32">
        <f t="shared" si="240"/>
        <v>3789654.2701990199</v>
      </c>
      <c r="CG232" s="33">
        <f t="shared" si="241"/>
        <v>1.1226004732176865E-4</v>
      </c>
      <c r="CH232" s="40">
        <f t="shared" si="242"/>
        <v>3028248.3076139032</v>
      </c>
      <c r="CI232" s="33">
        <f t="shared" si="243"/>
        <v>8.970509552496711E-5</v>
      </c>
      <c r="CJ232" s="40">
        <f t="shared" si="244"/>
        <v>16192794.496620873</v>
      </c>
      <c r="CK232" s="41">
        <f t="shared" si="245"/>
        <v>3.0800590600918481E-4</v>
      </c>
      <c r="CL232" s="40">
        <f t="shared" si="246"/>
        <v>5584814.9846456395</v>
      </c>
      <c r="CM232" s="41">
        <f t="shared" si="247"/>
        <v>1.0622971838482946E-4</v>
      </c>
      <c r="CO232" s="70">
        <f t="shared" si="248"/>
        <v>0</v>
      </c>
      <c r="CP232" s="70">
        <f t="shared" si="249"/>
        <v>0</v>
      </c>
      <c r="CQ232" s="70">
        <f t="shared" si="250"/>
        <v>0</v>
      </c>
      <c r="CR232" s="70">
        <f t="shared" si="251"/>
        <v>0</v>
      </c>
      <c r="CS232" s="70">
        <f t="shared" si="252"/>
        <v>0</v>
      </c>
      <c r="CT232" s="70">
        <f t="shared" si="253"/>
        <v>0</v>
      </c>
      <c r="CU232" s="69">
        <f t="shared" si="254"/>
        <v>0</v>
      </c>
      <c r="CV232" s="69">
        <f t="shared" si="255"/>
        <v>0</v>
      </c>
      <c r="CW232" s="70">
        <f t="shared" si="256"/>
        <v>0</v>
      </c>
      <c r="CX232" s="69">
        <f t="shared" si="257"/>
        <v>0</v>
      </c>
      <c r="CY232" s="69">
        <f t="shared" si="258"/>
        <v>0</v>
      </c>
      <c r="CZ232" s="70">
        <f t="shared" si="259"/>
        <v>0</v>
      </c>
      <c r="DB232" s="70">
        <f t="shared" si="260"/>
        <v>3.9534048344710833</v>
      </c>
      <c r="DC232" s="70">
        <f t="shared" si="261"/>
        <v>4.8376547746506997</v>
      </c>
      <c r="DD232" s="70">
        <f t="shared" si="262"/>
        <v>8.791059609121783</v>
      </c>
      <c r="DE232" s="70">
        <f t="shared" si="263"/>
        <v>7.4927957139758519</v>
      </c>
      <c r="DF232" s="70">
        <f t="shared" si="264"/>
        <v>3.8656876959351099</v>
      </c>
      <c r="DG232" s="70">
        <f t="shared" si="265"/>
        <v>11.358483409910962</v>
      </c>
      <c r="DH232" s="69">
        <f t="shared" si="266"/>
        <v>16.8924834515777</v>
      </c>
      <c r="DI232" s="69">
        <f t="shared" si="267"/>
        <v>20.670790532932081</v>
      </c>
      <c r="DJ232" s="70">
        <f t="shared" si="268"/>
        <v>37.563273984509777</v>
      </c>
      <c r="DK232" s="69">
        <f t="shared" si="269"/>
        <v>13.818509425098391</v>
      </c>
      <c r="DL232" s="69">
        <f t="shared" si="270"/>
        <v>7.1292537391789272</v>
      </c>
      <c r="DM232" s="70">
        <f t="shared" si="271"/>
        <v>20.947763164277319</v>
      </c>
    </row>
    <row r="233" spans="1:117">
      <c r="A233" t="s">
        <v>483</v>
      </c>
      <c r="B233">
        <v>4092831</v>
      </c>
      <c r="C233">
        <v>1744551</v>
      </c>
      <c r="D233" s="51">
        <v>33652.25</v>
      </c>
      <c r="E233" s="32">
        <f t="shared" si="204"/>
        <v>58708066389.75</v>
      </c>
      <c r="F233">
        <v>93376</v>
      </c>
      <c r="G233" s="37">
        <f t="shared" si="205"/>
        <v>2.281452618004506E-2</v>
      </c>
      <c r="H233">
        <v>0</v>
      </c>
      <c r="I233" s="3">
        <f t="shared" si="206"/>
        <v>0</v>
      </c>
      <c r="J233" s="11">
        <f>+'Seat capacity elasticities'!K263</f>
        <v>0</v>
      </c>
      <c r="K233" s="11">
        <f>+'Seat capacity elasticities'!L263</f>
        <v>0</v>
      </c>
      <c r="L233" s="11">
        <f>+'Seat capacity elasticities'!M263</f>
        <v>0</v>
      </c>
      <c r="M233" s="11">
        <f>+'Seat capacity elasticities'!N263</f>
        <v>0</v>
      </c>
      <c r="N233" s="32">
        <f t="shared" si="216"/>
        <v>0</v>
      </c>
      <c r="O233" s="33">
        <f t="shared" si="217"/>
        <v>0</v>
      </c>
      <c r="P233" s="40">
        <f t="shared" si="218"/>
        <v>0</v>
      </c>
      <c r="Q233" s="33">
        <f t="shared" si="219"/>
        <v>0</v>
      </c>
      <c r="R233" s="40">
        <f t="shared" si="220"/>
        <v>0</v>
      </c>
      <c r="S233" s="41">
        <f t="shared" si="221"/>
        <v>0</v>
      </c>
      <c r="T233" s="40">
        <f t="shared" si="222"/>
        <v>0</v>
      </c>
      <c r="U233" s="41">
        <f t="shared" si="223"/>
        <v>0</v>
      </c>
      <c r="V233" s="53"/>
      <c r="W233" s="53"/>
      <c r="X233" t="s">
        <v>483</v>
      </c>
      <c r="Y233">
        <v>4092831</v>
      </c>
      <c r="Z233">
        <v>1744551</v>
      </c>
      <c r="AA233" s="51">
        <v>33652.25</v>
      </c>
      <c r="AB233" s="32">
        <f t="shared" si="207"/>
        <v>58708066389.75</v>
      </c>
      <c r="AC233">
        <v>93376</v>
      </c>
      <c r="AD233" s="37">
        <f t="shared" si="208"/>
        <v>2.281452618004506E-2</v>
      </c>
      <c r="AE233">
        <v>3.8760999999999999E-3</v>
      </c>
      <c r="AF233" s="3">
        <f t="shared" si="209"/>
        <v>3.8760999999999997E-5</v>
      </c>
      <c r="AG233" s="11">
        <f>+'Seat capacity elasticities'!R263</f>
        <v>9.3908495347473416E-3</v>
      </c>
      <c r="AH233" s="11">
        <f>+'Seat capacity elasticities'!S263</f>
        <v>1.7798257474423516E-2</v>
      </c>
      <c r="AI233" s="11">
        <f>+'Seat capacity elasticities'!T263</f>
        <v>2.5765507748765272E-2</v>
      </c>
      <c r="AJ233" s="11">
        <f>+'Seat capacity elasticities'!U263</f>
        <v>2.1076883851291004E-2</v>
      </c>
      <c r="AK233" s="32">
        <f t="shared" si="224"/>
        <v>5513186.1794209983</v>
      </c>
      <c r="AL233" s="33">
        <f t="shared" si="225"/>
        <v>9.3908495347473417E-5</v>
      </c>
      <c r="AM233" s="40">
        <f t="shared" si="226"/>
        <v>10449012.814303201</v>
      </c>
      <c r="AN233" s="33">
        <f t="shared" si="227"/>
        <v>1.7798257474423517E-4</v>
      </c>
      <c r="AO233" s="40">
        <f t="shared" si="228"/>
        <v>24058800.51548706</v>
      </c>
      <c r="AP233" s="41">
        <f t="shared" si="229"/>
        <v>2.5765507748765271E-4</v>
      </c>
      <c r="AQ233" s="40">
        <f t="shared" si="230"/>
        <v>19680751.06498149</v>
      </c>
      <c r="AR233" s="41">
        <f t="shared" si="231"/>
        <v>2.1076883851291005E-4</v>
      </c>
      <c r="AV233" t="s">
        <v>483</v>
      </c>
      <c r="AW233">
        <v>4092831</v>
      </c>
      <c r="AX233">
        <v>1744551</v>
      </c>
      <c r="AY233" s="51">
        <v>33652.25</v>
      </c>
      <c r="AZ233" s="32">
        <f t="shared" si="210"/>
        <v>58708066389.75</v>
      </c>
      <c r="BA233">
        <v>93376</v>
      </c>
      <c r="BB233" s="37">
        <f t="shared" si="211"/>
        <v>2.281452618004506E-2</v>
      </c>
      <c r="BC233">
        <v>0</v>
      </c>
      <c r="BD233" s="3">
        <f t="shared" si="212"/>
        <v>0</v>
      </c>
      <c r="BE233" s="11">
        <f>+'Seat capacity elasticities'!Y263</f>
        <v>0</v>
      </c>
      <c r="BF233" s="11">
        <f>+'Seat capacity elasticities'!Z263</f>
        <v>0</v>
      </c>
      <c r="BG233" s="11">
        <f>+'Seat capacity elasticities'!AA263</f>
        <v>0</v>
      </c>
      <c r="BH233" s="11">
        <f>+'Seat capacity elasticities'!AB263</f>
        <v>0</v>
      </c>
      <c r="BI233" s="32">
        <f t="shared" si="232"/>
        <v>0</v>
      </c>
      <c r="BJ233" s="33">
        <f t="shared" si="233"/>
        <v>0</v>
      </c>
      <c r="BK233" s="40">
        <f t="shared" si="234"/>
        <v>0</v>
      </c>
      <c r="BL233" s="33">
        <f t="shared" si="235"/>
        <v>0</v>
      </c>
      <c r="BM233" s="40">
        <f t="shared" si="236"/>
        <v>0</v>
      </c>
      <c r="BN233" s="41">
        <f t="shared" si="237"/>
        <v>0</v>
      </c>
      <c r="BO233" s="40">
        <f t="shared" si="238"/>
        <v>0</v>
      </c>
      <c r="BP233" s="41">
        <f t="shared" si="239"/>
        <v>0</v>
      </c>
      <c r="BQ233" s="53"/>
      <c r="BR233" s="53"/>
      <c r="BS233" t="s">
        <v>483</v>
      </c>
      <c r="BT233">
        <v>4092831</v>
      </c>
      <c r="BU233">
        <v>1744551</v>
      </c>
      <c r="BV233" s="51">
        <v>33652.25</v>
      </c>
      <c r="BW233" s="32">
        <f t="shared" si="213"/>
        <v>58708066389.75</v>
      </c>
      <c r="BX233">
        <v>93376</v>
      </c>
      <c r="BY233" s="37">
        <f t="shared" si="214"/>
        <v>2.281452618004506E-2</v>
      </c>
      <c r="BZ233">
        <v>3.8760999999999999E-3</v>
      </c>
      <c r="CA233" s="3">
        <f t="shared" si="215"/>
        <v>3.8760999999999997E-5</v>
      </c>
      <c r="CB233" s="11">
        <f>+'Seat capacity elasticities'!AF263</f>
        <v>2.0105610188672464E-3</v>
      </c>
      <c r="CC233" s="11">
        <f>+'Seat capacity elasticities'!AG263</f>
        <v>1.6066051329847236E-3</v>
      </c>
      <c r="CD233" s="11">
        <f>+'Seat capacity elasticities'!AH263</f>
        <v>5.5163407015852246E-3</v>
      </c>
      <c r="CE233" s="11">
        <f>+'Seat capacity elasticities'!AI263</f>
        <v>1.9025587101134886E-3</v>
      </c>
      <c r="CF233" s="32">
        <f t="shared" si="240"/>
        <v>1180361.4977630172</v>
      </c>
      <c r="CG233" s="33">
        <f t="shared" si="241"/>
        <v>2.0105610188672466E-5</v>
      </c>
      <c r="CH233" s="40">
        <f t="shared" si="242"/>
        <v>943206.80809380289</v>
      </c>
      <c r="CI233" s="33">
        <f t="shared" si="243"/>
        <v>1.6066051329847238E-5</v>
      </c>
      <c r="CJ233" s="40">
        <f t="shared" si="244"/>
        <v>5150938.2935122196</v>
      </c>
      <c r="CK233" s="41">
        <f t="shared" si="245"/>
        <v>5.5163407015852249E-5</v>
      </c>
      <c r="CL233" s="40">
        <f t="shared" si="246"/>
        <v>1776533.2211555711</v>
      </c>
      <c r="CM233" s="41">
        <f t="shared" si="247"/>
        <v>1.9025587101134884E-5</v>
      </c>
      <c r="CO233" s="70">
        <f t="shared" si="248"/>
        <v>0</v>
      </c>
      <c r="CP233" s="70">
        <f t="shared" si="249"/>
        <v>0</v>
      </c>
      <c r="CQ233" s="70">
        <f t="shared" si="250"/>
        <v>0</v>
      </c>
      <c r="CR233" s="70">
        <f t="shared" si="251"/>
        <v>0</v>
      </c>
      <c r="CS233" s="70">
        <f t="shared" si="252"/>
        <v>0</v>
      </c>
      <c r="CT233" s="70">
        <f t="shared" si="253"/>
        <v>0</v>
      </c>
      <c r="CU233" s="69">
        <f t="shared" si="254"/>
        <v>0</v>
      </c>
      <c r="CV233" s="69">
        <f t="shared" si="255"/>
        <v>0</v>
      </c>
      <c r="CW233" s="70">
        <f t="shared" si="256"/>
        <v>0</v>
      </c>
      <c r="CX233" s="69">
        <f t="shared" si="257"/>
        <v>0</v>
      </c>
      <c r="CY233" s="69">
        <f t="shared" si="258"/>
        <v>0</v>
      </c>
      <c r="CZ233" s="70">
        <f t="shared" si="259"/>
        <v>0</v>
      </c>
      <c r="DB233" s="70">
        <f t="shared" si="260"/>
        <v>3.1602321625570124</v>
      </c>
      <c r="DC233" s="70">
        <f t="shared" si="261"/>
        <v>0.67659902047175302</v>
      </c>
      <c r="DD233" s="70">
        <f t="shared" si="262"/>
        <v>3.8368311830287656</v>
      </c>
      <c r="DE233" s="70">
        <f t="shared" si="263"/>
        <v>5.9895141009366881</v>
      </c>
      <c r="DF233" s="70">
        <f t="shared" si="264"/>
        <v>0.54065877586485167</v>
      </c>
      <c r="DG233" s="70">
        <f t="shared" si="265"/>
        <v>6.5301728768015401</v>
      </c>
      <c r="DH233" s="69">
        <f t="shared" si="266"/>
        <v>13.790826702966585</v>
      </c>
      <c r="DI233" s="69">
        <f t="shared" si="267"/>
        <v>2.9525868223469645</v>
      </c>
      <c r="DJ233" s="70">
        <f t="shared" si="268"/>
        <v>16.743413525313549</v>
      </c>
      <c r="DK233" s="69">
        <f t="shared" si="269"/>
        <v>11.281270117629974</v>
      </c>
      <c r="DL233" s="69">
        <f t="shared" si="270"/>
        <v>1.0183326375414483</v>
      </c>
      <c r="DM233" s="70">
        <f t="shared" si="271"/>
        <v>12.299602755171422</v>
      </c>
    </row>
    <row r="234" spans="1:117">
      <c r="A234" t="s">
        <v>484</v>
      </c>
      <c r="B234">
        <v>298920</v>
      </c>
      <c r="C234">
        <v>206153</v>
      </c>
      <c r="D234" s="51">
        <v>34645.519999999997</v>
      </c>
      <c r="E234" s="32">
        <f t="shared" si="204"/>
        <v>7142277884.5599995</v>
      </c>
      <c r="F234">
        <v>10948</v>
      </c>
      <c r="G234" s="37">
        <f t="shared" si="205"/>
        <v>3.6625183995717916E-2</v>
      </c>
      <c r="H234">
        <v>0</v>
      </c>
      <c r="I234" s="3">
        <f t="shared" si="206"/>
        <v>0</v>
      </c>
      <c r="J234" s="11">
        <f>+'Seat capacity elasticities'!K264</f>
        <v>0</v>
      </c>
      <c r="K234" s="11">
        <f>+'Seat capacity elasticities'!L264</f>
        <v>0</v>
      </c>
      <c r="L234" s="11">
        <f>+'Seat capacity elasticities'!M264</f>
        <v>0</v>
      </c>
      <c r="M234" s="11">
        <f>+'Seat capacity elasticities'!N264</f>
        <v>0</v>
      </c>
      <c r="N234" s="32">
        <f t="shared" si="216"/>
        <v>0</v>
      </c>
      <c r="O234" s="33">
        <f t="shared" si="217"/>
        <v>0</v>
      </c>
      <c r="P234" s="40">
        <f t="shared" si="218"/>
        <v>0</v>
      </c>
      <c r="Q234" s="33">
        <f t="shared" si="219"/>
        <v>0</v>
      </c>
      <c r="R234" s="40">
        <f t="shared" si="220"/>
        <v>0</v>
      </c>
      <c r="S234" s="41">
        <f t="shared" si="221"/>
        <v>0</v>
      </c>
      <c r="T234" s="40">
        <f t="shared" si="222"/>
        <v>0</v>
      </c>
      <c r="U234" s="41">
        <f t="shared" si="223"/>
        <v>0</v>
      </c>
      <c r="V234" s="53"/>
      <c r="W234" s="53"/>
      <c r="X234" t="s">
        <v>484</v>
      </c>
      <c r="Y234">
        <v>298920</v>
      </c>
      <c r="Z234">
        <v>206153</v>
      </c>
      <c r="AA234" s="51">
        <v>34645.519999999997</v>
      </c>
      <c r="AB234" s="32">
        <f t="shared" si="207"/>
        <v>7142277884.5599995</v>
      </c>
      <c r="AC234">
        <v>10948</v>
      </c>
      <c r="AD234" s="37">
        <f t="shared" si="208"/>
        <v>3.6625183995717916E-2</v>
      </c>
      <c r="AE234">
        <v>8.3694000000000008E-3</v>
      </c>
      <c r="AF234" s="3">
        <f t="shared" si="209"/>
        <v>8.3694000000000016E-5</v>
      </c>
      <c r="AG234" s="11">
        <f>+'Seat capacity elasticities'!R264</f>
        <v>1.7657294741653E-2</v>
      </c>
      <c r="AH234" s="11">
        <f>+'Seat capacity elasticities'!S264</f>
        <v>3.3465457725724256E-2</v>
      </c>
      <c r="AI234" s="11">
        <f>+'Seat capacity elasticities'!T264</f>
        <v>4.8446007233416168E-2</v>
      </c>
      <c r="AJ234" s="11">
        <f>+'Seat capacity elasticities'!U264</f>
        <v>3.9630147306778725E-2</v>
      </c>
      <c r="AK234" s="32">
        <f t="shared" si="224"/>
        <v>1261133.0573446578</v>
      </c>
      <c r="AL234" s="33">
        <f t="shared" si="225"/>
        <v>1.7657294741653E-4</v>
      </c>
      <c r="AM234" s="40">
        <f t="shared" si="226"/>
        <v>2390195.9861111795</v>
      </c>
      <c r="AN234" s="33">
        <f t="shared" si="227"/>
        <v>3.3465457725724259E-4</v>
      </c>
      <c r="AO234" s="40">
        <f t="shared" si="228"/>
        <v>5303868.8719144017</v>
      </c>
      <c r="AP234" s="41">
        <f t="shared" si="229"/>
        <v>4.8446007233416164E-4</v>
      </c>
      <c r="AQ234" s="40">
        <f t="shared" si="230"/>
        <v>4338708.5271461355</v>
      </c>
      <c r="AR234" s="41">
        <f t="shared" si="231"/>
        <v>3.9630147306778731E-4</v>
      </c>
      <c r="AV234" t="s">
        <v>484</v>
      </c>
      <c r="AW234">
        <v>298920</v>
      </c>
      <c r="AX234">
        <v>206153</v>
      </c>
      <c r="AY234" s="51">
        <v>34645.519999999997</v>
      </c>
      <c r="AZ234" s="32">
        <f t="shared" si="210"/>
        <v>7142277884.5599995</v>
      </c>
      <c r="BA234">
        <v>10948</v>
      </c>
      <c r="BB234" s="37">
        <f t="shared" si="211"/>
        <v>3.6625183995717916E-2</v>
      </c>
      <c r="BC234">
        <v>0</v>
      </c>
      <c r="BD234" s="3">
        <f t="shared" si="212"/>
        <v>0</v>
      </c>
      <c r="BE234" s="11">
        <f>+'Seat capacity elasticities'!Y264</f>
        <v>0</v>
      </c>
      <c r="BF234" s="11">
        <f>+'Seat capacity elasticities'!Z264</f>
        <v>0</v>
      </c>
      <c r="BG234" s="11">
        <f>+'Seat capacity elasticities'!AA264</f>
        <v>0</v>
      </c>
      <c r="BH234" s="11">
        <f>+'Seat capacity elasticities'!AB264</f>
        <v>0</v>
      </c>
      <c r="BI234" s="32">
        <f t="shared" si="232"/>
        <v>0</v>
      </c>
      <c r="BJ234" s="33">
        <f t="shared" si="233"/>
        <v>0</v>
      </c>
      <c r="BK234" s="40">
        <f t="shared" si="234"/>
        <v>0</v>
      </c>
      <c r="BL234" s="33">
        <f t="shared" si="235"/>
        <v>0</v>
      </c>
      <c r="BM234" s="40">
        <f t="shared" si="236"/>
        <v>0</v>
      </c>
      <c r="BN234" s="41">
        <f t="shared" si="237"/>
        <v>0</v>
      </c>
      <c r="BO234" s="40">
        <f t="shared" si="238"/>
        <v>0</v>
      </c>
      <c r="BP234" s="41">
        <f t="shared" si="239"/>
        <v>0</v>
      </c>
      <c r="BQ234" s="53"/>
      <c r="BR234" s="53"/>
      <c r="BS234" t="s">
        <v>484</v>
      </c>
      <c r="BT234">
        <v>298920</v>
      </c>
      <c r="BU234">
        <v>206153</v>
      </c>
      <c r="BV234" s="51">
        <v>34645.519999999997</v>
      </c>
      <c r="BW234" s="32">
        <f t="shared" si="213"/>
        <v>7142277884.5599995</v>
      </c>
      <c r="BX234">
        <v>10948</v>
      </c>
      <c r="BY234" s="37">
        <f t="shared" si="214"/>
        <v>3.6625183995717916E-2</v>
      </c>
      <c r="BZ234">
        <v>8.3694000000000008E-3</v>
      </c>
      <c r="CA234" s="3">
        <f t="shared" si="215"/>
        <v>8.3694000000000016E-5</v>
      </c>
      <c r="CB234" s="11">
        <f>+'Seat capacity elasticities'!AF264</f>
        <v>5.9440909855404823E-2</v>
      </c>
      <c r="CC234" s="11">
        <f>+'Seat capacity elasticities'!AG264</f>
        <v>4.7498220639321569E-2</v>
      </c>
      <c r="CD234" s="11">
        <f>+'Seat capacity elasticities'!AH264</f>
        <v>0.16308697288847532</v>
      </c>
      <c r="CE234" s="11">
        <f>+'Seat capacity elasticities'!AI264</f>
        <v>5.6247892862354487E-2</v>
      </c>
      <c r="CF234" s="32">
        <f t="shared" si="240"/>
        <v>4245434.9589838237</v>
      </c>
      <c r="CG234" s="33">
        <f t="shared" si="241"/>
        <v>5.9440909855404823E-4</v>
      </c>
      <c r="CH234" s="40">
        <f t="shared" si="242"/>
        <v>3392454.9082817775</v>
      </c>
      <c r="CI234" s="33">
        <f t="shared" si="243"/>
        <v>4.7498220639321566E-4</v>
      </c>
      <c r="CJ234" s="40">
        <f t="shared" si="244"/>
        <v>17854761.791830279</v>
      </c>
      <c r="CK234" s="41">
        <f t="shared" si="245"/>
        <v>1.6308697288847534E-3</v>
      </c>
      <c r="CL234" s="40">
        <f t="shared" si="246"/>
        <v>6158019.3105705706</v>
      </c>
      <c r="CM234" s="41">
        <f t="shared" si="247"/>
        <v>5.6247892862354497E-4</v>
      </c>
      <c r="CO234" s="70">
        <f t="shared" si="248"/>
        <v>0</v>
      </c>
      <c r="CP234" s="70">
        <f t="shared" si="249"/>
        <v>0</v>
      </c>
      <c r="CQ234" s="70">
        <f t="shared" si="250"/>
        <v>0</v>
      </c>
      <c r="CR234" s="70">
        <f t="shared" si="251"/>
        <v>0</v>
      </c>
      <c r="CS234" s="70">
        <f t="shared" si="252"/>
        <v>0</v>
      </c>
      <c r="CT234" s="70">
        <f t="shared" si="253"/>
        <v>0</v>
      </c>
      <c r="CU234" s="69">
        <f t="shared" si="254"/>
        <v>0</v>
      </c>
      <c r="CV234" s="69">
        <f t="shared" si="255"/>
        <v>0</v>
      </c>
      <c r="CW234" s="70">
        <f t="shared" si="256"/>
        <v>0</v>
      </c>
      <c r="CX234" s="69">
        <f t="shared" si="257"/>
        <v>0</v>
      </c>
      <c r="CY234" s="69">
        <f t="shared" si="258"/>
        <v>0</v>
      </c>
      <c r="CZ234" s="70">
        <f t="shared" si="259"/>
        <v>0</v>
      </c>
      <c r="DB234" s="70">
        <f t="shared" si="260"/>
        <v>6.1174615811783379</v>
      </c>
      <c r="DC234" s="70">
        <f t="shared" si="261"/>
        <v>20.593612312136248</v>
      </c>
      <c r="DD234" s="70">
        <f t="shared" si="262"/>
        <v>26.711073893314584</v>
      </c>
      <c r="DE234" s="70">
        <f t="shared" si="263"/>
        <v>11.594281849457342</v>
      </c>
      <c r="DF234" s="70">
        <f t="shared" si="264"/>
        <v>16.45600553124028</v>
      </c>
      <c r="DG234" s="70">
        <f t="shared" si="265"/>
        <v>28.050287380697622</v>
      </c>
      <c r="DH234" s="69">
        <f t="shared" si="266"/>
        <v>25.727827739176252</v>
      </c>
      <c r="DI234" s="69">
        <f t="shared" si="267"/>
        <v>86.609274625303925</v>
      </c>
      <c r="DJ234" s="70">
        <f t="shared" si="268"/>
        <v>112.33710236448017</v>
      </c>
      <c r="DK234" s="69">
        <f t="shared" si="269"/>
        <v>21.046060581927673</v>
      </c>
      <c r="DL234" s="69">
        <f t="shared" si="270"/>
        <v>29.871111798375821</v>
      </c>
      <c r="DM234" s="70">
        <f t="shared" si="271"/>
        <v>50.917172380303498</v>
      </c>
    </row>
    <row r="235" spans="1:117">
      <c r="A235" t="s">
        <v>486</v>
      </c>
      <c r="B235">
        <v>1033155</v>
      </c>
      <c r="C235">
        <v>635709</v>
      </c>
      <c r="D235" s="51">
        <v>39006.65</v>
      </c>
      <c r="E235" s="32">
        <f t="shared" si="204"/>
        <v>24796878464.850002</v>
      </c>
      <c r="F235">
        <v>40373</v>
      </c>
      <c r="G235" s="37">
        <f t="shared" si="205"/>
        <v>3.9077389162323173E-2</v>
      </c>
      <c r="H235">
        <v>0</v>
      </c>
      <c r="I235" s="3">
        <f t="shared" si="206"/>
        <v>0</v>
      </c>
      <c r="J235" s="11">
        <f>+'Seat capacity elasticities'!K265</f>
        <v>0</v>
      </c>
      <c r="K235" s="11">
        <f>+'Seat capacity elasticities'!L265</f>
        <v>0</v>
      </c>
      <c r="L235" s="11">
        <f>+'Seat capacity elasticities'!M265</f>
        <v>0</v>
      </c>
      <c r="M235" s="11">
        <f>+'Seat capacity elasticities'!N265</f>
        <v>0</v>
      </c>
      <c r="N235" s="32">
        <f t="shared" si="216"/>
        <v>0</v>
      </c>
      <c r="O235" s="33">
        <f t="shared" si="217"/>
        <v>0</v>
      </c>
      <c r="P235" s="40">
        <f t="shared" si="218"/>
        <v>0</v>
      </c>
      <c r="Q235" s="33">
        <f t="shared" si="219"/>
        <v>0</v>
      </c>
      <c r="R235" s="40">
        <f t="shared" si="220"/>
        <v>0</v>
      </c>
      <c r="S235" s="41">
        <f t="shared" si="221"/>
        <v>0</v>
      </c>
      <c r="T235" s="40">
        <f t="shared" si="222"/>
        <v>0</v>
      </c>
      <c r="U235" s="41">
        <f t="shared" si="223"/>
        <v>0</v>
      </c>
      <c r="V235" s="53"/>
      <c r="W235" s="53"/>
      <c r="X235" t="s">
        <v>486</v>
      </c>
      <c r="Y235">
        <v>1033155</v>
      </c>
      <c r="Z235">
        <v>635709</v>
      </c>
      <c r="AA235" s="51">
        <v>39006.65</v>
      </c>
      <c r="AB235" s="32">
        <f t="shared" si="207"/>
        <v>24796878464.850002</v>
      </c>
      <c r="AC235">
        <v>40373</v>
      </c>
      <c r="AD235" s="37">
        <f t="shared" si="208"/>
        <v>3.9077389162323173E-2</v>
      </c>
      <c r="AE235">
        <v>1.05906E-2</v>
      </c>
      <c r="AF235" s="3">
        <f t="shared" si="209"/>
        <v>1.0590600000000001E-4</v>
      </c>
      <c r="AG235" s="11">
        <f>+'Seat capacity elasticities'!R265</f>
        <v>9.7929044049496275E-3</v>
      </c>
      <c r="AH235" s="11">
        <f>+'Seat capacity elasticities'!S265</f>
        <v>1.8560262665990958E-2</v>
      </c>
      <c r="AI235" s="11">
        <f>+'Seat capacity elasticities'!T265</f>
        <v>2.6868618583977315E-2</v>
      </c>
      <c r="AJ235" s="11">
        <f>+'Seat capacity elasticities'!U265</f>
        <v>2.1979258420252449E-2</v>
      </c>
      <c r="AK235" s="32">
        <f t="shared" si="224"/>
        <v>2428334.6034743013</v>
      </c>
      <c r="AL235" s="33">
        <f t="shared" si="225"/>
        <v>9.7929044049496273E-5</v>
      </c>
      <c r="AM235" s="40">
        <f t="shared" si="226"/>
        <v>4602365.7760427063</v>
      </c>
      <c r="AN235" s="33">
        <f t="shared" si="227"/>
        <v>1.8560262665990955E-4</v>
      </c>
      <c r="AO235" s="40">
        <f t="shared" si="228"/>
        <v>10847667.380909162</v>
      </c>
      <c r="AP235" s="41">
        <f t="shared" si="229"/>
        <v>2.6868618583977317E-4</v>
      </c>
      <c r="AQ235" s="40">
        <f t="shared" si="230"/>
        <v>8873686.0020085201</v>
      </c>
      <c r="AR235" s="41">
        <f t="shared" si="231"/>
        <v>2.1979258420252448E-4</v>
      </c>
      <c r="AV235" t="s">
        <v>486</v>
      </c>
      <c r="AW235">
        <v>1033155</v>
      </c>
      <c r="AX235">
        <v>635709</v>
      </c>
      <c r="AY235" s="51">
        <v>39006.65</v>
      </c>
      <c r="AZ235" s="32">
        <f t="shared" si="210"/>
        <v>24796878464.850002</v>
      </c>
      <c r="BA235">
        <v>40373</v>
      </c>
      <c r="BB235" s="37">
        <f t="shared" si="211"/>
        <v>3.9077389162323173E-2</v>
      </c>
      <c r="BC235">
        <v>0</v>
      </c>
      <c r="BD235" s="3">
        <f t="shared" si="212"/>
        <v>0</v>
      </c>
      <c r="BE235" s="11">
        <f>+'Seat capacity elasticities'!Y265</f>
        <v>0</v>
      </c>
      <c r="BF235" s="11">
        <f>+'Seat capacity elasticities'!Z265</f>
        <v>0</v>
      </c>
      <c r="BG235" s="11">
        <f>+'Seat capacity elasticities'!AA265</f>
        <v>0</v>
      </c>
      <c r="BH235" s="11">
        <f>+'Seat capacity elasticities'!AB265</f>
        <v>0</v>
      </c>
      <c r="BI235" s="32">
        <f t="shared" si="232"/>
        <v>0</v>
      </c>
      <c r="BJ235" s="33">
        <f t="shared" si="233"/>
        <v>0</v>
      </c>
      <c r="BK235" s="40">
        <f t="shared" si="234"/>
        <v>0</v>
      </c>
      <c r="BL235" s="33">
        <f t="shared" si="235"/>
        <v>0</v>
      </c>
      <c r="BM235" s="40">
        <f t="shared" si="236"/>
        <v>0</v>
      </c>
      <c r="BN235" s="41">
        <f t="shared" si="237"/>
        <v>0</v>
      </c>
      <c r="BO235" s="40">
        <f t="shared" si="238"/>
        <v>0</v>
      </c>
      <c r="BP235" s="41">
        <f t="shared" si="239"/>
        <v>0</v>
      </c>
      <c r="BQ235" s="53"/>
      <c r="BR235" s="53"/>
      <c r="BS235" t="s">
        <v>486</v>
      </c>
      <c r="BT235">
        <v>1033155</v>
      </c>
      <c r="BU235">
        <v>635709</v>
      </c>
      <c r="BV235" s="51">
        <v>39006.65</v>
      </c>
      <c r="BW235" s="32">
        <f t="shared" si="213"/>
        <v>24796878464.850002</v>
      </c>
      <c r="BX235">
        <v>40373</v>
      </c>
      <c r="BY235" s="37">
        <f t="shared" si="214"/>
        <v>3.9077389162323173E-2</v>
      </c>
      <c r="BZ235">
        <v>1.05906E-2</v>
      </c>
      <c r="CA235" s="3">
        <f t="shared" si="215"/>
        <v>1.0590600000000001E-4</v>
      </c>
      <c r="CB235" s="11">
        <f>+'Seat capacity elasticities'!AF265</f>
        <v>2.176211900736055E-2</v>
      </c>
      <c r="CC235" s="11">
        <f>+'Seat capacity elasticities'!AG265</f>
        <v>1.7389739368143212E-2</v>
      </c>
      <c r="CD235" s="11">
        <f>+'Seat capacity elasticities'!AH265</f>
        <v>5.9708340958823165E-2</v>
      </c>
      <c r="CE235" s="11">
        <f>+'Seat capacity elasticities'!AI265</f>
        <v>2.0593112409643278E-2</v>
      </c>
      <c r="CF235" s="32">
        <f t="shared" si="240"/>
        <v>5396326.2016312173</v>
      </c>
      <c r="CG235" s="33">
        <f t="shared" si="241"/>
        <v>2.1762119007360549E-4</v>
      </c>
      <c r="CH235" s="40">
        <f t="shared" si="242"/>
        <v>4312112.5364726465</v>
      </c>
      <c r="CI235" s="33">
        <f t="shared" si="243"/>
        <v>1.738973936814321E-4</v>
      </c>
      <c r="CJ235" s="40">
        <f t="shared" si="244"/>
        <v>24106048.495305676</v>
      </c>
      <c r="CK235" s="41">
        <f t="shared" si="245"/>
        <v>5.970834095882317E-4</v>
      </c>
      <c r="CL235" s="40">
        <f t="shared" si="246"/>
        <v>8314057.2731452808</v>
      </c>
      <c r="CM235" s="41">
        <f t="shared" si="247"/>
        <v>2.059311240964328E-4</v>
      </c>
      <c r="CO235" s="70">
        <f t="shared" si="248"/>
        <v>0</v>
      </c>
      <c r="CP235" s="70">
        <f t="shared" si="249"/>
        <v>0</v>
      </c>
      <c r="CQ235" s="70">
        <f t="shared" si="250"/>
        <v>0</v>
      </c>
      <c r="CR235" s="70">
        <f t="shared" si="251"/>
        <v>0</v>
      </c>
      <c r="CS235" s="70">
        <f t="shared" si="252"/>
        <v>0</v>
      </c>
      <c r="CT235" s="70">
        <f t="shared" si="253"/>
        <v>0</v>
      </c>
      <c r="CU235" s="69">
        <f t="shared" si="254"/>
        <v>0</v>
      </c>
      <c r="CV235" s="69">
        <f t="shared" si="255"/>
        <v>0</v>
      </c>
      <c r="CW235" s="70">
        <f t="shared" si="256"/>
        <v>0</v>
      </c>
      <c r="CX235" s="69">
        <f t="shared" si="257"/>
        <v>0</v>
      </c>
      <c r="CY235" s="69">
        <f t="shared" si="258"/>
        <v>0</v>
      </c>
      <c r="CZ235" s="70">
        <f t="shared" si="259"/>
        <v>0</v>
      </c>
      <c r="DB235" s="70">
        <f t="shared" si="260"/>
        <v>3.8198839460732841</v>
      </c>
      <c r="DC235" s="70">
        <f t="shared" si="261"/>
        <v>8.4886735937846041</v>
      </c>
      <c r="DD235" s="70">
        <f t="shared" si="262"/>
        <v>12.308557539857889</v>
      </c>
      <c r="DE235" s="70">
        <f t="shared" si="263"/>
        <v>7.239736697203762</v>
      </c>
      <c r="DF235" s="70">
        <f t="shared" si="264"/>
        <v>6.7831547712438338</v>
      </c>
      <c r="DG235" s="70">
        <f t="shared" si="265"/>
        <v>14.022891468447597</v>
      </c>
      <c r="DH235" s="69">
        <f t="shared" si="266"/>
        <v>17.063888321400455</v>
      </c>
      <c r="DI235" s="69">
        <f t="shared" si="267"/>
        <v>37.919942135954777</v>
      </c>
      <c r="DJ235" s="70">
        <f t="shared" si="268"/>
        <v>54.983830457355232</v>
      </c>
      <c r="DK235" s="69">
        <f t="shared" si="269"/>
        <v>13.958723255465189</v>
      </c>
      <c r="DL235" s="69">
        <f t="shared" si="270"/>
        <v>13.078401081540894</v>
      </c>
      <c r="DM235" s="70">
        <f t="shared" si="271"/>
        <v>27.037124337006084</v>
      </c>
    </row>
    <row r="236" spans="1:117">
      <c r="A236" t="s">
        <v>487</v>
      </c>
      <c r="B236">
        <v>353381</v>
      </c>
      <c r="C236">
        <v>195403</v>
      </c>
      <c r="D236" s="51">
        <v>36955.879999999997</v>
      </c>
      <c r="E236" s="32">
        <f t="shared" si="204"/>
        <v>7221289819.6399994</v>
      </c>
      <c r="F236">
        <v>11375</v>
      </c>
      <c r="G236" s="37">
        <f t="shared" si="205"/>
        <v>3.2189053740863262E-2</v>
      </c>
      <c r="H236">
        <v>0</v>
      </c>
      <c r="I236" s="3">
        <f t="shared" si="206"/>
        <v>0</v>
      </c>
      <c r="J236" s="11">
        <f>+'Seat capacity elasticities'!K266</f>
        <v>0</v>
      </c>
      <c r="K236" s="11">
        <f>+'Seat capacity elasticities'!L266</f>
        <v>0</v>
      </c>
      <c r="L236" s="11">
        <f>+'Seat capacity elasticities'!M266</f>
        <v>0</v>
      </c>
      <c r="M236" s="11">
        <f>+'Seat capacity elasticities'!N266</f>
        <v>0</v>
      </c>
      <c r="N236" s="32">
        <f t="shared" si="216"/>
        <v>0</v>
      </c>
      <c r="O236" s="33">
        <f t="shared" si="217"/>
        <v>0</v>
      </c>
      <c r="P236" s="40">
        <f t="shared" si="218"/>
        <v>0</v>
      </c>
      <c r="Q236" s="33">
        <f t="shared" si="219"/>
        <v>0</v>
      </c>
      <c r="R236" s="40">
        <f t="shared" si="220"/>
        <v>0</v>
      </c>
      <c r="S236" s="41">
        <f t="shared" si="221"/>
        <v>0</v>
      </c>
      <c r="T236" s="40">
        <f t="shared" si="222"/>
        <v>0</v>
      </c>
      <c r="U236" s="41">
        <f t="shared" si="223"/>
        <v>0</v>
      </c>
      <c r="V236" s="53"/>
      <c r="W236" s="53"/>
      <c r="X236" t="s">
        <v>487</v>
      </c>
      <c r="Y236">
        <v>353381</v>
      </c>
      <c r="Z236">
        <v>195403</v>
      </c>
      <c r="AA236" s="51">
        <v>36955.879999999997</v>
      </c>
      <c r="AB236" s="32">
        <f t="shared" si="207"/>
        <v>7221289819.6399994</v>
      </c>
      <c r="AC236">
        <v>11375</v>
      </c>
      <c r="AD236" s="37">
        <f t="shared" si="208"/>
        <v>3.2189053740863262E-2</v>
      </c>
      <c r="AE236">
        <v>3.29E-3</v>
      </c>
      <c r="AF236" s="3">
        <f t="shared" si="209"/>
        <v>3.29E-5</v>
      </c>
      <c r="AG236" s="11">
        <f>+'Seat capacity elasticities'!R266</f>
        <v>7.8999154863585389E-3</v>
      </c>
      <c r="AH236" s="11">
        <f>+'Seat capacity elasticities'!S266</f>
        <v>1.4972525044953547E-2</v>
      </c>
      <c r="AI236" s="11">
        <f>+'Seat capacity elasticities'!T266</f>
        <v>2.1674858374124514E-2</v>
      </c>
      <c r="AJ236" s="11">
        <f>+'Seat capacity elasticities'!U266</f>
        <v>1.7730621763760779E-2</v>
      </c>
      <c r="AK236" s="32">
        <f t="shared" si="224"/>
        <v>570475.79277657298</v>
      </c>
      <c r="AL236" s="33">
        <f t="shared" si="225"/>
        <v>7.8999154863585396E-5</v>
      </c>
      <c r="AM236" s="40">
        <f t="shared" si="226"/>
        <v>1081209.4268142798</v>
      </c>
      <c r="AN236" s="33">
        <f t="shared" si="227"/>
        <v>1.4972525044953548E-4</v>
      </c>
      <c r="AO236" s="40">
        <f t="shared" si="228"/>
        <v>2465515.1400566641</v>
      </c>
      <c r="AP236" s="41">
        <f t="shared" si="229"/>
        <v>2.1674858374124521E-4</v>
      </c>
      <c r="AQ236" s="40">
        <f t="shared" si="230"/>
        <v>2016858.2256277886</v>
      </c>
      <c r="AR236" s="41">
        <f t="shared" si="231"/>
        <v>1.7730621763760776E-4</v>
      </c>
      <c r="AV236" t="s">
        <v>487</v>
      </c>
      <c r="AW236">
        <v>353381</v>
      </c>
      <c r="AX236">
        <v>195403</v>
      </c>
      <c r="AY236" s="51">
        <v>36955.879999999997</v>
      </c>
      <c r="AZ236" s="32">
        <f t="shared" si="210"/>
        <v>7221289819.6399994</v>
      </c>
      <c r="BA236">
        <v>11375</v>
      </c>
      <c r="BB236" s="37">
        <f t="shared" si="211"/>
        <v>3.2189053740863262E-2</v>
      </c>
      <c r="BC236">
        <v>0</v>
      </c>
      <c r="BD236" s="3">
        <f t="shared" si="212"/>
        <v>0</v>
      </c>
      <c r="BE236" s="11">
        <f>+'Seat capacity elasticities'!Y266</f>
        <v>0</v>
      </c>
      <c r="BF236" s="11">
        <f>+'Seat capacity elasticities'!Z266</f>
        <v>0</v>
      </c>
      <c r="BG236" s="11">
        <f>+'Seat capacity elasticities'!AA266</f>
        <v>0</v>
      </c>
      <c r="BH236" s="11">
        <f>+'Seat capacity elasticities'!AB266</f>
        <v>0</v>
      </c>
      <c r="BI236" s="32">
        <f t="shared" si="232"/>
        <v>0</v>
      </c>
      <c r="BJ236" s="33">
        <f t="shared" si="233"/>
        <v>0</v>
      </c>
      <c r="BK236" s="40">
        <f t="shared" si="234"/>
        <v>0</v>
      </c>
      <c r="BL236" s="33">
        <f t="shared" si="235"/>
        <v>0</v>
      </c>
      <c r="BM236" s="40">
        <f t="shared" si="236"/>
        <v>0</v>
      </c>
      <c r="BN236" s="41">
        <f t="shared" si="237"/>
        <v>0</v>
      </c>
      <c r="BO236" s="40">
        <f t="shared" si="238"/>
        <v>0</v>
      </c>
      <c r="BP236" s="41">
        <f t="shared" si="239"/>
        <v>0</v>
      </c>
      <c r="BQ236" s="53"/>
      <c r="BR236" s="53"/>
      <c r="BS236" t="s">
        <v>487</v>
      </c>
      <c r="BT236">
        <v>353381</v>
      </c>
      <c r="BU236">
        <v>195403</v>
      </c>
      <c r="BV236" s="51">
        <v>36955.879999999997</v>
      </c>
      <c r="BW236" s="32">
        <f t="shared" si="213"/>
        <v>7221289819.6399994</v>
      </c>
      <c r="BX236">
        <v>11375</v>
      </c>
      <c r="BY236" s="37">
        <f t="shared" si="214"/>
        <v>3.2189053740863262E-2</v>
      </c>
      <c r="BZ236">
        <v>3.29E-3</v>
      </c>
      <c r="CA236" s="3">
        <f t="shared" si="215"/>
        <v>3.29E-5</v>
      </c>
      <c r="CB236" s="11">
        <f>+'Seat capacity elasticities'!AF266</f>
        <v>1.976509017135273E-2</v>
      </c>
      <c r="CC236" s="11">
        <f>+'Seat capacity elasticities'!AG266</f>
        <v>1.5793947572450132E-2</v>
      </c>
      <c r="CD236" s="11">
        <f>+'Seat capacity elasticities'!AH266</f>
        <v>5.4229128267971383E-2</v>
      </c>
      <c r="CE236" s="11">
        <f>+'Seat capacity elasticities'!AI266</f>
        <v>1.8703358967375159E-2</v>
      </c>
      <c r="CF236" s="32">
        <f t="shared" si="240"/>
        <v>1427294.4443865609</v>
      </c>
      <c r="CG236" s="33">
        <f t="shared" si="241"/>
        <v>1.9765090171352731E-4</v>
      </c>
      <c r="CH236" s="40">
        <f t="shared" si="242"/>
        <v>1140526.7281686203</v>
      </c>
      <c r="CI236" s="33">
        <f t="shared" si="243"/>
        <v>1.5793947572450133E-4</v>
      </c>
      <c r="CJ236" s="40">
        <f t="shared" si="244"/>
        <v>6168563.3404817451</v>
      </c>
      <c r="CK236" s="41">
        <f t="shared" si="245"/>
        <v>5.4229128267971381E-4</v>
      </c>
      <c r="CL236" s="40">
        <f t="shared" si="246"/>
        <v>2127507.0825389246</v>
      </c>
      <c r="CM236" s="41">
        <f t="shared" si="247"/>
        <v>1.8703358967375161E-4</v>
      </c>
      <c r="CO236" s="70">
        <f t="shared" si="248"/>
        <v>0</v>
      </c>
      <c r="CP236" s="70">
        <f t="shared" si="249"/>
        <v>0</v>
      </c>
      <c r="CQ236" s="70">
        <f t="shared" si="250"/>
        <v>0</v>
      </c>
      <c r="CR236" s="70">
        <f t="shared" si="251"/>
        <v>0</v>
      </c>
      <c r="CS236" s="70">
        <f t="shared" si="252"/>
        <v>0</v>
      </c>
      <c r="CT236" s="70">
        <f t="shared" si="253"/>
        <v>0</v>
      </c>
      <c r="CU236" s="69">
        <f t="shared" si="254"/>
        <v>0</v>
      </c>
      <c r="CV236" s="69">
        <f t="shared" si="255"/>
        <v>0</v>
      </c>
      <c r="CW236" s="70">
        <f t="shared" si="256"/>
        <v>0</v>
      </c>
      <c r="CX236" s="69">
        <f t="shared" si="257"/>
        <v>0</v>
      </c>
      <c r="CY236" s="69">
        <f t="shared" si="258"/>
        <v>0</v>
      </c>
      <c r="CZ236" s="70">
        <f t="shared" si="259"/>
        <v>0</v>
      </c>
      <c r="DB236" s="70">
        <f t="shared" si="260"/>
        <v>2.919483287240078</v>
      </c>
      <c r="DC236" s="70">
        <f t="shared" si="261"/>
        <v>7.3043630056169091</v>
      </c>
      <c r="DD236" s="70">
        <f t="shared" si="262"/>
        <v>10.223846292856987</v>
      </c>
      <c r="DE236" s="70">
        <f t="shared" si="263"/>
        <v>5.5332283885829785</v>
      </c>
      <c r="DF236" s="70">
        <f t="shared" si="264"/>
        <v>5.8367923121375833</v>
      </c>
      <c r="DG236" s="70">
        <f t="shared" si="265"/>
        <v>11.370020700720563</v>
      </c>
      <c r="DH236" s="69">
        <f t="shared" si="266"/>
        <v>12.617591030110408</v>
      </c>
      <c r="DI236" s="69">
        <f t="shared" si="267"/>
        <v>31.568416761675845</v>
      </c>
      <c r="DJ236" s="70">
        <f t="shared" si="268"/>
        <v>44.186007791786253</v>
      </c>
      <c r="DK236" s="69">
        <f t="shared" si="269"/>
        <v>10.321531530364368</v>
      </c>
      <c r="DL236" s="69">
        <f t="shared" si="270"/>
        <v>10.887791295624554</v>
      </c>
      <c r="DM236" s="70">
        <f t="shared" si="271"/>
        <v>21.20932282598892</v>
      </c>
    </row>
    <row r="237" spans="1:117">
      <c r="A237" t="s">
        <v>488</v>
      </c>
      <c r="B237">
        <v>95696</v>
      </c>
      <c r="C237">
        <v>54438</v>
      </c>
      <c r="D237" s="51">
        <v>31276.95</v>
      </c>
      <c r="E237" s="32">
        <f t="shared" si="204"/>
        <v>1702654604.1000001</v>
      </c>
      <c r="F237">
        <v>2550</v>
      </c>
      <c r="G237" s="37">
        <f t="shared" si="205"/>
        <v>2.6646881792342418E-2</v>
      </c>
      <c r="H237">
        <v>0</v>
      </c>
      <c r="I237" s="3">
        <f t="shared" si="206"/>
        <v>0</v>
      </c>
      <c r="J237" s="11">
        <f>+'Seat capacity elasticities'!K267</f>
        <v>0</v>
      </c>
      <c r="K237" s="11">
        <f>+'Seat capacity elasticities'!L267</f>
        <v>0</v>
      </c>
      <c r="L237" s="11">
        <f>+'Seat capacity elasticities'!M267</f>
        <v>0</v>
      </c>
      <c r="M237" s="11">
        <f>+'Seat capacity elasticities'!N267</f>
        <v>0</v>
      </c>
      <c r="N237" s="32">
        <f t="shared" si="216"/>
        <v>0</v>
      </c>
      <c r="O237" s="33">
        <f t="shared" si="217"/>
        <v>0</v>
      </c>
      <c r="P237" s="40">
        <f t="shared" si="218"/>
        <v>0</v>
      </c>
      <c r="Q237" s="33">
        <f t="shared" si="219"/>
        <v>0</v>
      </c>
      <c r="R237" s="40">
        <f t="shared" si="220"/>
        <v>0</v>
      </c>
      <c r="S237" s="41">
        <f t="shared" si="221"/>
        <v>0</v>
      </c>
      <c r="T237" s="40">
        <f t="shared" si="222"/>
        <v>0</v>
      </c>
      <c r="U237" s="41">
        <f t="shared" si="223"/>
        <v>0</v>
      </c>
      <c r="V237" s="53"/>
      <c r="W237" s="53"/>
      <c r="X237" t="s">
        <v>488</v>
      </c>
      <c r="Y237">
        <v>95696</v>
      </c>
      <c r="Z237">
        <v>54438</v>
      </c>
      <c r="AA237" s="51">
        <v>31276.95</v>
      </c>
      <c r="AB237" s="32">
        <f t="shared" si="207"/>
        <v>1702654604.1000001</v>
      </c>
      <c r="AC237">
        <v>2550</v>
      </c>
      <c r="AD237" s="37">
        <f t="shared" si="208"/>
        <v>2.6646881792342418E-2</v>
      </c>
      <c r="AE237">
        <v>1.63483E-2</v>
      </c>
      <c r="AF237" s="3">
        <f t="shared" si="209"/>
        <v>1.6348299999999999E-4</v>
      </c>
      <c r="AG237" s="11">
        <f>+'Seat capacity elasticities'!R267</f>
        <v>5.8063754633068863E-2</v>
      </c>
      <c r="AH237" s="11">
        <f>+'Seat capacity elasticities'!S267</f>
        <v>0.11004687606454289</v>
      </c>
      <c r="AI237" s="11">
        <f>+'Seat capacity elasticities'!T267</f>
        <v>0.15930849646618173</v>
      </c>
      <c r="AJ237" s="11">
        <f>+'Seat capacity elasticities'!U267</f>
        <v>0.13031866902380079</v>
      </c>
      <c r="AK237" s="32">
        <f t="shared" si="224"/>
        <v>988625.19157327409</v>
      </c>
      <c r="AL237" s="33">
        <f t="shared" si="225"/>
        <v>5.8063754633068865E-4</v>
      </c>
      <c r="AM237" s="40">
        <f t="shared" si="226"/>
        <v>1873718.2019811606</v>
      </c>
      <c r="AN237" s="33">
        <f t="shared" si="227"/>
        <v>1.1004687606454289E-3</v>
      </c>
      <c r="AO237" s="40">
        <f t="shared" si="228"/>
        <v>4062366.6598876342</v>
      </c>
      <c r="AP237" s="41">
        <f t="shared" si="229"/>
        <v>1.5930849646618173E-3</v>
      </c>
      <c r="AQ237" s="40">
        <f t="shared" si="230"/>
        <v>3323126.0601069205</v>
      </c>
      <c r="AR237" s="41">
        <f t="shared" si="231"/>
        <v>1.3031866902380083E-3</v>
      </c>
      <c r="AV237" t="s">
        <v>488</v>
      </c>
      <c r="AW237">
        <v>95696</v>
      </c>
      <c r="AX237">
        <v>54438</v>
      </c>
      <c r="AY237" s="51">
        <v>31276.95</v>
      </c>
      <c r="AZ237" s="32">
        <f t="shared" si="210"/>
        <v>1702654604.1000001</v>
      </c>
      <c r="BA237">
        <v>2550</v>
      </c>
      <c r="BB237" s="37">
        <f t="shared" si="211"/>
        <v>2.6646881792342418E-2</v>
      </c>
      <c r="BC237">
        <v>0</v>
      </c>
      <c r="BD237" s="3">
        <f t="shared" si="212"/>
        <v>0</v>
      </c>
      <c r="BE237" s="11">
        <f>+'Seat capacity elasticities'!Y267</f>
        <v>0</v>
      </c>
      <c r="BF237" s="11">
        <f>+'Seat capacity elasticities'!Z267</f>
        <v>0</v>
      </c>
      <c r="BG237" s="11">
        <f>+'Seat capacity elasticities'!AA267</f>
        <v>0</v>
      </c>
      <c r="BH237" s="11">
        <f>+'Seat capacity elasticities'!AB267</f>
        <v>0</v>
      </c>
      <c r="BI237" s="32">
        <f t="shared" si="232"/>
        <v>0</v>
      </c>
      <c r="BJ237" s="33">
        <f t="shared" si="233"/>
        <v>0</v>
      </c>
      <c r="BK237" s="40">
        <f t="shared" si="234"/>
        <v>0</v>
      </c>
      <c r="BL237" s="33">
        <f t="shared" si="235"/>
        <v>0</v>
      </c>
      <c r="BM237" s="40">
        <f t="shared" si="236"/>
        <v>0</v>
      </c>
      <c r="BN237" s="41">
        <f t="shared" si="237"/>
        <v>0</v>
      </c>
      <c r="BO237" s="40">
        <f t="shared" si="238"/>
        <v>0</v>
      </c>
      <c r="BP237" s="41">
        <f t="shared" si="239"/>
        <v>0</v>
      </c>
      <c r="BQ237" s="53"/>
      <c r="BR237" s="53"/>
      <c r="BS237" t="s">
        <v>488</v>
      </c>
      <c r="BT237">
        <v>95696</v>
      </c>
      <c r="BU237">
        <v>54438</v>
      </c>
      <c r="BV237" s="51">
        <v>31276.95</v>
      </c>
      <c r="BW237" s="32">
        <f t="shared" si="213"/>
        <v>1702654604.1000001</v>
      </c>
      <c r="BX237">
        <v>2550</v>
      </c>
      <c r="BY237" s="37">
        <f t="shared" si="214"/>
        <v>2.6646881792342418E-2</v>
      </c>
      <c r="BZ237">
        <v>1.63483E-2</v>
      </c>
      <c r="CA237" s="3">
        <f t="shared" si="215"/>
        <v>1.6348299999999999E-4</v>
      </c>
      <c r="CB237" s="11">
        <f>+'Seat capacity elasticities'!AF267</f>
        <v>0.36268108893229345</v>
      </c>
      <c r="CC237" s="11">
        <f>+'Seat capacity elasticities'!AG267</f>
        <v>0.28981229301033479</v>
      </c>
      <c r="CD237" s="11">
        <f>+'Seat capacity elasticities'!AH267</f>
        <v>0.99508168804528163</v>
      </c>
      <c r="CE237" s="11">
        <f>+'Seat capacity elasticities'!AI267</f>
        <v>0.34319876803855437</v>
      </c>
      <c r="CF237" s="32">
        <f t="shared" si="240"/>
        <v>6175206.2589057107</v>
      </c>
      <c r="CG237" s="33">
        <f t="shared" si="241"/>
        <v>3.6268108893229346E-3</v>
      </c>
      <c r="CH237" s="40">
        <f t="shared" si="242"/>
        <v>4934502.3501882479</v>
      </c>
      <c r="CI237" s="33">
        <f t="shared" si="243"/>
        <v>2.8981229301033476E-3</v>
      </c>
      <c r="CJ237" s="40">
        <f t="shared" si="244"/>
        <v>25374583.045154683</v>
      </c>
      <c r="CK237" s="41">
        <f t="shared" si="245"/>
        <v>9.9508168804528178E-3</v>
      </c>
      <c r="CL237" s="40">
        <f t="shared" si="246"/>
        <v>8751568.5849831365</v>
      </c>
      <c r="CM237" s="41">
        <f t="shared" si="247"/>
        <v>3.4319876803855435E-3</v>
      </c>
      <c r="CO237" s="70">
        <f t="shared" si="248"/>
        <v>0</v>
      </c>
      <c r="CP237" s="70">
        <f t="shared" si="249"/>
        <v>0</v>
      </c>
      <c r="CQ237" s="70">
        <f t="shared" si="250"/>
        <v>0</v>
      </c>
      <c r="CR237" s="70">
        <f t="shared" si="251"/>
        <v>0</v>
      </c>
      <c r="CS237" s="70">
        <f t="shared" si="252"/>
        <v>0</v>
      </c>
      <c r="CT237" s="70">
        <f t="shared" si="253"/>
        <v>0</v>
      </c>
      <c r="CU237" s="69">
        <f t="shared" si="254"/>
        <v>0</v>
      </c>
      <c r="CV237" s="69">
        <f t="shared" si="255"/>
        <v>0</v>
      </c>
      <c r="CW237" s="70">
        <f t="shared" si="256"/>
        <v>0</v>
      </c>
      <c r="CX237" s="69">
        <f t="shared" si="257"/>
        <v>0</v>
      </c>
      <c r="CY237" s="69">
        <f t="shared" si="258"/>
        <v>0</v>
      </c>
      <c r="CZ237" s="70">
        <f t="shared" si="259"/>
        <v>0</v>
      </c>
      <c r="DB237" s="70">
        <f t="shared" si="260"/>
        <v>18.160571504707633</v>
      </c>
      <c r="DC237" s="70">
        <f t="shared" si="261"/>
        <v>113.43558284480896</v>
      </c>
      <c r="DD237" s="70">
        <f t="shared" si="262"/>
        <v>131.59615434951661</v>
      </c>
      <c r="DE237" s="70">
        <f t="shared" si="263"/>
        <v>34.419306403269047</v>
      </c>
      <c r="DF237" s="70">
        <f t="shared" si="264"/>
        <v>90.644445978695913</v>
      </c>
      <c r="DG237" s="70">
        <f t="shared" si="265"/>
        <v>125.06375238196496</v>
      </c>
      <c r="DH237" s="69">
        <f t="shared" si="266"/>
        <v>74.62373084770995</v>
      </c>
      <c r="DI237" s="69">
        <f t="shared" si="267"/>
        <v>466.11894347982445</v>
      </c>
      <c r="DJ237" s="70">
        <f t="shared" si="268"/>
        <v>540.74267432753436</v>
      </c>
      <c r="DK237" s="69">
        <f t="shared" si="269"/>
        <v>61.044234911402341</v>
      </c>
      <c r="DL237" s="69">
        <f t="shared" si="270"/>
        <v>160.76212544515113</v>
      </c>
      <c r="DM237" s="70">
        <f t="shared" si="271"/>
        <v>221.80636035655345</v>
      </c>
    </row>
    <row r="238" spans="1:117">
      <c r="A238" t="s">
        <v>319</v>
      </c>
      <c r="B238">
        <v>2101138</v>
      </c>
      <c r="C238">
        <v>1227055</v>
      </c>
      <c r="D238" s="51">
        <v>42165.06</v>
      </c>
      <c r="E238" s="32">
        <f t="shared" si="204"/>
        <v>51738847698.299995</v>
      </c>
      <c r="F238">
        <v>72228</v>
      </c>
      <c r="G238" s="37">
        <f t="shared" si="205"/>
        <v>3.4375657381856876E-2</v>
      </c>
      <c r="H238">
        <v>2.3440000000000002E-3</v>
      </c>
      <c r="I238" s="3">
        <f t="shared" si="206"/>
        <v>2.3440000000000003E-5</v>
      </c>
      <c r="J238" s="11">
        <f>+'Seat capacity elasticities'!K268</f>
        <v>4.1540090253003922E-3</v>
      </c>
      <c r="K238" s="11">
        <f>+'Seat capacity elasticities'!L268</f>
        <v>2.0611666098076208E-2</v>
      </c>
      <c r="L238" s="11">
        <f>+'Seat capacity elasticities'!M268</f>
        <v>1.1397281080246563E-2</v>
      </c>
      <c r="M238" s="11">
        <f>+'Seat capacity elasticities'!N268</f>
        <v>2.4408551958248141E-2</v>
      </c>
      <c r="N238" s="32">
        <f t="shared" si="216"/>
        <v>2149236.402973806</v>
      </c>
      <c r="O238" s="33">
        <f t="shared" si="217"/>
        <v>4.1540090253003922E-5</v>
      </c>
      <c r="P238" s="40">
        <f t="shared" si="218"/>
        <v>10664238.530565783</v>
      </c>
      <c r="Q238" s="33">
        <f t="shared" si="219"/>
        <v>2.061166609807621E-4</v>
      </c>
      <c r="R238" s="40">
        <f t="shared" si="220"/>
        <v>8232028.1786404867</v>
      </c>
      <c r="S238" s="41">
        <f t="shared" si="221"/>
        <v>1.1397281080246561E-4</v>
      </c>
      <c r="T238" s="40">
        <f t="shared" si="222"/>
        <v>17629808.908403464</v>
      </c>
      <c r="U238" s="41">
        <f t="shared" si="223"/>
        <v>2.4408551958248137E-4</v>
      </c>
      <c r="V238" s="53"/>
      <c r="W238" s="53"/>
      <c r="X238" t="s">
        <v>319</v>
      </c>
      <c r="Y238">
        <v>2101138</v>
      </c>
      <c r="Z238">
        <v>1227055</v>
      </c>
      <c r="AA238" s="51">
        <v>42165.06</v>
      </c>
      <c r="AB238" s="32">
        <f t="shared" si="207"/>
        <v>51738847698.299995</v>
      </c>
      <c r="AC238">
        <v>72228</v>
      </c>
      <c r="AD238" s="37">
        <f t="shared" si="208"/>
        <v>3.4375657381856876E-2</v>
      </c>
      <c r="AE238">
        <v>8.2053000000000004E-3</v>
      </c>
      <c r="AF238" s="3">
        <f t="shared" si="209"/>
        <v>8.2053000000000009E-5</v>
      </c>
      <c r="AG238" s="11">
        <f>+'Seat capacity elasticities'!R268</f>
        <v>1.336794584821741E-2</v>
      </c>
      <c r="AH238" s="11">
        <f>+'Seat capacity elasticities'!S268</f>
        <v>2.5335955094410494E-2</v>
      </c>
      <c r="AI238" s="11">
        <f>+'Seat capacity elasticities'!T268</f>
        <v>3.6677396551065819E-2</v>
      </c>
      <c r="AJ238" s="11">
        <f>+'Seat capacity elasticities'!U268</f>
        <v>3.0003104717065059E-2</v>
      </c>
      <c r="AK238" s="32">
        <f t="shared" si="224"/>
        <v>6916421.1428004233</v>
      </c>
      <c r="AL238" s="33">
        <f t="shared" si="225"/>
        <v>1.3367945848217409E-4</v>
      </c>
      <c r="AM238" s="40">
        <f t="shared" si="226"/>
        <v>13108531.219206724</v>
      </c>
      <c r="AN238" s="33">
        <f t="shared" si="227"/>
        <v>2.5335955094410494E-4</v>
      </c>
      <c r="AO238" s="40">
        <f t="shared" si="228"/>
        <v>26491349.980903819</v>
      </c>
      <c r="AP238" s="41">
        <f t="shared" si="229"/>
        <v>3.6677396551065817E-4</v>
      </c>
      <c r="AQ238" s="40">
        <f t="shared" si="230"/>
        <v>21670642.475041751</v>
      </c>
      <c r="AR238" s="41">
        <f t="shared" si="231"/>
        <v>3.0003104717065061E-4</v>
      </c>
      <c r="AV238" t="s">
        <v>319</v>
      </c>
      <c r="AW238">
        <v>2101138</v>
      </c>
      <c r="AX238">
        <v>1227055</v>
      </c>
      <c r="AY238" s="51">
        <v>42165.06</v>
      </c>
      <c r="AZ238" s="32">
        <f t="shared" si="210"/>
        <v>51738847698.299995</v>
      </c>
      <c r="BA238">
        <v>72228</v>
      </c>
      <c r="BB238" s="37">
        <f t="shared" si="211"/>
        <v>3.4375657381856876E-2</v>
      </c>
      <c r="BC238">
        <v>2.3440000000000002E-3</v>
      </c>
      <c r="BD238" s="3">
        <f t="shared" si="212"/>
        <v>2.3440000000000003E-5</v>
      </c>
      <c r="BE238" s="11">
        <f>+'Seat capacity elasticities'!Y268</f>
        <v>2.256387916422152E-2</v>
      </c>
      <c r="BF238" s="11">
        <f>+'Seat capacity elasticities'!Z268</f>
        <v>6.1550716826397123E-2</v>
      </c>
      <c r="BG238" s="11">
        <f>+'Seat capacity elasticities'!AA268</f>
        <v>6.1908116118441721E-2</v>
      </c>
      <c r="BH238" s="11">
        <f>+'Seat capacity elasticities'!AB268</f>
        <v>7.2889006768101866E-2</v>
      </c>
      <c r="BI238" s="32">
        <f t="shared" si="232"/>
        <v>11674291.075605018</v>
      </c>
      <c r="BJ238" s="33">
        <f t="shared" si="233"/>
        <v>2.256387916422152E-4</v>
      </c>
      <c r="BK238" s="40">
        <f t="shared" si="234"/>
        <v>31845631.636021517</v>
      </c>
      <c r="BL238" s="33">
        <f t="shared" si="235"/>
        <v>6.1550716826397128E-4</v>
      </c>
      <c r="BM238" s="40">
        <f t="shared" si="236"/>
        <v>44714994.110028081</v>
      </c>
      <c r="BN238" s="41">
        <f t="shared" si="237"/>
        <v>6.1908116118441722E-4</v>
      </c>
      <c r="BO238" s="40">
        <f t="shared" si="238"/>
        <v>52646271.808464617</v>
      </c>
      <c r="BP238" s="41">
        <f t="shared" si="239"/>
        <v>7.2889006768101861E-4</v>
      </c>
      <c r="BQ238" s="53"/>
      <c r="BR238" s="53"/>
      <c r="BS238" t="s">
        <v>319</v>
      </c>
      <c r="BT238">
        <v>2101138</v>
      </c>
      <c r="BU238">
        <v>1227055</v>
      </c>
      <c r="BV238" s="51">
        <v>42165.06</v>
      </c>
      <c r="BW238" s="32">
        <f t="shared" si="213"/>
        <v>51738847698.299995</v>
      </c>
      <c r="BX238">
        <v>72228</v>
      </c>
      <c r="BY238" s="37">
        <f t="shared" si="214"/>
        <v>3.4375657381856876E-2</v>
      </c>
      <c r="BZ238">
        <v>8.2053000000000004E-3</v>
      </c>
      <c r="CA238" s="3">
        <f t="shared" si="215"/>
        <v>8.2053000000000009E-5</v>
      </c>
      <c r="CB238" s="11">
        <f>+'Seat capacity elasticities'!AF268</f>
        <v>8.2906004269429207E-3</v>
      </c>
      <c r="CC238" s="11">
        <f>+'Seat capacity elasticities'!AG268</f>
        <v>6.6248778706334381E-3</v>
      </c>
      <c r="CD238" s="11">
        <f>+'Seat capacity elasticities'!AH268</f>
        <v>2.2746773734572633E-2</v>
      </c>
      <c r="CE238" s="11">
        <f>+'Seat capacity elasticities'!AI268</f>
        <v>7.8452501099606498E-3</v>
      </c>
      <c r="CF238" s="32">
        <f t="shared" si="240"/>
        <v>4289461.1281706067</v>
      </c>
      <c r="CG238" s="33">
        <f t="shared" si="241"/>
        <v>8.2906004269429207E-5</v>
      </c>
      <c r="CH238" s="40">
        <f t="shared" si="242"/>
        <v>3427635.4716854147</v>
      </c>
      <c r="CI238" s="33">
        <f t="shared" si="243"/>
        <v>6.6248778706334393E-5</v>
      </c>
      <c r="CJ238" s="40">
        <f t="shared" si="244"/>
        <v>16429539.733007118</v>
      </c>
      <c r="CK238" s="41">
        <f t="shared" si="245"/>
        <v>2.2746773734572627E-4</v>
      </c>
      <c r="CL238" s="40">
        <f t="shared" si="246"/>
        <v>5666467.249422377</v>
      </c>
      <c r="CM238" s="41">
        <f t="shared" si="247"/>
        <v>7.8452501099606485E-5</v>
      </c>
      <c r="CO238" s="70">
        <f t="shared" si="248"/>
        <v>1.7515403979233253</v>
      </c>
      <c r="CP238" s="70">
        <f t="shared" si="249"/>
        <v>9.5140731879215021</v>
      </c>
      <c r="CQ238" s="70">
        <f t="shared" si="250"/>
        <v>11.265613585844827</v>
      </c>
      <c r="CR238" s="70">
        <f t="shared" si="251"/>
        <v>8.6909213772534919</v>
      </c>
      <c r="CS238" s="70">
        <f t="shared" si="252"/>
        <v>25.952896680280443</v>
      </c>
      <c r="CT238" s="70">
        <f t="shared" si="253"/>
        <v>34.643818057533935</v>
      </c>
      <c r="CU238" s="69">
        <f t="shared" si="254"/>
        <v>6.7087687011914596</v>
      </c>
      <c r="CV238" s="69">
        <f t="shared" si="255"/>
        <v>36.440904531604602</v>
      </c>
      <c r="CW238" s="70">
        <f t="shared" si="256"/>
        <v>43.149673232796061</v>
      </c>
      <c r="CX238" s="69">
        <f t="shared" si="257"/>
        <v>14.367578395755254</v>
      </c>
      <c r="CY238" s="69">
        <f t="shared" si="258"/>
        <v>42.904573803508903</v>
      </c>
      <c r="CZ238" s="70">
        <f t="shared" si="259"/>
        <v>57.272152199264156</v>
      </c>
      <c r="DB238" s="70">
        <f t="shared" si="260"/>
        <v>5.6366023876683791</v>
      </c>
      <c r="DC238" s="70">
        <f t="shared" si="261"/>
        <v>3.4957366443807381</v>
      </c>
      <c r="DD238" s="70">
        <f t="shared" si="262"/>
        <v>9.1323390320491171</v>
      </c>
      <c r="DE238" s="70">
        <f t="shared" si="263"/>
        <v>10.68292066713124</v>
      </c>
      <c r="DF238" s="70">
        <f t="shared" si="264"/>
        <v>2.7933837290793115</v>
      </c>
      <c r="DG238" s="70">
        <f t="shared" si="265"/>
        <v>13.476304396210551</v>
      </c>
      <c r="DH238" s="69">
        <f t="shared" si="266"/>
        <v>21.589374543849964</v>
      </c>
      <c r="DI238" s="69">
        <f t="shared" si="267"/>
        <v>13.3894077551594</v>
      </c>
      <c r="DJ238" s="70">
        <f t="shared" si="268"/>
        <v>34.978782299009367</v>
      </c>
      <c r="DK238" s="69">
        <f t="shared" si="269"/>
        <v>17.660693673096766</v>
      </c>
      <c r="DL238" s="69">
        <f t="shared" si="270"/>
        <v>4.6179407193828936</v>
      </c>
      <c r="DM238" s="70">
        <f t="shared" si="271"/>
        <v>22.27863439247966</v>
      </c>
    </row>
    <row r="239" spans="1:117">
      <c r="A239" t="s">
        <v>489</v>
      </c>
      <c r="B239">
        <v>200858</v>
      </c>
      <c r="C239">
        <v>107289</v>
      </c>
      <c r="D239" s="51">
        <v>34359.43</v>
      </c>
      <c r="E239" s="32">
        <f t="shared" si="204"/>
        <v>3686388885.27</v>
      </c>
      <c r="F239">
        <v>5534</v>
      </c>
      <c r="G239" s="37">
        <f t="shared" si="205"/>
        <v>2.7551802766133289E-2</v>
      </c>
      <c r="H239">
        <v>0</v>
      </c>
      <c r="I239" s="3">
        <f t="shared" si="206"/>
        <v>0</v>
      </c>
      <c r="J239" s="11">
        <f>+'Seat capacity elasticities'!K269</f>
        <v>0</v>
      </c>
      <c r="K239" s="11">
        <f>+'Seat capacity elasticities'!L269</f>
        <v>0</v>
      </c>
      <c r="L239" s="11">
        <f>+'Seat capacity elasticities'!M269</f>
        <v>0</v>
      </c>
      <c r="M239" s="11">
        <f>+'Seat capacity elasticities'!N269</f>
        <v>0</v>
      </c>
      <c r="N239" s="32">
        <f t="shared" si="216"/>
        <v>0</v>
      </c>
      <c r="O239" s="33">
        <f t="shared" si="217"/>
        <v>0</v>
      </c>
      <c r="P239" s="40">
        <f t="shared" si="218"/>
        <v>0</v>
      </c>
      <c r="Q239" s="33">
        <f t="shared" si="219"/>
        <v>0</v>
      </c>
      <c r="R239" s="40">
        <f t="shared" si="220"/>
        <v>0</v>
      </c>
      <c r="S239" s="41">
        <f t="shared" si="221"/>
        <v>0</v>
      </c>
      <c r="T239" s="40">
        <f t="shared" si="222"/>
        <v>0</v>
      </c>
      <c r="U239" s="41">
        <f t="shared" si="223"/>
        <v>0</v>
      </c>
      <c r="V239" s="53"/>
      <c r="W239" s="53"/>
      <c r="X239" t="s">
        <v>489</v>
      </c>
      <c r="Y239">
        <v>200858</v>
      </c>
      <c r="Z239">
        <v>107289</v>
      </c>
      <c r="AA239" s="51">
        <v>34359.43</v>
      </c>
      <c r="AB239" s="32">
        <f t="shared" si="207"/>
        <v>3686388885.27</v>
      </c>
      <c r="AC239">
        <v>5534</v>
      </c>
      <c r="AD239" s="37">
        <f t="shared" si="208"/>
        <v>2.7551802766133289E-2</v>
      </c>
      <c r="AE239">
        <v>5.9949000000000001E-3</v>
      </c>
      <c r="AF239" s="3">
        <f t="shared" si="209"/>
        <v>5.9949000000000005E-5</v>
      </c>
      <c r="AG239" s="11">
        <f>+'Seat capacity elasticities'!R269</f>
        <v>1.5526734613150612E-2</v>
      </c>
      <c r="AH239" s="11">
        <f>+'Seat capacity elasticities'!S269</f>
        <v>2.9427456947251927E-2</v>
      </c>
      <c r="AI239" s="11">
        <f>+'Seat capacity elasticities'!T269</f>
        <v>4.2600427097452945E-2</v>
      </c>
      <c r="AJ239" s="11">
        <f>+'Seat capacity elasticities'!U269</f>
        <v>3.4848304279640439E-2</v>
      </c>
      <c r="AK239" s="32">
        <f t="shared" si="224"/>
        <v>572375.8190245541</v>
      </c>
      <c r="AL239" s="33">
        <f t="shared" si="225"/>
        <v>1.5526734613150614E-4</v>
      </c>
      <c r="AM239" s="40">
        <f t="shared" si="226"/>
        <v>1084810.5021211095</v>
      </c>
      <c r="AN239" s="33">
        <f t="shared" si="227"/>
        <v>2.9427456947251929E-4</v>
      </c>
      <c r="AO239" s="40">
        <f t="shared" si="228"/>
        <v>2357507.6355730463</v>
      </c>
      <c r="AP239" s="41">
        <f t="shared" si="229"/>
        <v>4.260042709745295E-4</v>
      </c>
      <c r="AQ239" s="40">
        <f t="shared" si="230"/>
        <v>1928505.1588353021</v>
      </c>
      <c r="AR239" s="41">
        <f t="shared" si="231"/>
        <v>3.4848304279640446E-4</v>
      </c>
      <c r="AV239" t="s">
        <v>489</v>
      </c>
      <c r="AW239">
        <v>200858</v>
      </c>
      <c r="AX239">
        <v>107289</v>
      </c>
      <c r="AY239" s="51">
        <v>34359.43</v>
      </c>
      <c r="AZ239" s="32">
        <f t="shared" si="210"/>
        <v>3686388885.27</v>
      </c>
      <c r="BA239">
        <v>5534</v>
      </c>
      <c r="BB239" s="37">
        <f t="shared" si="211"/>
        <v>2.7551802766133289E-2</v>
      </c>
      <c r="BC239">
        <v>0</v>
      </c>
      <c r="BD239" s="3">
        <f t="shared" si="212"/>
        <v>0</v>
      </c>
      <c r="BE239" s="11">
        <f>+'Seat capacity elasticities'!Y269</f>
        <v>0</v>
      </c>
      <c r="BF239" s="11">
        <f>+'Seat capacity elasticities'!Z269</f>
        <v>0</v>
      </c>
      <c r="BG239" s="11">
        <f>+'Seat capacity elasticities'!AA269</f>
        <v>0</v>
      </c>
      <c r="BH239" s="11">
        <f>+'Seat capacity elasticities'!AB269</f>
        <v>0</v>
      </c>
      <c r="BI239" s="32">
        <f t="shared" si="232"/>
        <v>0</v>
      </c>
      <c r="BJ239" s="33">
        <f t="shared" si="233"/>
        <v>0</v>
      </c>
      <c r="BK239" s="40">
        <f t="shared" si="234"/>
        <v>0</v>
      </c>
      <c r="BL239" s="33">
        <f t="shared" si="235"/>
        <v>0</v>
      </c>
      <c r="BM239" s="40">
        <f t="shared" si="236"/>
        <v>0</v>
      </c>
      <c r="BN239" s="41">
        <f t="shared" si="237"/>
        <v>0</v>
      </c>
      <c r="BO239" s="40">
        <f t="shared" si="238"/>
        <v>0</v>
      </c>
      <c r="BP239" s="41">
        <f t="shared" si="239"/>
        <v>0</v>
      </c>
      <c r="BQ239" s="53"/>
      <c r="BR239" s="53"/>
      <c r="BS239" t="s">
        <v>489</v>
      </c>
      <c r="BT239">
        <v>200858</v>
      </c>
      <c r="BU239">
        <v>107289</v>
      </c>
      <c r="BV239" s="51">
        <v>34359.43</v>
      </c>
      <c r="BW239" s="32">
        <f t="shared" si="213"/>
        <v>3686388885.27</v>
      </c>
      <c r="BX239">
        <v>5534</v>
      </c>
      <c r="BY239" s="37">
        <f t="shared" si="214"/>
        <v>2.7551802766133289E-2</v>
      </c>
      <c r="BZ239">
        <v>5.9949000000000001E-3</v>
      </c>
      <c r="CA239" s="3">
        <f t="shared" si="215"/>
        <v>5.9949000000000005E-5</v>
      </c>
      <c r="CB239" s="11">
        <f>+'Seat capacity elasticities'!AF269</f>
        <v>6.3363463267921943E-2</v>
      </c>
      <c r="CC239" s="11">
        <f>+'Seat capacity elasticities'!AG269</f>
        <v>5.0632666392431476E-2</v>
      </c>
      <c r="CD239" s="11">
        <f>+'Seat capacity elasticities'!AH269</f>
        <v>0.17384921329826961</v>
      </c>
      <c r="CE239" s="11">
        <f>+'Seat capacity elasticities'!AI269</f>
        <v>5.9959736517353063E-2</v>
      </c>
      <c r="CF239" s="32">
        <f t="shared" si="240"/>
        <v>2335823.6672308138</v>
      </c>
      <c r="CG239" s="33">
        <f t="shared" si="241"/>
        <v>6.3363463267921945E-4</v>
      </c>
      <c r="CH239" s="40">
        <f t="shared" si="242"/>
        <v>1866516.9862064328</v>
      </c>
      <c r="CI239" s="33">
        <f t="shared" si="243"/>
        <v>5.0632666392431481E-4</v>
      </c>
      <c r="CJ239" s="40">
        <f t="shared" si="244"/>
        <v>9620815.4639262408</v>
      </c>
      <c r="CK239" s="41">
        <f t="shared" si="245"/>
        <v>1.7384921329826962E-3</v>
      </c>
      <c r="CL239" s="40">
        <f t="shared" si="246"/>
        <v>3318171.8188703191</v>
      </c>
      <c r="CM239" s="41">
        <f t="shared" si="247"/>
        <v>5.9959736517353074E-4</v>
      </c>
      <c r="CO239" s="70">
        <f t="shared" si="248"/>
        <v>0</v>
      </c>
      <c r="CP239" s="70">
        <f t="shared" si="249"/>
        <v>0</v>
      </c>
      <c r="CQ239" s="70">
        <f t="shared" si="250"/>
        <v>0</v>
      </c>
      <c r="CR239" s="70">
        <f t="shared" si="251"/>
        <v>0</v>
      </c>
      <c r="CS239" s="70">
        <f t="shared" si="252"/>
        <v>0</v>
      </c>
      <c r="CT239" s="70">
        <f t="shared" si="253"/>
        <v>0</v>
      </c>
      <c r="CU239" s="69">
        <f t="shared" si="254"/>
        <v>0</v>
      </c>
      <c r="CV239" s="69">
        <f t="shared" si="255"/>
        <v>0</v>
      </c>
      <c r="CW239" s="70">
        <f t="shared" si="256"/>
        <v>0</v>
      </c>
      <c r="CX239" s="69">
        <f t="shared" si="257"/>
        <v>0</v>
      </c>
      <c r="CY239" s="69">
        <f t="shared" si="258"/>
        <v>0</v>
      </c>
      <c r="CZ239" s="70">
        <f t="shared" si="259"/>
        <v>0</v>
      </c>
      <c r="DB239" s="70">
        <f t="shared" si="260"/>
        <v>5.3348975106912553</v>
      </c>
      <c r="DC239" s="70">
        <f t="shared" si="261"/>
        <v>21.771324807117352</v>
      </c>
      <c r="DD239" s="70">
        <f t="shared" si="262"/>
        <v>27.106222317808609</v>
      </c>
      <c r="DE239" s="70">
        <f t="shared" si="263"/>
        <v>10.111106470571164</v>
      </c>
      <c r="DF239" s="70">
        <f t="shared" si="264"/>
        <v>17.39709556624102</v>
      </c>
      <c r="DG239" s="70">
        <f t="shared" si="265"/>
        <v>27.508202036812186</v>
      </c>
      <c r="DH239" s="69">
        <f t="shared" si="266"/>
        <v>21.97343283629306</v>
      </c>
      <c r="DI239" s="69">
        <f t="shared" si="267"/>
        <v>89.671965102911216</v>
      </c>
      <c r="DJ239" s="70">
        <f t="shared" si="268"/>
        <v>111.64539793920427</v>
      </c>
      <c r="DK239" s="69">
        <f t="shared" si="269"/>
        <v>17.974863768282884</v>
      </c>
      <c r="DL239" s="69">
        <f t="shared" si="270"/>
        <v>30.927418643759555</v>
      </c>
      <c r="DM239" s="70">
        <f t="shared" si="271"/>
        <v>48.902282412042439</v>
      </c>
    </row>
    <row r="240" spans="1:117">
      <c r="A240" t="s">
        <v>490</v>
      </c>
      <c r="B240">
        <v>390561</v>
      </c>
      <c r="C240">
        <v>208890</v>
      </c>
      <c r="D240" s="51">
        <v>31322.09</v>
      </c>
      <c r="E240" s="32">
        <f t="shared" si="204"/>
        <v>6542871380.1000004</v>
      </c>
      <c r="F240">
        <v>9081</v>
      </c>
      <c r="G240" s="37">
        <f t="shared" si="205"/>
        <v>2.3251169471606228E-2</v>
      </c>
      <c r="H240">
        <v>0</v>
      </c>
      <c r="I240" s="3">
        <f t="shared" si="206"/>
        <v>0</v>
      </c>
      <c r="J240" s="11">
        <f>+'Seat capacity elasticities'!K270</f>
        <v>0</v>
      </c>
      <c r="K240" s="11">
        <f>+'Seat capacity elasticities'!L270</f>
        <v>0</v>
      </c>
      <c r="L240" s="11">
        <f>+'Seat capacity elasticities'!M270</f>
        <v>0</v>
      </c>
      <c r="M240" s="11">
        <f>+'Seat capacity elasticities'!N270</f>
        <v>0</v>
      </c>
      <c r="N240" s="32">
        <f t="shared" si="216"/>
        <v>0</v>
      </c>
      <c r="O240" s="33">
        <f t="shared" si="217"/>
        <v>0</v>
      </c>
      <c r="P240" s="40">
        <f t="shared" si="218"/>
        <v>0</v>
      </c>
      <c r="Q240" s="33">
        <f t="shared" si="219"/>
        <v>0</v>
      </c>
      <c r="R240" s="40">
        <f t="shared" si="220"/>
        <v>0</v>
      </c>
      <c r="S240" s="41">
        <f t="shared" si="221"/>
        <v>0</v>
      </c>
      <c r="T240" s="40">
        <f t="shared" si="222"/>
        <v>0</v>
      </c>
      <c r="U240" s="41">
        <f t="shared" si="223"/>
        <v>0</v>
      </c>
      <c r="V240" s="53"/>
      <c r="W240" s="53"/>
      <c r="X240" t="s">
        <v>490</v>
      </c>
      <c r="Y240">
        <v>390561</v>
      </c>
      <c r="Z240">
        <v>208890</v>
      </c>
      <c r="AA240" s="51">
        <v>31322.09</v>
      </c>
      <c r="AB240" s="32">
        <f t="shared" si="207"/>
        <v>6542871380.1000004</v>
      </c>
      <c r="AC240">
        <v>9081</v>
      </c>
      <c r="AD240" s="37">
        <f t="shared" si="208"/>
        <v>2.3251169471606228E-2</v>
      </c>
      <c r="AE240">
        <v>6.6845999999999997E-3</v>
      </c>
      <c r="AF240" s="3">
        <f t="shared" si="209"/>
        <v>6.6846000000000003E-5</v>
      </c>
      <c r="AG240" s="11">
        <f>+'Seat capacity elasticities'!R270</f>
        <v>1.2933751470003519E-2</v>
      </c>
      <c r="AH240" s="11">
        <f>+'Seat capacity elasticities'!S270</f>
        <v>2.4513036645040832E-2</v>
      </c>
      <c r="AI240" s="11">
        <f>+'Seat capacity elasticities'!T270</f>
        <v>3.5486105116255141E-2</v>
      </c>
      <c r="AJ240" s="11">
        <f>+'Seat capacity elasticities'!U270</f>
        <v>2.9028596027022041E-2</v>
      </c>
      <c r="AK240" s="32">
        <f t="shared" si="224"/>
        <v>846238.72330412338</v>
      </c>
      <c r="AL240" s="33">
        <f t="shared" si="225"/>
        <v>1.2933751470003521E-4</v>
      </c>
      <c r="AM240" s="40">
        <f t="shared" si="226"/>
        <v>1603856.459041802</v>
      </c>
      <c r="AN240" s="33">
        <f t="shared" si="227"/>
        <v>2.4513036645040835E-4</v>
      </c>
      <c r="AO240" s="40">
        <f t="shared" si="228"/>
        <v>3222493.2056071297</v>
      </c>
      <c r="AP240" s="41">
        <f t="shared" si="229"/>
        <v>3.5486105116255145E-4</v>
      </c>
      <c r="AQ240" s="40">
        <f t="shared" si="230"/>
        <v>2636086.8052138719</v>
      </c>
      <c r="AR240" s="41">
        <f t="shared" si="231"/>
        <v>2.9028596027022048E-4</v>
      </c>
      <c r="AV240" t="s">
        <v>490</v>
      </c>
      <c r="AW240">
        <v>390561</v>
      </c>
      <c r="AX240">
        <v>208890</v>
      </c>
      <c r="AY240" s="51">
        <v>31322.09</v>
      </c>
      <c r="AZ240" s="32">
        <f t="shared" si="210"/>
        <v>6542871380.1000004</v>
      </c>
      <c r="BA240">
        <v>9081</v>
      </c>
      <c r="BB240" s="37">
        <f t="shared" si="211"/>
        <v>2.3251169471606228E-2</v>
      </c>
      <c r="BC240">
        <v>0</v>
      </c>
      <c r="BD240" s="3">
        <f t="shared" si="212"/>
        <v>0</v>
      </c>
      <c r="BE240" s="11">
        <f>+'Seat capacity elasticities'!Y270</f>
        <v>0</v>
      </c>
      <c r="BF240" s="11">
        <f>+'Seat capacity elasticities'!Z270</f>
        <v>0</v>
      </c>
      <c r="BG240" s="11">
        <f>+'Seat capacity elasticities'!AA270</f>
        <v>0</v>
      </c>
      <c r="BH240" s="11">
        <f>+'Seat capacity elasticities'!AB270</f>
        <v>0</v>
      </c>
      <c r="BI240" s="32">
        <f t="shared" si="232"/>
        <v>0</v>
      </c>
      <c r="BJ240" s="33">
        <f t="shared" si="233"/>
        <v>0</v>
      </c>
      <c r="BK240" s="40">
        <f t="shared" si="234"/>
        <v>0</v>
      </c>
      <c r="BL240" s="33">
        <f t="shared" si="235"/>
        <v>0</v>
      </c>
      <c r="BM240" s="40">
        <f t="shared" si="236"/>
        <v>0</v>
      </c>
      <c r="BN240" s="41">
        <f t="shared" si="237"/>
        <v>0</v>
      </c>
      <c r="BO240" s="40">
        <f t="shared" si="238"/>
        <v>0</v>
      </c>
      <c r="BP240" s="41">
        <f t="shared" si="239"/>
        <v>0</v>
      </c>
      <c r="BQ240" s="53"/>
      <c r="BR240" s="53"/>
      <c r="BS240" t="s">
        <v>490</v>
      </c>
      <c r="BT240">
        <v>390561</v>
      </c>
      <c r="BU240">
        <v>208890</v>
      </c>
      <c r="BV240" s="51">
        <v>31322.09</v>
      </c>
      <c r="BW240" s="32">
        <f t="shared" si="213"/>
        <v>6542871380.1000004</v>
      </c>
      <c r="BX240">
        <v>9081</v>
      </c>
      <c r="BY240" s="37">
        <f t="shared" si="214"/>
        <v>2.3251169471606228E-2</v>
      </c>
      <c r="BZ240">
        <v>6.6845999999999997E-3</v>
      </c>
      <c r="CA240" s="3">
        <f t="shared" si="215"/>
        <v>6.6846000000000003E-5</v>
      </c>
      <c r="CB240" s="11">
        <f>+'Seat capacity elasticities'!AF270</f>
        <v>3.633562610499684E-2</v>
      </c>
      <c r="CC240" s="11">
        <f>+'Seat capacity elasticities'!AG270</f>
        <v>2.9035181157243038E-2</v>
      </c>
      <c r="CD240" s="11">
        <f>+'Seat capacity elasticities'!AH270</f>
        <v>9.9693414584106854E-2</v>
      </c>
      <c r="CE240" s="11">
        <f>+'Seat capacity elasticities'!AI270</f>
        <v>3.4383767159893074E-2</v>
      </c>
      <c r="CF240" s="32">
        <f t="shared" si="240"/>
        <v>2377393.2812039829</v>
      </c>
      <c r="CG240" s="33">
        <f t="shared" si="241"/>
        <v>3.6335626104996843E-4</v>
      </c>
      <c r="CH240" s="40">
        <f t="shared" si="242"/>
        <v>1899734.5580974428</v>
      </c>
      <c r="CI240" s="33">
        <f t="shared" si="243"/>
        <v>2.9035181157243041E-4</v>
      </c>
      <c r="CJ240" s="40">
        <f t="shared" si="244"/>
        <v>9053158.9783827439</v>
      </c>
      <c r="CK240" s="41">
        <f t="shared" si="245"/>
        <v>9.9693414584106849E-4</v>
      </c>
      <c r="CL240" s="40">
        <f t="shared" si="246"/>
        <v>3122389.8957898901</v>
      </c>
      <c r="CM240" s="41">
        <f t="shared" si="247"/>
        <v>3.4383767159893076E-4</v>
      </c>
      <c r="CO240" s="70">
        <f t="shared" si="248"/>
        <v>0</v>
      </c>
      <c r="CP240" s="70">
        <f t="shared" si="249"/>
        <v>0</v>
      </c>
      <c r="CQ240" s="70">
        <f t="shared" si="250"/>
        <v>0</v>
      </c>
      <c r="CR240" s="70">
        <f t="shared" si="251"/>
        <v>0</v>
      </c>
      <c r="CS240" s="70">
        <f t="shared" si="252"/>
        <v>0</v>
      </c>
      <c r="CT240" s="70">
        <f t="shared" si="253"/>
        <v>0</v>
      </c>
      <c r="CU240" s="69">
        <f t="shared" si="254"/>
        <v>0</v>
      </c>
      <c r="CV240" s="69">
        <f t="shared" si="255"/>
        <v>0</v>
      </c>
      <c r="CW240" s="70">
        <f t="shared" si="256"/>
        <v>0</v>
      </c>
      <c r="CX240" s="69">
        <f t="shared" si="257"/>
        <v>0</v>
      </c>
      <c r="CY240" s="69">
        <f t="shared" si="258"/>
        <v>0</v>
      </c>
      <c r="CZ240" s="70">
        <f t="shared" si="259"/>
        <v>0</v>
      </c>
      <c r="DB240" s="70">
        <f t="shared" si="260"/>
        <v>4.0511212758108259</v>
      </c>
      <c r="DC240" s="70">
        <f t="shared" si="261"/>
        <v>11.381077510670606</v>
      </c>
      <c r="DD240" s="70">
        <f t="shared" si="262"/>
        <v>15.432198786481433</v>
      </c>
      <c r="DE240" s="70">
        <f t="shared" si="263"/>
        <v>7.6779953996926711</v>
      </c>
      <c r="DF240" s="70">
        <f t="shared" si="264"/>
        <v>9.0944255737347071</v>
      </c>
      <c r="DG240" s="70">
        <f t="shared" si="265"/>
        <v>16.77242097342738</v>
      </c>
      <c r="DH240" s="69">
        <f t="shared" si="266"/>
        <v>15.426747118613289</v>
      </c>
      <c r="DI240" s="69">
        <f t="shared" si="267"/>
        <v>43.339360325447572</v>
      </c>
      <c r="DJ240" s="70">
        <f t="shared" si="268"/>
        <v>58.766107444060864</v>
      </c>
      <c r="DK240" s="69">
        <f t="shared" si="269"/>
        <v>12.619497368059131</v>
      </c>
      <c r="DL240" s="69">
        <f t="shared" si="270"/>
        <v>14.947531695102159</v>
      </c>
      <c r="DM240" s="70">
        <f t="shared" si="271"/>
        <v>27.567029063161289</v>
      </c>
    </row>
    <row r="241" spans="1:117">
      <c r="A241" t="s">
        <v>1004</v>
      </c>
      <c r="B241">
        <v>405660</v>
      </c>
      <c r="C241">
        <v>229157</v>
      </c>
      <c r="D241" s="51">
        <v>39199.199999999997</v>
      </c>
      <c r="E241" s="32">
        <f t="shared" si="204"/>
        <v>8982771074.3999996</v>
      </c>
      <c r="F241">
        <v>15589</v>
      </c>
      <c r="G241" s="37">
        <f t="shared" si="205"/>
        <v>3.8428733422077602E-2</v>
      </c>
      <c r="H241">
        <v>0</v>
      </c>
      <c r="I241" s="3">
        <f t="shared" si="206"/>
        <v>0</v>
      </c>
      <c r="J241" s="11">
        <f>+'Seat capacity elasticities'!K271</f>
        <v>0</v>
      </c>
      <c r="K241" s="11">
        <f>+'Seat capacity elasticities'!L271</f>
        <v>0</v>
      </c>
      <c r="L241" s="11">
        <f>+'Seat capacity elasticities'!M271</f>
        <v>0</v>
      </c>
      <c r="M241" s="11">
        <f>+'Seat capacity elasticities'!N271</f>
        <v>0</v>
      </c>
      <c r="N241" s="32">
        <f t="shared" si="216"/>
        <v>0</v>
      </c>
      <c r="O241" s="33">
        <f t="shared" si="217"/>
        <v>0</v>
      </c>
      <c r="P241" s="40">
        <f t="shared" si="218"/>
        <v>0</v>
      </c>
      <c r="Q241" s="33">
        <f t="shared" si="219"/>
        <v>0</v>
      </c>
      <c r="R241" s="40">
        <f t="shared" si="220"/>
        <v>0</v>
      </c>
      <c r="S241" s="41">
        <f t="shared" si="221"/>
        <v>0</v>
      </c>
      <c r="T241" s="40">
        <f t="shared" si="222"/>
        <v>0</v>
      </c>
      <c r="U241" s="41">
        <f t="shared" si="223"/>
        <v>0</v>
      </c>
      <c r="V241" s="53"/>
      <c r="W241" s="53"/>
      <c r="X241" t="s">
        <v>1004</v>
      </c>
      <c r="Y241">
        <v>405660</v>
      </c>
      <c r="Z241">
        <v>229157</v>
      </c>
      <c r="AA241" s="51">
        <v>39199.199999999997</v>
      </c>
      <c r="AB241" s="32">
        <f t="shared" si="207"/>
        <v>8982771074.3999996</v>
      </c>
      <c r="AC241">
        <v>15589</v>
      </c>
      <c r="AD241" s="37">
        <f t="shared" si="208"/>
        <v>3.8428733422077602E-2</v>
      </c>
      <c r="AE241">
        <v>7.8359999999999992E-3</v>
      </c>
      <c r="AF241" s="3">
        <f t="shared" si="209"/>
        <v>7.8359999999999988E-5</v>
      </c>
      <c r="AG241" s="11">
        <f>+'Seat capacity elasticities'!R271</f>
        <v>1.0857456486193719E-2</v>
      </c>
      <c r="AH241" s="11">
        <f>+'Seat capacity elasticities'!S271</f>
        <v>2.0577883326061037E-2</v>
      </c>
      <c r="AI241" s="11">
        <f>+'Seat capacity elasticities'!T271</f>
        <v>2.978941129786002E-2</v>
      </c>
      <c r="AJ241" s="11">
        <f>+'Seat capacity elasticities'!U271</f>
        <v>2.436854604401965E-2</v>
      </c>
      <c r="AK241" s="32">
        <f t="shared" si="224"/>
        <v>975300.46065737598</v>
      </c>
      <c r="AL241" s="33">
        <f t="shared" si="225"/>
        <v>1.0857456486193719E-4</v>
      </c>
      <c r="AM241" s="40">
        <f t="shared" si="226"/>
        <v>1848464.1511371916</v>
      </c>
      <c r="AN241" s="33">
        <f t="shared" si="227"/>
        <v>2.0577883326061038E-4</v>
      </c>
      <c r="AO241" s="40">
        <f t="shared" si="228"/>
        <v>4643871.3272233987</v>
      </c>
      <c r="AP241" s="41">
        <f t="shared" si="229"/>
        <v>2.9789411297860021E-4</v>
      </c>
      <c r="AQ241" s="40">
        <f t="shared" si="230"/>
        <v>3798812.6428022226</v>
      </c>
      <c r="AR241" s="41">
        <f t="shared" si="231"/>
        <v>2.4368546044019646E-4</v>
      </c>
      <c r="AV241" t="s">
        <v>1004</v>
      </c>
      <c r="AW241">
        <v>405660</v>
      </c>
      <c r="AX241">
        <v>229157</v>
      </c>
      <c r="AY241" s="51">
        <v>39199.199999999997</v>
      </c>
      <c r="AZ241" s="32">
        <f t="shared" si="210"/>
        <v>8982771074.3999996</v>
      </c>
      <c r="BA241">
        <v>15589</v>
      </c>
      <c r="BB241" s="37">
        <f t="shared" si="211"/>
        <v>3.8428733422077602E-2</v>
      </c>
      <c r="BC241">
        <v>0</v>
      </c>
      <c r="BD241" s="3">
        <f t="shared" si="212"/>
        <v>0</v>
      </c>
      <c r="BE241" s="11">
        <f>+'Seat capacity elasticities'!Y271</f>
        <v>0</v>
      </c>
      <c r="BF241" s="11">
        <f>+'Seat capacity elasticities'!Z271</f>
        <v>0</v>
      </c>
      <c r="BG241" s="11">
        <f>+'Seat capacity elasticities'!AA271</f>
        <v>0</v>
      </c>
      <c r="BH241" s="11">
        <f>+'Seat capacity elasticities'!AB271</f>
        <v>0</v>
      </c>
      <c r="BI241" s="32">
        <f t="shared" si="232"/>
        <v>0</v>
      </c>
      <c r="BJ241" s="33">
        <f t="shared" si="233"/>
        <v>0</v>
      </c>
      <c r="BK241" s="40">
        <f t="shared" si="234"/>
        <v>0</v>
      </c>
      <c r="BL241" s="33">
        <f t="shared" si="235"/>
        <v>0</v>
      </c>
      <c r="BM241" s="40">
        <f t="shared" si="236"/>
        <v>0</v>
      </c>
      <c r="BN241" s="41">
        <f t="shared" si="237"/>
        <v>0</v>
      </c>
      <c r="BO241" s="40">
        <f t="shared" si="238"/>
        <v>0</v>
      </c>
      <c r="BP241" s="41">
        <f t="shared" si="239"/>
        <v>0</v>
      </c>
      <c r="BQ241" s="53"/>
      <c r="BR241" s="53"/>
      <c r="BS241" t="s">
        <v>1004</v>
      </c>
      <c r="BT241">
        <v>405660</v>
      </c>
      <c r="BU241">
        <v>229157</v>
      </c>
      <c r="BV241" s="51">
        <v>39199.199999999997</v>
      </c>
      <c r="BW241" s="32">
        <f t="shared" si="213"/>
        <v>8982771074.3999996</v>
      </c>
      <c r="BX241">
        <v>15589</v>
      </c>
      <c r="BY241" s="37">
        <f t="shared" si="214"/>
        <v>3.8428733422077602E-2</v>
      </c>
      <c r="BZ241">
        <v>7.8359999999999992E-3</v>
      </c>
      <c r="CA241" s="3">
        <f t="shared" si="215"/>
        <v>7.8359999999999988E-5</v>
      </c>
      <c r="CB241" s="11">
        <f>+'Seat capacity elasticities'!AF271</f>
        <v>4.1008920609731096E-2</v>
      </c>
      <c r="CC241" s="11">
        <f>+'Seat capacity elasticities'!AG271</f>
        <v>3.2769531355420795E-2</v>
      </c>
      <c r="CD241" s="11">
        <f>+'Seat capacity elasticities'!AH271</f>
        <v>0.11251545004835968</v>
      </c>
      <c r="CE241" s="11">
        <f>+'Seat capacity elasticities'!AI271</f>
        <v>3.8806023973524624E-2</v>
      </c>
      <c r="CF241" s="32">
        <f t="shared" si="240"/>
        <v>3683737.4584545852</v>
      </c>
      <c r="CG241" s="33">
        <f t="shared" si="241"/>
        <v>4.1008920609731102E-4</v>
      </c>
      <c r="CH241" s="40">
        <f t="shared" si="242"/>
        <v>2943611.9838111773</v>
      </c>
      <c r="CI241" s="33">
        <f t="shared" si="243"/>
        <v>3.2769531355420796E-4</v>
      </c>
      <c r="CJ241" s="40">
        <f t="shared" si="244"/>
        <v>17540033.508038789</v>
      </c>
      <c r="CK241" s="41">
        <f t="shared" si="245"/>
        <v>1.1251545004835966E-3</v>
      </c>
      <c r="CL241" s="40">
        <f t="shared" si="246"/>
        <v>6049471.0772327539</v>
      </c>
      <c r="CM241" s="41">
        <f t="shared" si="247"/>
        <v>3.8806023973524622E-4</v>
      </c>
      <c r="CO241" s="70">
        <f t="shared" si="248"/>
        <v>0</v>
      </c>
      <c r="CP241" s="70">
        <f t="shared" si="249"/>
        <v>0</v>
      </c>
      <c r="CQ241" s="70">
        <f t="shared" si="250"/>
        <v>0</v>
      </c>
      <c r="CR241" s="70">
        <f t="shared" si="251"/>
        <v>0</v>
      </c>
      <c r="CS241" s="70">
        <f t="shared" si="252"/>
        <v>0</v>
      </c>
      <c r="CT241" s="70">
        <f t="shared" si="253"/>
        <v>0</v>
      </c>
      <c r="CU241" s="69">
        <f t="shared" si="254"/>
        <v>0</v>
      </c>
      <c r="CV241" s="69">
        <f t="shared" si="255"/>
        <v>0</v>
      </c>
      <c r="CW241" s="70">
        <f t="shared" si="256"/>
        <v>0</v>
      </c>
      <c r="CX241" s="69">
        <f t="shared" si="257"/>
        <v>0</v>
      </c>
      <c r="CY241" s="69">
        <f t="shared" si="258"/>
        <v>0</v>
      </c>
      <c r="CZ241" s="70">
        <f t="shared" si="259"/>
        <v>0</v>
      </c>
      <c r="DB241" s="70">
        <f t="shared" si="260"/>
        <v>4.2560360829360482</v>
      </c>
      <c r="DC241" s="70">
        <f t="shared" si="261"/>
        <v>16.075168807649714</v>
      </c>
      <c r="DD241" s="70">
        <f t="shared" si="262"/>
        <v>20.331204890585763</v>
      </c>
      <c r="DE241" s="70">
        <f t="shared" si="263"/>
        <v>8.0663656407493178</v>
      </c>
      <c r="DF241" s="70">
        <f t="shared" si="264"/>
        <v>12.845394135074107</v>
      </c>
      <c r="DG241" s="70">
        <f t="shared" si="265"/>
        <v>20.911759775823427</v>
      </c>
      <c r="DH241" s="69">
        <f t="shared" si="266"/>
        <v>20.265020606934979</v>
      </c>
      <c r="DI241" s="69">
        <f t="shared" si="267"/>
        <v>76.541556697106301</v>
      </c>
      <c r="DJ241" s="70">
        <f t="shared" si="268"/>
        <v>96.806577304041284</v>
      </c>
      <c r="DK241" s="69">
        <f t="shared" si="269"/>
        <v>16.577336248956929</v>
      </c>
      <c r="DL241" s="69">
        <f t="shared" si="270"/>
        <v>26.398805522994078</v>
      </c>
      <c r="DM241" s="70">
        <f t="shared" si="271"/>
        <v>42.976141771951006</v>
      </c>
    </row>
    <row r="242" spans="1:117">
      <c r="A242" t="s">
        <v>1005</v>
      </c>
      <c r="B242">
        <v>119990</v>
      </c>
      <c r="C242">
        <v>70971</v>
      </c>
      <c r="D242" s="51">
        <v>32843.11</v>
      </c>
      <c r="E242" s="32">
        <f t="shared" si="204"/>
        <v>2330908359.8099999</v>
      </c>
      <c r="F242">
        <v>3310</v>
      </c>
      <c r="G242" s="37">
        <f t="shared" si="205"/>
        <v>2.7585632136011333E-2</v>
      </c>
      <c r="H242">
        <v>0</v>
      </c>
      <c r="I242" s="3">
        <f t="shared" si="206"/>
        <v>0</v>
      </c>
      <c r="J242" s="11">
        <f>+'Seat capacity elasticities'!K272</f>
        <v>0</v>
      </c>
      <c r="K242" s="11">
        <f>+'Seat capacity elasticities'!L272</f>
        <v>0</v>
      </c>
      <c r="L242" s="11">
        <f>+'Seat capacity elasticities'!M272</f>
        <v>0</v>
      </c>
      <c r="M242" s="11">
        <f>+'Seat capacity elasticities'!N272</f>
        <v>0</v>
      </c>
      <c r="N242" s="32">
        <f t="shared" si="216"/>
        <v>0</v>
      </c>
      <c r="O242" s="33">
        <f t="shared" si="217"/>
        <v>0</v>
      </c>
      <c r="P242" s="40">
        <f t="shared" si="218"/>
        <v>0</v>
      </c>
      <c r="Q242" s="33">
        <f t="shared" si="219"/>
        <v>0</v>
      </c>
      <c r="R242" s="40">
        <f t="shared" si="220"/>
        <v>0</v>
      </c>
      <c r="S242" s="41">
        <f t="shared" si="221"/>
        <v>0</v>
      </c>
      <c r="T242" s="40">
        <f t="shared" si="222"/>
        <v>0</v>
      </c>
      <c r="U242" s="41">
        <f t="shared" si="223"/>
        <v>0</v>
      </c>
      <c r="V242" s="53"/>
      <c r="W242" s="53"/>
      <c r="X242" t="s">
        <v>1005</v>
      </c>
      <c r="Y242">
        <v>119990</v>
      </c>
      <c r="Z242">
        <v>70971</v>
      </c>
      <c r="AA242" s="51">
        <v>32843.11</v>
      </c>
      <c r="AB242" s="32">
        <f t="shared" si="207"/>
        <v>2330908359.8099999</v>
      </c>
      <c r="AC242">
        <v>3310</v>
      </c>
      <c r="AD242" s="37">
        <f t="shared" si="208"/>
        <v>2.7585632136011333E-2</v>
      </c>
      <c r="AE242">
        <v>4.0312999999999998E-3</v>
      </c>
      <c r="AF242" s="3">
        <f t="shared" si="209"/>
        <v>4.0312999999999998E-5</v>
      </c>
      <c r="AG242" s="11">
        <f>+'Seat capacity elasticities'!R272</f>
        <v>8.1424432986701659E-3</v>
      </c>
      <c r="AH242" s="11">
        <f>+'Seat capacity elasticities'!S272</f>
        <v>1.543218233498456E-2</v>
      </c>
      <c r="AI242" s="11">
        <f>+'Seat capacity elasticities'!T272</f>
        <v>2.2340277642560743E-2</v>
      </c>
      <c r="AJ242" s="11">
        <f>+'Seat capacity elasticities'!U272</f>
        <v>1.8274952765113296E-2</v>
      </c>
      <c r="AK242" s="32">
        <f t="shared" si="224"/>
        <v>189792.89154149202</v>
      </c>
      <c r="AL242" s="33">
        <f t="shared" si="225"/>
        <v>8.1424432986701653E-5</v>
      </c>
      <c r="AM242" s="40">
        <f t="shared" si="226"/>
        <v>359710.02814727713</v>
      </c>
      <c r="AN242" s="33">
        <f t="shared" si="227"/>
        <v>1.5432182334984559E-4</v>
      </c>
      <c r="AO242" s="40">
        <f t="shared" si="228"/>
        <v>739463.18996876059</v>
      </c>
      <c r="AP242" s="41">
        <f t="shared" si="229"/>
        <v>2.2340277642560744E-4</v>
      </c>
      <c r="AQ242" s="40">
        <f t="shared" si="230"/>
        <v>604900.93652524997</v>
      </c>
      <c r="AR242" s="41">
        <f t="shared" si="231"/>
        <v>1.8274952765113292E-4</v>
      </c>
      <c r="AV242" t="s">
        <v>1005</v>
      </c>
      <c r="AW242">
        <v>119990</v>
      </c>
      <c r="AX242">
        <v>70971</v>
      </c>
      <c r="AY242" s="51">
        <v>32843.11</v>
      </c>
      <c r="AZ242" s="32">
        <f t="shared" si="210"/>
        <v>2330908359.8099999</v>
      </c>
      <c r="BA242">
        <v>3310</v>
      </c>
      <c r="BB242" s="37">
        <f t="shared" si="211"/>
        <v>2.7585632136011333E-2</v>
      </c>
      <c r="BC242">
        <v>0</v>
      </c>
      <c r="BD242" s="3">
        <f t="shared" si="212"/>
        <v>0</v>
      </c>
      <c r="BE242" s="11">
        <f>+'Seat capacity elasticities'!Y272</f>
        <v>0</v>
      </c>
      <c r="BF242" s="11">
        <f>+'Seat capacity elasticities'!Z272</f>
        <v>0</v>
      </c>
      <c r="BG242" s="11">
        <f>+'Seat capacity elasticities'!AA272</f>
        <v>0</v>
      </c>
      <c r="BH242" s="11">
        <f>+'Seat capacity elasticities'!AB272</f>
        <v>0</v>
      </c>
      <c r="BI242" s="32">
        <f t="shared" si="232"/>
        <v>0</v>
      </c>
      <c r="BJ242" s="33">
        <f t="shared" si="233"/>
        <v>0</v>
      </c>
      <c r="BK242" s="40">
        <f t="shared" si="234"/>
        <v>0</v>
      </c>
      <c r="BL242" s="33">
        <f t="shared" si="235"/>
        <v>0</v>
      </c>
      <c r="BM242" s="40">
        <f t="shared" si="236"/>
        <v>0</v>
      </c>
      <c r="BN242" s="41">
        <f t="shared" si="237"/>
        <v>0</v>
      </c>
      <c r="BO242" s="40">
        <f t="shared" si="238"/>
        <v>0</v>
      </c>
      <c r="BP242" s="41">
        <f t="shared" si="239"/>
        <v>0</v>
      </c>
      <c r="BQ242" s="53"/>
      <c r="BR242" s="53"/>
      <c r="BS242" t="s">
        <v>1005</v>
      </c>
      <c r="BT242">
        <v>119990</v>
      </c>
      <c r="BU242">
        <v>70971</v>
      </c>
      <c r="BV242" s="51">
        <v>32843.11</v>
      </c>
      <c r="BW242" s="32">
        <f t="shared" si="213"/>
        <v>2330908359.8099999</v>
      </c>
      <c r="BX242">
        <v>3310</v>
      </c>
      <c r="BY242" s="37">
        <f t="shared" si="214"/>
        <v>2.7585632136011333E-2</v>
      </c>
      <c r="BZ242">
        <v>4.0312999999999998E-3</v>
      </c>
      <c r="CA242" s="3">
        <f t="shared" si="215"/>
        <v>4.0312999999999998E-5</v>
      </c>
      <c r="CB242" s="11">
        <f>+'Seat capacity elasticities'!AF272</f>
        <v>7.1325719718779185E-2</v>
      </c>
      <c r="CC242" s="11">
        <f>+'Seat capacity elasticities'!AG272</f>
        <v>5.6995170173239428E-2</v>
      </c>
      <c r="CD242" s="11">
        <f>+'Seat capacity elasticities'!AH272</f>
        <v>0.19569511547390681</v>
      </c>
      <c r="CE242" s="11">
        <f>+'Seat capacity elasticities'!AI272</f>
        <v>6.7494280468309853E-2</v>
      </c>
      <c r="CF242" s="32">
        <f t="shared" si="240"/>
        <v>1662537.1636196736</v>
      </c>
      <c r="CG242" s="33">
        <f t="shared" si="241"/>
        <v>7.1325719718779183E-4</v>
      </c>
      <c r="CH242" s="40">
        <f t="shared" si="242"/>
        <v>1328505.1862559735</v>
      </c>
      <c r="CI242" s="33">
        <f t="shared" si="243"/>
        <v>5.6995170173239427E-4</v>
      </c>
      <c r="CJ242" s="40">
        <f t="shared" si="244"/>
        <v>6477508.3221863154</v>
      </c>
      <c r="CK242" s="41">
        <f t="shared" si="245"/>
        <v>1.9569511547390681E-3</v>
      </c>
      <c r="CL242" s="40">
        <f t="shared" si="246"/>
        <v>2234060.6835010559</v>
      </c>
      <c r="CM242" s="41">
        <f t="shared" si="247"/>
        <v>6.7494280468309846E-4</v>
      </c>
      <c r="CO242" s="70">
        <f t="shared" si="248"/>
        <v>0</v>
      </c>
      <c r="CP242" s="70">
        <f t="shared" si="249"/>
        <v>0</v>
      </c>
      <c r="CQ242" s="70">
        <f t="shared" si="250"/>
        <v>0</v>
      </c>
      <c r="CR242" s="70">
        <f t="shared" si="251"/>
        <v>0</v>
      </c>
      <c r="CS242" s="70">
        <f t="shared" si="252"/>
        <v>0</v>
      </c>
      <c r="CT242" s="70">
        <f t="shared" si="253"/>
        <v>0</v>
      </c>
      <c r="CU242" s="69">
        <f t="shared" si="254"/>
        <v>0</v>
      </c>
      <c r="CV242" s="69">
        <f t="shared" si="255"/>
        <v>0</v>
      </c>
      <c r="CW242" s="70">
        <f t="shared" si="256"/>
        <v>0</v>
      </c>
      <c r="CX242" s="69">
        <f t="shared" si="257"/>
        <v>0</v>
      </c>
      <c r="CY242" s="69">
        <f t="shared" si="258"/>
        <v>0</v>
      </c>
      <c r="CZ242" s="70">
        <f t="shared" si="259"/>
        <v>0</v>
      </c>
      <c r="DB242" s="70">
        <f t="shared" si="260"/>
        <v>2.6742316092698712</v>
      </c>
      <c r="DC242" s="70">
        <f t="shared" si="261"/>
        <v>23.425584585530338</v>
      </c>
      <c r="DD242" s="70">
        <f t="shared" si="262"/>
        <v>26.099816194800209</v>
      </c>
      <c r="DE242" s="70">
        <f t="shared" si="263"/>
        <v>5.0684086196795466</v>
      </c>
      <c r="DF242" s="70">
        <f t="shared" si="264"/>
        <v>18.718986434684215</v>
      </c>
      <c r="DG242" s="70">
        <f t="shared" si="265"/>
        <v>23.787395054363763</v>
      </c>
      <c r="DH242" s="69">
        <f t="shared" si="266"/>
        <v>10.419230248534761</v>
      </c>
      <c r="DI242" s="69">
        <f t="shared" si="267"/>
        <v>91.26979079041179</v>
      </c>
      <c r="DJ242" s="70">
        <f t="shared" si="268"/>
        <v>101.68902103894655</v>
      </c>
      <c r="DK242" s="69">
        <f t="shared" si="269"/>
        <v>8.5232128126312148</v>
      </c>
      <c r="DL242" s="69">
        <f t="shared" si="270"/>
        <v>31.478500845430613</v>
      </c>
      <c r="DM242" s="70">
        <f t="shared" si="271"/>
        <v>40.001713658061831</v>
      </c>
    </row>
    <row r="243" spans="1:117">
      <c r="A243" t="s">
        <v>323</v>
      </c>
      <c r="B243">
        <v>1111600</v>
      </c>
      <c r="C243">
        <v>834207</v>
      </c>
      <c r="D243" s="51">
        <v>39217.54</v>
      </c>
      <c r="E243" s="32">
        <f t="shared" si="204"/>
        <v>32715546390.780003</v>
      </c>
      <c r="F243">
        <v>55270</v>
      </c>
      <c r="G243" s="37">
        <f t="shared" si="205"/>
        <v>4.9721122706009355E-2</v>
      </c>
      <c r="H243">
        <v>3.2089000000000002E-3</v>
      </c>
      <c r="I243" s="3">
        <f t="shared" si="206"/>
        <v>3.2089000000000004E-5</v>
      </c>
      <c r="J243" s="11">
        <f>+'Seat capacity elasticities'!K273</f>
        <v>3.5638682167314535E-3</v>
      </c>
      <c r="K243" s="11">
        <f>+'Seat capacity elasticities'!L273</f>
        <v>1.7683462229719886E-2</v>
      </c>
      <c r="L243" s="11">
        <f>+'Seat capacity elasticities'!M273</f>
        <v>9.7781221830899098E-3</v>
      </c>
      <c r="M243" s="11">
        <f>+'Seat capacity elasticities'!N273</f>
        <v>2.0940942114141971E-2</v>
      </c>
      <c r="N243" s="32">
        <f t="shared" si="216"/>
        <v>1165938.9597510428</v>
      </c>
      <c r="O243" s="33">
        <f t="shared" si="217"/>
        <v>3.5638682167314539E-5</v>
      </c>
      <c r="P243" s="40">
        <f t="shared" si="218"/>
        <v>5785241.2892600689</v>
      </c>
      <c r="Q243" s="33">
        <f t="shared" si="219"/>
        <v>1.7683462229719886E-4</v>
      </c>
      <c r="R243" s="40">
        <f t="shared" si="220"/>
        <v>5404368.1305937935</v>
      </c>
      <c r="S243" s="41">
        <f t="shared" si="221"/>
        <v>9.77812218308991E-5</v>
      </c>
      <c r="T243" s="40">
        <f t="shared" si="222"/>
        <v>11574058.706486268</v>
      </c>
      <c r="U243" s="41">
        <f t="shared" si="223"/>
        <v>2.0940942114141972E-4</v>
      </c>
      <c r="V243" s="53"/>
      <c r="W243" s="53"/>
      <c r="X243" t="s">
        <v>323</v>
      </c>
      <c r="Y243">
        <v>1111600</v>
      </c>
      <c r="Z243">
        <v>834207</v>
      </c>
      <c r="AA243" s="51">
        <v>39217.54</v>
      </c>
      <c r="AB243" s="32">
        <f t="shared" si="207"/>
        <v>32715546390.780003</v>
      </c>
      <c r="AC243">
        <v>55270</v>
      </c>
      <c r="AD243" s="37">
        <f t="shared" si="208"/>
        <v>4.9721122706009355E-2</v>
      </c>
      <c r="AE243">
        <v>1.7421800000000001E-2</v>
      </c>
      <c r="AF243" s="3">
        <f t="shared" si="209"/>
        <v>1.7421800000000002E-4</v>
      </c>
      <c r="AG243" s="11">
        <f>+'Seat capacity elasticities'!R273</f>
        <v>1.7787661736498161E-2</v>
      </c>
      <c r="AH243" s="11">
        <f>+'Seat capacity elasticities'!S273</f>
        <v>3.3712539241814533E-2</v>
      </c>
      <c r="AI243" s="11">
        <f>+'Seat capacity elasticities'!T273</f>
        <v>4.8803692851041885E-2</v>
      </c>
      <c r="AJ243" s="11">
        <f>+'Seat capacity elasticities'!U273</f>
        <v>3.9922743838990901E-2</v>
      </c>
      <c r="AK243" s="32">
        <f t="shared" si="224"/>
        <v>5819330.7272390798</v>
      </c>
      <c r="AL243" s="33">
        <f t="shared" si="225"/>
        <v>1.7787661736498161E-4</v>
      </c>
      <c r="AM243" s="40">
        <f t="shared" si="226"/>
        <v>11029241.415165747</v>
      </c>
      <c r="AN243" s="33">
        <f t="shared" si="227"/>
        <v>3.3712539241814531E-4</v>
      </c>
      <c r="AO243" s="40">
        <f t="shared" si="228"/>
        <v>26973801.038770851</v>
      </c>
      <c r="AP243" s="41">
        <f t="shared" si="229"/>
        <v>4.8803692851041885E-4</v>
      </c>
      <c r="AQ243" s="40">
        <f t="shared" si="230"/>
        <v>22065300.519810271</v>
      </c>
      <c r="AR243" s="41">
        <f t="shared" si="231"/>
        <v>3.99227438389909E-4</v>
      </c>
      <c r="AV243" t="s">
        <v>323</v>
      </c>
      <c r="AW243">
        <v>1111600</v>
      </c>
      <c r="AX243">
        <v>834207</v>
      </c>
      <c r="AY243" s="51">
        <v>39217.54</v>
      </c>
      <c r="AZ243" s="32">
        <f t="shared" si="210"/>
        <v>32715546390.780003</v>
      </c>
      <c r="BA243">
        <v>55270</v>
      </c>
      <c r="BB243" s="37">
        <f t="shared" si="211"/>
        <v>4.9721122706009355E-2</v>
      </c>
      <c r="BC243">
        <v>3.2089000000000002E-3</v>
      </c>
      <c r="BD243" s="3">
        <f t="shared" si="212"/>
        <v>3.2089000000000004E-5</v>
      </c>
      <c r="BE243" s="11">
        <f>+'Seat capacity elasticities'!Y273</f>
        <v>5.8387298340903206E-2</v>
      </c>
      <c r="BF243" s="11">
        <f>+'Seat capacity elasticities'!Z273</f>
        <v>0.15927137529338428</v>
      </c>
      <c r="BG243" s="11">
        <f>+'Seat capacity elasticities'!AA273</f>
        <v>0.16019619761403045</v>
      </c>
      <c r="BH243" s="11">
        <f>+'Seat capacity elasticities'!AB273</f>
        <v>0.18861083916321822</v>
      </c>
      <c r="BI243" s="32">
        <f t="shared" si="232"/>
        <v>19101723.67504131</v>
      </c>
      <c r="BJ243" s="33">
        <f t="shared" si="233"/>
        <v>5.8387298340903209E-4</v>
      </c>
      <c r="BK243" s="40">
        <f t="shared" si="234"/>
        <v>52106500.671340451</v>
      </c>
      <c r="BL243" s="33">
        <f t="shared" si="235"/>
        <v>1.5927137529338426E-3</v>
      </c>
      <c r="BM243" s="40">
        <f t="shared" si="236"/>
        <v>88540438.421274632</v>
      </c>
      <c r="BN243" s="41">
        <f t="shared" si="237"/>
        <v>1.6019619761403047E-3</v>
      </c>
      <c r="BO243" s="40">
        <f t="shared" si="238"/>
        <v>104245210.80551071</v>
      </c>
      <c r="BP243" s="41">
        <f t="shared" si="239"/>
        <v>1.8861083916321823E-3</v>
      </c>
      <c r="BQ243" s="53"/>
      <c r="BR243" s="53"/>
      <c r="BS243" t="s">
        <v>323</v>
      </c>
      <c r="BT243">
        <v>1111600</v>
      </c>
      <c r="BU243">
        <v>834207</v>
      </c>
      <c r="BV243" s="51">
        <v>39217.54</v>
      </c>
      <c r="BW243" s="32">
        <f t="shared" si="213"/>
        <v>32715546390.780003</v>
      </c>
      <c r="BX243">
        <v>55270</v>
      </c>
      <c r="BY243" s="37">
        <f t="shared" si="214"/>
        <v>4.9721122706009355E-2</v>
      </c>
      <c r="BZ243">
        <v>1.7421800000000001E-2</v>
      </c>
      <c r="CA243" s="3">
        <f t="shared" si="215"/>
        <v>1.7421800000000002E-4</v>
      </c>
      <c r="CB243" s="11">
        <f>+'Seat capacity elasticities'!AF273</f>
        <v>3.3272894510351543E-2</v>
      </c>
      <c r="CC243" s="11">
        <f>+'Seat capacity elasticities'!AG273</f>
        <v>2.6587804402826563E-2</v>
      </c>
      <c r="CD243" s="11">
        <f>+'Seat capacity elasticities'!AH273</f>
        <v>9.1290252086163079E-2</v>
      </c>
      <c r="CE243" s="11">
        <f>+'Seat capacity elasticities'!AI273</f>
        <v>3.1485557845452511E-2</v>
      </c>
      <c r="CF243" s="32">
        <f t="shared" si="240"/>
        <v>10885409.239089351</v>
      </c>
      <c r="CG243" s="33">
        <f t="shared" si="241"/>
        <v>3.3272894510351543E-4</v>
      </c>
      <c r="CH243" s="40">
        <f t="shared" si="242"/>
        <v>8698345.4836965725</v>
      </c>
      <c r="CI243" s="33">
        <f t="shared" si="243"/>
        <v>2.6587804402826562E-4</v>
      </c>
      <c r="CJ243" s="40">
        <f t="shared" si="244"/>
        <v>50456122.328022331</v>
      </c>
      <c r="CK243" s="41">
        <f t="shared" si="245"/>
        <v>9.1290252086163068E-4</v>
      </c>
      <c r="CL243" s="40">
        <f t="shared" si="246"/>
        <v>17402067.821181603</v>
      </c>
      <c r="CM243" s="41">
        <f t="shared" si="247"/>
        <v>3.1485557845452512E-4</v>
      </c>
      <c r="CO243" s="70">
        <f t="shared" si="248"/>
        <v>1.3976614434439447</v>
      </c>
      <c r="CP243" s="70">
        <f t="shared" si="249"/>
        <v>22.898062081763051</v>
      </c>
      <c r="CQ243" s="70">
        <f t="shared" si="250"/>
        <v>24.295723525206995</v>
      </c>
      <c r="CR243" s="70">
        <f t="shared" si="251"/>
        <v>6.9350188733252889</v>
      </c>
      <c r="CS243" s="70">
        <f t="shared" si="252"/>
        <v>62.462315314233102</v>
      </c>
      <c r="CT243" s="70">
        <f t="shared" si="253"/>
        <v>69.397334187558386</v>
      </c>
      <c r="CU243" s="69">
        <f t="shared" si="254"/>
        <v>6.4784497499946578</v>
      </c>
      <c r="CV243" s="69">
        <f t="shared" si="255"/>
        <v>106.13725181073119</v>
      </c>
      <c r="CW243" s="70">
        <f t="shared" si="256"/>
        <v>112.61570156072584</v>
      </c>
      <c r="CX243" s="69">
        <f t="shared" si="257"/>
        <v>13.874324605866731</v>
      </c>
      <c r="CY243" s="69">
        <f t="shared" si="258"/>
        <v>124.96324150421984</v>
      </c>
      <c r="CZ243" s="70">
        <f t="shared" si="259"/>
        <v>138.83756611008656</v>
      </c>
      <c r="DB243" s="70">
        <f t="shared" si="260"/>
        <v>6.9758833565758618</v>
      </c>
      <c r="DC243" s="70">
        <f t="shared" si="261"/>
        <v>13.048810713754921</v>
      </c>
      <c r="DD243" s="70">
        <f t="shared" si="262"/>
        <v>20.024694070330781</v>
      </c>
      <c r="DE243" s="70">
        <f t="shared" si="263"/>
        <v>13.221228562174312</v>
      </c>
      <c r="DF243" s="70">
        <f t="shared" si="264"/>
        <v>10.42708282680027</v>
      </c>
      <c r="DG243" s="70">
        <f t="shared" si="265"/>
        <v>23.648311388974584</v>
      </c>
      <c r="DH243" s="69">
        <f t="shared" si="266"/>
        <v>32.33466158731688</v>
      </c>
      <c r="DI243" s="69">
        <f t="shared" si="267"/>
        <v>60.483935435715992</v>
      </c>
      <c r="DJ243" s="70">
        <f t="shared" si="268"/>
        <v>92.818597023032879</v>
      </c>
      <c r="DK243" s="69">
        <f t="shared" si="269"/>
        <v>26.450629783507296</v>
      </c>
      <c r="DL243" s="69">
        <f t="shared" si="270"/>
        <v>20.860611120718961</v>
      </c>
      <c r="DM243" s="70">
        <f t="shared" si="271"/>
        <v>47.311240904226253</v>
      </c>
    </row>
    <row r="244" spans="1:117">
      <c r="A244" t="s">
        <v>491</v>
      </c>
      <c r="B244">
        <v>109152</v>
      </c>
      <c r="C244">
        <v>67417</v>
      </c>
      <c r="D244" s="51">
        <v>29170.97</v>
      </c>
      <c r="E244" s="32">
        <f t="shared" si="204"/>
        <v>1966619284.49</v>
      </c>
      <c r="F244">
        <v>2888</v>
      </c>
      <c r="G244" s="37">
        <f t="shared" si="205"/>
        <v>2.6458516564057462E-2</v>
      </c>
      <c r="H244">
        <v>0</v>
      </c>
      <c r="I244" s="3">
        <f t="shared" si="206"/>
        <v>0</v>
      </c>
      <c r="J244" s="11">
        <f>+'Seat capacity elasticities'!K274</f>
        <v>0</v>
      </c>
      <c r="K244" s="11">
        <f>+'Seat capacity elasticities'!L274</f>
        <v>0</v>
      </c>
      <c r="L244" s="11">
        <f>+'Seat capacity elasticities'!M274</f>
        <v>0</v>
      </c>
      <c r="M244" s="11">
        <f>+'Seat capacity elasticities'!N274</f>
        <v>0</v>
      </c>
      <c r="N244" s="32">
        <f t="shared" si="216"/>
        <v>0</v>
      </c>
      <c r="O244" s="33">
        <f t="shared" si="217"/>
        <v>0</v>
      </c>
      <c r="P244" s="40">
        <f t="shared" si="218"/>
        <v>0</v>
      </c>
      <c r="Q244" s="33">
        <f t="shared" si="219"/>
        <v>0</v>
      </c>
      <c r="R244" s="40">
        <f t="shared" si="220"/>
        <v>0</v>
      </c>
      <c r="S244" s="41">
        <f t="shared" si="221"/>
        <v>0</v>
      </c>
      <c r="T244" s="40">
        <f t="shared" si="222"/>
        <v>0</v>
      </c>
      <c r="U244" s="41">
        <f t="shared" si="223"/>
        <v>0</v>
      </c>
      <c r="V244" s="53"/>
      <c r="W244" s="53"/>
      <c r="X244" t="s">
        <v>491</v>
      </c>
      <c r="Y244">
        <v>109152</v>
      </c>
      <c r="Z244">
        <v>67417</v>
      </c>
      <c r="AA244" s="51">
        <v>29170.97</v>
      </c>
      <c r="AB244" s="32">
        <f t="shared" si="207"/>
        <v>1966619284.49</v>
      </c>
      <c r="AC244">
        <v>2888</v>
      </c>
      <c r="AD244" s="37">
        <f t="shared" si="208"/>
        <v>2.6458516564057462E-2</v>
      </c>
      <c r="AE244">
        <v>9.6080000000000004E-4</v>
      </c>
      <c r="AF244" s="3">
        <f t="shared" si="209"/>
        <v>9.6080000000000002E-6</v>
      </c>
      <c r="AG244" s="11">
        <f>+'Seat capacity elasticities'!R274</f>
        <v>4.5017932153071597E-3</v>
      </c>
      <c r="AH244" s="11">
        <f>+'Seat capacity elasticities'!S274</f>
        <v>8.5321433855563775E-3</v>
      </c>
      <c r="AI244" s="11">
        <f>+'Seat capacity elasticities'!T274</f>
        <v>1.2351490410229031E-2</v>
      </c>
      <c r="AJ244" s="11">
        <f>+'Seat capacity elasticities'!U274</f>
        <v>1.01038540092115E-2</v>
      </c>
      <c r="AK244" s="32">
        <f t="shared" si="224"/>
        <v>88533.133520093033</v>
      </c>
      <c r="AL244" s="33">
        <f t="shared" si="225"/>
        <v>4.5017932153071602E-5</v>
      </c>
      <c r="AM244" s="40">
        <f t="shared" si="226"/>
        <v>167794.77720068971</v>
      </c>
      <c r="AN244" s="33">
        <f t="shared" si="227"/>
        <v>8.5321433855563785E-5</v>
      </c>
      <c r="AO244" s="40">
        <f t="shared" si="228"/>
        <v>356711.04304741445</v>
      </c>
      <c r="AP244" s="41">
        <f t="shared" si="229"/>
        <v>1.2351490410229032E-4</v>
      </c>
      <c r="AQ244" s="40">
        <f t="shared" si="230"/>
        <v>291799.30378602812</v>
      </c>
      <c r="AR244" s="41">
        <f t="shared" si="231"/>
        <v>1.01038540092115E-4</v>
      </c>
      <c r="AV244" t="s">
        <v>491</v>
      </c>
      <c r="AW244">
        <v>109152</v>
      </c>
      <c r="AX244">
        <v>67417</v>
      </c>
      <c r="AY244" s="51">
        <v>29170.97</v>
      </c>
      <c r="AZ244" s="32">
        <f t="shared" si="210"/>
        <v>1966619284.49</v>
      </c>
      <c r="BA244">
        <v>2888</v>
      </c>
      <c r="BB244" s="37">
        <f t="shared" si="211"/>
        <v>2.6458516564057462E-2</v>
      </c>
      <c r="BC244">
        <v>0</v>
      </c>
      <c r="BD244" s="3">
        <f t="shared" si="212"/>
        <v>0</v>
      </c>
      <c r="BE244" s="11">
        <f>+'Seat capacity elasticities'!Y274</f>
        <v>0</v>
      </c>
      <c r="BF244" s="11">
        <f>+'Seat capacity elasticities'!Z274</f>
        <v>0</v>
      </c>
      <c r="BG244" s="11">
        <f>+'Seat capacity elasticities'!AA274</f>
        <v>0</v>
      </c>
      <c r="BH244" s="11">
        <f>+'Seat capacity elasticities'!AB274</f>
        <v>0</v>
      </c>
      <c r="BI244" s="32">
        <f t="shared" si="232"/>
        <v>0</v>
      </c>
      <c r="BJ244" s="33">
        <f t="shared" si="233"/>
        <v>0</v>
      </c>
      <c r="BK244" s="40">
        <f t="shared" si="234"/>
        <v>0</v>
      </c>
      <c r="BL244" s="33">
        <f t="shared" si="235"/>
        <v>0</v>
      </c>
      <c r="BM244" s="40">
        <f t="shared" si="236"/>
        <v>0</v>
      </c>
      <c r="BN244" s="41">
        <f t="shared" si="237"/>
        <v>0</v>
      </c>
      <c r="BO244" s="40">
        <f t="shared" si="238"/>
        <v>0</v>
      </c>
      <c r="BP244" s="41">
        <f t="shared" si="239"/>
        <v>0</v>
      </c>
      <c r="BQ244" s="53"/>
      <c r="BR244" s="53"/>
      <c r="BS244" t="s">
        <v>491</v>
      </c>
      <c r="BT244">
        <v>109152</v>
      </c>
      <c r="BU244">
        <v>67417</v>
      </c>
      <c r="BV244" s="51">
        <v>29170.97</v>
      </c>
      <c r="BW244" s="32">
        <f t="shared" si="213"/>
        <v>1966619284.49</v>
      </c>
      <c r="BX244">
        <v>2888</v>
      </c>
      <c r="BY244" s="37">
        <f t="shared" si="214"/>
        <v>2.6458516564057462E-2</v>
      </c>
      <c r="BZ244">
        <v>9.6080000000000004E-4</v>
      </c>
      <c r="CA244" s="3">
        <f t="shared" si="215"/>
        <v>9.6080000000000002E-6</v>
      </c>
      <c r="CB244" s="11">
        <f>+'Seat capacity elasticities'!AF274</f>
        <v>1.86873359904377E-2</v>
      </c>
      <c r="CC244" s="11">
        <f>+'Seat capacity elasticities'!AG274</f>
        <v>1.4932732527044858E-2</v>
      </c>
      <c r="CD244" s="11">
        <f>+'Seat capacity elasticities'!AH274</f>
        <v>5.1272113186760476E-2</v>
      </c>
      <c r="CE244" s="11">
        <f>+'Seat capacity elasticities'!AI274</f>
        <v>1.7683499045184702E-2</v>
      </c>
      <c r="CF244" s="32">
        <f t="shared" si="240"/>
        <v>367508.75334538816</v>
      </c>
      <c r="CG244" s="33">
        <f t="shared" si="241"/>
        <v>1.86873359904377E-4</v>
      </c>
      <c r="CH244" s="40">
        <f t="shared" si="242"/>
        <v>293669.9975781751</v>
      </c>
      <c r="CI244" s="33">
        <f t="shared" si="243"/>
        <v>1.4932732527044858E-4</v>
      </c>
      <c r="CJ244" s="40">
        <f t="shared" si="244"/>
        <v>1480738.6288336427</v>
      </c>
      <c r="CK244" s="41">
        <f t="shared" si="245"/>
        <v>5.1272113186760489E-4</v>
      </c>
      <c r="CL244" s="40">
        <f t="shared" si="246"/>
        <v>510699.45242493419</v>
      </c>
      <c r="CM244" s="41">
        <f t="shared" si="247"/>
        <v>1.7683499045184701E-4</v>
      </c>
      <c r="CO244" s="70">
        <f t="shared" si="248"/>
        <v>0</v>
      </c>
      <c r="CP244" s="70">
        <f t="shared" si="249"/>
        <v>0</v>
      </c>
      <c r="CQ244" s="70">
        <f t="shared" si="250"/>
        <v>0</v>
      </c>
      <c r="CR244" s="70">
        <f t="shared" si="251"/>
        <v>0</v>
      </c>
      <c r="CS244" s="70">
        <f t="shared" si="252"/>
        <v>0</v>
      </c>
      <c r="CT244" s="70">
        <f t="shared" si="253"/>
        <v>0</v>
      </c>
      <c r="CU244" s="69">
        <f t="shared" si="254"/>
        <v>0</v>
      </c>
      <c r="CV244" s="69">
        <f t="shared" si="255"/>
        <v>0</v>
      </c>
      <c r="CW244" s="70">
        <f t="shared" si="256"/>
        <v>0</v>
      </c>
      <c r="CX244" s="69">
        <f t="shared" si="257"/>
        <v>0</v>
      </c>
      <c r="CY244" s="69">
        <f t="shared" si="258"/>
        <v>0</v>
      </c>
      <c r="CZ244" s="70">
        <f t="shared" si="259"/>
        <v>0</v>
      </c>
      <c r="DB244" s="70">
        <f t="shared" si="260"/>
        <v>1.3132167482992869</v>
      </c>
      <c r="DC244" s="70">
        <f t="shared" si="261"/>
        <v>5.4512771755697846</v>
      </c>
      <c r="DD244" s="70">
        <f t="shared" si="262"/>
        <v>6.7644939238690718</v>
      </c>
      <c r="DE244" s="70">
        <f t="shared" si="263"/>
        <v>2.4889089873576355</v>
      </c>
      <c r="DF244" s="70">
        <f t="shared" si="264"/>
        <v>4.3560229256444973</v>
      </c>
      <c r="DG244" s="70">
        <f t="shared" si="265"/>
        <v>6.8449319130021333</v>
      </c>
      <c r="DH244" s="69">
        <f t="shared" si="266"/>
        <v>5.2911141558867119</v>
      </c>
      <c r="DI244" s="69">
        <f t="shared" si="267"/>
        <v>21.963876008034216</v>
      </c>
      <c r="DJ244" s="70">
        <f t="shared" si="268"/>
        <v>27.25499016392093</v>
      </c>
      <c r="DK244" s="69">
        <f t="shared" si="269"/>
        <v>4.3282748236502382</v>
      </c>
      <c r="DL244" s="69">
        <f t="shared" si="270"/>
        <v>7.5752325440902766</v>
      </c>
      <c r="DM244" s="70">
        <f t="shared" si="271"/>
        <v>11.903507367740515</v>
      </c>
    </row>
    <row r="245" spans="1:117">
      <c r="A245" t="s">
        <v>492</v>
      </c>
      <c r="B245">
        <v>2030691</v>
      </c>
      <c r="C245">
        <v>1186323</v>
      </c>
      <c r="D245" s="51">
        <v>36215.96</v>
      </c>
      <c r="E245" s="32">
        <f t="shared" si="204"/>
        <v>42963826315.080002</v>
      </c>
      <c r="F245">
        <v>66816</v>
      </c>
      <c r="G245" s="37">
        <f t="shared" si="205"/>
        <v>3.290308569841497E-2</v>
      </c>
      <c r="H245">
        <v>0</v>
      </c>
      <c r="I245" s="3">
        <f t="shared" si="206"/>
        <v>0</v>
      </c>
      <c r="J245" s="11">
        <f>+'Seat capacity elasticities'!K275</f>
        <v>0</v>
      </c>
      <c r="K245" s="11">
        <f>+'Seat capacity elasticities'!L275</f>
        <v>0</v>
      </c>
      <c r="L245" s="11">
        <f>+'Seat capacity elasticities'!M275</f>
        <v>0</v>
      </c>
      <c r="M245" s="11">
        <f>+'Seat capacity elasticities'!N275</f>
        <v>0</v>
      </c>
      <c r="N245" s="32">
        <f t="shared" si="216"/>
        <v>0</v>
      </c>
      <c r="O245" s="33">
        <f t="shared" si="217"/>
        <v>0</v>
      </c>
      <c r="P245" s="40">
        <f t="shared" si="218"/>
        <v>0</v>
      </c>
      <c r="Q245" s="33">
        <f t="shared" si="219"/>
        <v>0</v>
      </c>
      <c r="R245" s="40">
        <f t="shared" si="220"/>
        <v>0</v>
      </c>
      <c r="S245" s="41">
        <f t="shared" si="221"/>
        <v>0</v>
      </c>
      <c r="T245" s="40">
        <f t="shared" si="222"/>
        <v>0</v>
      </c>
      <c r="U245" s="41">
        <f t="shared" si="223"/>
        <v>0</v>
      </c>
      <c r="V245" s="53"/>
      <c r="W245" s="53"/>
      <c r="X245" t="s">
        <v>492</v>
      </c>
      <c r="Y245">
        <v>2030691</v>
      </c>
      <c r="Z245">
        <v>1186323</v>
      </c>
      <c r="AA245" s="51">
        <v>36215.96</v>
      </c>
      <c r="AB245" s="32">
        <f t="shared" si="207"/>
        <v>42963826315.080002</v>
      </c>
      <c r="AC245">
        <v>66816</v>
      </c>
      <c r="AD245" s="37">
        <f t="shared" si="208"/>
        <v>3.290308569841497E-2</v>
      </c>
      <c r="AE245">
        <v>8.2267E-3</v>
      </c>
      <c r="AF245" s="3">
        <f t="shared" si="209"/>
        <v>8.2267000000000004E-5</v>
      </c>
      <c r="AG245" s="11">
        <f>+'Seat capacity elasticities'!R275</f>
        <v>1.6928104444863357E-2</v>
      </c>
      <c r="AH245" s="11">
        <f>+'Seat capacity elasticities'!S275</f>
        <v>3.2083440411732389E-2</v>
      </c>
      <c r="AI245" s="11">
        <f>+'Seat capacity elasticities'!T275</f>
        <v>4.6445340715148567E-2</v>
      </c>
      <c r="AJ245" s="11">
        <f>+'Seat capacity elasticities'!U275</f>
        <v>3.7993547855998885E-2</v>
      </c>
      <c r="AK245" s="32">
        <f t="shared" si="224"/>
        <v>7272961.3921264308</v>
      </c>
      <c r="AL245" s="33">
        <f t="shared" si="225"/>
        <v>1.6928104444863357E-4</v>
      </c>
      <c r="AM245" s="40">
        <f t="shared" si="226"/>
        <v>13784273.614398893</v>
      </c>
      <c r="AN245" s="33">
        <f t="shared" si="227"/>
        <v>3.208344041173239E-4</v>
      </c>
      <c r="AO245" s="40">
        <f t="shared" si="228"/>
        <v>31032918.852233667</v>
      </c>
      <c r="AP245" s="41">
        <f t="shared" si="229"/>
        <v>4.6445340715148568E-4</v>
      </c>
      <c r="AQ245" s="40">
        <f t="shared" si="230"/>
        <v>25385768.935464218</v>
      </c>
      <c r="AR245" s="41">
        <f t="shared" si="231"/>
        <v>3.7993547855998892E-4</v>
      </c>
      <c r="AV245" t="s">
        <v>492</v>
      </c>
      <c r="AW245">
        <v>2030691</v>
      </c>
      <c r="AX245">
        <v>1186323</v>
      </c>
      <c r="AY245" s="51">
        <v>36215.96</v>
      </c>
      <c r="AZ245" s="32">
        <f t="shared" si="210"/>
        <v>42963826315.080002</v>
      </c>
      <c r="BA245">
        <v>66816</v>
      </c>
      <c r="BB245" s="37">
        <f t="shared" si="211"/>
        <v>3.290308569841497E-2</v>
      </c>
      <c r="BC245">
        <v>0</v>
      </c>
      <c r="BD245" s="3">
        <f t="shared" si="212"/>
        <v>0</v>
      </c>
      <c r="BE245" s="11">
        <f>+'Seat capacity elasticities'!Y275</f>
        <v>0</v>
      </c>
      <c r="BF245" s="11">
        <f>+'Seat capacity elasticities'!Z275</f>
        <v>0</v>
      </c>
      <c r="BG245" s="11">
        <f>+'Seat capacity elasticities'!AA275</f>
        <v>0</v>
      </c>
      <c r="BH245" s="11">
        <f>+'Seat capacity elasticities'!AB275</f>
        <v>0</v>
      </c>
      <c r="BI245" s="32">
        <f t="shared" si="232"/>
        <v>0</v>
      </c>
      <c r="BJ245" s="33">
        <f t="shared" si="233"/>
        <v>0</v>
      </c>
      <c r="BK245" s="40">
        <f t="shared" si="234"/>
        <v>0</v>
      </c>
      <c r="BL245" s="33">
        <f t="shared" si="235"/>
        <v>0</v>
      </c>
      <c r="BM245" s="40">
        <f t="shared" si="236"/>
        <v>0</v>
      </c>
      <c r="BN245" s="41">
        <f t="shared" si="237"/>
        <v>0</v>
      </c>
      <c r="BO245" s="40">
        <f t="shared" si="238"/>
        <v>0</v>
      </c>
      <c r="BP245" s="41">
        <f t="shared" si="239"/>
        <v>0</v>
      </c>
      <c r="BQ245" s="53"/>
      <c r="BR245" s="53"/>
      <c r="BS245" t="s">
        <v>492</v>
      </c>
      <c r="BT245">
        <v>2030691</v>
      </c>
      <c r="BU245">
        <v>1186323</v>
      </c>
      <c r="BV245" s="51">
        <v>36215.96</v>
      </c>
      <c r="BW245" s="32">
        <f t="shared" si="213"/>
        <v>42963826315.080002</v>
      </c>
      <c r="BX245">
        <v>66816</v>
      </c>
      <c r="BY245" s="37">
        <f t="shared" si="214"/>
        <v>3.290308569841497E-2</v>
      </c>
      <c r="BZ245">
        <v>8.2267E-3</v>
      </c>
      <c r="CA245" s="3">
        <f t="shared" si="215"/>
        <v>8.2267000000000004E-5</v>
      </c>
      <c r="CB245" s="11">
        <f>+'Seat capacity elasticities'!AF275</f>
        <v>8.6005834428892636E-3</v>
      </c>
      <c r="CC245" s="11">
        <f>+'Seat capacity elasticities'!AG275</f>
        <v>6.8725800293264697E-3</v>
      </c>
      <c r="CD245" s="11">
        <f>+'Seat capacity elasticities'!AH275</f>
        <v>2.3597268651970541E-2</v>
      </c>
      <c r="CE245" s="11">
        <f>+'Seat capacity elasticities'!AI275</f>
        <v>8.1385816136760828E-3</v>
      </c>
      <c r="CF245" s="32">
        <f t="shared" si="240"/>
        <v>3695139.7324864715</v>
      </c>
      <c r="CG245" s="33">
        <f t="shared" si="241"/>
        <v>8.6005834428892641E-5</v>
      </c>
      <c r="CH245" s="40">
        <f t="shared" si="242"/>
        <v>2952723.3471646989</v>
      </c>
      <c r="CI245" s="33">
        <f t="shared" si="243"/>
        <v>6.8725800293264699E-5</v>
      </c>
      <c r="CJ245" s="40">
        <f t="shared" si="244"/>
        <v>15766751.022500638</v>
      </c>
      <c r="CK245" s="41">
        <f t="shared" si="245"/>
        <v>2.3597268651970543E-4</v>
      </c>
      <c r="CL245" s="40">
        <f t="shared" si="246"/>
        <v>5437874.690993811</v>
      </c>
      <c r="CM245" s="41">
        <f t="shared" si="247"/>
        <v>8.1385816136760828E-5</v>
      </c>
      <c r="CO245" s="70">
        <f t="shared" si="248"/>
        <v>0</v>
      </c>
      <c r="CP245" s="70">
        <f t="shared" si="249"/>
        <v>0</v>
      </c>
      <c r="CQ245" s="70">
        <f t="shared" si="250"/>
        <v>0</v>
      </c>
      <c r="CR245" s="70">
        <f t="shared" si="251"/>
        <v>0</v>
      </c>
      <c r="CS245" s="70">
        <f t="shared" si="252"/>
        <v>0</v>
      </c>
      <c r="CT245" s="70">
        <f t="shared" si="253"/>
        <v>0</v>
      </c>
      <c r="CU245" s="69">
        <f t="shared" si="254"/>
        <v>0</v>
      </c>
      <c r="CV245" s="69">
        <f t="shared" si="255"/>
        <v>0</v>
      </c>
      <c r="CW245" s="70">
        <f t="shared" si="256"/>
        <v>0</v>
      </c>
      <c r="CX245" s="69">
        <f t="shared" si="257"/>
        <v>0</v>
      </c>
      <c r="CY245" s="69">
        <f t="shared" si="258"/>
        <v>0</v>
      </c>
      <c r="CZ245" s="70">
        <f t="shared" si="259"/>
        <v>0</v>
      </c>
      <c r="DB245" s="70">
        <f t="shared" si="260"/>
        <v>6.130675534509936</v>
      </c>
      <c r="DC245" s="70">
        <f t="shared" si="261"/>
        <v>3.1147838594433992</v>
      </c>
      <c r="DD245" s="70">
        <f t="shared" si="262"/>
        <v>9.245459393953336</v>
      </c>
      <c r="DE245" s="70">
        <f t="shared" si="263"/>
        <v>11.619325946136838</v>
      </c>
      <c r="DF245" s="70">
        <f t="shared" si="264"/>
        <v>2.4889708343888626</v>
      </c>
      <c r="DG245" s="70">
        <f t="shared" si="265"/>
        <v>14.1082967805257</v>
      </c>
      <c r="DH245" s="69">
        <f t="shared" si="266"/>
        <v>26.158911908673833</v>
      </c>
      <c r="DI245" s="69">
        <f t="shared" si="267"/>
        <v>13.290436940445931</v>
      </c>
      <c r="DJ245" s="70">
        <f t="shared" si="268"/>
        <v>39.449348849119765</v>
      </c>
      <c r="DK245" s="69">
        <f t="shared" si="269"/>
        <v>21.398699119433932</v>
      </c>
      <c r="DL245" s="69">
        <f t="shared" si="270"/>
        <v>4.5838061733556641</v>
      </c>
      <c r="DM245" s="70">
        <f t="shared" si="271"/>
        <v>25.982505292789597</v>
      </c>
    </row>
    <row r="246" spans="1:117">
      <c r="A246" t="s">
        <v>325</v>
      </c>
      <c r="B246">
        <v>3019274</v>
      </c>
      <c r="C246">
        <v>1920205</v>
      </c>
      <c r="D246" s="51">
        <v>44562.98</v>
      </c>
      <c r="E246" s="32">
        <f t="shared" si="204"/>
        <v>85570057010.900009</v>
      </c>
      <c r="F246">
        <v>140538</v>
      </c>
      <c r="G246" s="37">
        <f t="shared" si="205"/>
        <v>4.6546951353206099E-2</v>
      </c>
      <c r="H246">
        <v>4.2512000000000001E-3</v>
      </c>
      <c r="I246" s="3">
        <f t="shared" si="206"/>
        <v>4.2512000000000002E-5</v>
      </c>
      <c r="J246" s="11">
        <f>+'Seat capacity elasticities'!K276</f>
        <v>6.6791231702894487E-3</v>
      </c>
      <c r="K246" s="11">
        <f>+'Seat capacity elasticities'!L276</f>
        <v>3.3140962327103993E-2</v>
      </c>
      <c r="L246" s="11">
        <f>+'Seat capacity elasticities'!M276</f>
        <v>1.8325392091768884E-2</v>
      </c>
      <c r="M246" s="11">
        <f>+'Seat capacity elasticities'!N276</f>
        <v>3.9245876439991577E-2</v>
      </c>
      <c r="N246" s="32">
        <f t="shared" si="216"/>
        <v>5715329.5046449136</v>
      </c>
      <c r="O246" s="33">
        <f t="shared" si="217"/>
        <v>6.6791231702894492E-5</v>
      </c>
      <c r="P246" s="40">
        <f t="shared" si="218"/>
        <v>28358740.357263781</v>
      </c>
      <c r="Q246" s="33">
        <f t="shared" si="219"/>
        <v>3.3140962327103993E-4</v>
      </c>
      <c r="R246" s="40">
        <f t="shared" si="220"/>
        <v>25754139.537930153</v>
      </c>
      <c r="S246" s="41">
        <f t="shared" si="221"/>
        <v>1.8325392091768884E-4</v>
      </c>
      <c r="T246" s="40">
        <f t="shared" si="222"/>
        <v>55155369.831235364</v>
      </c>
      <c r="U246" s="41">
        <f t="shared" si="223"/>
        <v>3.9245876439991575E-4</v>
      </c>
      <c r="V246" s="53"/>
      <c r="W246" s="53"/>
      <c r="X246" t="s">
        <v>325</v>
      </c>
      <c r="Y246">
        <v>3019274</v>
      </c>
      <c r="Z246">
        <v>1920205</v>
      </c>
      <c r="AA246" s="51">
        <v>44562.98</v>
      </c>
      <c r="AB246" s="32">
        <f t="shared" si="207"/>
        <v>85570057010.900009</v>
      </c>
      <c r="AC246">
        <v>140538</v>
      </c>
      <c r="AD246" s="37">
        <f t="shared" si="208"/>
        <v>4.6546951353206099E-2</v>
      </c>
      <c r="AE246">
        <v>9.3018000000000007E-3</v>
      </c>
      <c r="AF246" s="3">
        <f t="shared" si="209"/>
        <v>9.301800000000001E-5</v>
      </c>
      <c r="AG246" s="11">
        <f>+'Seat capacity elasticities'!R276</f>
        <v>1.3434926588703733E-2</v>
      </c>
      <c r="AH246" s="11">
        <f>+'Seat capacity elasticities'!S276</f>
        <v>2.5462902125197428E-2</v>
      </c>
      <c r="AI246" s="11">
        <f>+'Seat capacity elasticities'!T276</f>
        <v>3.6861170423880277E-2</v>
      </c>
      <c r="AJ246" s="11">
        <f>+'Seat capacity elasticities'!U276</f>
        <v>3.015343672720748E-2</v>
      </c>
      <c r="AK246" s="32">
        <f t="shared" si="224"/>
        <v>11496274.341326348</v>
      </c>
      <c r="AL246" s="33">
        <f t="shared" si="225"/>
        <v>1.3434926588703735E-4</v>
      </c>
      <c r="AM246" s="40">
        <f t="shared" si="226"/>
        <v>21788619.86516111</v>
      </c>
      <c r="AN246" s="33">
        <f t="shared" si="227"/>
        <v>2.5462902125197428E-4</v>
      </c>
      <c r="AO246" s="40">
        <f t="shared" si="228"/>
        <v>51803951.690312855</v>
      </c>
      <c r="AP246" s="41">
        <f t="shared" si="229"/>
        <v>3.6861170423880272E-4</v>
      </c>
      <c r="AQ246" s="40">
        <f t="shared" si="230"/>
        <v>42377036.907682844</v>
      </c>
      <c r="AR246" s="41">
        <f t="shared" si="231"/>
        <v>3.0153436727207474E-4</v>
      </c>
      <c r="AV246" t="s">
        <v>325</v>
      </c>
      <c r="AW246">
        <v>3019274</v>
      </c>
      <c r="AX246">
        <v>1920205</v>
      </c>
      <c r="AY246" s="51">
        <v>44562.98</v>
      </c>
      <c r="AZ246" s="32">
        <f t="shared" si="210"/>
        <v>85570057010.900009</v>
      </c>
      <c r="BA246">
        <v>140538</v>
      </c>
      <c r="BB246" s="37">
        <f t="shared" si="211"/>
        <v>4.6546951353206099E-2</v>
      </c>
      <c r="BC246">
        <v>4.2512000000000001E-3</v>
      </c>
      <c r="BD246" s="3">
        <f t="shared" si="212"/>
        <v>4.2512000000000002E-5</v>
      </c>
      <c r="BE246" s="11">
        <f>+'Seat capacity elasticities'!Y276</f>
        <v>2.8478672747872365E-2</v>
      </c>
      <c r="BF246" s="11">
        <f>+'Seat capacity elasticities'!Z276</f>
        <v>7.7685344312399457E-2</v>
      </c>
      <c r="BG246" s="11">
        <f>+'Seat capacity elasticities'!AA276</f>
        <v>7.8136430643981944E-2</v>
      </c>
      <c r="BH246" s="11">
        <f>+'Seat capacity elasticities'!AB276</f>
        <v>9.1995802475209873E-2</v>
      </c>
      <c r="BI246" s="32">
        <f t="shared" si="232"/>
        <v>24369216.506302025</v>
      </c>
      <c r="BJ246" s="33">
        <f t="shared" si="233"/>
        <v>2.8478672747872362E-4</v>
      </c>
      <c r="BK246" s="40">
        <f t="shared" si="234"/>
        <v>66475393.417234182</v>
      </c>
      <c r="BL246" s="33">
        <f t="shared" si="235"/>
        <v>7.7685344312399451E-4</v>
      </c>
      <c r="BM246" s="40">
        <f t="shared" si="236"/>
        <v>109811376.89843935</v>
      </c>
      <c r="BN246" s="41">
        <f t="shared" si="237"/>
        <v>7.8136430643981937E-4</v>
      </c>
      <c r="BO246" s="40">
        <f t="shared" si="238"/>
        <v>129289060.88261044</v>
      </c>
      <c r="BP246" s="41">
        <f t="shared" si="239"/>
        <v>9.1995802475209861E-4</v>
      </c>
      <c r="BQ246" s="53"/>
      <c r="BR246" s="53"/>
      <c r="BS246" t="s">
        <v>325</v>
      </c>
      <c r="BT246">
        <v>3019274</v>
      </c>
      <c r="BU246">
        <v>1920205</v>
      </c>
      <c r="BV246" s="51">
        <v>44562.98</v>
      </c>
      <c r="BW246" s="32">
        <f t="shared" si="213"/>
        <v>85570057010.900009</v>
      </c>
      <c r="BX246">
        <v>140538</v>
      </c>
      <c r="BY246" s="37">
        <f t="shared" si="214"/>
        <v>4.6546951353206099E-2</v>
      </c>
      <c r="BZ246">
        <v>9.3018000000000007E-3</v>
      </c>
      <c r="CA246" s="3">
        <f t="shared" si="215"/>
        <v>9.301800000000001E-5</v>
      </c>
      <c r="CB246" s="11">
        <f>+'Seat capacity elasticities'!AF276</f>
        <v>6.5404942423206288E-3</v>
      </c>
      <c r="CC246" s="11">
        <f>+'Seat capacity elasticities'!AG276</f>
        <v>5.226397768265484E-3</v>
      </c>
      <c r="CD246" s="11">
        <f>+'Seat capacity elasticities'!AH276</f>
        <v>1.794503835438151E-2</v>
      </c>
      <c r="CE246" s="11">
        <f>+'Seat capacity elasticities'!AI276</f>
        <v>6.1891552518933361E-3</v>
      </c>
      <c r="CF246" s="32">
        <f t="shared" si="240"/>
        <v>5596704.6519483943</v>
      </c>
      <c r="CG246" s="33">
        <f t="shared" si="241"/>
        <v>6.5404942423206286E-5</v>
      </c>
      <c r="CH246" s="40">
        <f t="shared" si="242"/>
        <v>4472231.5499211801</v>
      </c>
      <c r="CI246" s="33">
        <f t="shared" si="243"/>
        <v>5.2263977682654837E-5</v>
      </c>
      <c r="CJ246" s="40">
        <f t="shared" si="244"/>
        <v>25219598.002480686</v>
      </c>
      <c r="CK246" s="41">
        <f t="shared" si="245"/>
        <v>1.7945038354381509E-4</v>
      </c>
      <c r="CL246" s="40">
        <f t="shared" si="246"/>
        <v>8698115.0079058576</v>
      </c>
      <c r="CM246" s="41">
        <f t="shared" si="247"/>
        <v>6.1891552518933364E-5</v>
      </c>
      <c r="CO246" s="70">
        <f t="shared" si="248"/>
        <v>2.9764163225514535</v>
      </c>
      <c r="CP246" s="70">
        <f t="shared" si="249"/>
        <v>12.690945240899813</v>
      </c>
      <c r="CQ246" s="70">
        <f t="shared" si="250"/>
        <v>15.667361563451266</v>
      </c>
      <c r="CR246" s="70">
        <f t="shared" si="251"/>
        <v>14.768600413634889</v>
      </c>
      <c r="CS246" s="70">
        <f t="shared" si="252"/>
        <v>34.618904448865713</v>
      </c>
      <c r="CT246" s="70">
        <f t="shared" si="253"/>
        <v>49.387504862500606</v>
      </c>
      <c r="CU246" s="69">
        <f t="shared" si="254"/>
        <v>13.4121823127896</v>
      </c>
      <c r="CV246" s="69">
        <f t="shared" si="255"/>
        <v>57.187319530174825</v>
      </c>
      <c r="CW246" s="70">
        <f t="shared" si="256"/>
        <v>70.599501842964429</v>
      </c>
      <c r="CX246" s="69">
        <f t="shared" si="257"/>
        <v>28.723688268302272</v>
      </c>
      <c r="CY246" s="69">
        <f t="shared" si="258"/>
        <v>67.330863570613786</v>
      </c>
      <c r="CZ246" s="70">
        <f t="shared" si="259"/>
        <v>96.054551838916055</v>
      </c>
      <c r="DB246" s="70">
        <f t="shared" si="260"/>
        <v>5.9870036487387273</v>
      </c>
      <c r="DC246" s="70">
        <f t="shared" si="261"/>
        <v>2.9146391411064934</v>
      </c>
      <c r="DD246" s="70">
        <f t="shared" si="262"/>
        <v>8.9016427898452211</v>
      </c>
      <c r="DE246" s="70">
        <f t="shared" si="263"/>
        <v>11.347027981471307</v>
      </c>
      <c r="DF246" s="70">
        <f t="shared" si="264"/>
        <v>2.3290385921925942</v>
      </c>
      <c r="DG246" s="70">
        <f t="shared" si="265"/>
        <v>13.676066573663901</v>
      </c>
      <c r="DH246" s="69">
        <f t="shared" si="266"/>
        <v>26.978344338397648</v>
      </c>
      <c r="DI246" s="69">
        <f t="shared" si="267"/>
        <v>13.133804985655534</v>
      </c>
      <c r="DJ246" s="70">
        <f t="shared" si="268"/>
        <v>40.112149324053178</v>
      </c>
      <c r="DK246" s="69">
        <f t="shared" si="269"/>
        <v>22.069017062075581</v>
      </c>
      <c r="DL246" s="69">
        <f t="shared" si="270"/>
        <v>4.5297845844094029</v>
      </c>
      <c r="DM246" s="70">
        <f t="shared" si="271"/>
        <v>26.598801646484983</v>
      </c>
    </row>
    <row r="247" spans="1:117">
      <c r="A247" t="s">
        <v>327</v>
      </c>
      <c r="B247">
        <v>4260236</v>
      </c>
      <c r="C247">
        <v>2849527</v>
      </c>
      <c r="D247" s="51">
        <v>61146.07</v>
      </c>
      <c r="E247" s="32">
        <f t="shared" si="204"/>
        <v>174237377408.88998</v>
      </c>
      <c r="F247">
        <v>283010</v>
      </c>
      <c r="G247" s="37">
        <f t="shared" si="205"/>
        <v>6.6430592108042835E-2</v>
      </c>
      <c r="H247">
        <v>1.6639899999999999E-2</v>
      </c>
      <c r="I247" s="3">
        <f t="shared" si="206"/>
        <v>1.6639899999999999E-4</v>
      </c>
      <c r="J247" s="11">
        <f>+'Seat capacity elasticities'!K277</f>
        <v>1.5240752750617526E-2</v>
      </c>
      <c r="K247" s="11">
        <f>+'Seat capacity elasticities'!L277</f>
        <v>7.5622682778439185E-2</v>
      </c>
      <c r="L247" s="11">
        <f>+'Seat capacity elasticities'!M277</f>
        <v>4.1815783720105845E-2</v>
      </c>
      <c r="M247" s="11">
        <f>+'Seat capacity elasticities'!N277</f>
        <v>8.9553176974467449E-2</v>
      </c>
      <c r="N247" s="32">
        <f t="shared" si="216"/>
        <v>26555087.890049241</v>
      </c>
      <c r="O247" s="33">
        <f t="shared" si="217"/>
        <v>1.5240752750617526E-4</v>
      </c>
      <c r="P247" s="40">
        <f t="shared" si="218"/>
        <v>131762979.19939673</v>
      </c>
      <c r="Q247" s="33">
        <f t="shared" si="219"/>
        <v>7.5622682778439185E-4</v>
      </c>
      <c r="R247" s="40">
        <f t="shared" si="220"/>
        <v>118342849.50627156</v>
      </c>
      <c r="S247" s="41">
        <f t="shared" si="221"/>
        <v>4.1815783720105843E-4</v>
      </c>
      <c r="T247" s="40">
        <f t="shared" si="222"/>
        <v>253444446.15544033</v>
      </c>
      <c r="U247" s="41">
        <f t="shared" si="223"/>
        <v>8.9553176974467455E-4</v>
      </c>
      <c r="V247" s="53"/>
      <c r="W247" s="53"/>
      <c r="X247" t="s">
        <v>327</v>
      </c>
      <c r="Y247">
        <v>4260236</v>
      </c>
      <c r="Z247">
        <v>2849527</v>
      </c>
      <c r="AA247" s="51">
        <v>61146.07</v>
      </c>
      <c r="AB247" s="32">
        <f t="shared" si="207"/>
        <v>174237377408.88998</v>
      </c>
      <c r="AC247">
        <v>283010</v>
      </c>
      <c r="AD247" s="37">
        <f t="shared" si="208"/>
        <v>6.6430592108042835E-2</v>
      </c>
      <c r="AE247">
        <v>2.12613E-2</v>
      </c>
      <c r="AF247" s="3">
        <f t="shared" si="209"/>
        <v>2.1261300000000001E-4</v>
      </c>
      <c r="AG247" s="11">
        <f>+'Seat capacity elasticities'!R277</f>
        <v>1.7902179445708013E-2</v>
      </c>
      <c r="AH247" s="11">
        <f>+'Seat capacity elasticities'!S277</f>
        <v>3.3929581977549618E-2</v>
      </c>
      <c r="AI247" s="11">
        <f>+'Seat capacity elasticities'!T277</f>
        <v>4.9117893064036432E-2</v>
      </c>
      <c r="AJ247" s="11">
        <f>+'Seat capacity elasticities'!U277</f>
        <v>4.017976813130876E-2</v>
      </c>
      <c r="AK247" s="32">
        <f t="shared" si="224"/>
        <v>31192287.965234999</v>
      </c>
      <c r="AL247" s="33">
        <f t="shared" si="225"/>
        <v>1.7902179445708011E-4</v>
      </c>
      <c r="AM247" s="40">
        <f t="shared" si="226"/>
        <v>59118013.803481847</v>
      </c>
      <c r="AN247" s="33">
        <f t="shared" si="227"/>
        <v>3.3929581977549617E-4</v>
      </c>
      <c r="AO247" s="40">
        <f t="shared" si="228"/>
        <v>139008549.16052949</v>
      </c>
      <c r="AP247" s="41">
        <f t="shared" si="229"/>
        <v>4.9117893064036424E-4</v>
      </c>
      <c r="AQ247" s="40">
        <f t="shared" si="230"/>
        <v>113712761.78841692</v>
      </c>
      <c r="AR247" s="41">
        <f t="shared" si="231"/>
        <v>4.0179768131308761E-4</v>
      </c>
      <c r="AV247" t="s">
        <v>327</v>
      </c>
      <c r="AW247">
        <v>4260236</v>
      </c>
      <c r="AX247">
        <v>2849527</v>
      </c>
      <c r="AY247" s="51">
        <v>61146.07</v>
      </c>
      <c r="AZ247" s="32">
        <f t="shared" si="210"/>
        <v>174237377408.88998</v>
      </c>
      <c r="BA247">
        <v>283010</v>
      </c>
      <c r="BB247" s="37">
        <f t="shared" si="211"/>
        <v>6.6430592108042835E-2</v>
      </c>
      <c r="BC247">
        <v>1.6639899999999999E-2</v>
      </c>
      <c r="BD247" s="3">
        <f t="shared" si="212"/>
        <v>1.6639899999999999E-4</v>
      </c>
      <c r="BE247" s="11">
        <f>+'Seat capacity elasticities'!Y277</f>
        <v>7.9000126961077846E-2</v>
      </c>
      <c r="BF247" s="11">
        <f>+'Seat capacity elasticities'!Z277</f>
        <v>0.21549993281035568</v>
      </c>
      <c r="BG247" s="11">
        <f>+'Seat capacity elasticities'!AA277</f>
        <v>0.21675125086793923</v>
      </c>
      <c r="BH247" s="11">
        <f>+'Seat capacity elasticities'!AB277</f>
        <v>0.2551972888543686</v>
      </c>
      <c r="BI247" s="32">
        <f t="shared" si="232"/>
        <v>137647749.36667547</v>
      </c>
      <c r="BJ247" s="33">
        <f t="shared" si="233"/>
        <v>7.900012696107785E-4</v>
      </c>
      <c r="BK247" s="40">
        <f t="shared" si="234"/>
        <v>375481431.24668378</v>
      </c>
      <c r="BL247" s="33">
        <f t="shared" si="235"/>
        <v>2.1549993281035568E-3</v>
      </c>
      <c r="BM247" s="40">
        <f t="shared" si="236"/>
        <v>613427715.08135474</v>
      </c>
      <c r="BN247" s="41">
        <f t="shared" si="237"/>
        <v>2.1675125086793919E-3</v>
      </c>
      <c r="BO247" s="40">
        <f t="shared" si="238"/>
        <v>722233847.1867485</v>
      </c>
      <c r="BP247" s="41">
        <f t="shared" si="239"/>
        <v>2.5519728885436857E-3</v>
      </c>
      <c r="BQ247" s="53"/>
      <c r="BR247" s="53"/>
      <c r="BS247" t="s">
        <v>327</v>
      </c>
      <c r="BT247">
        <v>4260236</v>
      </c>
      <c r="BU247">
        <v>2849527</v>
      </c>
      <c r="BV247" s="51">
        <v>61146.07</v>
      </c>
      <c r="BW247" s="32">
        <f t="shared" si="213"/>
        <v>174237377408.88998</v>
      </c>
      <c r="BX247">
        <v>283010</v>
      </c>
      <c r="BY247" s="37">
        <f t="shared" si="214"/>
        <v>6.6430592108042835E-2</v>
      </c>
      <c r="BZ247">
        <v>2.12613E-2</v>
      </c>
      <c r="CA247" s="3">
        <f t="shared" si="215"/>
        <v>2.1261300000000001E-4</v>
      </c>
      <c r="CB247" s="11">
        <f>+'Seat capacity elasticities'!AF277</f>
        <v>1.0595031566396771E-2</v>
      </c>
      <c r="CC247" s="11">
        <f>+'Seat capacity elasticities'!AG277</f>
        <v>8.4663096215296524E-3</v>
      </c>
      <c r="CD247" s="11">
        <f>+'Seat capacity elasticities'!AH277</f>
        <v>2.9069400687586806E-2</v>
      </c>
      <c r="CE247" s="11">
        <f>+'Seat capacity elasticities'!AI277</f>
        <v>1.0025892972864063E-2</v>
      </c>
      <c r="CF247" s="32">
        <f t="shared" si="240"/>
        <v>18460505.13693377</v>
      </c>
      <c r="CG247" s="33">
        <f t="shared" si="241"/>
        <v>1.0595031566396772E-4</v>
      </c>
      <c r="CH247" s="40">
        <f t="shared" si="242"/>
        <v>14751475.847869786</v>
      </c>
      <c r="CI247" s="33">
        <f t="shared" si="243"/>
        <v>8.4663096215296525E-5</v>
      </c>
      <c r="CJ247" s="40">
        <f t="shared" si="244"/>
        <v>82269310.885939419</v>
      </c>
      <c r="CK247" s="41">
        <f t="shared" si="245"/>
        <v>2.9069400687586807E-4</v>
      </c>
      <c r="CL247" s="40">
        <f t="shared" si="246"/>
        <v>28374279.702502578</v>
      </c>
      <c r="CM247" s="41">
        <f t="shared" si="247"/>
        <v>1.0025892972864061E-4</v>
      </c>
      <c r="CO247" s="70">
        <f t="shared" si="248"/>
        <v>9.3191213454195179</v>
      </c>
      <c r="CP247" s="70">
        <f t="shared" si="249"/>
        <v>48.305472931709531</v>
      </c>
      <c r="CQ247" s="70">
        <f t="shared" si="250"/>
        <v>57.624594277129049</v>
      </c>
      <c r="CR247" s="70">
        <f t="shared" si="251"/>
        <v>46.240298547582363</v>
      </c>
      <c r="CS247" s="70">
        <f t="shared" si="252"/>
        <v>131.76973976617305</v>
      </c>
      <c r="CT247" s="70">
        <f t="shared" si="253"/>
        <v>178.01003831375542</v>
      </c>
      <c r="CU247" s="69">
        <f t="shared" si="254"/>
        <v>41.530699483202497</v>
      </c>
      <c r="CV247" s="69">
        <f t="shared" si="255"/>
        <v>215.27352261668506</v>
      </c>
      <c r="CW247" s="70">
        <f t="shared" si="256"/>
        <v>256.80422209988757</v>
      </c>
      <c r="CX247" s="69">
        <f t="shared" si="257"/>
        <v>88.942637200995222</v>
      </c>
      <c r="CY247" s="69">
        <f t="shared" si="258"/>
        <v>253.45745002126617</v>
      </c>
      <c r="CZ247" s="70">
        <f t="shared" si="259"/>
        <v>342.40008722226139</v>
      </c>
      <c r="DB247" s="70">
        <f t="shared" si="260"/>
        <v>10.946479175398233</v>
      </c>
      <c r="DC247" s="70">
        <f t="shared" si="261"/>
        <v>6.4784454181110656</v>
      </c>
      <c r="DD247" s="70">
        <f t="shared" si="262"/>
        <v>17.424924593509299</v>
      </c>
      <c r="DE247" s="70">
        <f t="shared" si="263"/>
        <v>20.746605946699873</v>
      </c>
      <c r="DF247" s="70">
        <f t="shared" si="264"/>
        <v>5.1768156075972556</v>
      </c>
      <c r="DG247" s="70">
        <f t="shared" si="265"/>
        <v>25.923421554297128</v>
      </c>
      <c r="DH247" s="69">
        <f t="shared" si="266"/>
        <v>48.783025800608137</v>
      </c>
      <c r="DI247" s="69">
        <f t="shared" si="267"/>
        <v>28.87121648117018</v>
      </c>
      <c r="DJ247" s="70">
        <f t="shared" si="268"/>
        <v>77.654242281778323</v>
      </c>
      <c r="DK247" s="69">
        <f t="shared" si="269"/>
        <v>39.90583763144442</v>
      </c>
      <c r="DL247" s="69">
        <f t="shared" si="270"/>
        <v>9.9575402172018652</v>
      </c>
      <c r="DM247" s="70">
        <f t="shared" si="271"/>
        <v>49.863377848646287</v>
      </c>
    </row>
    <row r="248" spans="1:117">
      <c r="A248" t="s">
        <v>329</v>
      </c>
      <c r="B248">
        <v>1810646</v>
      </c>
      <c r="C248">
        <v>1208681</v>
      </c>
      <c r="D248" s="51">
        <v>76360.73</v>
      </c>
      <c r="E248" s="32">
        <f t="shared" si="204"/>
        <v>92295763497.12999</v>
      </c>
      <c r="F248">
        <v>138071</v>
      </c>
      <c r="G248" s="37">
        <f t="shared" si="205"/>
        <v>7.6255104531752757E-2</v>
      </c>
      <c r="H248">
        <v>3.9585000000000002E-3</v>
      </c>
      <c r="I248" s="3">
        <f t="shared" si="206"/>
        <v>3.9585000000000001E-5</v>
      </c>
      <c r="J248" s="11">
        <f>+'Seat capacity elasticities'!K278</f>
        <v>4.9182533359622667E-3</v>
      </c>
      <c r="K248" s="11">
        <f>+'Seat capacity elasticities'!L278</f>
        <v>2.4403749469290806E-2</v>
      </c>
      <c r="L248" s="11">
        <f>+'Seat capacity elasticities'!M278</f>
        <v>1.3494124676286365E-2</v>
      </c>
      <c r="M248" s="11">
        <f>+'Seat capacity elasticities'!N278</f>
        <v>2.8899177003107533E-2</v>
      </c>
      <c r="N248" s="32">
        <f t="shared" si="216"/>
        <v>4539339.4671494393</v>
      </c>
      <c r="O248" s="33">
        <f t="shared" si="217"/>
        <v>4.918253335962266E-5</v>
      </c>
      <c r="P248" s="40">
        <f t="shared" si="218"/>
        <v>22523626.894608758</v>
      </c>
      <c r="Q248" s="33">
        <f t="shared" si="219"/>
        <v>2.4403749469290806E-4</v>
      </c>
      <c r="R248" s="40">
        <f t="shared" si="220"/>
        <v>18631472.88179535</v>
      </c>
      <c r="S248" s="41">
        <f t="shared" si="221"/>
        <v>1.3494124676286366E-4</v>
      </c>
      <c r="T248" s="40">
        <f t="shared" si="222"/>
        <v>39901382.679960608</v>
      </c>
      <c r="U248" s="41">
        <f t="shared" si="223"/>
        <v>2.8899177003107536E-4</v>
      </c>
      <c r="V248" s="53"/>
      <c r="W248" s="53"/>
      <c r="X248" t="s">
        <v>329</v>
      </c>
      <c r="Y248">
        <v>1810646</v>
      </c>
      <c r="Z248">
        <v>1208681</v>
      </c>
      <c r="AA248" s="51">
        <v>76360.73</v>
      </c>
      <c r="AB248" s="32">
        <f t="shared" si="207"/>
        <v>92295763497.12999</v>
      </c>
      <c r="AC248">
        <v>138071</v>
      </c>
      <c r="AD248" s="37">
        <f t="shared" si="208"/>
        <v>7.6255104531752757E-2</v>
      </c>
      <c r="AE248">
        <v>1.27551E-2</v>
      </c>
      <c r="AF248" s="3">
        <f t="shared" si="209"/>
        <v>1.27551E-4</v>
      </c>
      <c r="AG248" s="11">
        <f>+'Seat capacity elasticities'!R278</f>
        <v>1.4568824063714143E-2</v>
      </c>
      <c r="AH248" s="11">
        <f>+'Seat capacity elasticities'!S278</f>
        <v>2.7611951488107592E-2</v>
      </c>
      <c r="AI248" s="11">
        <f>+'Seat capacity elasticities'!T278</f>
        <v>3.9972224867952162E-2</v>
      </c>
      <c r="AJ248" s="11">
        <f>+'Seat capacity elasticities'!U278</f>
        <v>3.2698363604337942E-2</v>
      </c>
      <c r="AK248" s="32">
        <f t="shared" si="224"/>
        <v>13446407.402158568</v>
      </c>
      <c r="AL248" s="33">
        <f t="shared" si="225"/>
        <v>1.4568824063714142E-4</v>
      </c>
      <c r="AM248" s="40">
        <f t="shared" si="226"/>
        <v>25484661.442406047</v>
      </c>
      <c r="AN248" s="33">
        <f t="shared" si="227"/>
        <v>2.7611951488107589E-4</v>
      </c>
      <c r="AO248" s="40">
        <f t="shared" si="228"/>
        <v>55190050.597430229</v>
      </c>
      <c r="AP248" s="41">
        <f t="shared" si="229"/>
        <v>3.9972224867952162E-4</v>
      </c>
      <c r="AQ248" s="40">
        <f t="shared" si="230"/>
        <v>45146957.612145439</v>
      </c>
      <c r="AR248" s="41">
        <f t="shared" si="231"/>
        <v>3.2698363604337941E-4</v>
      </c>
      <c r="AV248" t="s">
        <v>329</v>
      </c>
      <c r="AW248">
        <v>1810646</v>
      </c>
      <c r="AX248">
        <v>1208681</v>
      </c>
      <c r="AY248" s="51">
        <v>76360.73</v>
      </c>
      <c r="AZ248" s="32">
        <f t="shared" si="210"/>
        <v>92295763497.12999</v>
      </c>
      <c r="BA248">
        <v>138071</v>
      </c>
      <c r="BB248" s="37">
        <f t="shared" si="211"/>
        <v>7.6255104531752757E-2</v>
      </c>
      <c r="BC248">
        <v>3.9585000000000002E-3</v>
      </c>
      <c r="BD248" s="3">
        <f t="shared" si="212"/>
        <v>3.9585000000000001E-5</v>
      </c>
      <c r="BE248" s="11">
        <f>+'Seat capacity elasticities'!Y278</f>
        <v>4.4218889832673795E-2</v>
      </c>
      <c r="BF248" s="11">
        <f>+'Seat capacity elasticities'!Z278</f>
        <v>0.12062218320971305</v>
      </c>
      <c r="BG248" s="11">
        <f>+'Seat capacity elasticities'!AA278</f>
        <v>0.1213225858224985</v>
      </c>
      <c r="BH248" s="11">
        <f>+'Seat capacity elasticities'!AB278</f>
        <v>0.14284205906413389</v>
      </c>
      <c r="BI248" s="32">
        <f t="shared" si="232"/>
        <v>40812161.981021062</v>
      </c>
      <c r="BJ248" s="33">
        <f t="shared" si="233"/>
        <v>4.4218889832673791E-4</v>
      </c>
      <c r="BK248" s="40">
        <f t="shared" si="234"/>
        <v>111329164.9403116</v>
      </c>
      <c r="BL248" s="33">
        <f t="shared" si="235"/>
        <v>1.2062218320971305E-3</v>
      </c>
      <c r="BM248" s="40">
        <f t="shared" si="236"/>
        <v>167511307.47098193</v>
      </c>
      <c r="BN248" s="41">
        <f t="shared" si="237"/>
        <v>1.2132258582249851E-3</v>
      </c>
      <c r="BO248" s="40">
        <f t="shared" si="238"/>
        <v>197223459.37044027</v>
      </c>
      <c r="BP248" s="41">
        <f t="shared" si="239"/>
        <v>1.4284205906413387E-3</v>
      </c>
      <c r="BQ248" s="53"/>
      <c r="BR248" s="53"/>
      <c r="BS248" t="s">
        <v>329</v>
      </c>
      <c r="BT248">
        <v>1810646</v>
      </c>
      <c r="BU248">
        <v>1208681</v>
      </c>
      <c r="BV248" s="51">
        <v>76360.73</v>
      </c>
      <c r="BW248" s="32">
        <f t="shared" si="213"/>
        <v>92295763497.12999</v>
      </c>
      <c r="BX248">
        <v>138071</v>
      </c>
      <c r="BY248" s="37">
        <f t="shared" si="214"/>
        <v>7.6255104531752757E-2</v>
      </c>
      <c r="BZ248">
        <v>1.27551E-2</v>
      </c>
      <c r="CA248" s="3">
        <f t="shared" si="215"/>
        <v>1.27551E-4</v>
      </c>
      <c r="CB248" s="11">
        <f>+'Seat capacity elasticities'!AF278</f>
        <v>1.4955344298212754E-2</v>
      </c>
      <c r="CC248" s="11">
        <f>+'Seat capacity elasticities'!AG278</f>
        <v>1.1950561405293471E-2</v>
      </c>
      <c r="CD248" s="11">
        <f>+'Seat capacity elasticities'!AH278</f>
        <v>4.1032713597984452E-2</v>
      </c>
      <c r="CE248" s="11">
        <f>+'Seat capacity elasticities'!AI278</f>
        <v>1.4151980611531742E-2</v>
      </c>
      <c r="CF248" s="32">
        <f t="shared" si="240"/>
        <v>13803149.203659957</v>
      </c>
      <c r="CG248" s="33">
        <f t="shared" si="241"/>
        <v>1.4955344298212754E-4</v>
      </c>
      <c r="CH248" s="40">
        <f t="shared" si="242"/>
        <v>11029861.891208956</v>
      </c>
      <c r="CI248" s="33">
        <f t="shared" si="243"/>
        <v>1.1950561405293471E-4</v>
      </c>
      <c r="CJ248" s="40">
        <f t="shared" si="244"/>
        <v>56654277.991873115</v>
      </c>
      <c r="CK248" s="41">
        <f t="shared" si="245"/>
        <v>4.1032713597984451E-4</v>
      </c>
      <c r="CL248" s="40">
        <f t="shared" si="246"/>
        <v>19539781.150147993</v>
      </c>
      <c r="CM248" s="41">
        <f t="shared" si="247"/>
        <v>1.4151980611531743E-4</v>
      </c>
      <c r="CO248" s="70">
        <f t="shared" si="248"/>
        <v>3.7556141505901386</v>
      </c>
      <c r="CP248" s="70">
        <f t="shared" si="249"/>
        <v>33.765867074125481</v>
      </c>
      <c r="CQ248" s="70">
        <f t="shared" si="250"/>
        <v>37.521481224715622</v>
      </c>
      <c r="CR248" s="70">
        <f t="shared" si="251"/>
        <v>18.634881242121583</v>
      </c>
      <c r="CS248" s="70">
        <f t="shared" si="252"/>
        <v>92.107979640874305</v>
      </c>
      <c r="CT248" s="70">
        <f t="shared" si="253"/>
        <v>110.74286088299588</v>
      </c>
      <c r="CU248" s="69">
        <f t="shared" si="254"/>
        <v>15.414714785617836</v>
      </c>
      <c r="CV248" s="69">
        <f t="shared" si="255"/>
        <v>138.59017182447803</v>
      </c>
      <c r="CW248" s="70">
        <f t="shared" si="256"/>
        <v>154.00488661009587</v>
      </c>
      <c r="CX248" s="69">
        <f t="shared" si="257"/>
        <v>33.012335496264612</v>
      </c>
      <c r="CY248" s="69">
        <f t="shared" si="258"/>
        <v>163.17246599428657</v>
      </c>
      <c r="CZ248" s="70">
        <f t="shared" si="259"/>
        <v>196.18480149055119</v>
      </c>
      <c r="DB248" s="70">
        <f t="shared" si="260"/>
        <v>11.124860407467784</v>
      </c>
      <c r="DC248" s="70">
        <f t="shared" si="261"/>
        <v>11.420010080128634</v>
      </c>
      <c r="DD248" s="70">
        <f t="shared" si="262"/>
        <v>22.54487048759642</v>
      </c>
      <c r="DE248" s="70">
        <f t="shared" si="263"/>
        <v>21.084687723564816</v>
      </c>
      <c r="DF248" s="70">
        <f t="shared" si="264"/>
        <v>9.1255359281803514</v>
      </c>
      <c r="DG248" s="70">
        <f t="shared" si="265"/>
        <v>30.210223651745167</v>
      </c>
      <c r="DH248" s="69">
        <f t="shared" si="266"/>
        <v>45.661386749216895</v>
      </c>
      <c r="DI248" s="69">
        <f t="shared" si="267"/>
        <v>46.872812588162731</v>
      </c>
      <c r="DJ248" s="70">
        <f t="shared" si="268"/>
        <v>92.534199337379619</v>
      </c>
      <c r="DK248" s="69">
        <f t="shared" si="269"/>
        <v>37.352252258573962</v>
      </c>
      <c r="DL248" s="69">
        <f t="shared" si="270"/>
        <v>16.166201959117412</v>
      </c>
      <c r="DM248" s="70">
        <f t="shared" si="271"/>
        <v>53.518454217691371</v>
      </c>
    </row>
    <row r="249" spans="1:117">
      <c r="A249" t="s">
        <v>493</v>
      </c>
      <c r="B249">
        <v>265134</v>
      </c>
      <c r="C249">
        <v>156781</v>
      </c>
      <c r="D249" s="51">
        <v>34095.480000000003</v>
      </c>
      <c r="E249" s="32">
        <f t="shared" si="204"/>
        <v>5345523449.8800001</v>
      </c>
      <c r="F249">
        <v>9069</v>
      </c>
      <c r="G249" s="37">
        <f t="shared" si="205"/>
        <v>3.42053452216615E-2</v>
      </c>
      <c r="H249">
        <v>0</v>
      </c>
      <c r="I249" s="3">
        <f t="shared" si="206"/>
        <v>0</v>
      </c>
      <c r="J249" s="11">
        <f>+'Seat capacity elasticities'!K279</f>
        <v>0</v>
      </c>
      <c r="K249" s="11">
        <f>+'Seat capacity elasticities'!L279</f>
        <v>0</v>
      </c>
      <c r="L249" s="11">
        <f>+'Seat capacity elasticities'!M279</f>
        <v>0</v>
      </c>
      <c r="M249" s="11">
        <f>+'Seat capacity elasticities'!N279</f>
        <v>0</v>
      </c>
      <c r="N249" s="32">
        <f t="shared" si="216"/>
        <v>0</v>
      </c>
      <c r="O249" s="33">
        <f t="shared" si="217"/>
        <v>0</v>
      </c>
      <c r="P249" s="40">
        <f t="shared" si="218"/>
        <v>0</v>
      </c>
      <c r="Q249" s="33">
        <f t="shared" si="219"/>
        <v>0</v>
      </c>
      <c r="R249" s="40">
        <f t="shared" si="220"/>
        <v>0</v>
      </c>
      <c r="S249" s="41">
        <f t="shared" si="221"/>
        <v>0</v>
      </c>
      <c r="T249" s="40">
        <f t="shared" si="222"/>
        <v>0</v>
      </c>
      <c r="U249" s="41">
        <f t="shared" si="223"/>
        <v>0</v>
      </c>
      <c r="V249" s="53"/>
      <c r="W249" s="53"/>
      <c r="X249" t="s">
        <v>493</v>
      </c>
      <c r="Y249">
        <v>265134</v>
      </c>
      <c r="Z249">
        <v>156781</v>
      </c>
      <c r="AA249" s="51">
        <v>34095.480000000003</v>
      </c>
      <c r="AB249" s="32">
        <f t="shared" si="207"/>
        <v>5345523449.8800001</v>
      </c>
      <c r="AC249">
        <v>9069</v>
      </c>
      <c r="AD249" s="37">
        <f t="shared" si="208"/>
        <v>3.42053452216615E-2</v>
      </c>
      <c r="AE249">
        <v>5.5138000000000001E-3</v>
      </c>
      <c r="AF249" s="3">
        <f t="shared" si="209"/>
        <v>5.5138E-5</v>
      </c>
      <c r="AG249" s="11">
        <f>+'Seat capacity elasticities'!R279</f>
        <v>1.1820372722314027E-2</v>
      </c>
      <c r="AH249" s="11">
        <f>+'Seat capacity elasticities'!S279</f>
        <v>2.2402875946095933E-2</v>
      </c>
      <c r="AI249" s="11">
        <f>+'Seat capacity elasticities'!T279</f>
        <v>3.2431347541367006E-2</v>
      </c>
      <c r="AJ249" s="11">
        <f>+'Seat capacity elasticities'!U279</f>
        <v>2.6529721515113604E-2</v>
      </c>
      <c r="AK249" s="32">
        <f t="shared" si="224"/>
        <v>631860.7957345153</v>
      </c>
      <c r="AL249" s="33">
        <f t="shared" si="225"/>
        <v>1.1820372722314027E-4</v>
      </c>
      <c r="AM249" s="40">
        <f t="shared" si="226"/>
        <v>1197550.987146084</v>
      </c>
      <c r="AN249" s="33">
        <f t="shared" si="227"/>
        <v>2.2402875946095932E-4</v>
      </c>
      <c r="AO249" s="40">
        <f t="shared" si="228"/>
        <v>2941198.9085265738</v>
      </c>
      <c r="AP249" s="41">
        <f t="shared" si="229"/>
        <v>3.2431347541367008E-4</v>
      </c>
      <c r="AQ249" s="40">
        <f t="shared" si="230"/>
        <v>2405980.4442056529</v>
      </c>
      <c r="AR249" s="41">
        <f t="shared" si="231"/>
        <v>2.6529721515113606E-4</v>
      </c>
      <c r="AV249" t="s">
        <v>493</v>
      </c>
      <c r="AW249">
        <v>265134</v>
      </c>
      <c r="AX249">
        <v>156781</v>
      </c>
      <c r="AY249" s="51">
        <v>34095.480000000003</v>
      </c>
      <c r="AZ249" s="32">
        <f t="shared" si="210"/>
        <v>5345523449.8800001</v>
      </c>
      <c r="BA249">
        <v>9069</v>
      </c>
      <c r="BB249" s="37">
        <f t="shared" si="211"/>
        <v>3.42053452216615E-2</v>
      </c>
      <c r="BC249">
        <v>0</v>
      </c>
      <c r="BD249" s="3">
        <f t="shared" si="212"/>
        <v>0</v>
      </c>
      <c r="BE249" s="11">
        <f>+'Seat capacity elasticities'!Y279</f>
        <v>0</v>
      </c>
      <c r="BF249" s="11">
        <f>+'Seat capacity elasticities'!Z279</f>
        <v>0</v>
      </c>
      <c r="BG249" s="11">
        <f>+'Seat capacity elasticities'!AA279</f>
        <v>0</v>
      </c>
      <c r="BH249" s="11">
        <f>+'Seat capacity elasticities'!AB279</f>
        <v>0</v>
      </c>
      <c r="BI249" s="32">
        <f t="shared" si="232"/>
        <v>0</v>
      </c>
      <c r="BJ249" s="33">
        <f t="shared" si="233"/>
        <v>0</v>
      </c>
      <c r="BK249" s="40">
        <f t="shared" si="234"/>
        <v>0</v>
      </c>
      <c r="BL249" s="33">
        <f t="shared" si="235"/>
        <v>0</v>
      </c>
      <c r="BM249" s="40">
        <f t="shared" si="236"/>
        <v>0</v>
      </c>
      <c r="BN249" s="41">
        <f t="shared" si="237"/>
        <v>0</v>
      </c>
      <c r="BO249" s="40">
        <f t="shared" si="238"/>
        <v>0</v>
      </c>
      <c r="BP249" s="41">
        <f t="shared" si="239"/>
        <v>0</v>
      </c>
      <c r="BQ249" s="53"/>
      <c r="BR249" s="53"/>
      <c r="BS249" t="s">
        <v>493</v>
      </c>
      <c r="BT249">
        <v>265134</v>
      </c>
      <c r="BU249">
        <v>156781</v>
      </c>
      <c r="BV249" s="51">
        <v>34095.480000000003</v>
      </c>
      <c r="BW249" s="32">
        <f t="shared" si="213"/>
        <v>5345523449.8800001</v>
      </c>
      <c r="BX249">
        <v>9069</v>
      </c>
      <c r="BY249" s="37">
        <f t="shared" si="214"/>
        <v>3.42053452216615E-2</v>
      </c>
      <c r="BZ249">
        <v>5.5138000000000001E-3</v>
      </c>
      <c r="CA249" s="3">
        <f t="shared" si="215"/>
        <v>5.5138E-5</v>
      </c>
      <c r="CB249" s="11">
        <f>+'Seat capacity elasticities'!AF279</f>
        <v>4.4150099079666182E-2</v>
      </c>
      <c r="CC249" s="11">
        <f>+'Seat capacity elasticities'!AG279</f>
        <v>3.5279593674375977E-2</v>
      </c>
      <c r="CD249" s="11">
        <f>+'Seat capacity elasticities'!AH279</f>
        <v>0.12113384585034766</v>
      </c>
      <c r="CE249" s="11">
        <f>+'Seat capacity elasticities'!AI279</f>
        <v>4.1778466193339976E-2</v>
      </c>
      <c r="CF249" s="32">
        <f t="shared" si="240"/>
        <v>2360053.8994488097</v>
      </c>
      <c r="CG249" s="33">
        <f t="shared" si="241"/>
        <v>4.4150099079666178E-4</v>
      </c>
      <c r="CH249" s="40">
        <f t="shared" si="242"/>
        <v>1885878.9528861491</v>
      </c>
      <c r="CI249" s="33">
        <f t="shared" si="243"/>
        <v>3.527959367437598E-4</v>
      </c>
      <c r="CJ249" s="40">
        <f t="shared" si="244"/>
        <v>10985628.48016803</v>
      </c>
      <c r="CK249" s="41">
        <f t="shared" si="245"/>
        <v>1.2113384585034767E-3</v>
      </c>
      <c r="CL249" s="40">
        <f t="shared" si="246"/>
        <v>3788889.0990740019</v>
      </c>
      <c r="CM249" s="41">
        <f t="shared" si="247"/>
        <v>4.1778466193339973E-4</v>
      </c>
      <c r="CO249" s="70">
        <f t="shared" si="248"/>
        <v>0</v>
      </c>
      <c r="CP249" s="70">
        <f t="shared" si="249"/>
        <v>0</v>
      </c>
      <c r="CQ249" s="70">
        <f t="shared" si="250"/>
        <v>0</v>
      </c>
      <c r="CR249" s="70">
        <f t="shared" si="251"/>
        <v>0</v>
      </c>
      <c r="CS249" s="70">
        <f t="shared" si="252"/>
        <v>0</v>
      </c>
      <c r="CT249" s="70">
        <f t="shared" si="253"/>
        <v>0</v>
      </c>
      <c r="CU249" s="69">
        <f t="shared" si="254"/>
        <v>0</v>
      </c>
      <c r="CV249" s="69">
        <f t="shared" si="255"/>
        <v>0</v>
      </c>
      <c r="CW249" s="70">
        <f t="shared" si="256"/>
        <v>0</v>
      </c>
      <c r="CX249" s="69">
        <f t="shared" si="257"/>
        <v>0</v>
      </c>
      <c r="CY249" s="69">
        <f t="shared" si="258"/>
        <v>0</v>
      </c>
      <c r="CZ249" s="70">
        <f t="shared" si="259"/>
        <v>0</v>
      </c>
      <c r="DB249" s="70">
        <f t="shared" si="260"/>
        <v>4.0302128174620346</v>
      </c>
      <c r="DC249" s="70">
        <f t="shared" si="261"/>
        <v>15.053188201687766</v>
      </c>
      <c r="DD249" s="70">
        <f t="shared" si="262"/>
        <v>19.0834010191498</v>
      </c>
      <c r="DE249" s="70">
        <f t="shared" si="263"/>
        <v>7.638368087625949</v>
      </c>
      <c r="DF249" s="70">
        <f t="shared" si="264"/>
        <v>12.028746805328128</v>
      </c>
      <c r="DG249" s="70">
        <f t="shared" si="265"/>
        <v>19.667114892954075</v>
      </c>
      <c r="DH249" s="69">
        <f t="shared" si="266"/>
        <v>18.759919304804626</v>
      </c>
      <c r="DI249" s="69">
        <f t="shared" si="267"/>
        <v>70.069896736007735</v>
      </c>
      <c r="DJ249" s="70">
        <f t="shared" si="268"/>
        <v>88.829816040812361</v>
      </c>
      <c r="DK249" s="69">
        <f t="shared" si="269"/>
        <v>15.346122579940509</v>
      </c>
      <c r="DL249" s="69">
        <f t="shared" si="270"/>
        <v>24.166761910397319</v>
      </c>
      <c r="DM249" s="70">
        <f t="shared" si="271"/>
        <v>39.512884490337825</v>
      </c>
    </row>
    <row r="250" spans="1:117">
      <c r="A250" t="s">
        <v>494</v>
      </c>
      <c r="B250">
        <v>403655</v>
      </c>
      <c r="C250">
        <v>265036</v>
      </c>
      <c r="D250" s="51">
        <v>40883.230000000003</v>
      </c>
      <c r="E250" s="32">
        <f t="shared" si="204"/>
        <v>10835527746.280001</v>
      </c>
      <c r="F250">
        <v>16784</v>
      </c>
      <c r="G250" s="37">
        <f t="shared" si="205"/>
        <v>4.1580062181813676E-2</v>
      </c>
      <c r="H250">
        <v>0</v>
      </c>
      <c r="I250" s="3">
        <f t="shared" si="206"/>
        <v>0</v>
      </c>
      <c r="J250" s="11">
        <f>+'Seat capacity elasticities'!K280</f>
        <v>0</v>
      </c>
      <c r="K250" s="11">
        <f>+'Seat capacity elasticities'!L280</f>
        <v>0</v>
      </c>
      <c r="L250" s="11">
        <f>+'Seat capacity elasticities'!M280</f>
        <v>0</v>
      </c>
      <c r="M250" s="11">
        <f>+'Seat capacity elasticities'!N280</f>
        <v>0</v>
      </c>
      <c r="N250" s="32">
        <f t="shared" si="216"/>
        <v>0</v>
      </c>
      <c r="O250" s="33">
        <f t="shared" si="217"/>
        <v>0</v>
      </c>
      <c r="P250" s="40">
        <f t="shared" si="218"/>
        <v>0</v>
      </c>
      <c r="Q250" s="33">
        <f t="shared" si="219"/>
        <v>0</v>
      </c>
      <c r="R250" s="40">
        <f t="shared" si="220"/>
        <v>0</v>
      </c>
      <c r="S250" s="41">
        <f t="shared" si="221"/>
        <v>0</v>
      </c>
      <c r="T250" s="40">
        <f t="shared" si="222"/>
        <v>0</v>
      </c>
      <c r="U250" s="41">
        <f t="shared" si="223"/>
        <v>0</v>
      </c>
      <c r="V250" s="53"/>
      <c r="W250" s="53"/>
      <c r="X250" t="s">
        <v>494</v>
      </c>
      <c r="Y250">
        <v>403655</v>
      </c>
      <c r="Z250">
        <v>265036</v>
      </c>
      <c r="AA250" s="51">
        <v>40883.230000000003</v>
      </c>
      <c r="AB250" s="32">
        <f t="shared" si="207"/>
        <v>10835527746.280001</v>
      </c>
      <c r="AC250">
        <v>16784</v>
      </c>
      <c r="AD250" s="37">
        <f t="shared" si="208"/>
        <v>4.1580062181813676E-2</v>
      </c>
      <c r="AE250">
        <v>1.29613E-2</v>
      </c>
      <c r="AF250" s="3">
        <f t="shared" si="209"/>
        <v>1.2961299999999999E-4</v>
      </c>
      <c r="AG250" s="11">
        <f>+'Seat capacity elasticities'!R280</f>
        <v>2.1753505183066287E-2</v>
      </c>
      <c r="AH250" s="11">
        <f>+'Seat capacity elasticities'!S280</f>
        <v>4.1228909566362992E-2</v>
      </c>
      <c r="AI250" s="11">
        <f>+'Seat capacity elasticities'!T280</f>
        <v>5.9684707361481508E-2</v>
      </c>
      <c r="AJ250" s="11">
        <f>+'Seat capacity elasticities'!U280</f>
        <v>4.8823708697008812E-2</v>
      </c>
      <c r="AK250" s="32">
        <f t="shared" si="224"/>
        <v>2357107.0898996056</v>
      </c>
      <c r="AL250" s="33">
        <f t="shared" si="225"/>
        <v>2.1753505183066287E-4</v>
      </c>
      <c r="AM250" s="40">
        <f t="shared" si="226"/>
        <v>4467369.9355519516</v>
      </c>
      <c r="AN250" s="33">
        <f t="shared" si="227"/>
        <v>4.1228909566362994E-4</v>
      </c>
      <c r="AO250" s="40">
        <f t="shared" si="228"/>
        <v>10017481.283551054</v>
      </c>
      <c r="AP250" s="41">
        <f t="shared" si="229"/>
        <v>5.9684707361481494E-4</v>
      </c>
      <c r="AQ250" s="40">
        <f t="shared" si="230"/>
        <v>8194571.2677059583</v>
      </c>
      <c r="AR250" s="41">
        <f t="shared" si="231"/>
        <v>4.8823708697008807E-4</v>
      </c>
      <c r="AV250" t="s">
        <v>494</v>
      </c>
      <c r="AW250">
        <v>403655</v>
      </c>
      <c r="AX250">
        <v>265036</v>
      </c>
      <c r="AY250" s="51">
        <v>40883.230000000003</v>
      </c>
      <c r="AZ250" s="32">
        <f t="shared" si="210"/>
        <v>10835527746.280001</v>
      </c>
      <c r="BA250">
        <v>16784</v>
      </c>
      <c r="BB250" s="37">
        <f t="shared" si="211"/>
        <v>4.1580062181813676E-2</v>
      </c>
      <c r="BC250">
        <v>0</v>
      </c>
      <c r="BD250" s="3">
        <f t="shared" si="212"/>
        <v>0</v>
      </c>
      <c r="BE250" s="11">
        <f>+'Seat capacity elasticities'!Y280</f>
        <v>0</v>
      </c>
      <c r="BF250" s="11">
        <f>+'Seat capacity elasticities'!Z280</f>
        <v>0</v>
      </c>
      <c r="BG250" s="11">
        <f>+'Seat capacity elasticities'!AA280</f>
        <v>0</v>
      </c>
      <c r="BH250" s="11">
        <f>+'Seat capacity elasticities'!AB280</f>
        <v>0</v>
      </c>
      <c r="BI250" s="32">
        <f t="shared" si="232"/>
        <v>0</v>
      </c>
      <c r="BJ250" s="33">
        <f t="shared" si="233"/>
        <v>0</v>
      </c>
      <c r="BK250" s="40">
        <f t="shared" si="234"/>
        <v>0</v>
      </c>
      <c r="BL250" s="33">
        <f t="shared" si="235"/>
        <v>0</v>
      </c>
      <c r="BM250" s="40">
        <f t="shared" si="236"/>
        <v>0</v>
      </c>
      <c r="BN250" s="41">
        <f t="shared" si="237"/>
        <v>0</v>
      </c>
      <c r="BO250" s="40">
        <f t="shared" si="238"/>
        <v>0</v>
      </c>
      <c r="BP250" s="41">
        <f t="shared" si="239"/>
        <v>0</v>
      </c>
      <c r="BQ250" s="53"/>
      <c r="BR250" s="53"/>
      <c r="BS250" t="s">
        <v>494</v>
      </c>
      <c r="BT250">
        <v>403655</v>
      </c>
      <c r="BU250">
        <v>265036</v>
      </c>
      <c r="BV250" s="51">
        <v>40883.230000000003</v>
      </c>
      <c r="BW250" s="32">
        <f t="shared" si="213"/>
        <v>10835527746.280001</v>
      </c>
      <c r="BX250">
        <v>16784</v>
      </c>
      <c r="BY250" s="37">
        <f t="shared" si="214"/>
        <v>4.1580062181813676E-2</v>
      </c>
      <c r="BZ250">
        <v>1.29613E-2</v>
      </c>
      <c r="CA250" s="3">
        <f t="shared" si="215"/>
        <v>1.2961299999999999E-4</v>
      </c>
      <c r="CB250" s="11">
        <f>+'Seat capacity elasticities'!AF280</f>
        <v>6.8168592001446565E-2</v>
      </c>
      <c r="CC250" s="11">
        <f>+'Seat capacity elasticities'!AG280</f>
        <v>5.4472363081807487E-2</v>
      </c>
      <c r="CD250" s="11">
        <f>+'Seat capacity elasticities'!AH280</f>
        <v>0.18703296000396893</v>
      </c>
      <c r="CE250" s="11">
        <f>+'Seat capacity elasticities'!AI280</f>
        <v>6.4506745754772027E-2</v>
      </c>
      <c r="CF250" s="32">
        <f t="shared" si="240"/>
        <v>7386426.7005651519</v>
      </c>
      <c r="CG250" s="33">
        <f t="shared" si="241"/>
        <v>6.8168592001446567E-4</v>
      </c>
      <c r="CH250" s="40">
        <f t="shared" si="242"/>
        <v>5902368.015783634</v>
      </c>
      <c r="CI250" s="33">
        <f t="shared" si="243"/>
        <v>5.4472363081807485E-4</v>
      </c>
      <c r="CJ250" s="40">
        <f t="shared" si="244"/>
        <v>31391612.007066146</v>
      </c>
      <c r="CK250" s="41">
        <f t="shared" si="245"/>
        <v>1.8703296000396892E-3</v>
      </c>
      <c r="CL250" s="40">
        <f t="shared" si="246"/>
        <v>10826812.207480937</v>
      </c>
      <c r="CM250" s="41">
        <f t="shared" si="247"/>
        <v>6.4506745754772034E-4</v>
      </c>
      <c r="CO250" s="70">
        <f t="shared" si="248"/>
        <v>0</v>
      </c>
      <c r="CP250" s="70">
        <f t="shared" si="249"/>
        <v>0</v>
      </c>
      <c r="CQ250" s="70">
        <f t="shared" si="250"/>
        <v>0</v>
      </c>
      <c r="CR250" s="70">
        <f t="shared" si="251"/>
        <v>0</v>
      </c>
      <c r="CS250" s="70">
        <f t="shared" si="252"/>
        <v>0</v>
      </c>
      <c r="CT250" s="70">
        <f t="shared" si="253"/>
        <v>0</v>
      </c>
      <c r="CU250" s="69">
        <f t="shared" si="254"/>
        <v>0</v>
      </c>
      <c r="CV250" s="69">
        <f t="shared" si="255"/>
        <v>0</v>
      </c>
      <c r="CW250" s="70">
        <f t="shared" si="256"/>
        <v>0</v>
      </c>
      <c r="CX250" s="69">
        <f t="shared" si="257"/>
        <v>0</v>
      </c>
      <c r="CY250" s="69">
        <f t="shared" si="258"/>
        <v>0</v>
      </c>
      <c r="CZ250" s="70">
        <f t="shared" si="259"/>
        <v>0</v>
      </c>
      <c r="DB250" s="70">
        <f t="shared" si="260"/>
        <v>8.8935355570549124</v>
      </c>
      <c r="DC250" s="70">
        <f t="shared" si="261"/>
        <v>27.869522255713004</v>
      </c>
      <c r="DD250" s="70">
        <f t="shared" si="262"/>
        <v>36.763057812767919</v>
      </c>
      <c r="DE250" s="70">
        <f t="shared" si="263"/>
        <v>16.855709924508187</v>
      </c>
      <c r="DF250" s="70">
        <f t="shared" si="264"/>
        <v>22.270061485170444</v>
      </c>
      <c r="DG250" s="70">
        <f t="shared" si="265"/>
        <v>39.125771409678634</v>
      </c>
      <c r="DH250" s="69">
        <f t="shared" si="266"/>
        <v>37.796681520816243</v>
      </c>
      <c r="DI250" s="69">
        <f t="shared" si="267"/>
        <v>118.44282288846098</v>
      </c>
      <c r="DJ250" s="70">
        <f t="shared" si="268"/>
        <v>156.23950440927723</v>
      </c>
      <c r="DK250" s="69">
        <f t="shared" si="269"/>
        <v>30.918710166565894</v>
      </c>
      <c r="DL250" s="69">
        <f t="shared" si="270"/>
        <v>40.850345641652218</v>
      </c>
      <c r="DM250" s="70">
        <f t="shared" si="271"/>
        <v>71.769055808218113</v>
      </c>
    </row>
    <row r="251" spans="1:117">
      <c r="A251" t="s">
        <v>495</v>
      </c>
      <c r="B251">
        <v>252929</v>
      </c>
      <c r="C251">
        <v>145801</v>
      </c>
      <c r="D251" s="51">
        <v>39533.06</v>
      </c>
      <c r="E251" s="32">
        <f t="shared" si="204"/>
        <v>5763959681.0599995</v>
      </c>
      <c r="F251">
        <v>8567</v>
      </c>
      <c r="G251" s="37">
        <f t="shared" si="205"/>
        <v>3.38711654258705E-2</v>
      </c>
      <c r="H251">
        <v>0</v>
      </c>
      <c r="I251" s="3">
        <f t="shared" si="206"/>
        <v>0</v>
      </c>
      <c r="J251" s="11">
        <f>+'Seat capacity elasticities'!K281</f>
        <v>0</v>
      </c>
      <c r="K251" s="11">
        <f>+'Seat capacity elasticities'!L281</f>
        <v>0</v>
      </c>
      <c r="L251" s="11">
        <f>+'Seat capacity elasticities'!M281</f>
        <v>0</v>
      </c>
      <c r="M251" s="11">
        <f>+'Seat capacity elasticities'!N281</f>
        <v>0</v>
      </c>
      <c r="N251" s="32">
        <f t="shared" si="216"/>
        <v>0</v>
      </c>
      <c r="O251" s="33">
        <f t="shared" si="217"/>
        <v>0</v>
      </c>
      <c r="P251" s="40">
        <f t="shared" si="218"/>
        <v>0</v>
      </c>
      <c r="Q251" s="33">
        <f t="shared" si="219"/>
        <v>0</v>
      </c>
      <c r="R251" s="40">
        <f t="shared" si="220"/>
        <v>0</v>
      </c>
      <c r="S251" s="41">
        <f t="shared" si="221"/>
        <v>0</v>
      </c>
      <c r="T251" s="40">
        <f t="shared" si="222"/>
        <v>0</v>
      </c>
      <c r="U251" s="41">
        <f t="shared" si="223"/>
        <v>0</v>
      </c>
      <c r="V251" s="53"/>
      <c r="W251" s="53"/>
      <c r="X251" t="s">
        <v>495</v>
      </c>
      <c r="Y251">
        <v>252929</v>
      </c>
      <c r="Z251">
        <v>145801</v>
      </c>
      <c r="AA251" s="51">
        <v>39533.06</v>
      </c>
      <c r="AB251" s="32">
        <f t="shared" si="207"/>
        <v>5763959681.0599995</v>
      </c>
      <c r="AC251">
        <v>8567</v>
      </c>
      <c r="AD251" s="37">
        <f t="shared" si="208"/>
        <v>3.38711654258705E-2</v>
      </c>
      <c r="AE251">
        <v>1.55362E-2</v>
      </c>
      <c r="AF251" s="3">
        <f t="shared" si="209"/>
        <v>1.5536200000000001E-4</v>
      </c>
      <c r="AG251" s="11">
        <f>+'Seat capacity elasticities'!R281</f>
        <v>2.2475886043274714E-2</v>
      </c>
      <c r="AH251" s="11">
        <f>+'Seat capacity elasticities'!S281</f>
        <v>4.2598021114472903E-2</v>
      </c>
      <c r="AI251" s="11">
        <f>+'Seat capacity elasticities'!T281</f>
        <v>6.1666690949056982E-2</v>
      </c>
      <c r="AJ251" s="11">
        <f>+'Seat capacity elasticities'!U281</f>
        <v>5.044502500398107E-2</v>
      </c>
      <c r="AK251" s="32">
        <f t="shared" si="224"/>
        <v>1295501.0094953461</v>
      </c>
      <c r="AL251" s="33">
        <f t="shared" si="225"/>
        <v>2.2475886043274714E-4</v>
      </c>
      <c r="AM251" s="40">
        <f t="shared" si="226"/>
        <v>2455332.7619676436</v>
      </c>
      <c r="AN251" s="33">
        <f t="shared" si="227"/>
        <v>4.2598021114472904E-4</v>
      </c>
      <c r="AO251" s="40">
        <f t="shared" si="228"/>
        <v>5282985.4136057114</v>
      </c>
      <c r="AP251" s="41">
        <f t="shared" si="229"/>
        <v>6.1666690949056975E-4</v>
      </c>
      <c r="AQ251" s="40">
        <f t="shared" si="230"/>
        <v>4321625.2920910586</v>
      </c>
      <c r="AR251" s="41">
        <f t="shared" si="231"/>
        <v>5.0445025003981073E-4</v>
      </c>
      <c r="AV251" t="s">
        <v>495</v>
      </c>
      <c r="AW251">
        <v>252929</v>
      </c>
      <c r="AX251">
        <v>145801</v>
      </c>
      <c r="AY251" s="51">
        <v>39533.06</v>
      </c>
      <c r="AZ251" s="32">
        <f t="shared" si="210"/>
        <v>5763959681.0599995</v>
      </c>
      <c r="BA251">
        <v>8567</v>
      </c>
      <c r="BB251" s="37">
        <f t="shared" si="211"/>
        <v>3.38711654258705E-2</v>
      </c>
      <c r="BC251">
        <v>0</v>
      </c>
      <c r="BD251" s="3">
        <f t="shared" si="212"/>
        <v>0</v>
      </c>
      <c r="BE251" s="11">
        <f>+'Seat capacity elasticities'!Y281</f>
        <v>0</v>
      </c>
      <c r="BF251" s="11">
        <f>+'Seat capacity elasticities'!Z281</f>
        <v>0</v>
      </c>
      <c r="BG251" s="11">
        <f>+'Seat capacity elasticities'!AA281</f>
        <v>0</v>
      </c>
      <c r="BH251" s="11">
        <f>+'Seat capacity elasticities'!AB281</f>
        <v>0</v>
      </c>
      <c r="BI251" s="32">
        <f t="shared" si="232"/>
        <v>0</v>
      </c>
      <c r="BJ251" s="33">
        <f t="shared" si="233"/>
        <v>0</v>
      </c>
      <c r="BK251" s="40">
        <f t="shared" si="234"/>
        <v>0</v>
      </c>
      <c r="BL251" s="33">
        <f t="shared" si="235"/>
        <v>0</v>
      </c>
      <c r="BM251" s="40">
        <f t="shared" si="236"/>
        <v>0</v>
      </c>
      <c r="BN251" s="41">
        <f t="shared" si="237"/>
        <v>0</v>
      </c>
      <c r="BO251" s="40">
        <f t="shared" si="238"/>
        <v>0</v>
      </c>
      <c r="BP251" s="41">
        <f t="shared" si="239"/>
        <v>0</v>
      </c>
      <c r="BQ251" s="53"/>
      <c r="BR251" s="53"/>
      <c r="BS251" t="s">
        <v>495</v>
      </c>
      <c r="BT251">
        <v>252929</v>
      </c>
      <c r="BU251">
        <v>145801</v>
      </c>
      <c r="BV251" s="51">
        <v>39533.06</v>
      </c>
      <c r="BW251" s="32">
        <f t="shared" si="213"/>
        <v>5763959681.0599995</v>
      </c>
      <c r="BX251">
        <v>8567</v>
      </c>
      <c r="BY251" s="37">
        <f t="shared" si="214"/>
        <v>3.38711654258705E-2</v>
      </c>
      <c r="BZ251">
        <v>1.55362E-2</v>
      </c>
      <c r="CA251" s="3">
        <f t="shared" si="215"/>
        <v>1.5536200000000001E-4</v>
      </c>
      <c r="CB251" s="11">
        <f>+'Seat capacity elasticities'!AF281</f>
        <v>0.13040440857275276</v>
      </c>
      <c r="CC251" s="11">
        <f>+'Seat capacity elasticities'!AG281</f>
        <v>0.10420394616765179</v>
      </c>
      <c r="CD251" s="11">
        <f>+'Seat capacity elasticities'!AH281</f>
        <v>0.35778826900827476</v>
      </c>
      <c r="CE251" s="11">
        <f>+'Seat capacity elasticities'!AI281</f>
        <v>0.12339940993537712</v>
      </c>
      <c r="CF251" s="32">
        <f t="shared" si="240"/>
        <v>7516457.5324582187</v>
      </c>
      <c r="CG251" s="33">
        <f t="shared" si="241"/>
        <v>1.3040440857275276E-3</v>
      </c>
      <c r="CH251" s="40">
        <f t="shared" si="242"/>
        <v>6006273.4431769159</v>
      </c>
      <c r="CI251" s="33">
        <f t="shared" si="243"/>
        <v>1.042039461676518E-3</v>
      </c>
      <c r="CJ251" s="40">
        <f t="shared" si="244"/>
        <v>30651721.005938899</v>
      </c>
      <c r="CK251" s="41">
        <f t="shared" si="245"/>
        <v>3.5778826900827476E-3</v>
      </c>
      <c r="CL251" s="40">
        <f t="shared" si="246"/>
        <v>10571627.449163759</v>
      </c>
      <c r="CM251" s="41">
        <f t="shared" si="247"/>
        <v>1.2339940993537715E-3</v>
      </c>
      <c r="CO251" s="70">
        <f t="shared" si="248"/>
        <v>0</v>
      </c>
      <c r="CP251" s="70">
        <f t="shared" si="249"/>
        <v>0</v>
      </c>
      <c r="CQ251" s="70">
        <f t="shared" si="250"/>
        <v>0</v>
      </c>
      <c r="CR251" s="70">
        <f t="shared" si="251"/>
        <v>0</v>
      </c>
      <c r="CS251" s="70">
        <f t="shared" si="252"/>
        <v>0</v>
      </c>
      <c r="CT251" s="70">
        <f t="shared" si="253"/>
        <v>0</v>
      </c>
      <c r="CU251" s="69">
        <f t="shared" si="254"/>
        <v>0</v>
      </c>
      <c r="CV251" s="69">
        <f t="shared" si="255"/>
        <v>0</v>
      </c>
      <c r="CW251" s="70">
        <f t="shared" si="256"/>
        <v>0</v>
      </c>
      <c r="CX251" s="69">
        <f t="shared" si="257"/>
        <v>0</v>
      </c>
      <c r="CY251" s="69">
        <f t="shared" si="258"/>
        <v>0</v>
      </c>
      <c r="CZ251" s="70">
        <f t="shared" si="259"/>
        <v>0</v>
      </c>
      <c r="DB251" s="70">
        <f t="shared" si="260"/>
        <v>8.8854055150194178</v>
      </c>
      <c r="DC251" s="70">
        <f t="shared" si="261"/>
        <v>51.55285308371149</v>
      </c>
      <c r="DD251" s="70">
        <f t="shared" si="262"/>
        <v>60.438258598730911</v>
      </c>
      <c r="DE251" s="70">
        <f t="shared" si="263"/>
        <v>16.840301245997239</v>
      </c>
      <c r="DF251" s="70">
        <f t="shared" si="264"/>
        <v>41.195008560825478</v>
      </c>
      <c r="DG251" s="70">
        <f t="shared" si="265"/>
        <v>58.035309806822717</v>
      </c>
      <c r="DH251" s="69">
        <f t="shared" si="266"/>
        <v>36.2342193373551</v>
      </c>
      <c r="DI251" s="69">
        <f t="shared" si="267"/>
        <v>210.22984071397931</v>
      </c>
      <c r="DJ251" s="70">
        <f t="shared" si="268"/>
        <v>246.4640600513344</v>
      </c>
      <c r="DK251" s="69">
        <f t="shared" si="269"/>
        <v>29.640573741545385</v>
      </c>
      <c r="DL251" s="69">
        <f t="shared" si="270"/>
        <v>72.507235541345807</v>
      </c>
      <c r="DM251" s="70">
        <f t="shared" si="271"/>
        <v>102.14780928289119</v>
      </c>
    </row>
    <row r="252" spans="1:117">
      <c r="A252" t="s">
        <v>496</v>
      </c>
      <c r="B252">
        <v>145362</v>
      </c>
      <c r="C252">
        <v>94627</v>
      </c>
      <c r="D252" s="51">
        <v>34556.25</v>
      </c>
      <c r="E252" s="32">
        <f t="shared" si="204"/>
        <v>3269954268.75</v>
      </c>
      <c r="F252">
        <v>5514</v>
      </c>
      <c r="G252" s="37">
        <f t="shared" si="205"/>
        <v>3.7932884797952697E-2</v>
      </c>
      <c r="H252">
        <v>0</v>
      </c>
      <c r="I252" s="3">
        <f t="shared" si="206"/>
        <v>0</v>
      </c>
      <c r="J252" s="11">
        <f>+'Seat capacity elasticities'!K282</f>
        <v>0</v>
      </c>
      <c r="K252" s="11">
        <f>+'Seat capacity elasticities'!L282</f>
        <v>0</v>
      </c>
      <c r="L252" s="11">
        <f>+'Seat capacity elasticities'!M282</f>
        <v>0</v>
      </c>
      <c r="M252" s="11">
        <f>+'Seat capacity elasticities'!N282</f>
        <v>0</v>
      </c>
      <c r="N252" s="32">
        <f t="shared" si="216"/>
        <v>0</v>
      </c>
      <c r="O252" s="33">
        <f t="shared" si="217"/>
        <v>0</v>
      </c>
      <c r="P252" s="40">
        <f t="shared" si="218"/>
        <v>0</v>
      </c>
      <c r="Q252" s="33">
        <f t="shared" si="219"/>
        <v>0</v>
      </c>
      <c r="R252" s="40">
        <f t="shared" si="220"/>
        <v>0</v>
      </c>
      <c r="S252" s="41">
        <f t="shared" si="221"/>
        <v>0</v>
      </c>
      <c r="T252" s="40">
        <f t="shared" si="222"/>
        <v>0</v>
      </c>
      <c r="U252" s="41">
        <f t="shared" si="223"/>
        <v>0</v>
      </c>
      <c r="V252" s="53"/>
      <c r="W252" s="53"/>
      <c r="X252" t="s">
        <v>496</v>
      </c>
      <c r="Y252">
        <v>145362</v>
      </c>
      <c r="Z252">
        <v>94627</v>
      </c>
      <c r="AA252" s="51">
        <v>34556.25</v>
      </c>
      <c r="AB252" s="32">
        <f t="shared" si="207"/>
        <v>3269954268.75</v>
      </c>
      <c r="AC252">
        <v>5514</v>
      </c>
      <c r="AD252" s="37">
        <f t="shared" si="208"/>
        <v>3.7932884797952697E-2</v>
      </c>
      <c r="AE252">
        <v>5.3987000000000002E-3</v>
      </c>
      <c r="AF252" s="3">
        <f t="shared" si="209"/>
        <v>5.3987000000000003E-5</v>
      </c>
      <c r="AG252" s="11">
        <f>+'Seat capacity elasticities'!R282</f>
        <v>1.3122404758978688E-2</v>
      </c>
      <c r="AH252" s="11">
        <f>+'Seat capacity elasticities'!S282</f>
        <v>2.4870586811099073E-2</v>
      </c>
      <c r="AI252" s="11">
        <f>+'Seat capacity elasticities'!T282</f>
        <v>3.6003709808028167E-2</v>
      </c>
      <c r="AJ252" s="11">
        <f>+'Seat capacity elasticities'!U282</f>
        <v>2.9452010697354168E-2</v>
      </c>
      <c r="AK252" s="32">
        <f t="shared" si="224"/>
        <v>429096.63457887678</v>
      </c>
      <c r="AL252" s="33">
        <f t="shared" si="225"/>
        <v>1.3122404758978689E-4</v>
      </c>
      <c r="AM252" s="40">
        <f t="shared" si="226"/>
        <v>813256.81509270868</v>
      </c>
      <c r="AN252" s="33">
        <f t="shared" si="227"/>
        <v>2.4870586811099075E-4</v>
      </c>
      <c r="AO252" s="40">
        <f t="shared" si="228"/>
        <v>1985244.5588146735</v>
      </c>
      <c r="AP252" s="41">
        <f t="shared" si="229"/>
        <v>3.6003709808028175E-4</v>
      </c>
      <c r="AQ252" s="40">
        <f t="shared" si="230"/>
        <v>1623983.8698521089</v>
      </c>
      <c r="AR252" s="41">
        <f t="shared" si="231"/>
        <v>2.9452010697354172E-4</v>
      </c>
      <c r="AV252" t="s">
        <v>496</v>
      </c>
      <c r="AW252">
        <v>145362</v>
      </c>
      <c r="AX252">
        <v>94627</v>
      </c>
      <c r="AY252" s="51">
        <v>34556.25</v>
      </c>
      <c r="AZ252" s="32">
        <f t="shared" si="210"/>
        <v>3269954268.75</v>
      </c>
      <c r="BA252">
        <v>5514</v>
      </c>
      <c r="BB252" s="37">
        <f t="shared" si="211"/>
        <v>3.7932884797952697E-2</v>
      </c>
      <c r="BC252">
        <v>0</v>
      </c>
      <c r="BD252" s="3">
        <f t="shared" si="212"/>
        <v>0</v>
      </c>
      <c r="BE252" s="11">
        <f>+'Seat capacity elasticities'!Y282</f>
        <v>0</v>
      </c>
      <c r="BF252" s="11">
        <f>+'Seat capacity elasticities'!Z282</f>
        <v>0</v>
      </c>
      <c r="BG252" s="11">
        <f>+'Seat capacity elasticities'!AA282</f>
        <v>0</v>
      </c>
      <c r="BH252" s="11">
        <f>+'Seat capacity elasticities'!AB282</f>
        <v>0</v>
      </c>
      <c r="BI252" s="32">
        <f t="shared" si="232"/>
        <v>0</v>
      </c>
      <c r="BJ252" s="33">
        <f t="shared" si="233"/>
        <v>0</v>
      </c>
      <c r="BK252" s="40">
        <f t="shared" si="234"/>
        <v>0</v>
      </c>
      <c r="BL252" s="33">
        <f t="shared" si="235"/>
        <v>0</v>
      </c>
      <c r="BM252" s="40">
        <f t="shared" si="236"/>
        <v>0</v>
      </c>
      <c r="BN252" s="41">
        <f t="shared" si="237"/>
        <v>0</v>
      </c>
      <c r="BO252" s="40">
        <f t="shared" si="238"/>
        <v>0</v>
      </c>
      <c r="BP252" s="41">
        <f t="shared" si="239"/>
        <v>0</v>
      </c>
      <c r="BQ252" s="53"/>
      <c r="BR252" s="53"/>
      <c r="BS252" t="s">
        <v>496</v>
      </c>
      <c r="BT252">
        <v>145362</v>
      </c>
      <c r="BU252">
        <v>94627</v>
      </c>
      <c r="BV252" s="51">
        <v>34556.25</v>
      </c>
      <c r="BW252" s="32">
        <f t="shared" si="213"/>
        <v>3269954268.75</v>
      </c>
      <c r="BX252">
        <v>5514</v>
      </c>
      <c r="BY252" s="37">
        <f t="shared" si="214"/>
        <v>3.7932884797952697E-2</v>
      </c>
      <c r="BZ252">
        <v>5.3987000000000002E-3</v>
      </c>
      <c r="CA252" s="3">
        <f t="shared" si="215"/>
        <v>5.3987000000000003E-5</v>
      </c>
      <c r="CB252" s="11">
        <f>+'Seat capacity elasticities'!AF282</f>
        <v>7.8846859990171325E-2</v>
      </c>
      <c r="CC252" s="11">
        <f>+'Seat capacity elasticities'!AG282</f>
        <v>6.3005185513497333E-2</v>
      </c>
      <c r="CD252" s="11">
        <f>+'Seat capacity elasticities'!AH282</f>
        <v>0.2163307349910838</v>
      </c>
      <c r="CE252" s="11">
        <f>+'Seat capacity elasticities'!AI282</f>
        <v>7.4611403897562642E-2</v>
      </c>
      <c r="CF252" s="32">
        <f t="shared" si="240"/>
        <v>2578256.2640239429</v>
      </c>
      <c r="CG252" s="33">
        <f t="shared" si="241"/>
        <v>7.8846859990171323E-4</v>
      </c>
      <c r="CH252" s="40">
        <f t="shared" si="242"/>
        <v>2060240.7532324626</v>
      </c>
      <c r="CI252" s="33">
        <f t="shared" si="243"/>
        <v>6.3005185513497332E-4</v>
      </c>
      <c r="CJ252" s="40">
        <f t="shared" si="244"/>
        <v>11928476.727408359</v>
      </c>
      <c r="CK252" s="41">
        <f t="shared" si="245"/>
        <v>2.1633073499108379E-3</v>
      </c>
      <c r="CL252" s="40">
        <f t="shared" si="246"/>
        <v>4114072.8109116037</v>
      </c>
      <c r="CM252" s="41">
        <f t="shared" si="247"/>
        <v>7.4611403897562642E-4</v>
      </c>
      <c r="CO252" s="70">
        <f t="shared" si="248"/>
        <v>0</v>
      </c>
      <c r="CP252" s="70">
        <f t="shared" si="249"/>
        <v>0</v>
      </c>
      <c r="CQ252" s="70">
        <f t="shared" si="250"/>
        <v>0</v>
      </c>
      <c r="CR252" s="70">
        <f t="shared" si="251"/>
        <v>0</v>
      </c>
      <c r="CS252" s="70">
        <f t="shared" si="252"/>
        <v>0</v>
      </c>
      <c r="CT252" s="70">
        <f t="shared" si="253"/>
        <v>0</v>
      </c>
      <c r="CU252" s="69">
        <f t="shared" si="254"/>
        <v>0</v>
      </c>
      <c r="CV252" s="69">
        <f t="shared" si="255"/>
        <v>0</v>
      </c>
      <c r="CW252" s="70">
        <f t="shared" si="256"/>
        <v>0</v>
      </c>
      <c r="CX252" s="69">
        <f t="shared" si="257"/>
        <v>0</v>
      </c>
      <c r="CY252" s="69">
        <f t="shared" si="258"/>
        <v>0</v>
      </c>
      <c r="CZ252" s="70">
        <f t="shared" si="259"/>
        <v>0</v>
      </c>
      <c r="DB252" s="70">
        <f t="shared" si="260"/>
        <v>4.5346109945245727</v>
      </c>
      <c r="DC252" s="70">
        <f t="shared" si="261"/>
        <v>27.246518055353576</v>
      </c>
      <c r="DD252" s="70">
        <f t="shared" si="262"/>
        <v>31.78112904987815</v>
      </c>
      <c r="DE252" s="70">
        <f t="shared" si="263"/>
        <v>8.5943421549104233</v>
      </c>
      <c r="DF252" s="70">
        <f t="shared" si="264"/>
        <v>21.772229419007921</v>
      </c>
      <c r="DG252" s="70">
        <f t="shared" si="265"/>
        <v>30.366571573918343</v>
      </c>
      <c r="DH252" s="69">
        <f t="shared" si="266"/>
        <v>20.979684010004263</v>
      </c>
      <c r="DI252" s="69">
        <f t="shared" si="267"/>
        <v>126.05785586997747</v>
      </c>
      <c r="DJ252" s="70">
        <f t="shared" si="268"/>
        <v>147.03753987998175</v>
      </c>
      <c r="DK252" s="69">
        <f t="shared" si="269"/>
        <v>17.161950287466674</v>
      </c>
      <c r="DL252" s="69">
        <f t="shared" si="270"/>
        <v>43.476732971684655</v>
      </c>
      <c r="DM252" s="70">
        <f t="shared" si="271"/>
        <v>60.638683259151328</v>
      </c>
    </row>
    <row r="253" spans="1:117">
      <c r="A253" t="s">
        <v>497</v>
      </c>
      <c r="B253">
        <v>466424</v>
      </c>
      <c r="C253">
        <v>282137</v>
      </c>
      <c r="D253" s="51">
        <v>42048.5</v>
      </c>
      <c r="E253" s="32">
        <f t="shared" si="204"/>
        <v>11863437644.5</v>
      </c>
      <c r="F253">
        <v>18173</v>
      </c>
      <c r="G253" s="37">
        <f t="shared" si="205"/>
        <v>3.8962403306862424E-2</v>
      </c>
      <c r="H253">
        <v>0</v>
      </c>
      <c r="I253" s="3">
        <f t="shared" si="206"/>
        <v>0</v>
      </c>
      <c r="J253" s="11">
        <f>+'Seat capacity elasticities'!K283</f>
        <v>0</v>
      </c>
      <c r="K253" s="11">
        <f>+'Seat capacity elasticities'!L283</f>
        <v>0</v>
      </c>
      <c r="L253" s="11">
        <f>+'Seat capacity elasticities'!M283</f>
        <v>0</v>
      </c>
      <c r="M253" s="11">
        <f>+'Seat capacity elasticities'!N283</f>
        <v>0</v>
      </c>
      <c r="N253" s="32">
        <f t="shared" si="216"/>
        <v>0</v>
      </c>
      <c r="O253" s="33">
        <f t="shared" si="217"/>
        <v>0</v>
      </c>
      <c r="P253" s="40">
        <f t="shared" si="218"/>
        <v>0</v>
      </c>
      <c r="Q253" s="33">
        <f t="shared" si="219"/>
        <v>0</v>
      </c>
      <c r="R253" s="40">
        <f t="shared" si="220"/>
        <v>0</v>
      </c>
      <c r="S253" s="41">
        <f t="shared" si="221"/>
        <v>0</v>
      </c>
      <c r="T253" s="40">
        <f t="shared" si="222"/>
        <v>0</v>
      </c>
      <c r="U253" s="41">
        <f t="shared" si="223"/>
        <v>0</v>
      </c>
      <c r="V253" s="53"/>
      <c r="W253" s="53"/>
      <c r="X253" t="s">
        <v>497</v>
      </c>
      <c r="Y253">
        <v>466424</v>
      </c>
      <c r="Z253">
        <v>282137</v>
      </c>
      <c r="AA253" s="51">
        <v>42048.5</v>
      </c>
      <c r="AB253" s="32">
        <f t="shared" si="207"/>
        <v>11863437644.5</v>
      </c>
      <c r="AC253">
        <v>18173</v>
      </c>
      <c r="AD253" s="37">
        <f t="shared" si="208"/>
        <v>3.8962403306862424E-2</v>
      </c>
      <c r="AE253">
        <v>7.1495999999999999E-3</v>
      </c>
      <c r="AF253" s="3">
        <f t="shared" si="209"/>
        <v>7.1495999999999994E-5</v>
      </c>
      <c r="AG253" s="11">
        <f>+'Seat capacity elasticities'!R283</f>
        <v>1.5215616536986696E-2</v>
      </c>
      <c r="AH253" s="11">
        <f>+'Seat capacity elasticities'!S283</f>
        <v>2.8837802134444653E-2</v>
      </c>
      <c r="AI253" s="11">
        <f>+'Seat capacity elasticities'!T283</f>
        <v>4.1746817935414758E-2</v>
      </c>
      <c r="AJ253" s="11">
        <f>+'Seat capacity elasticities'!U283</f>
        <v>3.4150028843421304E-2</v>
      </c>
      <c r="AK253" s="32">
        <f t="shared" si="224"/>
        <v>1805095.180091647</v>
      </c>
      <c r="AL253" s="33">
        <f t="shared" si="225"/>
        <v>1.5215616536986697E-4</v>
      </c>
      <c r="AM253" s="40">
        <f t="shared" si="226"/>
        <v>3421154.6742641316</v>
      </c>
      <c r="AN253" s="33">
        <f t="shared" si="227"/>
        <v>2.8837802134444655E-4</v>
      </c>
      <c r="AO253" s="40">
        <f t="shared" si="228"/>
        <v>7586649.2234029239</v>
      </c>
      <c r="AP253" s="41">
        <f t="shared" si="229"/>
        <v>4.1746817935414758E-4</v>
      </c>
      <c r="AQ253" s="40">
        <f t="shared" si="230"/>
        <v>6206084.7417149534</v>
      </c>
      <c r="AR253" s="41">
        <f t="shared" si="231"/>
        <v>3.4150028843421304E-4</v>
      </c>
      <c r="AV253" t="s">
        <v>497</v>
      </c>
      <c r="AW253">
        <v>466424</v>
      </c>
      <c r="AX253">
        <v>282137</v>
      </c>
      <c r="AY253" s="51">
        <v>42048.5</v>
      </c>
      <c r="AZ253" s="32">
        <f t="shared" si="210"/>
        <v>11863437644.5</v>
      </c>
      <c r="BA253">
        <v>18173</v>
      </c>
      <c r="BB253" s="37">
        <f t="shared" si="211"/>
        <v>3.8962403306862424E-2</v>
      </c>
      <c r="BC253">
        <v>0</v>
      </c>
      <c r="BD253" s="3">
        <f t="shared" si="212"/>
        <v>0</v>
      </c>
      <c r="BE253" s="11">
        <f>+'Seat capacity elasticities'!Y283</f>
        <v>0</v>
      </c>
      <c r="BF253" s="11">
        <f>+'Seat capacity elasticities'!Z283</f>
        <v>0</v>
      </c>
      <c r="BG253" s="11">
        <f>+'Seat capacity elasticities'!AA283</f>
        <v>0</v>
      </c>
      <c r="BH253" s="11">
        <f>+'Seat capacity elasticities'!AB283</f>
        <v>0</v>
      </c>
      <c r="BI253" s="32">
        <f t="shared" si="232"/>
        <v>0</v>
      </c>
      <c r="BJ253" s="33">
        <f t="shared" si="233"/>
        <v>0</v>
      </c>
      <c r="BK253" s="40">
        <f t="shared" si="234"/>
        <v>0</v>
      </c>
      <c r="BL253" s="33">
        <f t="shared" si="235"/>
        <v>0</v>
      </c>
      <c r="BM253" s="40">
        <f t="shared" si="236"/>
        <v>0</v>
      </c>
      <c r="BN253" s="41">
        <f t="shared" si="237"/>
        <v>0</v>
      </c>
      <c r="BO253" s="40">
        <f t="shared" si="238"/>
        <v>0</v>
      </c>
      <c r="BP253" s="41">
        <f t="shared" si="239"/>
        <v>0</v>
      </c>
      <c r="BQ253" s="53"/>
      <c r="BR253" s="53"/>
      <c r="BS253" t="s">
        <v>497</v>
      </c>
      <c r="BT253">
        <v>466424</v>
      </c>
      <c r="BU253">
        <v>282137</v>
      </c>
      <c r="BV253" s="51">
        <v>42048.5</v>
      </c>
      <c r="BW253" s="32">
        <f t="shared" si="213"/>
        <v>11863437644.5</v>
      </c>
      <c r="BX253">
        <v>18173</v>
      </c>
      <c r="BY253" s="37">
        <f t="shared" si="214"/>
        <v>3.8962403306862424E-2</v>
      </c>
      <c r="BZ253">
        <v>7.1495999999999999E-3</v>
      </c>
      <c r="CA253" s="3">
        <f t="shared" si="215"/>
        <v>7.1495999999999994E-5</v>
      </c>
      <c r="CB253" s="11">
        <f>+'Seat capacity elasticities'!AF283</f>
        <v>3.254220325188556E-2</v>
      </c>
      <c r="CC253" s="11">
        <f>+'Seat capacity elasticities'!AG283</f>
        <v>2.6003921439085469E-2</v>
      </c>
      <c r="CD253" s="11">
        <f>+'Seat capacity elasticities'!AH283</f>
        <v>8.9285467405895408E-2</v>
      </c>
      <c r="CE253" s="11">
        <f>+'Seat capacity elasticities'!AI283</f>
        <v>3.0794117493653843E-2</v>
      </c>
      <c r="CF253" s="32">
        <f t="shared" si="240"/>
        <v>3860623.9909338951</v>
      </c>
      <c r="CG253" s="33">
        <f t="shared" si="241"/>
        <v>3.2542203251885563E-4</v>
      </c>
      <c r="CH253" s="40">
        <f t="shared" si="242"/>
        <v>3084959.0050506718</v>
      </c>
      <c r="CI253" s="33">
        <f t="shared" si="243"/>
        <v>2.6003921439085467E-4</v>
      </c>
      <c r="CJ253" s="40">
        <f t="shared" si="244"/>
        <v>16225847.991673373</v>
      </c>
      <c r="CK253" s="41">
        <f t="shared" si="245"/>
        <v>8.9285467405895405E-4</v>
      </c>
      <c r="CL253" s="40">
        <f t="shared" si="246"/>
        <v>5596214.9721217137</v>
      </c>
      <c r="CM253" s="41">
        <f t="shared" si="247"/>
        <v>3.0794117493653845E-4</v>
      </c>
      <c r="CO253" s="70">
        <f t="shared" si="248"/>
        <v>0</v>
      </c>
      <c r="CP253" s="70">
        <f t="shared" si="249"/>
        <v>0</v>
      </c>
      <c r="CQ253" s="70">
        <f t="shared" si="250"/>
        <v>0</v>
      </c>
      <c r="CR253" s="70">
        <f t="shared" si="251"/>
        <v>0</v>
      </c>
      <c r="CS253" s="70">
        <f t="shared" si="252"/>
        <v>0</v>
      </c>
      <c r="CT253" s="70">
        <f t="shared" si="253"/>
        <v>0</v>
      </c>
      <c r="CU253" s="69">
        <f t="shared" si="254"/>
        <v>0</v>
      </c>
      <c r="CV253" s="69">
        <f t="shared" si="255"/>
        <v>0</v>
      </c>
      <c r="CW253" s="70">
        <f t="shared" si="256"/>
        <v>0</v>
      </c>
      <c r="CX253" s="69">
        <f t="shared" si="257"/>
        <v>0</v>
      </c>
      <c r="CY253" s="69">
        <f t="shared" si="258"/>
        <v>0</v>
      </c>
      <c r="CZ253" s="70">
        <f t="shared" si="259"/>
        <v>0</v>
      </c>
      <c r="DB253" s="70">
        <f t="shared" si="260"/>
        <v>6.3979385195548506</v>
      </c>
      <c r="DC253" s="70">
        <f t="shared" si="261"/>
        <v>13.683508334369101</v>
      </c>
      <c r="DD253" s="70">
        <f t="shared" si="262"/>
        <v>20.08144685392395</v>
      </c>
      <c r="DE253" s="70">
        <f t="shared" si="263"/>
        <v>12.12586323050196</v>
      </c>
      <c r="DF253" s="70">
        <f t="shared" si="264"/>
        <v>10.934258906313854</v>
      </c>
      <c r="DG253" s="70">
        <f t="shared" si="265"/>
        <v>23.060122136815814</v>
      </c>
      <c r="DH253" s="69">
        <f t="shared" si="266"/>
        <v>26.889947874270032</v>
      </c>
      <c r="DI253" s="69">
        <f t="shared" si="267"/>
        <v>57.510528543485513</v>
      </c>
      <c r="DJ253" s="70">
        <f t="shared" si="268"/>
        <v>84.400476417755542</v>
      </c>
      <c r="DK253" s="69">
        <f t="shared" si="269"/>
        <v>21.996706357957141</v>
      </c>
      <c r="DL253" s="69">
        <f t="shared" si="270"/>
        <v>19.835097743726323</v>
      </c>
      <c r="DM253" s="70">
        <f t="shared" si="271"/>
        <v>41.83180410168346</v>
      </c>
    </row>
    <row r="254" spans="1:117">
      <c r="A254" t="s">
        <v>498</v>
      </c>
      <c r="B254">
        <v>334562</v>
      </c>
      <c r="C254">
        <v>212887</v>
      </c>
      <c r="D254" s="51">
        <v>34542.33</v>
      </c>
      <c r="E254" s="32">
        <f t="shared" si="204"/>
        <v>7353613006.71</v>
      </c>
      <c r="F254">
        <v>10897</v>
      </c>
      <c r="G254" s="37">
        <f t="shared" si="205"/>
        <v>3.2570943502250704E-2</v>
      </c>
      <c r="H254">
        <v>0</v>
      </c>
      <c r="I254" s="3">
        <f t="shared" si="206"/>
        <v>0</v>
      </c>
      <c r="J254" s="11">
        <f>+'Seat capacity elasticities'!K284</f>
        <v>0</v>
      </c>
      <c r="K254" s="11">
        <f>+'Seat capacity elasticities'!L284</f>
        <v>0</v>
      </c>
      <c r="L254" s="11">
        <f>+'Seat capacity elasticities'!M284</f>
        <v>0</v>
      </c>
      <c r="M254" s="11">
        <f>+'Seat capacity elasticities'!N284</f>
        <v>0</v>
      </c>
      <c r="N254" s="32">
        <f t="shared" si="216"/>
        <v>0</v>
      </c>
      <c r="O254" s="33">
        <f t="shared" si="217"/>
        <v>0</v>
      </c>
      <c r="P254" s="40">
        <f t="shared" si="218"/>
        <v>0</v>
      </c>
      <c r="Q254" s="33">
        <f t="shared" si="219"/>
        <v>0</v>
      </c>
      <c r="R254" s="40">
        <f t="shared" si="220"/>
        <v>0</v>
      </c>
      <c r="S254" s="41">
        <f t="shared" si="221"/>
        <v>0</v>
      </c>
      <c r="T254" s="40">
        <f t="shared" si="222"/>
        <v>0</v>
      </c>
      <c r="U254" s="41">
        <f t="shared" si="223"/>
        <v>0</v>
      </c>
      <c r="V254" s="53"/>
      <c r="W254" s="53"/>
      <c r="X254" t="s">
        <v>498</v>
      </c>
      <c r="Y254">
        <v>334562</v>
      </c>
      <c r="Z254">
        <v>212887</v>
      </c>
      <c r="AA254" s="51">
        <v>34542.33</v>
      </c>
      <c r="AB254" s="32">
        <f t="shared" si="207"/>
        <v>7353613006.71</v>
      </c>
      <c r="AC254">
        <v>10897</v>
      </c>
      <c r="AD254" s="37">
        <f t="shared" si="208"/>
        <v>3.2570943502250704E-2</v>
      </c>
      <c r="AE254">
        <v>5.4443E-3</v>
      </c>
      <c r="AF254" s="3">
        <f t="shared" si="209"/>
        <v>5.4443E-5</v>
      </c>
      <c r="AG254" s="11">
        <f>+'Seat capacity elasticities'!R284</f>
        <v>1.1014013606919481E-2</v>
      </c>
      <c r="AH254" s="11">
        <f>+'Seat capacity elasticities'!S284</f>
        <v>2.0874602375154667E-2</v>
      </c>
      <c r="AI254" s="11">
        <f>+'Seat capacity elasticities'!T284</f>
        <v>3.0218954300573309E-2</v>
      </c>
      <c r="AJ254" s="11">
        <f>+'Seat capacity elasticities'!U284</f>
        <v>2.4719923865314738E-2</v>
      </c>
      <c r="AK254" s="32">
        <f t="shared" si="224"/>
        <v>809927.93715924025</v>
      </c>
      <c r="AL254" s="33">
        <f t="shared" si="225"/>
        <v>1.1014013606919482E-4</v>
      </c>
      <c r="AM254" s="40">
        <f t="shared" si="226"/>
        <v>1535037.4753583681</v>
      </c>
      <c r="AN254" s="33">
        <f t="shared" si="227"/>
        <v>2.0874602375154665E-4</v>
      </c>
      <c r="AO254" s="40">
        <f t="shared" si="228"/>
        <v>3292959.4501334736</v>
      </c>
      <c r="AP254" s="41">
        <f t="shared" si="229"/>
        <v>3.0218954300573311E-4</v>
      </c>
      <c r="AQ254" s="40">
        <f t="shared" si="230"/>
        <v>2693730.1036033472</v>
      </c>
      <c r="AR254" s="41">
        <f t="shared" si="231"/>
        <v>2.471992386531474E-4</v>
      </c>
      <c r="AV254" t="s">
        <v>498</v>
      </c>
      <c r="AW254">
        <v>334562</v>
      </c>
      <c r="AX254">
        <v>212887</v>
      </c>
      <c r="AY254" s="51">
        <v>34542.33</v>
      </c>
      <c r="AZ254" s="32">
        <f t="shared" si="210"/>
        <v>7353613006.71</v>
      </c>
      <c r="BA254">
        <v>10897</v>
      </c>
      <c r="BB254" s="37">
        <f t="shared" si="211"/>
        <v>3.2570943502250704E-2</v>
      </c>
      <c r="BC254">
        <v>0</v>
      </c>
      <c r="BD254" s="3">
        <f t="shared" si="212"/>
        <v>0</v>
      </c>
      <c r="BE254" s="11">
        <f>+'Seat capacity elasticities'!Y284</f>
        <v>0</v>
      </c>
      <c r="BF254" s="11">
        <f>+'Seat capacity elasticities'!Z284</f>
        <v>0</v>
      </c>
      <c r="BG254" s="11">
        <f>+'Seat capacity elasticities'!AA284</f>
        <v>0</v>
      </c>
      <c r="BH254" s="11">
        <f>+'Seat capacity elasticities'!AB284</f>
        <v>0</v>
      </c>
      <c r="BI254" s="32">
        <f t="shared" si="232"/>
        <v>0</v>
      </c>
      <c r="BJ254" s="33">
        <f t="shared" si="233"/>
        <v>0</v>
      </c>
      <c r="BK254" s="40">
        <f t="shared" si="234"/>
        <v>0</v>
      </c>
      <c r="BL254" s="33">
        <f t="shared" si="235"/>
        <v>0</v>
      </c>
      <c r="BM254" s="40">
        <f t="shared" si="236"/>
        <v>0</v>
      </c>
      <c r="BN254" s="41">
        <f t="shared" si="237"/>
        <v>0</v>
      </c>
      <c r="BO254" s="40">
        <f t="shared" si="238"/>
        <v>0</v>
      </c>
      <c r="BP254" s="41">
        <f t="shared" si="239"/>
        <v>0</v>
      </c>
      <c r="BQ254" s="53"/>
      <c r="BR254" s="53"/>
      <c r="BS254" t="s">
        <v>498</v>
      </c>
      <c r="BT254">
        <v>334562</v>
      </c>
      <c r="BU254">
        <v>212887</v>
      </c>
      <c r="BV254" s="51">
        <v>34542.33</v>
      </c>
      <c r="BW254" s="32">
        <f t="shared" si="213"/>
        <v>7353613006.71</v>
      </c>
      <c r="BX254">
        <v>10897</v>
      </c>
      <c r="BY254" s="37">
        <f t="shared" si="214"/>
        <v>3.2570943502250704E-2</v>
      </c>
      <c r="BZ254">
        <v>5.4443E-3</v>
      </c>
      <c r="CA254" s="3">
        <f t="shared" si="215"/>
        <v>5.4443E-5</v>
      </c>
      <c r="CB254" s="11">
        <f>+'Seat capacity elasticities'!AF284</f>
        <v>3.4547094987689798E-2</v>
      </c>
      <c r="CC254" s="11">
        <f>+'Seat capacity elasticities'!AG284</f>
        <v>2.7605996344345744E-2</v>
      </c>
      <c r="CD254" s="11">
        <f>+'Seat capacity elasticities'!AH284</f>
        <v>9.4786253395827608E-2</v>
      </c>
      <c r="CE254" s="11">
        <f>+'Seat capacity elasticities'!AI284</f>
        <v>3.2691311460409433E-2</v>
      </c>
      <c r="CF254" s="32">
        <f t="shared" si="240"/>
        <v>2540459.6704552155</v>
      </c>
      <c r="CG254" s="33">
        <f t="shared" si="241"/>
        <v>3.4547094987689796E-4</v>
      </c>
      <c r="CH254" s="40">
        <f t="shared" si="242"/>
        <v>2030038.1378096959</v>
      </c>
      <c r="CI254" s="33">
        <f t="shared" si="243"/>
        <v>2.7605996344345744E-4</v>
      </c>
      <c r="CJ254" s="40">
        <f t="shared" si="244"/>
        <v>10328858.032543333</v>
      </c>
      <c r="CK254" s="41">
        <f t="shared" si="245"/>
        <v>9.4786253395827598E-4</v>
      </c>
      <c r="CL254" s="40">
        <f t="shared" si="246"/>
        <v>3562372.209840816</v>
      </c>
      <c r="CM254" s="41">
        <f t="shared" si="247"/>
        <v>3.2691311460409435E-4</v>
      </c>
      <c r="CO254" s="70">
        <f t="shared" si="248"/>
        <v>0</v>
      </c>
      <c r="CP254" s="70">
        <f t="shared" si="249"/>
        <v>0</v>
      </c>
      <c r="CQ254" s="70">
        <f t="shared" si="250"/>
        <v>0</v>
      </c>
      <c r="CR254" s="70">
        <f t="shared" si="251"/>
        <v>0</v>
      </c>
      <c r="CS254" s="70">
        <f t="shared" si="252"/>
        <v>0</v>
      </c>
      <c r="CT254" s="70">
        <f t="shared" si="253"/>
        <v>0</v>
      </c>
      <c r="CU254" s="69">
        <f t="shared" si="254"/>
        <v>0</v>
      </c>
      <c r="CV254" s="69">
        <f t="shared" si="255"/>
        <v>0</v>
      </c>
      <c r="CW254" s="70">
        <f t="shared" si="256"/>
        <v>0</v>
      </c>
      <c r="CX254" s="69">
        <f t="shared" si="257"/>
        <v>0</v>
      </c>
      <c r="CY254" s="69">
        <f t="shared" si="258"/>
        <v>0</v>
      </c>
      <c r="CZ254" s="70">
        <f t="shared" si="259"/>
        <v>0</v>
      </c>
      <c r="DB254" s="70">
        <f t="shared" si="260"/>
        <v>3.8044969263470305</v>
      </c>
      <c r="DC254" s="70">
        <f t="shared" si="261"/>
        <v>11.933371556061269</v>
      </c>
      <c r="DD254" s="70">
        <f t="shared" si="262"/>
        <v>15.737868482408299</v>
      </c>
      <c r="DE254" s="70">
        <f t="shared" si="263"/>
        <v>7.2105740386137631</v>
      </c>
      <c r="DF254" s="70">
        <f t="shared" si="264"/>
        <v>9.5357543570518448</v>
      </c>
      <c r="DG254" s="70">
        <f t="shared" si="265"/>
        <v>16.746328395665607</v>
      </c>
      <c r="DH254" s="69">
        <f t="shared" si="266"/>
        <v>15.468109608071295</v>
      </c>
      <c r="DI254" s="69">
        <f t="shared" si="267"/>
        <v>48.518030845205828</v>
      </c>
      <c r="DJ254" s="70">
        <f t="shared" si="268"/>
        <v>63.986140453277123</v>
      </c>
      <c r="DK254" s="69">
        <f t="shared" si="269"/>
        <v>12.653333005788738</v>
      </c>
      <c r="DL254" s="69">
        <f t="shared" si="270"/>
        <v>16.733629624358539</v>
      </c>
      <c r="DM254" s="70">
        <f t="shared" si="271"/>
        <v>29.386962630147277</v>
      </c>
    </row>
    <row r="255" spans="1:117">
      <c r="A255" t="s">
        <v>499</v>
      </c>
      <c r="B255">
        <v>549321</v>
      </c>
      <c r="C255">
        <v>322332</v>
      </c>
      <c r="D255" s="51">
        <v>31606.3</v>
      </c>
      <c r="E255" s="32">
        <f t="shared" si="204"/>
        <v>10187721891.6</v>
      </c>
      <c r="F255">
        <v>16955</v>
      </c>
      <c r="G255" s="37">
        <f t="shared" si="205"/>
        <v>3.0865377438692495E-2</v>
      </c>
      <c r="H255">
        <v>0</v>
      </c>
      <c r="I255" s="3">
        <f t="shared" si="206"/>
        <v>0</v>
      </c>
      <c r="J255" s="11">
        <f>+'Seat capacity elasticities'!K285</f>
        <v>0</v>
      </c>
      <c r="K255" s="11">
        <f>+'Seat capacity elasticities'!L285</f>
        <v>0</v>
      </c>
      <c r="L255" s="11">
        <f>+'Seat capacity elasticities'!M285</f>
        <v>0</v>
      </c>
      <c r="M255" s="11">
        <f>+'Seat capacity elasticities'!N285</f>
        <v>0</v>
      </c>
      <c r="N255" s="32">
        <f t="shared" si="216"/>
        <v>0</v>
      </c>
      <c r="O255" s="33">
        <f t="shared" si="217"/>
        <v>0</v>
      </c>
      <c r="P255" s="40">
        <f t="shared" si="218"/>
        <v>0</v>
      </c>
      <c r="Q255" s="33">
        <f t="shared" si="219"/>
        <v>0</v>
      </c>
      <c r="R255" s="40">
        <f t="shared" si="220"/>
        <v>0</v>
      </c>
      <c r="S255" s="41">
        <f t="shared" si="221"/>
        <v>0</v>
      </c>
      <c r="T255" s="40">
        <f t="shared" si="222"/>
        <v>0</v>
      </c>
      <c r="U255" s="41">
        <f t="shared" si="223"/>
        <v>0</v>
      </c>
      <c r="V255" s="53"/>
      <c r="W255" s="53"/>
      <c r="X255" t="s">
        <v>499</v>
      </c>
      <c r="Y255">
        <v>549321</v>
      </c>
      <c r="Z255">
        <v>322332</v>
      </c>
      <c r="AA255" s="51">
        <v>31606.3</v>
      </c>
      <c r="AB255" s="32">
        <f t="shared" si="207"/>
        <v>10187721891.6</v>
      </c>
      <c r="AC255">
        <v>16955</v>
      </c>
      <c r="AD255" s="37">
        <f t="shared" si="208"/>
        <v>3.0865377438692495E-2</v>
      </c>
      <c r="AE255">
        <v>5.2439000000000001E-3</v>
      </c>
      <c r="AF255" s="3">
        <f t="shared" si="209"/>
        <v>5.2439000000000004E-5</v>
      </c>
      <c r="AG255" s="11">
        <f>+'Seat capacity elasticities'!R285</f>
        <v>7.2564977485206662E-3</v>
      </c>
      <c r="AH255" s="11">
        <f>+'Seat capacity elasticities'!S285</f>
        <v>1.375307045575192E-2</v>
      </c>
      <c r="AI255" s="11">
        <f>+'Seat capacity elasticities'!T285</f>
        <v>1.9909524508576557E-2</v>
      </c>
      <c r="AJ255" s="11">
        <f>+'Seat capacity elasticities'!U285</f>
        <v>1.6286530802864116E-2</v>
      </c>
      <c r="AK255" s="32">
        <f t="shared" si="224"/>
        <v>739271.80968950107</v>
      </c>
      <c r="AL255" s="33">
        <f t="shared" si="225"/>
        <v>7.256497748520666E-5</v>
      </c>
      <c r="AM255" s="40">
        <f t="shared" si="226"/>
        <v>1401124.5695878104</v>
      </c>
      <c r="AN255" s="33">
        <f t="shared" si="227"/>
        <v>1.3753070455751923E-4</v>
      </c>
      <c r="AO255" s="40">
        <f t="shared" si="228"/>
        <v>3375659.8804291557</v>
      </c>
      <c r="AP255" s="41">
        <f t="shared" si="229"/>
        <v>1.9909524508576558E-4</v>
      </c>
      <c r="AQ255" s="40">
        <f t="shared" si="230"/>
        <v>2761381.2976256106</v>
      </c>
      <c r="AR255" s="41">
        <f t="shared" si="231"/>
        <v>1.6286530802864116E-4</v>
      </c>
      <c r="AV255" t="s">
        <v>499</v>
      </c>
      <c r="AW255">
        <v>549321</v>
      </c>
      <c r="AX255">
        <v>322332</v>
      </c>
      <c r="AY255" s="51">
        <v>31606.3</v>
      </c>
      <c r="AZ255" s="32">
        <f t="shared" si="210"/>
        <v>10187721891.6</v>
      </c>
      <c r="BA255">
        <v>16955</v>
      </c>
      <c r="BB255" s="37">
        <f t="shared" si="211"/>
        <v>3.0865377438692495E-2</v>
      </c>
      <c r="BC255">
        <v>0</v>
      </c>
      <c r="BD255" s="3">
        <f t="shared" si="212"/>
        <v>0</v>
      </c>
      <c r="BE255" s="11">
        <f>+'Seat capacity elasticities'!Y285</f>
        <v>0</v>
      </c>
      <c r="BF255" s="11">
        <f>+'Seat capacity elasticities'!Z285</f>
        <v>0</v>
      </c>
      <c r="BG255" s="11">
        <f>+'Seat capacity elasticities'!AA285</f>
        <v>0</v>
      </c>
      <c r="BH255" s="11">
        <f>+'Seat capacity elasticities'!AB285</f>
        <v>0</v>
      </c>
      <c r="BI255" s="32">
        <f t="shared" si="232"/>
        <v>0</v>
      </c>
      <c r="BJ255" s="33">
        <f t="shared" si="233"/>
        <v>0</v>
      </c>
      <c r="BK255" s="40">
        <f t="shared" si="234"/>
        <v>0</v>
      </c>
      <c r="BL255" s="33">
        <f t="shared" si="235"/>
        <v>0</v>
      </c>
      <c r="BM255" s="40">
        <f t="shared" si="236"/>
        <v>0</v>
      </c>
      <c r="BN255" s="41">
        <f t="shared" si="237"/>
        <v>0</v>
      </c>
      <c r="BO255" s="40">
        <f t="shared" si="238"/>
        <v>0</v>
      </c>
      <c r="BP255" s="41">
        <f t="shared" si="239"/>
        <v>0</v>
      </c>
      <c r="BQ255" s="53"/>
      <c r="BR255" s="53"/>
      <c r="BS255" t="s">
        <v>499</v>
      </c>
      <c r="BT255">
        <v>549321</v>
      </c>
      <c r="BU255">
        <v>322332</v>
      </c>
      <c r="BV255" s="51">
        <v>31606.3</v>
      </c>
      <c r="BW255" s="32">
        <f t="shared" si="213"/>
        <v>10187721891.6</v>
      </c>
      <c r="BX255">
        <v>16955</v>
      </c>
      <c r="BY255" s="37">
        <f t="shared" si="214"/>
        <v>3.0865377438692495E-2</v>
      </c>
      <c r="BZ255">
        <v>5.2439000000000001E-3</v>
      </c>
      <c r="CA255" s="3">
        <f t="shared" si="215"/>
        <v>5.2439000000000004E-5</v>
      </c>
      <c r="CB255" s="11">
        <f>+'Seat capacity elasticities'!AF285</f>
        <v>2.0266292041678631E-2</v>
      </c>
      <c r="CC255" s="11">
        <f>+'Seat capacity elasticities'!AG285</f>
        <v>1.6194449467180391E-2</v>
      </c>
      <c r="CD255" s="11">
        <f>+'Seat capacity elasticities'!AH285</f>
        <v>5.5604266973558698E-2</v>
      </c>
      <c r="CE255" s="11">
        <f>+'Seat capacity elasticities'!AI285</f>
        <v>1.9177637526924148E-2</v>
      </c>
      <c r="CF255" s="32">
        <f t="shared" si="240"/>
        <v>2064673.4709456826</v>
      </c>
      <c r="CG255" s="33">
        <f t="shared" si="241"/>
        <v>2.0266292041678632E-4</v>
      </c>
      <c r="CH255" s="40">
        <f t="shared" si="242"/>
        <v>1649845.4735920364</v>
      </c>
      <c r="CI255" s="33">
        <f t="shared" si="243"/>
        <v>1.6194449467180392E-4</v>
      </c>
      <c r="CJ255" s="40">
        <f t="shared" si="244"/>
        <v>9427703.4653668776</v>
      </c>
      <c r="CK255" s="41">
        <f t="shared" si="245"/>
        <v>5.5604266973558695E-4</v>
      </c>
      <c r="CL255" s="40">
        <f t="shared" si="246"/>
        <v>3251568.4426899888</v>
      </c>
      <c r="CM255" s="41">
        <f t="shared" si="247"/>
        <v>1.9177637526924144E-4</v>
      </c>
      <c r="CO255" s="70">
        <f t="shared" si="248"/>
        <v>0</v>
      </c>
      <c r="CP255" s="70">
        <f t="shared" si="249"/>
        <v>0</v>
      </c>
      <c r="CQ255" s="70">
        <f t="shared" si="250"/>
        <v>0</v>
      </c>
      <c r="CR255" s="70">
        <f t="shared" si="251"/>
        <v>0</v>
      </c>
      <c r="CS255" s="70">
        <f t="shared" si="252"/>
        <v>0</v>
      </c>
      <c r="CT255" s="70">
        <f t="shared" si="253"/>
        <v>0</v>
      </c>
      <c r="CU255" s="69">
        <f t="shared" si="254"/>
        <v>0</v>
      </c>
      <c r="CV255" s="69">
        <f t="shared" si="255"/>
        <v>0</v>
      </c>
      <c r="CW255" s="70">
        <f t="shared" si="256"/>
        <v>0</v>
      </c>
      <c r="CX255" s="69">
        <f t="shared" si="257"/>
        <v>0</v>
      </c>
      <c r="CY255" s="69">
        <f t="shared" si="258"/>
        <v>0</v>
      </c>
      <c r="CZ255" s="70">
        <f t="shared" si="259"/>
        <v>0</v>
      </c>
      <c r="DB255" s="70">
        <f t="shared" si="260"/>
        <v>2.2935104478906876</v>
      </c>
      <c r="DC255" s="70">
        <f t="shared" si="261"/>
        <v>6.4054250615690735</v>
      </c>
      <c r="DD255" s="70">
        <f t="shared" si="262"/>
        <v>8.698935509459762</v>
      </c>
      <c r="DE255" s="70">
        <f t="shared" si="263"/>
        <v>4.3468367074563199</v>
      </c>
      <c r="DF255" s="70">
        <f t="shared" si="264"/>
        <v>5.1184662819454365</v>
      </c>
      <c r="DG255" s="70">
        <f t="shared" si="265"/>
        <v>9.4653029894017564</v>
      </c>
      <c r="DH255" s="69">
        <f t="shared" si="266"/>
        <v>10.472617923225604</v>
      </c>
      <c r="DI255" s="69">
        <f t="shared" si="267"/>
        <v>29.248425428957962</v>
      </c>
      <c r="DJ255" s="70">
        <f t="shared" si="268"/>
        <v>39.721043352183564</v>
      </c>
      <c r="DK255" s="69">
        <f t="shared" si="269"/>
        <v>8.5668853778886689</v>
      </c>
      <c r="DL255" s="69">
        <f t="shared" si="270"/>
        <v>10.087637723496236</v>
      </c>
      <c r="DM255" s="70">
        <f t="shared" si="271"/>
        <v>18.654523101384903</v>
      </c>
    </row>
    <row r="256" spans="1:117">
      <c r="A256" t="s">
        <v>331</v>
      </c>
      <c r="B256">
        <v>3356637</v>
      </c>
      <c r="C256">
        <v>2306396</v>
      </c>
      <c r="D256" s="51">
        <v>51606.48</v>
      </c>
      <c r="E256" s="32">
        <f t="shared" si="204"/>
        <v>119024979046.08</v>
      </c>
      <c r="F256">
        <v>194038</v>
      </c>
      <c r="G256" s="37">
        <f t="shared" si="205"/>
        <v>5.7807263639172185E-2</v>
      </c>
      <c r="H256">
        <v>1.7026000000000001E-3</v>
      </c>
      <c r="I256" s="3">
        <f t="shared" si="206"/>
        <v>1.7026000000000003E-5</v>
      </c>
      <c r="J256" s="11">
        <f>+'Seat capacity elasticities'!K286</f>
        <v>1.8585536267375553E-3</v>
      </c>
      <c r="K256" s="11">
        <f>+'Seat capacity elasticities'!L286</f>
        <v>9.2219074504569388E-3</v>
      </c>
      <c r="L256" s="11">
        <f>+'Seat capacity elasticities'!M286</f>
        <v>5.099280708738419E-3</v>
      </c>
      <c r="M256" s="11">
        <f>+'Seat capacity elasticities'!N286</f>
        <v>1.0920679875541111E-2</v>
      </c>
      <c r="N256" s="32">
        <f t="shared" si="216"/>
        <v>2212143.0647845347</v>
      </c>
      <c r="O256" s="33">
        <f t="shared" si="217"/>
        <v>1.858553626737555E-5</v>
      </c>
      <c r="P256" s="40">
        <f t="shared" si="218"/>
        <v>10976373.41055526</v>
      </c>
      <c r="Q256" s="33">
        <f t="shared" si="219"/>
        <v>9.2219074504569376E-5</v>
      </c>
      <c r="R256" s="40">
        <f t="shared" si="220"/>
        <v>9894542.3016218543</v>
      </c>
      <c r="S256" s="41">
        <f t="shared" si="221"/>
        <v>5.0992807087384191E-5</v>
      </c>
      <c r="T256" s="40">
        <f t="shared" si="222"/>
        <v>21190268.816902462</v>
      </c>
      <c r="U256" s="41">
        <f t="shared" si="223"/>
        <v>1.0920679875541111E-4</v>
      </c>
      <c r="V256" s="53"/>
      <c r="W256" s="53"/>
      <c r="X256" t="s">
        <v>331</v>
      </c>
      <c r="Y256">
        <v>3356637</v>
      </c>
      <c r="Z256">
        <v>2306396</v>
      </c>
      <c r="AA256" s="51">
        <v>51606.48</v>
      </c>
      <c r="AB256" s="32">
        <f t="shared" si="207"/>
        <v>119024979046.08</v>
      </c>
      <c r="AC256">
        <v>194038</v>
      </c>
      <c r="AD256" s="37">
        <f t="shared" si="208"/>
        <v>5.7807263639172185E-2</v>
      </c>
      <c r="AE256">
        <v>2.68749E-2</v>
      </c>
      <c r="AF256" s="3">
        <f t="shared" si="209"/>
        <v>2.6874899999999998E-4</v>
      </c>
      <c r="AG256" s="11">
        <f>+'Seat capacity elasticities'!R286</f>
        <v>2.6969302191403675E-2</v>
      </c>
      <c r="AH256" s="11">
        <f>+'Seat capacity elasticities'!S286</f>
        <v>5.1114287640543189E-2</v>
      </c>
      <c r="AI256" s="11">
        <f>+'Seat capacity elasticities'!T286</f>
        <v>7.3995197348255576E-2</v>
      </c>
      <c r="AJ256" s="11">
        <f>+'Seat capacity elasticities'!U286</f>
        <v>6.0530077469064303E-2</v>
      </c>
      <c r="AK256" s="32">
        <f t="shared" si="224"/>
        <v>32100206.282192215</v>
      </c>
      <c r="AL256" s="33">
        <f t="shared" si="225"/>
        <v>2.6969302191403671E-4</v>
      </c>
      <c r="AM256" s="40">
        <f t="shared" si="226"/>
        <v>60838770.15370959</v>
      </c>
      <c r="AN256" s="33">
        <f t="shared" si="227"/>
        <v>5.1114287640543186E-4</v>
      </c>
      <c r="AO256" s="40">
        <f t="shared" si="228"/>
        <v>143578801.03060815</v>
      </c>
      <c r="AP256" s="41">
        <f t="shared" si="229"/>
        <v>7.3995197348255572E-4</v>
      </c>
      <c r="AQ256" s="40">
        <f t="shared" si="230"/>
        <v>117451351.719423</v>
      </c>
      <c r="AR256" s="41">
        <f t="shared" si="231"/>
        <v>6.0530077469064304E-4</v>
      </c>
      <c r="AV256" t="s">
        <v>331</v>
      </c>
      <c r="AW256">
        <v>3356637</v>
      </c>
      <c r="AX256">
        <v>2306396</v>
      </c>
      <c r="AY256" s="51">
        <v>51606.48</v>
      </c>
      <c r="AZ256" s="32">
        <f t="shared" si="210"/>
        <v>119024979046.08</v>
      </c>
      <c r="BA256">
        <v>194038</v>
      </c>
      <c r="BB256" s="37">
        <f t="shared" si="211"/>
        <v>5.7807263639172185E-2</v>
      </c>
      <c r="BC256">
        <v>1.7026000000000001E-3</v>
      </c>
      <c r="BD256" s="3">
        <f t="shared" si="212"/>
        <v>1.7026000000000003E-5</v>
      </c>
      <c r="BE256" s="11">
        <f>+'Seat capacity elasticities'!Y286</f>
        <v>1.0259329699685708E-2</v>
      </c>
      <c r="BF256" s="11">
        <f>+'Seat capacity elasticities'!Z286</f>
        <v>2.7985839339863667E-2</v>
      </c>
      <c r="BG256" s="11">
        <f>+'Seat capacity elasticities'!AA286</f>
        <v>2.8148341414300136E-2</v>
      </c>
      <c r="BH256" s="11">
        <f>+'Seat capacity elasticities'!AB286</f>
        <v>3.3141125534049083E-2</v>
      </c>
      <c r="BI256" s="32">
        <f t="shared" si="232"/>
        <v>12211165.025319176</v>
      </c>
      <c r="BJ256" s="33">
        <f t="shared" si="233"/>
        <v>1.0259329699685708E-4</v>
      </c>
      <c r="BK256" s="40">
        <f t="shared" si="234"/>
        <v>33310139.41014234</v>
      </c>
      <c r="BL256" s="33">
        <f t="shared" si="235"/>
        <v>2.7985839339863665E-4</v>
      </c>
      <c r="BM256" s="40">
        <f t="shared" si="236"/>
        <v>54618478.713479705</v>
      </c>
      <c r="BN256" s="41">
        <f t="shared" si="237"/>
        <v>2.8148341414300143E-4</v>
      </c>
      <c r="BO256" s="40">
        <f t="shared" si="238"/>
        <v>64306377.163758159</v>
      </c>
      <c r="BP256" s="41">
        <f t="shared" si="239"/>
        <v>3.3141125534049082E-4</v>
      </c>
      <c r="BQ256" s="53"/>
      <c r="BR256" s="53"/>
      <c r="BS256" t="s">
        <v>331</v>
      </c>
      <c r="BT256">
        <v>3356637</v>
      </c>
      <c r="BU256">
        <v>2306396</v>
      </c>
      <c r="BV256" s="51">
        <v>51606.48</v>
      </c>
      <c r="BW256" s="32">
        <f t="shared" si="213"/>
        <v>119024979046.08</v>
      </c>
      <c r="BX256">
        <v>194038</v>
      </c>
      <c r="BY256" s="37">
        <f t="shared" si="214"/>
        <v>5.7807263639172185E-2</v>
      </c>
      <c r="BZ256">
        <v>2.68749E-2</v>
      </c>
      <c r="CA256" s="3">
        <f t="shared" si="215"/>
        <v>2.6874899999999998E-4</v>
      </c>
      <c r="CB256" s="11">
        <f>+'Seat capacity elasticities'!AF286</f>
        <v>1.6997638043264689E-2</v>
      </c>
      <c r="CC256" s="11">
        <f>+'Seat capacity elasticities'!AG286</f>
        <v>1.3582523620353051E-2</v>
      </c>
      <c r="CD256" s="11">
        <f>+'Seat capacity elasticities'!AH286</f>
        <v>4.6636118819065576E-2</v>
      </c>
      <c r="CE256" s="11">
        <f>+'Seat capacity elasticities'!AI286</f>
        <v>1.6084567445154928E-2</v>
      </c>
      <c r="CF256" s="32">
        <f t="shared" si="240"/>
        <v>20231435.119324319</v>
      </c>
      <c r="CG256" s="33">
        <f t="shared" si="241"/>
        <v>1.6997638043264688E-4</v>
      </c>
      <c r="CH256" s="40">
        <f t="shared" si="242"/>
        <v>16166595.893054085</v>
      </c>
      <c r="CI256" s="33">
        <f t="shared" si="243"/>
        <v>1.3582523620353051E-4</v>
      </c>
      <c r="CJ256" s="40">
        <f t="shared" si="244"/>
        <v>90491792.234138459</v>
      </c>
      <c r="CK256" s="41">
        <f t="shared" si="245"/>
        <v>4.6636118819065576E-4</v>
      </c>
      <c r="CL256" s="40">
        <f t="shared" si="246"/>
        <v>31210172.979229722</v>
      </c>
      <c r="CM256" s="41">
        <f t="shared" si="247"/>
        <v>1.6084567445154928E-4</v>
      </c>
      <c r="CO256" s="70">
        <f t="shared" si="248"/>
        <v>0.95913410567159096</v>
      </c>
      <c r="CP256" s="70">
        <f t="shared" si="249"/>
        <v>5.2944789296023647</v>
      </c>
      <c r="CQ256" s="70">
        <f t="shared" si="250"/>
        <v>6.2536130352739558</v>
      </c>
      <c r="CR256" s="70">
        <f t="shared" si="251"/>
        <v>4.7591018240385692</v>
      </c>
      <c r="CS256" s="70">
        <f t="shared" si="252"/>
        <v>14.442506581758874</v>
      </c>
      <c r="CT256" s="70">
        <f t="shared" si="253"/>
        <v>19.201608405797444</v>
      </c>
      <c r="CU256" s="69">
        <f t="shared" si="254"/>
        <v>4.2900448585680229</v>
      </c>
      <c r="CV256" s="69">
        <f t="shared" si="255"/>
        <v>23.681310023725199</v>
      </c>
      <c r="CW256" s="70">
        <f t="shared" si="256"/>
        <v>27.971354882293223</v>
      </c>
      <c r="CX256" s="69">
        <f t="shared" si="257"/>
        <v>9.1876108079022263</v>
      </c>
      <c r="CY256" s="69">
        <f t="shared" si="258"/>
        <v>27.881758884319154</v>
      </c>
      <c r="CZ256" s="70">
        <f t="shared" si="259"/>
        <v>37.069369692221379</v>
      </c>
      <c r="DB256" s="70">
        <f t="shared" si="260"/>
        <v>13.917907541546297</v>
      </c>
      <c r="DC256" s="70">
        <f t="shared" si="261"/>
        <v>8.7718826772697831</v>
      </c>
      <c r="DD256" s="70">
        <f t="shared" si="262"/>
        <v>22.689790218816078</v>
      </c>
      <c r="DE256" s="70">
        <f t="shared" si="263"/>
        <v>26.378284628359392</v>
      </c>
      <c r="DF256" s="70">
        <f t="shared" si="264"/>
        <v>7.0094623356327732</v>
      </c>
      <c r="DG256" s="70">
        <f t="shared" si="265"/>
        <v>33.387746963992164</v>
      </c>
      <c r="DH256" s="69">
        <f t="shared" si="266"/>
        <v>62.252449722687757</v>
      </c>
      <c r="DI256" s="69">
        <f t="shared" si="267"/>
        <v>39.235149659528744</v>
      </c>
      <c r="DJ256" s="70">
        <f t="shared" si="268"/>
        <v>101.4875993822165</v>
      </c>
      <c r="DK256" s="69">
        <f t="shared" si="269"/>
        <v>50.924191560956139</v>
      </c>
      <c r="DL256" s="69">
        <f t="shared" si="270"/>
        <v>13.532009671899241</v>
      </c>
      <c r="DM256" s="70">
        <f t="shared" si="271"/>
        <v>64.456201232855378</v>
      </c>
    </row>
    <row r="257" spans="1:117">
      <c r="A257" t="s">
        <v>500</v>
      </c>
      <c r="B257">
        <v>134293</v>
      </c>
      <c r="C257">
        <v>69017</v>
      </c>
      <c r="D257" s="51">
        <v>34252.230000000003</v>
      </c>
      <c r="E257" s="32">
        <f t="shared" si="204"/>
        <v>2363986157.9100003</v>
      </c>
      <c r="F257">
        <v>4079</v>
      </c>
      <c r="G257" s="37">
        <f t="shared" si="205"/>
        <v>3.0373883970125026E-2</v>
      </c>
      <c r="H257">
        <v>0</v>
      </c>
      <c r="I257" s="3">
        <f t="shared" si="206"/>
        <v>0</v>
      </c>
      <c r="J257" s="11">
        <f>+'Seat capacity elasticities'!K287</f>
        <v>0</v>
      </c>
      <c r="K257" s="11">
        <f>+'Seat capacity elasticities'!L287</f>
        <v>0</v>
      </c>
      <c r="L257" s="11">
        <f>+'Seat capacity elasticities'!M287</f>
        <v>0</v>
      </c>
      <c r="M257" s="11">
        <f>+'Seat capacity elasticities'!N287</f>
        <v>0</v>
      </c>
      <c r="N257" s="32">
        <f t="shared" si="216"/>
        <v>0</v>
      </c>
      <c r="O257" s="33">
        <f t="shared" si="217"/>
        <v>0</v>
      </c>
      <c r="P257" s="40">
        <f t="shared" si="218"/>
        <v>0</v>
      </c>
      <c r="Q257" s="33">
        <f t="shared" si="219"/>
        <v>0</v>
      </c>
      <c r="R257" s="40">
        <f t="shared" si="220"/>
        <v>0</v>
      </c>
      <c r="S257" s="41">
        <f t="shared" si="221"/>
        <v>0</v>
      </c>
      <c r="T257" s="40">
        <f t="shared" si="222"/>
        <v>0</v>
      </c>
      <c r="U257" s="41">
        <f t="shared" si="223"/>
        <v>0</v>
      </c>
      <c r="V257" s="53"/>
      <c r="W257" s="53"/>
      <c r="X257" t="s">
        <v>500</v>
      </c>
      <c r="Y257">
        <v>134293</v>
      </c>
      <c r="Z257">
        <v>69017</v>
      </c>
      <c r="AA257" s="51">
        <v>34252.230000000003</v>
      </c>
      <c r="AB257" s="32">
        <f t="shared" si="207"/>
        <v>2363986157.9100003</v>
      </c>
      <c r="AC257">
        <v>4079</v>
      </c>
      <c r="AD257" s="37">
        <f t="shared" si="208"/>
        <v>3.0373883970125026E-2</v>
      </c>
      <c r="AE257">
        <v>1.7691E-3</v>
      </c>
      <c r="AF257" s="3">
        <f t="shared" si="209"/>
        <v>1.7691000000000001E-5</v>
      </c>
      <c r="AG257" s="11">
        <f>+'Seat capacity elasticities'!R287</f>
        <v>7.2369425670775114E-3</v>
      </c>
      <c r="AH257" s="11">
        <f>+'Seat capacity elasticities'!S287</f>
        <v>1.3716007977751767E-2</v>
      </c>
      <c r="AI257" s="11">
        <f>+'Seat capacity elasticities'!T287</f>
        <v>1.9855871303172956E-2</v>
      </c>
      <c r="AJ257" s="11">
        <f>+'Seat capacity elasticities'!U287</f>
        <v>1.6242641026284987E-2</v>
      </c>
      <c r="AK257" s="32">
        <f t="shared" si="224"/>
        <v>171080.32054160902</v>
      </c>
      <c r="AL257" s="33">
        <f t="shared" si="225"/>
        <v>7.2369425670775115E-5</v>
      </c>
      <c r="AM257" s="40">
        <f t="shared" si="226"/>
        <v>324244.53001188318</v>
      </c>
      <c r="AN257" s="33">
        <f t="shared" si="227"/>
        <v>1.371600797775177E-4</v>
      </c>
      <c r="AO257" s="40">
        <f t="shared" si="228"/>
        <v>809920.990456425</v>
      </c>
      <c r="AP257" s="41">
        <f t="shared" si="229"/>
        <v>1.9855871303172957E-4</v>
      </c>
      <c r="AQ257" s="40">
        <f t="shared" si="230"/>
        <v>662537.32746216457</v>
      </c>
      <c r="AR257" s="41">
        <f t="shared" si="231"/>
        <v>1.6242641026284986E-4</v>
      </c>
      <c r="AV257" t="s">
        <v>500</v>
      </c>
      <c r="AW257">
        <v>134293</v>
      </c>
      <c r="AX257">
        <v>69017</v>
      </c>
      <c r="AY257" s="51">
        <v>34252.230000000003</v>
      </c>
      <c r="AZ257" s="32">
        <f t="shared" si="210"/>
        <v>2363986157.9100003</v>
      </c>
      <c r="BA257">
        <v>4079</v>
      </c>
      <c r="BB257" s="37">
        <f t="shared" si="211"/>
        <v>3.0373883970125026E-2</v>
      </c>
      <c r="BC257">
        <v>0</v>
      </c>
      <c r="BD257" s="3">
        <f t="shared" si="212"/>
        <v>0</v>
      </c>
      <c r="BE257" s="11">
        <f>+'Seat capacity elasticities'!Y287</f>
        <v>0</v>
      </c>
      <c r="BF257" s="11">
        <f>+'Seat capacity elasticities'!Z287</f>
        <v>0</v>
      </c>
      <c r="BG257" s="11">
        <f>+'Seat capacity elasticities'!AA287</f>
        <v>0</v>
      </c>
      <c r="BH257" s="11">
        <f>+'Seat capacity elasticities'!AB287</f>
        <v>0</v>
      </c>
      <c r="BI257" s="32">
        <f t="shared" si="232"/>
        <v>0</v>
      </c>
      <c r="BJ257" s="33">
        <f t="shared" si="233"/>
        <v>0</v>
      </c>
      <c r="BK257" s="40">
        <f t="shared" si="234"/>
        <v>0</v>
      </c>
      <c r="BL257" s="33">
        <f t="shared" si="235"/>
        <v>0</v>
      </c>
      <c r="BM257" s="40">
        <f t="shared" si="236"/>
        <v>0</v>
      </c>
      <c r="BN257" s="41">
        <f t="shared" si="237"/>
        <v>0</v>
      </c>
      <c r="BO257" s="40">
        <f t="shared" si="238"/>
        <v>0</v>
      </c>
      <c r="BP257" s="41">
        <f t="shared" si="239"/>
        <v>0</v>
      </c>
      <c r="BQ257" s="53"/>
      <c r="BR257" s="53"/>
      <c r="BS257" t="s">
        <v>500</v>
      </c>
      <c r="BT257">
        <v>134293</v>
      </c>
      <c r="BU257">
        <v>69017</v>
      </c>
      <c r="BV257" s="51">
        <v>34252.230000000003</v>
      </c>
      <c r="BW257" s="32">
        <f t="shared" si="213"/>
        <v>2363986157.9100003</v>
      </c>
      <c r="BX257">
        <v>4079</v>
      </c>
      <c r="BY257" s="37">
        <f t="shared" si="214"/>
        <v>3.0373883970125026E-2</v>
      </c>
      <c r="BZ257">
        <v>1.7691E-3</v>
      </c>
      <c r="CA257" s="3">
        <f t="shared" si="215"/>
        <v>1.7691000000000001E-5</v>
      </c>
      <c r="CB257" s="11">
        <f>+'Seat capacity elasticities'!AF287</f>
        <v>2.7966949885550336E-2</v>
      </c>
      <c r="CC257" s="11">
        <f>+'Seat capacity elasticities'!AG287</f>
        <v>2.2347914248017395E-2</v>
      </c>
      <c r="CD257" s="11">
        <f>+'Seat capacity elasticities'!AH287</f>
        <v>7.6732425678766272E-2</v>
      </c>
      <c r="CE257" s="11">
        <f>+'Seat capacity elasticities'!AI287</f>
        <v>2.6464635293704811E-2</v>
      </c>
      <c r="CF257" s="32">
        <f t="shared" si="240"/>
        <v>661134.82408403663</v>
      </c>
      <c r="CG257" s="33">
        <f t="shared" si="241"/>
        <v>2.7966949885550337E-4</v>
      </c>
      <c r="CH257" s="40">
        <f t="shared" si="242"/>
        <v>528301.59940472804</v>
      </c>
      <c r="CI257" s="33">
        <f t="shared" si="243"/>
        <v>2.2347914248017399E-4</v>
      </c>
      <c r="CJ257" s="40">
        <f t="shared" si="244"/>
        <v>3129915.6434368766</v>
      </c>
      <c r="CK257" s="41">
        <f t="shared" si="245"/>
        <v>7.6732425678766275E-4</v>
      </c>
      <c r="CL257" s="40">
        <f t="shared" si="246"/>
        <v>1079492.4736302195</v>
      </c>
      <c r="CM257" s="41">
        <f t="shared" si="247"/>
        <v>2.6464635293704819E-4</v>
      </c>
      <c r="CO257" s="70">
        <f t="shared" si="248"/>
        <v>0</v>
      </c>
      <c r="CP257" s="70">
        <f t="shared" si="249"/>
        <v>0</v>
      </c>
      <c r="CQ257" s="70">
        <f t="shared" si="250"/>
        <v>0</v>
      </c>
      <c r="CR257" s="70">
        <f t="shared" si="251"/>
        <v>0</v>
      </c>
      <c r="CS257" s="70">
        <f t="shared" si="252"/>
        <v>0</v>
      </c>
      <c r="CT257" s="70">
        <f t="shared" si="253"/>
        <v>0</v>
      </c>
      <c r="CU257" s="69">
        <f t="shared" si="254"/>
        <v>0</v>
      </c>
      <c r="CV257" s="69">
        <f t="shared" si="255"/>
        <v>0</v>
      </c>
      <c r="CW257" s="70">
        <f t="shared" si="256"/>
        <v>0</v>
      </c>
      <c r="CX257" s="69">
        <f t="shared" si="257"/>
        <v>0</v>
      </c>
      <c r="CY257" s="69">
        <f t="shared" si="258"/>
        <v>0</v>
      </c>
      <c r="CZ257" s="70">
        <f t="shared" si="259"/>
        <v>0</v>
      </c>
      <c r="DB257" s="70">
        <f t="shared" si="260"/>
        <v>2.478814213043294</v>
      </c>
      <c r="DC257" s="70">
        <f t="shared" si="261"/>
        <v>9.5793039987834394</v>
      </c>
      <c r="DD257" s="70">
        <f t="shared" si="262"/>
        <v>12.058118211826734</v>
      </c>
      <c r="DE257" s="70">
        <f t="shared" si="263"/>
        <v>4.6980385993578855</v>
      </c>
      <c r="DF257" s="70">
        <f t="shared" si="264"/>
        <v>7.6546589884336909</v>
      </c>
      <c r="DG257" s="70">
        <f t="shared" si="265"/>
        <v>12.352697587791576</v>
      </c>
      <c r="DH257" s="69">
        <f t="shared" si="266"/>
        <v>11.735094113862164</v>
      </c>
      <c r="DI257" s="69">
        <f t="shared" si="267"/>
        <v>45.34992311223143</v>
      </c>
      <c r="DJ257" s="70">
        <f t="shared" si="268"/>
        <v>57.085017226093598</v>
      </c>
      <c r="DK257" s="69">
        <f t="shared" si="269"/>
        <v>9.5996251280433018</v>
      </c>
      <c r="DL257" s="69">
        <f t="shared" si="270"/>
        <v>15.640964887349776</v>
      </c>
      <c r="DM257" s="70">
        <f t="shared" si="271"/>
        <v>25.240590015393078</v>
      </c>
    </row>
    <row r="258" spans="1:117">
      <c r="A258" t="s">
        <v>501</v>
      </c>
      <c r="B258">
        <v>114458</v>
      </c>
      <c r="C258">
        <v>79209</v>
      </c>
      <c r="D258" s="51">
        <v>35009.449999999997</v>
      </c>
      <c r="E258" s="32">
        <f t="shared" si="204"/>
        <v>2773063525.0499997</v>
      </c>
      <c r="F258">
        <v>4868</v>
      </c>
      <c r="G258" s="37">
        <f t="shared" si="205"/>
        <v>4.2530884691327826E-2</v>
      </c>
      <c r="H258">
        <v>0</v>
      </c>
      <c r="I258" s="3">
        <f t="shared" si="206"/>
        <v>0</v>
      </c>
      <c r="J258" s="11">
        <f>+'Seat capacity elasticities'!K288</f>
        <v>0</v>
      </c>
      <c r="K258" s="11">
        <f>+'Seat capacity elasticities'!L288</f>
        <v>0</v>
      </c>
      <c r="L258" s="11">
        <f>+'Seat capacity elasticities'!M288</f>
        <v>0</v>
      </c>
      <c r="M258" s="11">
        <f>+'Seat capacity elasticities'!N288</f>
        <v>0</v>
      </c>
      <c r="N258" s="32">
        <f t="shared" si="216"/>
        <v>0</v>
      </c>
      <c r="O258" s="33">
        <f t="shared" si="217"/>
        <v>0</v>
      </c>
      <c r="P258" s="40">
        <f t="shared" si="218"/>
        <v>0</v>
      </c>
      <c r="Q258" s="33">
        <f t="shared" si="219"/>
        <v>0</v>
      </c>
      <c r="R258" s="40">
        <f t="shared" si="220"/>
        <v>0</v>
      </c>
      <c r="S258" s="41">
        <f t="shared" si="221"/>
        <v>0</v>
      </c>
      <c r="T258" s="40">
        <f t="shared" si="222"/>
        <v>0</v>
      </c>
      <c r="U258" s="41">
        <f t="shared" si="223"/>
        <v>0</v>
      </c>
      <c r="V258" s="53"/>
      <c r="W258" s="53"/>
      <c r="X258" t="s">
        <v>501</v>
      </c>
      <c r="Y258">
        <v>114458</v>
      </c>
      <c r="Z258">
        <v>79209</v>
      </c>
      <c r="AA258" s="51">
        <v>35009.449999999997</v>
      </c>
      <c r="AB258" s="32">
        <f t="shared" si="207"/>
        <v>2773063525.0499997</v>
      </c>
      <c r="AC258">
        <v>4868</v>
      </c>
      <c r="AD258" s="37">
        <f t="shared" si="208"/>
        <v>4.2530884691327826E-2</v>
      </c>
      <c r="AE258">
        <v>6.1254999999999999E-3</v>
      </c>
      <c r="AF258" s="3">
        <f t="shared" si="209"/>
        <v>6.1254999999999995E-5</v>
      </c>
      <c r="AG258" s="11">
        <f>+'Seat capacity elasticities'!R288</f>
        <v>1.4626352493006608E-2</v>
      </c>
      <c r="AH258" s="11">
        <f>+'Seat capacity elasticities'!S288</f>
        <v>2.7720983774575169E-2</v>
      </c>
      <c r="AI258" s="11">
        <f>+'Seat capacity elasticities'!T288</f>
        <v>4.0130064601750982E-2</v>
      </c>
      <c r="AJ258" s="11">
        <f>+'Seat capacity elasticities'!U288</f>
        <v>3.2827480785681123E-2</v>
      </c>
      <c r="AK258" s="32">
        <f t="shared" si="224"/>
        <v>405598.04602880758</v>
      </c>
      <c r="AL258" s="33">
        <f t="shared" si="225"/>
        <v>1.462635249300661E-4</v>
      </c>
      <c r="AM258" s="40">
        <f t="shared" si="226"/>
        <v>768720.48983777268</v>
      </c>
      <c r="AN258" s="33">
        <f t="shared" si="227"/>
        <v>2.7720983774575172E-4</v>
      </c>
      <c r="AO258" s="40">
        <f t="shared" si="228"/>
        <v>1953531.5448132381</v>
      </c>
      <c r="AP258" s="41">
        <f t="shared" si="229"/>
        <v>4.0130064601750988E-4</v>
      </c>
      <c r="AQ258" s="40">
        <f t="shared" si="230"/>
        <v>1598041.7646469574</v>
      </c>
      <c r="AR258" s="41">
        <f t="shared" si="231"/>
        <v>3.2827480785681132E-4</v>
      </c>
      <c r="AV258" t="s">
        <v>501</v>
      </c>
      <c r="AW258">
        <v>114458</v>
      </c>
      <c r="AX258">
        <v>79209</v>
      </c>
      <c r="AY258" s="51">
        <v>35009.449999999997</v>
      </c>
      <c r="AZ258" s="32">
        <f t="shared" si="210"/>
        <v>2773063525.0499997</v>
      </c>
      <c r="BA258">
        <v>4868</v>
      </c>
      <c r="BB258" s="37">
        <f t="shared" si="211"/>
        <v>4.2530884691327826E-2</v>
      </c>
      <c r="BC258">
        <v>0</v>
      </c>
      <c r="BD258" s="3">
        <f t="shared" si="212"/>
        <v>0</v>
      </c>
      <c r="BE258" s="11">
        <f>+'Seat capacity elasticities'!Y288</f>
        <v>0</v>
      </c>
      <c r="BF258" s="11">
        <f>+'Seat capacity elasticities'!Z288</f>
        <v>0</v>
      </c>
      <c r="BG258" s="11">
        <f>+'Seat capacity elasticities'!AA288</f>
        <v>0</v>
      </c>
      <c r="BH258" s="11">
        <f>+'Seat capacity elasticities'!AB288</f>
        <v>0</v>
      </c>
      <c r="BI258" s="32">
        <f t="shared" si="232"/>
        <v>0</v>
      </c>
      <c r="BJ258" s="33">
        <f t="shared" si="233"/>
        <v>0</v>
      </c>
      <c r="BK258" s="40">
        <f t="shared" si="234"/>
        <v>0</v>
      </c>
      <c r="BL258" s="33">
        <f t="shared" si="235"/>
        <v>0</v>
      </c>
      <c r="BM258" s="40">
        <f t="shared" si="236"/>
        <v>0</v>
      </c>
      <c r="BN258" s="41">
        <f t="shared" si="237"/>
        <v>0</v>
      </c>
      <c r="BO258" s="40">
        <f t="shared" si="238"/>
        <v>0</v>
      </c>
      <c r="BP258" s="41">
        <f t="shared" si="239"/>
        <v>0</v>
      </c>
      <c r="BQ258" s="53"/>
      <c r="BR258" s="53"/>
      <c r="BS258" t="s">
        <v>501</v>
      </c>
      <c r="BT258">
        <v>114458</v>
      </c>
      <c r="BU258">
        <v>79209</v>
      </c>
      <c r="BV258" s="51">
        <v>35009.449999999997</v>
      </c>
      <c r="BW258" s="32">
        <f t="shared" si="213"/>
        <v>2773063525.0499997</v>
      </c>
      <c r="BX258">
        <v>4868</v>
      </c>
      <c r="BY258" s="37">
        <f t="shared" si="214"/>
        <v>4.2530884691327826E-2</v>
      </c>
      <c r="BZ258">
        <v>6.1254999999999999E-3</v>
      </c>
      <c r="CA258" s="3">
        <f t="shared" si="215"/>
        <v>6.1254999999999995E-5</v>
      </c>
      <c r="CB258" s="11">
        <f>+'Seat capacity elasticities'!AF288</f>
        <v>0.11361652149531405</v>
      </c>
      <c r="CC258" s="11">
        <f>+'Seat capacity elasticities'!AG288</f>
        <v>9.0789030978568566E-2</v>
      </c>
      <c r="CD258" s="11">
        <f>+'Seat capacity elasticities'!AH288</f>
        <v>0.31172764020374977</v>
      </c>
      <c r="CE258" s="11">
        <f>+'Seat capacity elasticities'!AI288</f>
        <v>0.1075133261588312</v>
      </c>
      <c r="CF258" s="32">
        <f t="shared" si="240"/>
        <v>3150658.3160171467</v>
      </c>
      <c r="CG258" s="33">
        <f t="shared" si="241"/>
        <v>1.1361652149531405E-3</v>
      </c>
      <c r="CH258" s="40">
        <f t="shared" si="242"/>
        <v>2517637.5028130296</v>
      </c>
      <c r="CI258" s="33">
        <f t="shared" si="243"/>
        <v>9.0789030978568556E-4</v>
      </c>
      <c r="CJ258" s="40">
        <f t="shared" si="244"/>
        <v>15174901.525118543</v>
      </c>
      <c r="CK258" s="41">
        <f t="shared" si="245"/>
        <v>3.1172764020374983E-3</v>
      </c>
      <c r="CL258" s="40">
        <f t="shared" si="246"/>
        <v>5233748.7174119046</v>
      </c>
      <c r="CM258" s="41">
        <f t="shared" si="247"/>
        <v>1.0751332615883122E-3</v>
      </c>
      <c r="CO258" s="70">
        <f t="shared" si="248"/>
        <v>0</v>
      </c>
      <c r="CP258" s="70">
        <f t="shared" si="249"/>
        <v>0</v>
      </c>
      <c r="CQ258" s="70">
        <f t="shared" si="250"/>
        <v>0</v>
      </c>
      <c r="CR258" s="70">
        <f t="shared" si="251"/>
        <v>0</v>
      </c>
      <c r="CS258" s="70">
        <f t="shared" si="252"/>
        <v>0</v>
      </c>
      <c r="CT258" s="70">
        <f t="shared" si="253"/>
        <v>0</v>
      </c>
      <c r="CU258" s="69">
        <f t="shared" si="254"/>
        <v>0</v>
      </c>
      <c r="CV258" s="69">
        <f t="shared" si="255"/>
        <v>0</v>
      </c>
      <c r="CW258" s="70">
        <f t="shared" si="256"/>
        <v>0</v>
      </c>
      <c r="CX258" s="69">
        <f t="shared" si="257"/>
        <v>0</v>
      </c>
      <c r="CY258" s="69">
        <f t="shared" si="258"/>
        <v>0</v>
      </c>
      <c r="CZ258" s="70">
        <f t="shared" si="259"/>
        <v>0</v>
      </c>
      <c r="DB258" s="70">
        <f t="shared" si="260"/>
        <v>5.1206055628629015</v>
      </c>
      <c r="DC258" s="70">
        <f t="shared" si="261"/>
        <v>39.776519284641225</v>
      </c>
      <c r="DD258" s="70">
        <f t="shared" si="262"/>
        <v>44.897124847504124</v>
      </c>
      <c r="DE258" s="70">
        <f t="shared" si="263"/>
        <v>9.7049639540680062</v>
      </c>
      <c r="DF258" s="70">
        <f t="shared" si="264"/>
        <v>31.784740405926467</v>
      </c>
      <c r="DG258" s="70">
        <f t="shared" si="265"/>
        <v>41.489704359994477</v>
      </c>
      <c r="DH258" s="69">
        <f t="shared" si="266"/>
        <v>24.662999719895947</v>
      </c>
      <c r="DI258" s="69">
        <f t="shared" si="267"/>
        <v>191.58052147001658</v>
      </c>
      <c r="DJ258" s="70">
        <f t="shared" si="268"/>
        <v>216.24352118991251</v>
      </c>
      <c r="DK258" s="69">
        <f t="shared" si="269"/>
        <v>20.175002394260215</v>
      </c>
      <c r="DL258" s="69">
        <f t="shared" si="270"/>
        <v>66.075177283034819</v>
      </c>
      <c r="DM258" s="70">
        <f t="shared" si="271"/>
        <v>86.250179677295037</v>
      </c>
    </row>
    <row r="259" spans="1:117">
      <c r="A259" t="s">
        <v>502</v>
      </c>
      <c r="B259">
        <v>118786</v>
      </c>
      <c r="C259">
        <v>59552</v>
      </c>
      <c r="D259" s="51">
        <v>32448.17</v>
      </c>
      <c r="E259" s="32">
        <f t="shared" si="204"/>
        <v>1932353419.8399999</v>
      </c>
      <c r="F259">
        <v>2850</v>
      </c>
      <c r="G259" s="37">
        <f t="shared" si="205"/>
        <v>2.3992726415570858E-2</v>
      </c>
      <c r="H259">
        <v>0</v>
      </c>
      <c r="I259" s="3">
        <f t="shared" si="206"/>
        <v>0</v>
      </c>
      <c r="J259" s="11">
        <f>+'Seat capacity elasticities'!K289</f>
        <v>0</v>
      </c>
      <c r="K259" s="11">
        <f>+'Seat capacity elasticities'!L289</f>
        <v>0</v>
      </c>
      <c r="L259" s="11">
        <f>+'Seat capacity elasticities'!M289</f>
        <v>0</v>
      </c>
      <c r="M259" s="11">
        <f>+'Seat capacity elasticities'!N289</f>
        <v>0</v>
      </c>
      <c r="N259" s="32">
        <f t="shared" si="216"/>
        <v>0</v>
      </c>
      <c r="O259" s="33">
        <f t="shared" si="217"/>
        <v>0</v>
      </c>
      <c r="P259" s="40">
        <f t="shared" si="218"/>
        <v>0</v>
      </c>
      <c r="Q259" s="33">
        <f t="shared" si="219"/>
        <v>0</v>
      </c>
      <c r="R259" s="40">
        <f t="shared" si="220"/>
        <v>0</v>
      </c>
      <c r="S259" s="41">
        <f t="shared" si="221"/>
        <v>0</v>
      </c>
      <c r="T259" s="40">
        <f t="shared" si="222"/>
        <v>0</v>
      </c>
      <c r="U259" s="41">
        <f t="shared" si="223"/>
        <v>0</v>
      </c>
      <c r="V259" s="53"/>
      <c r="W259" s="53"/>
      <c r="X259" t="s">
        <v>502</v>
      </c>
      <c r="Y259">
        <v>118786</v>
      </c>
      <c r="Z259">
        <v>59552</v>
      </c>
      <c r="AA259" s="51">
        <v>32448.17</v>
      </c>
      <c r="AB259" s="32">
        <f t="shared" si="207"/>
        <v>1932353419.8399999</v>
      </c>
      <c r="AC259">
        <v>2850</v>
      </c>
      <c r="AD259" s="37">
        <f t="shared" si="208"/>
        <v>2.3992726415570858E-2</v>
      </c>
      <c r="AE259">
        <v>9.6449999999999997E-4</v>
      </c>
      <c r="AF259" s="3">
        <f t="shared" si="209"/>
        <v>9.645E-6</v>
      </c>
      <c r="AG259" s="11">
        <f>+'Seat capacity elasticities'!R289</f>
        <v>4.4663819853446324E-3</v>
      </c>
      <c r="AH259" s="11">
        <f>+'Seat capacity elasticities'!S289</f>
        <v>8.4650293096650495E-3</v>
      </c>
      <c r="AI259" s="11">
        <f>+'Seat capacity elasticities'!T289</f>
        <v>1.2254333244988884E-2</v>
      </c>
      <c r="AJ259" s="11">
        <f>+'Seat capacity elasticities'!U289</f>
        <v>1.0024376814077031E-2</v>
      </c>
      <c r="AK259" s="32">
        <f t="shared" si="224"/>
        <v>86306.285036924688</v>
      </c>
      <c r="AL259" s="33">
        <f t="shared" si="225"/>
        <v>4.4663819853446324E-5</v>
      </c>
      <c r="AM259" s="40">
        <f t="shared" si="226"/>
        <v>163574.28335577092</v>
      </c>
      <c r="AN259" s="33">
        <f t="shared" si="227"/>
        <v>8.465029309665049E-5</v>
      </c>
      <c r="AO259" s="40">
        <f t="shared" si="228"/>
        <v>349248.49748218321</v>
      </c>
      <c r="AP259" s="41">
        <f t="shared" si="229"/>
        <v>1.2254333244988885E-4</v>
      </c>
      <c r="AQ259" s="40">
        <f t="shared" si="230"/>
        <v>285694.73920119536</v>
      </c>
      <c r="AR259" s="41">
        <f t="shared" si="231"/>
        <v>1.0024376814077031E-4</v>
      </c>
      <c r="AV259" t="s">
        <v>502</v>
      </c>
      <c r="AW259">
        <v>118786</v>
      </c>
      <c r="AX259">
        <v>59552</v>
      </c>
      <c r="AY259" s="51">
        <v>32448.17</v>
      </c>
      <c r="AZ259" s="32">
        <f t="shared" si="210"/>
        <v>1932353419.8399999</v>
      </c>
      <c r="BA259">
        <v>2850</v>
      </c>
      <c r="BB259" s="37">
        <f t="shared" si="211"/>
        <v>2.3992726415570858E-2</v>
      </c>
      <c r="BC259">
        <v>0</v>
      </c>
      <c r="BD259" s="3">
        <f t="shared" si="212"/>
        <v>0</v>
      </c>
      <c r="BE259" s="11">
        <f>+'Seat capacity elasticities'!Y289</f>
        <v>0</v>
      </c>
      <c r="BF259" s="11">
        <f>+'Seat capacity elasticities'!Z289</f>
        <v>0</v>
      </c>
      <c r="BG259" s="11">
        <f>+'Seat capacity elasticities'!AA289</f>
        <v>0</v>
      </c>
      <c r="BH259" s="11">
        <f>+'Seat capacity elasticities'!AB289</f>
        <v>0</v>
      </c>
      <c r="BI259" s="32">
        <f t="shared" si="232"/>
        <v>0</v>
      </c>
      <c r="BJ259" s="33">
        <f t="shared" si="233"/>
        <v>0</v>
      </c>
      <c r="BK259" s="40">
        <f t="shared" si="234"/>
        <v>0</v>
      </c>
      <c r="BL259" s="33">
        <f t="shared" si="235"/>
        <v>0</v>
      </c>
      <c r="BM259" s="40">
        <f t="shared" si="236"/>
        <v>0</v>
      </c>
      <c r="BN259" s="41">
        <f t="shared" si="237"/>
        <v>0</v>
      </c>
      <c r="BO259" s="40">
        <f t="shared" si="238"/>
        <v>0</v>
      </c>
      <c r="BP259" s="41">
        <f t="shared" si="239"/>
        <v>0</v>
      </c>
      <c r="BQ259" s="53"/>
      <c r="BR259" s="53"/>
      <c r="BS259" t="s">
        <v>502</v>
      </c>
      <c r="BT259">
        <v>118786</v>
      </c>
      <c r="BU259">
        <v>59552</v>
      </c>
      <c r="BV259" s="51">
        <v>32448.17</v>
      </c>
      <c r="BW259" s="32">
        <f t="shared" si="213"/>
        <v>1932353419.8399999</v>
      </c>
      <c r="BX259">
        <v>2850</v>
      </c>
      <c r="BY259" s="37">
        <f t="shared" si="214"/>
        <v>2.3992726415570858E-2</v>
      </c>
      <c r="BZ259">
        <v>9.6449999999999997E-4</v>
      </c>
      <c r="CA259" s="3">
        <f t="shared" si="215"/>
        <v>9.645E-6</v>
      </c>
      <c r="CB259" s="11">
        <f>+'Seat capacity elasticities'!AF289</f>
        <v>1.7237848968297106E-2</v>
      </c>
      <c r="CC259" s="11">
        <f>+'Seat capacity elasticities'!AG289</f>
        <v>1.3774472087240922E-2</v>
      </c>
      <c r="CD259" s="11">
        <f>+'Seat capacity elasticities'!AH289</f>
        <v>4.7295181284858483E-2</v>
      </c>
      <c r="CE259" s="11">
        <f>+'Seat capacity elasticities'!AI289</f>
        <v>1.6311874840153725E-2</v>
      </c>
      <c r="CF259" s="32">
        <f t="shared" si="240"/>
        <v>333096.16404574324</v>
      </c>
      <c r="CG259" s="33">
        <f t="shared" si="241"/>
        <v>1.7237848968297103E-4</v>
      </c>
      <c r="CH259" s="40">
        <f t="shared" si="242"/>
        <v>266171.48244270618</v>
      </c>
      <c r="CI259" s="33">
        <f t="shared" si="243"/>
        <v>1.3774472087240924E-4</v>
      </c>
      <c r="CJ259" s="40">
        <f t="shared" si="244"/>
        <v>1347912.6666184666</v>
      </c>
      <c r="CK259" s="41">
        <f t="shared" si="245"/>
        <v>4.7295181284858477E-4</v>
      </c>
      <c r="CL259" s="40">
        <f t="shared" si="246"/>
        <v>464888.43294438114</v>
      </c>
      <c r="CM259" s="41">
        <f t="shared" si="247"/>
        <v>1.6311874840153724E-4</v>
      </c>
      <c r="CO259" s="70">
        <f t="shared" si="248"/>
        <v>0</v>
      </c>
      <c r="CP259" s="70">
        <f t="shared" si="249"/>
        <v>0</v>
      </c>
      <c r="CQ259" s="70">
        <f t="shared" si="250"/>
        <v>0</v>
      </c>
      <c r="CR259" s="70">
        <f t="shared" si="251"/>
        <v>0</v>
      </c>
      <c r="CS259" s="70">
        <f t="shared" si="252"/>
        <v>0</v>
      </c>
      <c r="CT259" s="70">
        <f t="shared" si="253"/>
        <v>0</v>
      </c>
      <c r="CU259" s="69">
        <f t="shared" si="254"/>
        <v>0</v>
      </c>
      <c r="CV259" s="69">
        <f t="shared" si="255"/>
        <v>0</v>
      </c>
      <c r="CW259" s="70">
        <f t="shared" si="256"/>
        <v>0</v>
      </c>
      <c r="CX259" s="69">
        <f t="shared" si="257"/>
        <v>0</v>
      </c>
      <c r="CY259" s="69">
        <f t="shared" si="258"/>
        <v>0</v>
      </c>
      <c r="CZ259" s="70">
        <f t="shared" si="259"/>
        <v>0</v>
      </c>
      <c r="DB259" s="70">
        <f t="shared" si="260"/>
        <v>1.4492592194540013</v>
      </c>
      <c r="DC259" s="70">
        <f t="shared" si="261"/>
        <v>5.5933665375762907</v>
      </c>
      <c r="DD259" s="70">
        <f t="shared" si="262"/>
        <v>7.0426257570302919</v>
      </c>
      <c r="DE259" s="70">
        <f t="shared" si="263"/>
        <v>2.7467471009499418</v>
      </c>
      <c r="DF259" s="70">
        <f t="shared" si="264"/>
        <v>4.4695641194704825</v>
      </c>
      <c r="DG259" s="70">
        <f t="shared" si="265"/>
        <v>7.2163112204204243</v>
      </c>
      <c r="DH259" s="69">
        <f t="shared" si="266"/>
        <v>5.8645972844267735</v>
      </c>
      <c r="DI259" s="69">
        <f t="shared" si="267"/>
        <v>22.634213235801763</v>
      </c>
      <c r="DJ259" s="70">
        <f t="shared" si="268"/>
        <v>28.498810520228538</v>
      </c>
      <c r="DK259" s="69">
        <f t="shared" si="269"/>
        <v>4.7973995701436625</v>
      </c>
      <c r="DL259" s="69">
        <f t="shared" si="270"/>
        <v>7.8064285489048419</v>
      </c>
      <c r="DM259" s="70">
        <f t="shared" si="271"/>
        <v>12.603828119048504</v>
      </c>
    </row>
    <row r="260" spans="1:117">
      <c r="A260" t="s">
        <v>503</v>
      </c>
      <c r="B260">
        <v>389389</v>
      </c>
      <c r="C260">
        <v>239993</v>
      </c>
      <c r="D260" s="51">
        <v>33095.78</v>
      </c>
      <c r="E260" s="32">
        <f t="shared" ref="E260:E306" si="272">C260*D260</f>
        <v>7942755529.54</v>
      </c>
      <c r="F260">
        <v>19604</v>
      </c>
      <c r="G260" s="37">
        <f t="shared" ref="G260:G306" si="273">+F260/B260</f>
        <v>5.034554134811204E-2</v>
      </c>
      <c r="H260">
        <v>0</v>
      </c>
      <c r="I260" s="3">
        <f t="shared" ref="I260:I268" si="274">+H260*$C$1</f>
        <v>0</v>
      </c>
      <c r="J260" s="11">
        <f>+'Seat capacity elasticities'!K290</f>
        <v>0</v>
      </c>
      <c r="K260" s="11">
        <f>+'Seat capacity elasticities'!L290</f>
        <v>0</v>
      </c>
      <c r="L260" s="11">
        <f>+'Seat capacity elasticities'!M290</f>
        <v>0</v>
      </c>
      <c r="M260" s="11">
        <f>+'Seat capacity elasticities'!N290</f>
        <v>0</v>
      </c>
      <c r="N260" s="32">
        <f t="shared" si="216"/>
        <v>0</v>
      </c>
      <c r="O260" s="33">
        <f t="shared" si="217"/>
        <v>0</v>
      </c>
      <c r="P260" s="40">
        <f t="shared" si="218"/>
        <v>0</v>
      </c>
      <c r="Q260" s="33">
        <f t="shared" si="219"/>
        <v>0</v>
      </c>
      <c r="R260" s="40">
        <f t="shared" si="220"/>
        <v>0</v>
      </c>
      <c r="S260" s="41">
        <f t="shared" si="221"/>
        <v>0</v>
      </c>
      <c r="T260" s="40">
        <f t="shared" si="222"/>
        <v>0</v>
      </c>
      <c r="U260" s="41">
        <f t="shared" si="223"/>
        <v>0</v>
      </c>
      <c r="V260" s="53"/>
      <c r="W260" s="53"/>
      <c r="X260" t="s">
        <v>503</v>
      </c>
      <c r="Y260">
        <v>389389</v>
      </c>
      <c r="Z260">
        <v>239993</v>
      </c>
      <c r="AA260" s="51">
        <v>33095.78</v>
      </c>
      <c r="AB260" s="32">
        <f t="shared" ref="AB260:AB306" si="275">Z260*AA260</f>
        <v>7942755529.54</v>
      </c>
      <c r="AC260">
        <v>19604</v>
      </c>
      <c r="AD260" s="37">
        <f t="shared" ref="AD260:AD306" si="276">+AC260/Y260</f>
        <v>5.034554134811204E-2</v>
      </c>
      <c r="AE260">
        <v>4.6715999999999997E-3</v>
      </c>
      <c r="AF260" s="3">
        <f t="shared" ref="AF260:AF268" si="277">+AE260*$C$1</f>
        <v>4.6715999999999998E-5</v>
      </c>
      <c r="AG260" s="11">
        <f>+'Seat capacity elasticities'!R290</f>
        <v>1.7939361054296204E-2</v>
      </c>
      <c r="AH260" s="11">
        <f>+'Seat capacity elasticities'!S290</f>
        <v>3.4000051410641614E-2</v>
      </c>
      <c r="AI260" s="11">
        <f>+'Seat capacity elasticities'!T290</f>
        <v>4.9219907585794635E-2</v>
      </c>
      <c r="AJ260" s="11">
        <f>+'Seat capacity elasticities'!U290</f>
        <v>4.0263218775759807E-2</v>
      </c>
      <c r="AK260" s="32">
        <f t="shared" si="224"/>
        <v>1424879.5921042571</v>
      </c>
      <c r="AL260" s="33">
        <f t="shared" si="225"/>
        <v>1.7939361054296205E-4</v>
      </c>
      <c r="AM260" s="40">
        <f t="shared" si="226"/>
        <v>2700540.9634651798</v>
      </c>
      <c r="AN260" s="33">
        <f t="shared" si="227"/>
        <v>3.4000051410641615E-4</v>
      </c>
      <c r="AO260" s="40">
        <f t="shared" si="228"/>
        <v>9649070.6831191797</v>
      </c>
      <c r="AP260" s="41">
        <f t="shared" si="229"/>
        <v>4.9219907585794625E-4</v>
      </c>
      <c r="AQ260" s="40">
        <f t="shared" si="230"/>
        <v>7893201.4087999519</v>
      </c>
      <c r="AR260" s="41">
        <f t="shared" si="231"/>
        <v>4.0263218775759803E-4</v>
      </c>
      <c r="AV260" t="s">
        <v>503</v>
      </c>
      <c r="AW260">
        <v>389389</v>
      </c>
      <c r="AX260">
        <v>239993</v>
      </c>
      <c r="AY260" s="51">
        <v>33095.78</v>
      </c>
      <c r="AZ260" s="32">
        <f t="shared" ref="AZ260:AZ306" si="278">AX260*AY260</f>
        <v>7942755529.54</v>
      </c>
      <c r="BA260">
        <v>19604</v>
      </c>
      <c r="BB260" s="37">
        <f t="shared" ref="BB260:BB306" si="279">+BA260/AW260</f>
        <v>5.034554134811204E-2</v>
      </c>
      <c r="BC260">
        <v>0</v>
      </c>
      <c r="BD260" s="3">
        <f t="shared" ref="BD260:BD268" si="280">+BC260*$C$1</f>
        <v>0</v>
      </c>
      <c r="BE260" s="11">
        <f>+'Seat capacity elasticities'!Y290</f>
        <v>0</v>
      </c>
      <c r="BF260" s="11">
        <f>+'Seat capacity elasticities'!Z290</f>
        <v>0</v>
      </c>
      <c r="BG260" s="11">
        <f>+'Seat capacity elasticities'!AA290</f>
        <v>0</v>
      </c>
      <c r="BH260" s="11">
        <f>+'Seat capacity elasticities'!AB290</f>
        <v>0</v>
      </c>
      <c r="BI260" s="32">
        <f t="shared" si="232"/>
        <v>0</v>
      </c>
      <c r="BJ260" s="33">
        <f t="shared" si="233"/>
        <v>0</v>
      </c>
      <c r="BK260" s="40">
        <f t="shared" si="234"/>
        <v>0</v>
      </c>
      <c r="BL260" s="33">
        <f t="shared" si="235"/>
        <v>0</v>
      </c>
      <c r="BM260" s="40">
        <f t="shared" si="236"/>
        <v>0</v>
      </c>
      <c r="BN260" s="41">
        <f t="shared" si="237"/>
        <v>0</v>
      </c>
      <c r="BO260" s="40">
        <f t="shared" si="238"/>
        <v>0</v>
      </c>
      <c r="BP260" s="41">
        <f t="shared" si="239"/>
        <v>0</v>
      </c>
      <c r="BQ260" s="53"/>
      <c r="BR260" s="53"/>
      <c r="BS260" t="s">
        <v>503</v>
      </c>
      <c r="BT260">
        <v>389389</v>
      </c>
      <c r="BU260">
        <v>239993</v>
      </c>
      <c r="BV260" s="51">
        <v>33095.78</v>
      </c>
      <c r="BW260" s="32">
        <f t="shared" ref="BW260:BW306" si="281">BU260*BV260</f>
        <v>7942755529.54</v>
      </c>
      <c r="BX260">
        <v>19604</v>
      </c>
      <c r="BY260" s="37">
        <f t="shared" ref="BY260:BY306" si="282">+BX260/BT260</f>
        <v>5.034554134811204E-2</v>
      </c>
      <c r="BZ260">
        <v>4.6715999999999997E-3</v>
      </c>
      <c r="CA260" s="3">
        <f t="shared" ref="CA260:CA268" si="283">+BZ260*$C$1</f>
        <v>4.6715999999999998E-5</v>
      </c>
      <c r="CB260" s="11">
        <f>+'Seat capacity elasticities'!AF290</f>
        <v>2.5469948591733484E-2</v>
      </c>
      <c r="CC260" s="11">
        <f>+'Seat capacity elasticities'!AG290</f>
        <v>2.0352602960237703E-2</v>
      </c>
      <c r="CD260" s="11">
        <f>+'Seat capacity elasticities'!AH290</f>
        <v>6.9881447399701979E-2</v>
      </c>
      <c r="CE260" s="11">
        <f>+'Seat capacity elasticities'!AI290</f>
        <v>2.4101766663439387E-2</v>
      </c>
      <c r="CF260" s="32">
        <f t="shared" si="240"/>
        <v>2023015.750140907</v>
      </c>
      <c r="CG260" s="33">
        <f t="shared" si="241"/>
        <v>2.546994859173349E-4</v>
      </c>
      <c r="CH260" s="40">
        <f t="shared" si="242"/>
        <v>1616557.4970296021</v>
      </c>
      <c r="CI260" s="33">
        <f t="shared" si="243"/>
        <v>2.0352602960237704E-4</v>
      </c>
      <c r="CJ260" s="40">
        <f t="shared" si="244"/>
        <v>13699558.948237574</v>
      </c>
      <c r="CK260" s="41">
        <f t="shared" si="245"/>
        <v>6.9881447399701977E-4</v>
      </c>
      <c r="CL260" s="40">
        <f t="shared" si="246"/>
        <v>4724910.3367006574</v>
      </c>
      <c r="CM260" s="41">
        <f t="shared" si="247"/>
        <v>2.4101766663439387E-4</v>
      </c>
      <c r="CO260" s="70">
        <f t="shared" si="248"/>
        <v>0</v>
      </c>
      <c r="CP260" s="70">
        <f t="shared" si="249"/>
        <v>0</v>
      </c>
      <c r="CQ260" s="70">
        <f t="shared" si="250"/>
        <v>0</v>
      </c>
      <c r="CR260" s="70">
        <f t="shared" si="251"/>
        <v>0</v>
      </c>
      <c r="CS260" s="70">
        <f t="shared" si="252"/>
        <v>0</v>
      </c>
      <c r="CT260" s="70">
        <f t="shared" si="253"/>
        <v>0</v>
      </c>
      <c r="CU260" s="69">
        <f t="shared" si="254"/>
        <v>0</v>
      </c>
      <c r="CV260" s="69">
        <f t="shared" si="255"/>
        <v>0</v>
      </c>
      <c r="CW260" s="70">
        <f t="shared" si="256"/>
        <v>0</v>
      </c>
      <c r="CX260" s="69">
        <f t="shared" si="257"/>
        <v>0</v>
      </c>
      <c r="CY260" s="69">
        <f t="shared" si="258"/>
        <v>0</v>
      </c>
      <c r="CZ260" s="70">
        <f t="shared" si="259"/>
        <v>0</v>
      </c>
      <c r="DB260" s="70">
        <f t="shared" si="260"/>
        <v>5.9371714679355527</v>
      </c>
      <c r="DC260" s="70">
        <f t="shared" si="261"/>
        <v>8.429478152033214</v>
      </c>
      <c r="DD260" s="70">
        <f t="shared" si="262"/>
        <v>14.366649619968767</v>
      </c>
      <c r="DE260" s="70">
        <f t="shared" si="263"/>
        <v>11.252582214752847</v>
      </c>
      <c r="DF260" s="70">
        <f t="shared" si="264"/>
        <v>6.7358526999937585</v>
      </c>
      <c r="DG260" s="70">
        <f t="shared" si="265"/>
        <v>17.988434914746605</v>
      </c>
      <c r="DH260" s="69">
        <f t="shared" si="266"/>
        <v>40.205633843983698</v>
      </c>
      <c r="DI260" s="69">
        <f t="shared" si="267"/>
        <v>57.083160543172397</v>
      </c>
      <c r="DJ260" s="70">
        <f t="shared" si="268"/>
        <v>97.288794387156088</v>
      </c>
      <c r="DK260" s="69">
        <f t="shared" si="269"/>
        <v>32.889298474538641</v>
      </c>
      <c r="DL260" s="69">
        <f t="shared" si="270"/>
        <v>19.687700627521043</v>
      </c>
      <c r="DM260" s="70">
        <f t="shared" si="271"/>
        <v>52.576999102059688</v>
      </c>
    </row>
    <row r="261" spans="1:117">
      <c r="A261" t="s">
        <v>504</v>
      </c>
      <c r="B261">
        <v>142764</v>
      </c>
      <c r="C261">
        <v>95115</v>
      </c>
      <c r="D261" s="51">
        <v>32321.68</v>
      </c>
      <c r="E261" s="32">
        <f t="shared" si="272"/>
        <v>3074276593.1999998</v>
      </c>
      <c r="F261">
        <v>5817</v>
      </c>
      <c r="G261" s="37">
        <f t="shared" si="273"/>
        <v>4.0745566109103133E-2</v>
      </c>
      <c r="H261">
        <v>0</v>
      </c>
      <c r="I261" s="3">
        <f t="shared" si="274"/>
        <v>0</v>
      </c>
      <c r="J261" s="11">
        <f>+'Seat capacity elasticities'!K291</f>
        <v>0</v>
      </c>
      <c r="K261" s="11">
        <f>+'Seat capacity elasticities'!L291</f>
        <v>0</v>
      </c>
      <c r="L261" s="11">
        <f>+'Seat capacity elasticities'!M291</f>
        <v>0</v>
      </c>
      <c r="M261" s="11">
        <f>+'Seat capacity elasticities'!N291</f>
        <v>0</v>
      </c>
      <c r="N261" s="32">
        <f t="shared" ref="N261:N306" si="284">E261*$C$1*J261</f>
        <v>0</v>
      </c>
      <c r="O261" s="33">
        <f t="shared" ref="O261:O306" si="285">N261/E261</f>
        <v>0</v>
      </c>
      <c r="P261" s="40">
        <f t="shared" ref="P261:P306" si="286">+E261*$C$1*K261</f>
        <v>0</v>
      </c>
      <c r="Q261" s="33">
        <f t="shared" ref="Q261:Q306" si="287">P261/E261</f>
        <v>0</v>
      </c>
      <c r="R261" s="40">
        <f t="shared" ref="R261:R306" si="288">+L261*$C$1*G261*B261*1000000</f>
        <v>0</v>
      </c>
      <c r="S261" s="41">
        <f t="shared" ref="S261:S306" si="289">+R261/F261/1000000</f>
        <v>0</v>
      </c>
      <c r="T261" s="40">
        <f t="shared" ref="T261:T306" si="290">+M261*G261*B261*$C$1*1000000</f>
        <v>0</v>
      </c>
      <c r="U261" s="41">
        <f t="shared" ref="U261:U306" si="291">+T261/F261/1000000</f>
        <v>0</v>
      </c>
      <c r="V261" s="53"/>
      <c r="W261" s="53"/>
      <c r="X261" t="s">
        <v>504</v>
      </c>
      <c r="Y261">
        <v>142764</v>
      </c>
      <c r="Z261">
        <v>95115</v>
      </c>
      <c r="AA261" s="51">
        <v>32321.68</v>
      </c>
      <c r="AB261" s="32">
        <f t="shared" si="275"/>
        <v>3074276593.1999998</v>
      </c>
      <c r="AC261">
        <v>5817</v>
      </c>
      <c r="AD261" s="37">
        <f t="shared" si="276"/>
        <v>4.0745566109103133E-2</v>
      </c>
      <c r="AE261">
        <v>4.875E-3</v>
      </c>
      <c r="AF261" s="3">
        <f t="shared" si="277"/>
        <v>4.8749999999999999E-5</v>
      </c>
      <c r="AG261" s="11">
        <f>+'Seat capacity elasticities'!R291</f>
        <v>1.6823571320679093E-2</v>
      </c>
      <c r="AH261" s="11">
        <f>+'Seat capacity elasticities'!S291</f>
        <v>3.1885321226460241E-2</v>
      </c>
      <c r="AI261" s="11">
        <f>+'Seat capacity elasticities'!T291</f>
        <v>4.6158535031466101E-2</v>
      </c>
      <c r="AJ261" s="11">
        <f>+'Seat capacity elasticities'!U291</f>
        <v>3.7758933031334499E-2</v>
      </c>
      <c r="AK261" s="32">
        <f t="shared" ref="AK261:AK306" si="292">AB261*$C$1*AG261</f>
        <v>517203.11525194551</v>
      </c>
      <c r="AL261" s="33">
        <f t="shared" ref="AL261:AL306" si="293">AK261/AB261</f>
        <v>1.6823571320679097E-4</v>
      </c>
      <c r="AM261" s="40">
        <f t="shared" ref="AM261:AM306" si="294">+AB261*$C$1*AH261</f>
        <v>980242.96713169839</v>
      </c>
      <c r="AN261" s="33">
        <f t="shared" ref="AN261:AN306" si="295">AM261/AB261</f>
        <v>3.1885321226460245E-4</v>
      </c>
      <c r="AO261" s="40">
        <f t="shared" ref="AO261:AO306" si="296">+AI261*$C$1*AD261*Y261*1000000</f>
        <v>2685041.982780383</v>
      </c>
      <c r="AP261" s="41">
        <f t="shared" ref="AP261:AP306" si="297">+AO261/AC261/1000000</f>
        <v>4.6158535031466099E-4</v>
      </c>
      <c r="AQ261" s="40">
        <f t="shared" ref="AQ261:AQ306" si="298">+AJ261*AD261*Y261*$C$1*1000000</f>
        <v>2196437.1344327275</v>
      </c>
      <c r="AR261" s="41">
        <f t="shared" ref="AR261:AR306" si="299">+AQ261/AC261/1000000</f>
        <v>3.7758933031334493E-4</v>
      </c>
      <c r="AV261" t="s">
        <v>504</v>
      </c>
      <c r="AW261">
        <v>142764</v>
      </c>
      <c r="AX261">
        <v>95115</v>
      </c>
      <c r="AY261" s="51">
        <v>32321.68</v>
      </c>
      <c r="AZ261" s="32">
        <f t="shared" si="278"/>
        <v>3074276593.1999998</v>
      </c>
      <c r="BA261">
        <v>5817</v>
      </c>
      <c r="BB261" s="37">
        <f t="shared" si="279"/>
        <v>4.0745566109103133E-2</v>
      </c>
      <c r="BC261">
        <v>0</v>
      </c>
      <c r="BD261" s="3">
        <f t="shared" si="280"/>
        <v>0</v>
      </c>
      <c r="BE261" s="11">
        <f>+'Seat capacity elasticities'!Y291</f>
        <v>0</v>
      </c>
      <c r="BF261" s="11">
        <f>+'Seat capacity elasticities'!Z291</f>
        <v>0</v>
      </c>
      <c r="BG261" s="11">
        <f>+'Seat capacity elasticities'!AA291</f>
        <v>0</v>
      </c>
      <c r="BH261" s="11">
        <f>+'Seat capacity elasticities'!AB291</f>
        <v>0</v>
      </c>
      <c r="BI261" s="32">
        <f t="shared" ref="BI261:BI306" si="300">AZ261*$C$1*BE261</f>
        <v>0</v>
      </c>
      <c r="BJ261" s="33">
        <f t="shared" ref="BJ261:BJ306" si="301">BI261/AZ261</f>
        <v>0</v>
      </c>
      <c r="BK261" s="40">
        <f t="shared" ref="BK261:BK306" si="302">+AZ261*$C$1*BF261</f>
        <v>0</v>
      </c>
      <c r="BL261" s="33">
        <f t="shared" ref="BL261:BL306" si="303">BK261/AZ261</f>
        <v>0</v>
      </c>
      <c r="BM261" s="40">
        <f t="shared" ref="BM261:BM306" si="304">+BG261*$C$1*BB261*AW261*1000000</f>
        <v>0</v>
      </c>
      <c r="BN261" s="41">
        <f t="shared" ref="BN261:BN306" si="305">+BM261/BA261/1000000</f>
        <v>0</v>
      </c>
      <c r="BO261" s="40">
        <f t="shared" ref="BO261:BO306" si="306">+BH261*BB261*AW261*$C$1*1000000</f>
        <v>0</v>
      </c>
      <c r="BP261" s="41">
        <f t="shared" ref="BP261:BP306" si="307">+BO261/BA261/1000000</f>
        <v>0</v>
      </c>
      <c r="BQ261" s="53"/>
      <c r="BR261" s="53"/>
      <c r="BS261" t="s">
        <v>504</v>
      </c>
      <c r="BT261">
        <v>142764</v>
      </c>
      <c r="BU261">
        <v>95115</v>
      </c>
      <c r="BV261" s="51">
        <v>32321.68</v>
      </c>
      <c r="BW261" s="32">
        <f t="shared" si="281"/>
        <v>3074276593.1999998</v>
      </c>
      <c r="BX261">
        <v>5817</v>
      </c>
      <c r="BY261" s="37">
        <f t="shared" si="282"/>
        <v>4.0745566109103133E-2</v>
      </c>
      <c r="BZ261">
        <v>4.875E-3</v>
      </c>
      <c r="CA261" s="3">
        <f t="shared" si="283"/>
        <v>4.8749999999999999E-5</v>
      </c>
      <c r="CB261" s="11">
        <f>+'Seat capacity elasticities'!AF291</f>
        <v>7.2493991045956968E-2</v>
      </c>
      <c r="CC261" s="11">
        <f>+'Seat capacity elasticities'!AG291</f>
        <v>5.7928715931537367E-2</v>
      </c>
      <c r="CD261" s="11">
        <f>+'Seat capacity elasticities'!AH291</f>
        <v>0.19890048084811296</v>
      </c>
      <c r="CE261" s="11">
        <f>+'Seat capacity elasticities'!AI291</f>
        <v>6.8599795182083728E-2</v>
      </c>
      <c r="CF261" s="32">
        <f t="shared" ref="CF261:CF306" si="308">BW261*$C$1*CB261</f>
        <v>2228665.7982023591</v>
      </c>
      <c r="CG261" s="33">
        <f t="shared" ref="CG261:CG306" si="309">CF261/BW261</f>
        <v>7.2493991045956979E-4</v>
      </c>
      <c r="CH261" s="40">
        <f t="shared" ref="CH261:CH306" si="310">+BW261*$C$1*CC261</f>
        <v>1780888.9546245725</v>
      </c>
      <c r="CI261" s="33">
        <f t="shared" ref="CI261:CI306" si="311">CH261/BW261</f>
        <v>5.7928715931537366E-4</v>
      </c>
      <c r="CJ261" s="40">
        <f t="shared" ref="CJ261:CJ306" si="312">+CD261*$C$1*BY261*BT261*1000000</f>
        <v>11570040.97093473</v>
      </c>
      <c r="CK261" s="41">
        <f t="shared" ref="CK261:CK306" si="313">+CJ261/BX261/1000000</f>
        <v>1.9890048084811296E-3</v>
      </c>
      <c r="CL261" s="40">
        <f t="shared" ref="CL261:CL306" si="314">+CE261*BY261*BT261*$C$1*1000000</f>
        <v>3990450.0857418105</v>
      </c>
      <c r="CM261" s="41">
        <f t="shared" ref="CM261:CM306" si="315">+CL261/BX261/1000000</f>
        <v>6.8599795182083736E-4</v>
      </c>
      <c r="CO261" s="70">
        <f t="shared" ref="CO261:CO306" si="316">+N261/C261</f>
        <v>0</v>
      </c>
      <c r="CP261" s="70">
        <f t="shared" ref="CP261:CP306" si="317">+BI261/C261</f>
        <v>0</v>
      </c>
      <c r="CQ261" s="70">
        <f t="shared" ref="CQ261:CQ306" si="318">+(CO261+CP261)</f>
        <v>0</v>
      </c>
      <c r="CR261" s="70">
        <f t="shared" ref="CR261:CR306" si="319">+P261/C261</f>
        <v>0</v>
      </c>
      <c r="CS261" s="70">
        <f t="shared" ref="CS261:CS306" si="320">+BK261/C261</f>
        <v>0</v>
      </c>
      <c r="CT261" s="70">
        <f t="shared" ref="CT261:CT306" si="321">+(CR261+CS261)</f>
        <v>0</v>
      </c>
      <c r="CU261" s="69">
        <f t="shared" ref="CU261:CU306" si="322">+R261/C261</f>
        <v>0</v>
      </c>
      <c r="CV261" s="69">
        <f t="shared" ref="CV261:CV306" si="323">+BM261/C261</f>
        <v>0</v>
      </c>
      <c r="CW261" s="70">
        <f t="shared" ref="CW261:CW306" si="324">+(CU261+CV261)</f>
        <v>0</v>
      </c>
      <c r="CX261" s="69">
        <f t="shared" ref="CX261:CX306" si="325">+T261/C261</f>
        <v>0</v>
      </c>
      <c r="CY261" s="69">
        <f t="shared" ref="CY261:CY306" si="326">+BO261/C261</f>
        <v>0</v>
      </c>
      <c r="CZ261" s="70">
        <f t="shared" ref="CZ261:CZ306" si="327">+(CX261+CY261)</f>
        <v>0</v>
      </c>
      <c r="DB261" s="70">
        <f t="shared" ref="DB261:DB306" si="328">+AK261/C261</f>
        <v>5.4376608868416705</v>
      </c>
      <c r="DC261" s="70">
        <f t="shared" ref="DC261:DC306" si="329">+CF261/C261</f>
        <v>23.431275805102867</v>
      </c>
      <c r="DD261" s="70">
        <f t="shared" ref="DD261:DD306" si="330">+(DB261+DC261)</f>
        <v>28.868936691944537</v>
      </c>
      <c r="DE261" s="70">
        <f t="shared" ref="DE261:DE306" si="331">+AM261/C261</f>
        <v>10.305871493788555</v>
      </c>
      <c r="DF261" s="70">
        <f t="shared" ref="DF261:DF306" si="332">+CH261/C261</f>
        <v>18.723534191500526</v>
      </c>
      <c r="DG261" s="70">
        <f t="shared" ref="DG261:DG306" si="333">+(DE261+DF261)</f>
        <v>29.029405685289081</v>
      </c>
      <c r="DH261" s="69">
        <f t="shared" ref="DH261:DH306" si="334">+AO261/C261</f>
        <v>28.229427354049129</v>
      </c>
      <c r="DI261" s="69">
        <f t="shared" ref="DI261:DI306" si="335">+CJ261/C261</f>
        <v>121.64265332423624</v>
      </c>
      <c r="DJ261" s="70">
        <f t="shared" ref="DJ261:DJ306" si="336">+(DH261+DI261)</f>
        <v>149.87208067828536</v>
      </c>
      <c r="DK261" s="69">
        <f t="shared" ref="DK261:DK306" si="337">+AQ261/C261</f>
        <v>23.092436886219076</v>
      </c>
      <c r="DL261" s="69">
        <f t="shared" ref="DL261:DL306" si="338">+CL261/C261</f>
        <v>41.953951382450825</v>
      </c>
      <c r="DM261" s="70">
        <f t="shared" ref="DM261:DM306" si="339">+(DK261+DL261)</f>
        <v>65.046388268669901</v>
      </c>
    </row>
    <row r="262" spans="1:117">
      <c r="A262" t="s">
        <v>505</v>
      </c>
      <c r="B262">
        <v>233503</v>
      </c>
      <c r="C262">
        <v>176693</v>
      </c>
      <c r="D262" s="51">
        <v>35230.29</v>
      </c>
      <c r="E262" s="32">
        <f t="shared" si="272"/>
        <v>6224945630.9700003</v>
      </c>
      <c r="F262">
        <v>13366</v>
      </c>
      <c r="G262" s="37">
        <f t="shared" si="273"/>
        <v>5.7241234587992448E-2</v>
      </c>
      <c r="H262">
        <v>0</v>
      </c>
      <c r="I262" s="3">
        <f t="shared" si="274"/>
        <v>0</v>
      </c>
      <c r="J262" s="11">
        <f>+'Seat capacity elasticities'!K292</f>
        <v>0</v>
      </c>
      <c r="K262" s="11">
        <f>+'Seat capacity elasticities'!L292</f>
        <v>0</v>
      </c>
      <c r="L262" s="11">
        <f>+'Seat capacity elasticities'!M292</f>
        <v>0</v>
      </c>
      <c r="M262" s="11">
        <f>+'Seat capacity elasticities'!N292</f>
        <v>0</v>
      </c>
      <c r="N262" s="32">
        <f t="shared" si="284"/>
        <v>0</v>
      </c>
      <c r="O262" s="33">
        <f t="shared" si="285"/>
        <v>0</v>
      </c>
      <c r="P262" s="40">
        <f t="shared" si="286"/>
        <v>0</v>
      </c>
      <c r="Q262" s="33">
        <f t="shared" si="287"/>
        <v>0</v>
      </c>
      <c r="R262" s="40">
        <f t="shared" si="288"/>
        <v>0</v>
      </c>
      <c r="S262" s="41">
        <f t="shared" si="289"/>
        <v>0</v>
      </c>
      <c r="T262" s="40">
        <f t="shared" si="290"/>
        <v>0</v>
      </c>
      <c r="U262" s="41">
        <f t="shared" si="291"/>
        <v>0</v>
      </c>
      <c r="V262" s="53"/>
      <c r="W262" s="53"/>
      <c r="X262" t="s">
        <v>505</v>
      </c>
      <c r="Y262">
        <v>233503</v>
      </c>
      <c r="Z262">
        <v>176693</v>
      </c>
      <c r="AA262" s="51">
        <v>35230.29</v>
      </c>
      <c r="AB262" s="32">
        <f t="shared" si="275"/>
        <v>6224945630.9700003</v>
      </c>
      <c r="AC262">
        <v>13366</v>
      </c>
      <c r="AD262" s="37">
        <f t="shared" si="276"/>
        <v>5.7241234587992448E-2</v>
      </c>
      <c r="AE262">
        <v>3.5839000000000001E-3</v>
      </c>
      <c r="AF262" s="3">
        <f t="shared" si="277"/>
        <v>3.5839E-5</v>
      </c>
      <c r="AG262" s="11">
        <f>+'Seat capacity elasticities'!R292</f>
        <v>6.9521441951737577E-3</v>
      </c>
      <c r="AH262" s="11">
        <f>+'Seat capacity elasticities'!S292</f>
        <v>1.317623628481983E-2</v>
      </c>
      <c r="AI262" s="11">
        <f>+'Seat capacity elasticities'!T292</f>
        <v>1.9074475048130167E-2</v>
      </c>
      <c r="AJ262" s="11">
        <f>+'Seat capacity elasticities'!U292</f>
        <v>1.5603437705707695E-2</v>
      </c>
      <c r="AK262" s="32">
        <f t="shared" si="292"/>
        <v>432767.19633620331</v>
      </c>
      <c r="AL262" s="33">
        <f t="shared" si="293"/>
        <v>6.9521441951737577E-5</v>
      </c>
      <c r="AM262" s="40">
        <f t="shared" si="294"/>
        <v>820213.54493817594</v>
      </c>
      <c r="AN262" s="33">
        <f t="shared" si="295"/>
        <v>1.317623628481983E-4</v>
      </c>
      <c r="AO262" s="40">
        <f t="shared" si="296"/>
        <v>2549494.3349330784</v>
      </c>
      <c r="AP262" s="41">
        <f t="shared" si="297"/>
        <v>1.9074475048130168E-4</v>
      </c>
      <c r="AQ262" s="40">
        <f t="shared" si="298"/>
        <v>2085555.4837448907</v>
      </c>
      <c r="AR262" s="41">
        <f t="shared" si="299"/>
        <v>1.5603437705707696E-4</v>
      </c>
      <c r="AV262" t="s">
        <v>505</v>
      </c>
      <c r="AW262">
        <v>233503</v>
      </c>
      <c r="AX262">
        <v>176693</v>
      </c>
      <c r="AY262" s="51">
        <v>35230.29</v>
      </c>
      <c r="AZ262" s="32">
        <f t="shared" si="278"/>
        <v>6224945630.9700003</v>
      </c>
      <c r="BA262">
        <v>13366</v>
      </c>
      <c r="BB262" s="37">
        <f t="shared" si="279"/>
        <v>5.7241234587992448E-2</v>
      </c>
      <c r="BC262">
        <v>0</v>
      </c>
      <c r="BD262" s="3">
        <f t="shared" si="280"/>
        <v>0</v>
      </c>
      <c r="BE262" s="11">
        <f>+'Seat capacity elasticities'!Y292</f>
        <v>0</v>
      </c>
      <c r="BF262" s="11">
        <f>+'Seat capacity elasticities'!Z292</f>
        <v>0</v>
      </c>
      <c r="BG262" s="11">
        <f>+'Seat capacity elasticities'!AA292</f>
        <v>0</v>
      </c>
      <c r="BH262" s="11">
        <f>+'Seat capacity elasticities'!AB292</f>
        <v>0</v>
      </c>
      <c r="BI262" s="32">
        <f t="shared" si="300"/>
        <v>0</v>
      </c>
      <c r="BJ262" s="33">
        <f t="shared" si="301"/>
        <v>0</v>
      </c>
      <c r="BK262" s="40">
        <f t="shared" si="302"/>
        <v>0</v>
      </c>
      <c r="BL262" s="33">
        <f t="shared" si="303"/>
        <v>0</v>
      </c>
      <c r="BM262" s="40">
        <f t="shared" si="304"/>
        <v>0</v>
      </c>
      <c r="BN262" s="41">
        <f t="shared" si="305"/>
        <v>0</v>
      </c>
      <c r="BO262" s="40">
        <f t="shared" si="306"/>
        <v>0</v>
      </c>
      <c r="BP262" s="41">
        <f t="shared" si="307"/>
        <v>0</v>
      </c>
      <c r="BQ262" s="53"/>
      <c r="BR262" s="53"/>
      <c r="BS262" t="s">
        <v>505</v>
      </c>
      <c r="BT262">
        <v>233503</v>
      </c>
      <c r="BU262">
        <v>176693</v>
      </c>
      <c r="BV262" s="51">
        <v>35230.29</v>
      </c>
      <c r="BW262" s="32">
        <f t="shared" si="281"/>
        <v>6224945630.9700003</v>
      </c>
      <c r="BX262">
        <v>13366</v>
      </c>
      <c r="BY262" s="37">
        <f t="shared" si="282"/>
        <v>5.7241234587992448E-2</v>
      </c>
      <c r="BZ262">
        <v>3.5839000000000001E-3</v>
      </c>
      <c r="CA262" s="3">
        <f t="shared" si="283"/>
        <v>3.5839E-5</v>
      </c>
      <c r="CB262" s="11">
        <f>+'Seat capacity elasticities'!AF292</f>
        <v>3.2584384061171576E-2</v>
      </c>
      <c r="CC262" s="11">
        <f>+'Seat capacity elasticities'!AG292</f>
        <v>2.6037627406761372E-2</v>
      </c>
      <c r="CD262" s="11">
        <f>+'Seat capacity elasticities'!AH292</f>
        <v>8.9401198146174726E-2</v>
      </c>
      <c r="CE262" s="11">
        <f>+'Seat capacity elasticities'!AI292</f>
        <v>3.0834032455375311E-2</v>
      </c>
      <c r="CF262" s="32">
        <f t="shared" si="308"/>
        <v>2028360.1919943851</v>
      </c>
      <c r="CG262" s="33">
        <f t="shared" si="309"/>
        <v>3.2584384061171574E-4</v>
      </c>
      <c r="CH262" s="40">
        <f t="shared" si="310"/>
        <v>1620828.1496654395</v>
      </c>
      <c r="CI262" s="33">
        <f t="shared" si="311"/>
        <v>2.6037627406761375E-4</v>
      </c>
      <c r="CJ262" s="40">
        <f t="shared" si="312"/>
        <v>11949364.144217717</v>
      </c>
      <c r="CK262" s="41">
        <f t="shared" si="313"/>
        <v>8.9401198146174749E-4</v>
      </c>
      <c r="CL262" s="40">
        <f t="shared" si="314"/>
        <v>4121276.7779854643</v>
      </c>
      <c r="CM262" s="41">
        <f t="shared" si="315"/>
        <v>3.0834032455375311E-4</v>
      </c>
      <c r="CO262" s="70">
        <f t="shared" si="316"/>
        <v>0</v>
      </c>
      <c r="CP262" s="70">
        <f t="shared" si="317"/>
        <v>0</v>
      </c>
      <c r="CQ262" s="70">
        <f t="shared" si="318"/>
        <v>0</v>
      </c>
      <c r="CR262" s="70">
        <f t="shared" si="319"/>
        <v>0</v>
      </c>
      <c r="CS262" s="70">
        <f t="shared" si="320"/>
        <v>0</v>
      </c>
      <c r="CT262" s="70">
        <f t="shared" si="321"/>
        <v>0</v>
      </c>
      <c r="CU262" s="69">
        <f t="shared" si="322"/>
        <v>0</v>
      </c>
      <c r="CV262" s="69">
        <f t="shared" si="323"/>
        <v>0</v>
      </c>
      <c r="CW262" s="70">
        <f t="shared" si="324"/>
        <v>0</v>
      </c>
      <c r="CX262" s="69">
        <f t="shared" si="325"/>
        <v>0</v>
      </c>
      <c r="CY262" s="69">
        <f t="shared" si="326"/>
        <v>0</v>
      </c>
      <c r="CZ262" s="70">
        <f t="shared" si="327"/>
        <v>0</v>
      </c>
      <c r="DB262" s="70">
        <f t="shared" si="328"/>
        <v>2.4492605611778808</v>
      </c>
      <c r="DC262" s="70">
        <f t="shared" si="329"/>
        <v>11.479572999464525</v>
      </c>
      <c r="DD262" s="70">
        <f t="shared" si="330"/>
        <v>13.928833560642406</v>
      </c>
      <c r="DE262" s="70">
        <f t="shared" si="331"/>
        <v>4.642026254227253</v>
      </c>
      <c r="DF262" s="70">
        <f t="shared" si="332"/>
        <v>9.1731316445215114</v>
      </c>
      <c r="DG262" s="70">
        <f t="shared" si="333"/>
        <v>13.815157898748765</v>
      </c>
      <c r="DH262" s="69">
        <f t="shared" si="334"/>
        <v>14.42894927887963</v>
      </c>
      <c r="DI262" s="69">
        <f t="shared" si="335"/>
        <v>67.627829875647123</v>
      </c>
      <c r="DJ262" s="70">
        <f t="shared" si="336"/>
        <v>82.056779154526751</v>
      </c>
      <c r="DK262" s="69">
        <f t="shared" si="337"/>
        <v>11.803271684474714</v>
      </c>
      <c r="DL262" s="69">
        <f t="shared" si="338"/>
        <v>23.32450509066836</v>
      </c>
      <c r="DM262" s="70">
        <f t="shared" si="339"/>
        <v>35.127776775143076</v>
      </c>
    </row>
    <row r="263" spans="1:117">
      <c r="A263" t="s">
        <v>506</v>
      </c>
      <c r="B263">
        <v>318129</v>
      </c>
      <c r="C263">
        <v>173864</v>
      </c>
      <c r="D263" s="51">
        <v>34269.46</v>
      </c>
      <c r="E263" s="32">
        <f t="shared" si="272"/>
        <v>5958225393.4399996</v>
      </c>
      <c r="F263">
        <v>11351</v>
      </c>
      <c r="G263" s="37">
        <f t="shared" si="273"/>
        <v>3.5680494390640277E-2</v>
      </c>
      <c r="H263">
        <v>0</v>
      </c>
      <c r="I263" s="3">
        <f t="shared" si="274"/>
        <v>0</v>
      </c>
      <c r="J263" s="11">
        <f>+'Seat capacity elasticities'!K293</f>
        <v>0</v>
      </c>
      <c r="K263" s="11">
        <f>+'Seat capacity elasticities'!L293</f>
        <v>0</v>
      </c>
      <c r="L263" s="11">
        <f>+'Seat capacity elasticities'!M293</f>
        <v>0</v>
      </c>
      <c r="M263" s="11">
        <f>+'Seat capacity elasticities'!N293</f>
        <v>0</v>
      </c>
      <c r="N263" s="32">
        <f t="shared" si="284"/>
        <v>0</v>
      </c>
      <c r="O263" s="33">
        <f t="shared" si="285"/>
        <v>0</v>
      </c>
      <c r="P263" s="40">
        <f t="shared" si="286"/>
        <v>0</v>
      </c>
      <c r="Q263" s="33">
        <f t="shared" si="287"/>
        <v>0</v>
      </c>
      <c r="R263" s="40">
        <f t="shared" si="288"/>
        <v>0</v>
      </c>
      <c r="S263" s="41">
        <f t="shared" si="289"/>
        <v>0</v>
      </c>
      <c r="T263" s="40">
        <f t="shared" si="290"/>
        <v>0</v>
      </c>
      <c r="U263" s="41">
        <f t="shared" si="291"/>
        <v>0</v>
      </c>
      <c r="V263" s="53"/>
      <c r="W263" s="53"/>
      <c r="X263" t="s">
        <v>506</v>
      </c>
      <c r="Y263">
        <v>318129</v>
      </c>
      <c r="Z263">
        <v>173864</v>
      </c>
      <c r="AA263" s="51">
        <v>34269.46</v>
      </c>
      <c r="AB263" s="32">
        <f t="shared" si="275"/>
        <v>5958225393.4399996</v>
      </c>
      <c r="AC263">
        <v>11351</v>
      </c>
      <c r="AD263" s="37">
        <f t="shared" si="276"/>
        <v>3.5680494390640277E-2</v>
      </c>
      <c r="AE263">
        <v>5.4584000000000004E-3</v>
      </c>
      <c r="AF263" s="3">
        <f t="shared" si="277"/>
        <v>5.4584000000000005E-5</v>
      </c>
      <c r="AG263" s="11">
        <f>+'Seat capacity elasticities'!R293</f>
        <v>1.4865689742317173E-2</v>
      </c>
      <c r="AH263" s="11">
        <f>+'Seat capacity elasticities'!S293</f>
        <v>2.8174594065176462E-2</v>
      </c>
      <c r="AI263" s="11">
        <f>+'Seat capacity elasticities'!T293</f>
        <v>4.0786729978920758E-2</v>
      </c>
      <c r="AJ263" s="11">
        <f>+'Seat capacity elasticities'!U293</f>
        <v>3.3364650866656333E-2</v>
      </c>
      <c r="AK263" s="32">
        <f t="shared" si="292"/>
        <v>885731.30113674712</v>
      </c>
      <c r="AL263" s="33">
        <f t="shared" si="293"/>
        <v>1.4865689742317174E-4</v>
      </c>
      <c r="AM263" s="40">
        <f t="shared" si="294"/>
        <v>1678705.8180899832</v>
      </c>
      <c r="AN263" s="33">
        <f t="shared" si="295"/>
        <v>2.8174594065176467E-4</v>
      </c>
      <c r="AO263" s="40">
        <f t="shared" si="296"/>
        <v>4629701.719907295</v>
      </c>
      <c r="AP263" s="41">
        <f t="shared" si="297"/>
        <v>4.0786729978920753E-4</v>
      </c>
      <c r="AQ263" s="40">
        <f t="shared" si="298"/>
        <v>3787221.5198741606</v>
      </c>
      <c r="AR263" s="41">
        <f t="shared" si="299"/>
        <v>3.3364650866656335E-4</v>
      </c>
      <c r="AV263" t="s">
        <v>506</v>
      </c>
      <c r="AW263">
        <v>318129</v>
      </c>
      <c r="AX263">
        <v>173864</v>
      </c>
      <c r="AY263" s="51">
        <v>34269.46</v>
      </c>
      <c r="AZ263" s="32">
        <f t="shared" si="278"/>
        <v>5958225393.4399996</v>
      </c>
      <c r="BA263">
        <v>11351</v>
      </c>
      <c r="BB263" s="37">
        <f t="shared" si="279"/>
        <v>3.5680494390640277E-2</v>
      </c>
      <c r="BC263">
        <v>0</v>
      </c>
      <c r="BD263" s="3">
        <f t="shared" si="280"/>
        <v>0</v>
      </c>
      <c r="BE263" s="11">
        <f>+'Seat capacity elasticities'!Y293</f>
        <v>0</v>
      </c>
      <c r="BF263" s="11">
        <f>+'Seat capacity elasticities'!Z293</f>
        <v>0</v>
      </c>
      <c r="BG263" s="11">
        <f>+'Seat capacity elasticities'!AA293</f>
        <v>0</v>
      </c>
      <c r="BH263" s="11">
        <f>+'Seat capacity elasticities'!AB293</f>
        <v>0</v>
      </c>
      <c r="BI263" s="32">
        <f t="shared" si="300"/>
        <v>0</v>
      </c>
      <c r="BJ263" s="33">
        <f t="shared" si="301"/>
        <v>0</v>
      </c>
      <c r="BK263" s="40">
        <f t="shared" si="302"/>
        <v>0</v>
      </c>
      <c r="BL263" s="33">
        <f t="shared" si="303"/>
        <v>0</v>
      </c>
      <c r="BM263" s="40">
        <f t="shared" si="304"/>
        <v>0</v>
      </c>
      <c r="BN263" s="41">
        <f t="shared" si="305"/>
        <v>0</v>
      </c>
      <c r="BO263" s="40">
        <f t="shared" si="306"/>
        <v>0</v>
      </c>
      <c r="BP263" s="41">
        <f t="shared" si="307"/>
        <v>0</v>
      </c>
      <c r="BQ263" s="53"/>
      <c r="BR263" s="53"/>
      <c r="BS263" t="s">
        <v>506</v>
      </c>
      <c r="BT263">
        <v>318129</v>
      </c>
      <c r="BU263">
        <v>173864</v>
      </c>
      <c r="BV263" s="51">
        <v>34269.46</v>
      </c>
      <c r="BW263" s="32">
        <f t="shared" si="281"/>
        <v>5958225393.4399996</v>
      </c>
      <c r="BX263">
        <v>11351</v>
      </c>
      <c r="BY263" s="37">
        <f t="shared" si="282"/>
        <v>3.5680494390640277E-2</v>
      </c>
      <c r="BZ263">
        <v>5.4584000000000004E-3</v>
      </c>
      <c r="CA263" s="3">
        <f t="shared" si="283"/>
        <v>5.4584000000000005E-5</v>
      </c>
      <c r="CB263" s="11">
        <f>+'Seat capacity elasticities'!AF293</f>
        <v>3.6425724233518753E-2</v>
      </c>
      <c r="CC263" s="11">
        <f>+'Seat capacity elasticities'!AG293</f>
        <v>2.9107177040181821E-2</v>
      </c>
      <c r="CD263" s="11">
        <f>+'Seat capacity elasticities'!AH293</f>
        <v>9.994061522553882E-2</v>
      </c>
      <c r="CE263" s="11">
        <f>+'Seat capacity elasticities'!AI293</f>
        <v>3.4469025442320576E-2</v>
      </c>
      <c r="CF263" s="32">
        <f t="shared" si="308"/>
        <v>2170326.7510259422</v>
      </c>
      <c r="CG263" s="33">
        <f t="shared" si="309"/>
        <v>3.6425724233518755E-4</v>
      </c>
      <c r="CH263" s="40">
        <f t="shared" si="310"/>
        <v>1734271.2137216507</v>
      </c>
      <c r="CI263" s="33">
        <f t="shared" si="311"/>
        <v>2.9107177040181825E-4</v>
      </c>
      <c r="CJ263" s="40">
        <f t="shared" si="312"/>
        <v>11344259.234250911</v>
      </c>
      <c r="CK263" s="41">
        <f t="shared" si="313"/>
        <v>9.9940615225538819E-4</v>
      </c>
      <c r="CL263" s="40">
        <f t="shared" si="314"/>
        <v>3912579.077957809</v>
      </c>
      <c r="CM263" s="41">
        <f t="shared" si="315"/>
        <v>3.4469025442320579E-4</v>
      </c>
      <c r="CO263" s="70">
        <f t="shared" si="316"/>
        <v>0</v>
      </c>
      <c r="CP263" s="70">
        <f t="shared" si="317"/>
        <v>0</v>
      </c>
      <c r="CQ263" s="70">
        <f t="shared" si="318"/>
        <v>0</v>
      </c>
      <c r="CR263" s="70">
        <f t="shared" si="319"/>
        <v>0</v>
      </c>
      <c r="CS263" s="70">
        <f t="shared" si="320"/>
        <v>0</v>
      </c>
      <c r="CT263" s="70">
        <f t="shared" si="321"/>
        <v>0</v>
      </c>
      <c r="CU263" s="69">
        <f t="shared" si="322"/>
        <v>0</v>
      </c>
      <c r="CV263" s="69">
        <f t="shared" si="323"/>
        <v>0</v>
      </c>
      <c r="CW263" s="70">
        <f t="shared" si="324"/>
        <v>0</v>
      </c>
      <c r="CX263" s="69">
        <f t="shared" si="325"/>
        <v>0</v>
      </c>
      <c r="CY263" s="69">
        <f t="shared" si="326"/>
        <v>0</v>
      </c>
      <c r="CZ263" s="70">
        <f t="shared" si="327"/>
        <v>0</v>
      </c>
      <c r="DB263" s="70">
        <f t="shared" si="328"/>
        <v>5.0943915999674871</v>
      </c>
      <c r="DC263" s="70">
        <f t="shared" si="329"/>
        <v>12.482898995916015</v>
      </c>
      <c r="DD263" s="70">
        <f t="shared" si="330"/>
        <v>17.577290595883504</v>
      </c>
      <c r="DE263" s="70">
        <f t="shared" si="331"/>
        <v>9.6552812433280213</v>
      </c>
      <c r="DF263" s="70">
        <f t="shared" si="332"/>
        <v>9.9748723929142926</v>
      </c>
      <c r="DG263" s="70">
        <f t="shared" si="333"/>
        <v>19.630153636242312</v>
      </c>
      <c r="DH263" s="69">
        <f t="shared" si="334"/>
        <v>26.628294068394233</v>
      </c>
      <c r="DI263" s="69">
        <f t="shared" si="335"/>
        <v>65.247890502064323</v>
      </c>
      <c r="DJ263" s="70">
        <f t="shared" si="336"/>
        <v>91.876184570458548</v>
      </c>
      <c r="DK263" s="69">
        <f t="shared" si="337"/>
        <v>21.782666451215668</v>
      </c>
      <c r="DL263" s="69">
        <f t="shared" si="338"/>
        <v>22.503675734814621</v>
      </c>
      <c r="DM263" s="70">
        <f t="shared" si="339"/>
        <v>44.286342186030289</v>
      </c>
    </row>
    <row r="264" spans="1:117">
      <c r="A264" t="s">
        <v>507</v>
      </c>
      <c r="B264">
        <v>282520</v>
      </c>
      <c r="C264">
        <v>157940</v>
      </c>
      <c r="D264" s="51">
        <v>37056.980000000003</v>
      </c>
      <c r="E264" s="32">
        <f t="shared" si="272"/>
        <v>5852779421.2000008</v>
      </c>
      <c r="F264">
        <v>8900</v>
      </c>
      <c r="G264" s="37">
        <f t="shared" si="273"/>
        <v>3.1502194534900184E-2</v>
      </c>
      <c r="H264">
        <v>0</v>
      </c>
      <c r="I264" s="3">
        <f t="shared" si="274"/>
        <v>0</v>
      </c>
      <c r="J264" s="11">
        <f>+'Seat capacity elasticities'!K294</f>
        <v>0</v>
      </c>
      <c r="K264" s="11">
        <f>+'Seat capacity elasticities'!L294</f>
        <v>0</v>
      </c>
      <c r="L264" s="11">
        <f>+'Seat capacity elasticities'!M294</f>
        <v>0</v>
      </c>
      <c r="M264" s="11">
        <f>+'Seat capacity elasticities'!N294</f>
        <v>0</v>
      </c>
      <c r="N264" s="32">
        <f t="shared" si="284"/>
        <v>0</v>
      </c>
      <c r="O264" s="33">
        <f t="shared" si="285"/>
        <v>0</v>
      </c>
      <c r="P264" s="40">
        <f t="shared" si="286"/>
        <v>0</v>
      </c>
      <c r="Q264" s="33">
        <f t="shared" si="287"/>
        <v>0</v>
      </c>
      <c r="R264" s="40">
        <f t="shared" si="288"/>
        <v>0</v>
      </c>
      <c r="S264" s="41">
        <f t="shared" si="289"/>
        <v>0</v>
      </c>
      <c r="T264" s="40">
        <f t="shared" si="290"/>
        <v>0</v>
      </c>
      <c r="U264" s="41">
        <f t="shared" si="291"/>
        <v>0</v>
      </c>
      <c r="V264" s="53"/>
      <c r="W264" s="53"/>
      <c r="X264" t="s">
        <v>507</v>
      </c>
      <c r="Y264">
        <v>282520</v>
      </c>
      <c r="Z264">
        <v>157940</v>
      </c>
      <c r="AA264" s="51">
        <v>37056.980000000003</v>
      </c>
      <c r="AB264" s="32">
        <f t="shared" si="275"/>
        <v>5852779421.2000008</v>
      </c>
      <c r="AC264">
        <v>8900</v>
      </c>
      <c r="AD264" s="37">
        <f t="shared" si="276"/>
        <v>3.1502194534900184E-2</v>
      </c>
      <c r="AE264">
        <v>1.3913E-3</v>
      </c>
      <c r="AF264" s="3">
        <f t="shared" si="277"/>
        <v>1.3913E-5</v>
      </c>
      <c r="AG264" s="11">
        <f>+'Seat capacity elasticities'!R294</f>
        <v>3.7022795104940582E-3</v>
      </c>
      <c r="AH264" s="11">
        <f>+'Seat capacity elasticities'!S294</f>
        <v>7.0168437611782862E-3</v>
      </c>
      <c r="AI264" s="11">
        <f>+'Seat capacity elasticities'!T294</f>
        <v>1.015787880135554E-2</v>
      </c>
      <c r="AJ264" s="11">
        <f>+'Seat capacity elasticities'!U294</f>
        <v>8.3094202435006013E-3</v>
      </c>
      <c r="AK264" s="32">
        <f t="shared" si="292"/>
        <v>216686.25330550037</v>
      </c>
      <c r="AL264" s="33">
        <f t="shared" si="293"/>
        <v>3.7022795104940586E-5</v>
      </c>
      <c r="AM264" s="40">
        <f t="shared" si="294"/>
        <v>410680.38767199888</v>
      </c>
      <c r="AN264" s="33">
        <f t="shared" si="295"/>
        <v>7.0168437611782867E-5</v>
      </c>
      <c r="AO264" s="40">
        <f t="shared" si="296"/>
        <v>904051.21332064318</v>
      </c>
      <c r="AP264" s="41">
        <f t="shared" si="297"/>
        <v>1.015787880135554E-4</v>
      </c>
      <c r="AQ264" s="40">
        <f t="shared" si="298"/>
        <v>739538.4016715535</v>
      </c>
      <c r="AR264" s="41">
        <f t="shared" si="299"/>
        <v>8.3094202435006015E-5</v>
      </c>
      <c r="AV264" t="s">
        <v>507</v>
      </c>
      <c r="AW264">
        <v>282520</v>
      </c>
      <c r="AX264">
        <v>157940</v>
      </c>
      <c r="AY264" s="51">
        <v>37056.980000000003</v>
      </c>
      <c r="AZ264" s="32">
        <f t="shared" si="278"/>
        <v>5852779421.2000008</v>
      </c>
      <c r="BA264">
        <v>8900</v>
      </c>
      <c r="BB264" s="37">
        <f t="shared" si="279"/>
        <v>3.1502194534900184E-2</v>
      </c>
      <c r="BC264">
        <v>0</v>
      </c>
      <c r="BD264" s="3">
        <f t="shared" si="280"/>
        <v>0</v>
      </c>
      <c r="BE264" s="11">
        <f>+'Seat capacity elasticities'!Y294</f>
        <v>0</v>
      </c>
      <c r="BF264" s="11">
        <f>+'Seat capacity elasticities'!Z294</f>
        <v>0</v>
      </c>
      <c r="BG264" s="11">
        <f>+'Seat capacity elasticities'!AA294</f>
        <v>0</v>
      </c>
      <c r="BH264" s="11">
        <f>+'Seat capacity elasticities'!AB294</f>
        <v>0</v>
      </c>
      <c r="BI264" s="32">
        <f t="shared" si="300"/>
        <v>0</v>
      </c>
      <c r="BJ264" s="33">
        <f t="shared" si="301"/>
        <v>0</v>
      </c>
      <c r="BK264" s="40">
        <f t="shared" si="302"/>
        <v>0</v>
      </c>
      <c r="BL264" s="33">
        <f t="shared" si="303"/>
        <v>0</v>
      </c>
      <c r="BM264" s="40">
        <f t="shared" si="304"/>
        <v>0</v>
      </c>
      <c r="BN264" s="41">
        <f t="shared" si="305"/>
        <v>0</v>
      </c>
      <c r="BO264" s="40">
        <f t="shared" si="306"/>
        <v>0</v>
      </c>
      <c r="BP264" s="41">
        <f t="shared" si="307"/>
        <v>0</v>
      </c>
      <c r="BQ264" s="53"/>
      <c r="BR264" s="53"/>
      <c r="BS264" t="s">
        <v>507</v>
      </c>
      <c r="BT264">
        <v>282520</v>
      </c>
      <c r="BU264">
        <v>157940</v>
      </c>
      <c r="BV264" s="51">
        <v>37056.980000000003</v>
      </c>
      <c r="BW264" s="32">
        <f t="shared" si="281"/>
        <v>5852779421.2000008</v>
      </c>
      <c r="BX264">
        <v>8900</v>
      </c>
      <c r="BY264" s="37">
        <f t="shared" si="282"/>
        <v>3.1502194534900184E-2</v>
      </c>
      <c r="BZ264">
        <v>1.3913E-3</v>
      </c>
      <c r="CA264" s="3">
        <f t="shared" si="283"/>
        <v>1.3913E-5</v>
      </c>
      <c r="CB264" s="11">
        <f>+'Seat capacity elasticities'!AF294</f>
        <v>1.0454847081875676E-2</v>
      </c>
      <c r="CC264" s="11">
        <f>+'Seat capacity elasticities'!AG294</f>
        <v>8.3542905829215638E-3</v>
      </c>
      <c r="CD264" s="11">
        <f>+'Seat capacity elasticities'!AH294</f>
        <v>2.8684778997204018E-2</v>
      </c>
      <c r="CE264" s="11">
        <f>+'Seat capacity elasticities'!AI294</f>
        <v>9.893238848196588E-3</v>
      </c>
      <c r="CF264" s="32">
        <f t="shared" si="308"/>
        <v>611899.13852594839</v>
      </c>
      <c r="CG264" s="33">
        <f t="shared" si="309"/>
        <v>1.0454847081875676E-4</v>
      </c>
      <c r="CH264" s="40">
        <f t="shared" si="310"/>
        <v>488958.20002448291</v>
      </c>
      <c r="CI264" s="33">
        <f t="shared" si="311"/>
        <v>8.3542905829215639E-5</v>
      </c>
      <c r="CJ264" s="40">
        <f t="shared" si="312"/>
        <v>2552945.3307511583</v>
      </c>
      <c r="CK264" s="41">
        <f t="shared" si="313"/>
        <v>2.8684778997204022E-4</v>
      </c>
      <c r="CL264" s="40">
        <f t="shared" si="314"/>
        <v>880498.25748949626</v>
      </c>
      <c r="CM264" s="41">
        <f t="shared" si="315"/>
        <v>9.8932388481965869E-5</v>
      </c>
      <c r="CO264" s="70">
        <f t="shared" si="316"/>
        <v>0</v>
      </c>
      <c r="CP264" s="70">
        <f t="shared" si="317"/>
        <v>0</v>
      </c>
      <c r="CQ264" s="70">
        <f t="shared" si="318"/>
        <v>0</v>
      </c>
      <c r="CR264" s="70">
        <f t="shared" si="319"/>
        <v>0</v>
      </c>
      <c r="CS264" s="70">
        <f t="shared" si="320"/>
        <v>0</v>
      </c>
      <c r="CT264" s="70">
        <f t="shared" si="321"/>
        <v>0</v>
      </c>
      <c r="CU264" s="69">
        <f t="shared" si="322"/>
        <v>0</v>
      </c>
      <c r="CV264" s="69">
        <f t="shared" si="323"/>
        <v>0</v>
      </c>
      <c r="CW264" s="70">
        <f t="shared" si="324"/>
        <v>0</v>
      </c>
      <c r="CX264" s="69">
        <f t="shared" si="325"/>
        <v>0</v>
      </c>
      <c r="CY264" s="69">
        <f t="shared" si="326"/>
        <v>0</v>
      </c>
      <c r="CZ264" s="70">
        <f t="shared" si="327"/>
        <v>0</v>
      </c>
      <c r="DB264" s="70">
        <f t="shared" si="328"/>
        <v>1.3719529777478814</v>
      </c>
      <c r="DC264" s="70">
        <f t="shared" si="329"/>
        <v>3.8742505921612538</v>
      </c>
      <c r="DD264" s="70">
        <f t="shared" si="330"/>
        <v>5.2462035699091354</v>
      </c>
      <c r="DE264" s="70">
        <f t="shared" si="331"/>
        <v>2.6002303892110858</v>
      </c>
      <c r="DF264" s="70">
        <f t="shared" si="332"/>
        <v>3.095847790455128</v>
      </c>
      <c r="DG264" s="70">
        <f t="shared" si="333"/>
        <v>5.6960781796662143</v>
      </c>
      <c r="DH264" s="69">
        <f t="shared" si="334"/>
        <v>5.7240167995482025</v>
      </c>
      <c r="DI264" s="69">
        <f t="shared" si="335"/>
        <v>16.164020075668976</v>
      </c>
      <c r="DJ264" s="70">
        <f t="shared" si="336"/>
        <v>21.888036875217178</v>
      </c>
      <c r="DK264" s="69">
        <f t="shared" si="337"/>
        <v>4.6824009223221061</v>
      </c>
      <c r="DL264" s="69">
        <f t="shared" si="338"/>
        <v>5.5748908287292407</v>
      </c>
      <c r="DM264" s="70">
        <f t="shared" si="339"/>
        <v>10.257291751051348</v>
      </c>
    </row>
    <row r="265" spans="1:117">
      <c r="A265" t="s">
        <v>508</v>
      </c>
      <c r="B265">
        <v>462408</v>
      </c>
      <c r="C265">
        <v>282327</v>
      </c>
      <c r="D265" s="51">
        <v>36279.089999999997</v>
      </c>
      <c r="E265" s="32">
        <f t="shared" si="272"/>
        <v>10242566642.429998</v>
      </c>
      <c r="F265">
        <v>14912</v>
      </c>
      <c r="G265" s="37">
        <f t="shared" si="273"/>
        <v>3.2248577014238507E-2</v>
      </c>
      <c r="H265">
        <v>0</v>
      </c>
      <c r="I265" s="3">
        <f t="shared" si="274"/>
        <v>0</v>
      </c>
      <c r="J265" s="11">
        <f>+'Seat capacity elasticities'!K295</f>
        <v>0</v>
      </c>
      <c r="K265" s="11">
        <f>+'Seat capacity elasticities'!L295</f>
        <v>0</v>
      </c>
      <c r="L265" s="11">
        <f>+'Seat capacity elasticities'!M295</f>
        <v>0</v>
      </c>
      <c r="M265" s="11">
        <f>+'Seat capacity elasticities'!N295</f>
        <v>0</v>
      </c>
      <c r="N265" s="32">
        <f t="shared" si="284"/>
        <v>0</v>
      </c>
      <c r="O265" s="33">
        <f t="shared" si="285"/>
        <v>0</v>
      </c>
      <c r="P265" s="40">
        <f t="shared" si="286"/>
        <v>0</v>
      </c>
      <c r="Q265" s="33">
        <f t="shared" si="287"/>
        <v>0</v>
      </c>
      <c r="R265" s="40">
        <f t="shared" si="288"/>
        <v>0</v>
      </c>
      <c r="S265" s="41">
        <f t="shared" si="289"/>
        <v>0</v>
      </c>
      <c r="T265" s="40">
        <f t="shared" si="290"/>
        <v>0</v>
      </c>
      <c r="U265" s="41">
        <f t="shared" si="291"/>
        <v>0</v>
      </c>
      <c r="V265" s="53"/>
      <c r="W265" s="53"/>
      <c r="X265" t="s">
        <v>508</v>
      </c>
      <c r="Y265">
        <v>462408</v>
      </c>
      <c r="Z265">
        <v>282327</v>
      </c>
      <c r="AA265" s="51">
        <v>36279.089999999997</v>
      </c>
      <c r="AB265" s="32">
        <f t="shared" si="275"/>
        <v>10242566642.429998</v>
      </c>
      <c r="AC265">
        <v>14912</v>
      </c>
      <c r="AD265" s="37">
        <f t="shared" si="276"/>
        <v>3.2248577014238507E-2</v>
      </c>
      <c r="AE265">
        <v>1.3455E-2</v>
      </c>
      <c r="AF265" s="3">
        <f t="shared" si="277"/>
        <v>1.3454999999999999E-4</v>
      </c>
      <c r="AG265" s="11">
        <f>+'Seat capacity elasticities'!R295</f>
        <v>2.2482094159250936E-2</v>
      </c>
      <c r="AH265" s="11">
        <f>+'Seat capacity elasticities'!S295</f>
        <v>4.2609787211476909E-2</v>
      </c>
      <c r="AI265" s="11">
        <f>+'Seat capacity elasticities'!T295</f>
        <v>6.1683724047042282E-2</v>
      </c>
      <c r="AJ265" s="11">
        <f>+'Seat capacity elasticities'!U295</f>
        <v>5.0458958539906867E-2</v>
      </c>
      <c r="AK265" s="32">
        <f t="shared" si="292"/>
        <v>2302743.4768751394</v>
      </c>
      <c r="AL265" s="33">
        <f t="shared" si="293"/>
        <v>2.2482094159250937E-4</v>
      </c>
      <c r="AM265" s="40">
        <f t="shared" si="294"/>
        <v>4364335.8513331376</v>
      </c>
      <c r="AN265" s="33">
        <f t="shared" si="295"/>
        <v>4.2609787211476914E-4</v>
      </c>
      <c r="AO265" s="40">
        <f t="shared" si="296"/>
        <v>9198276.9298949447</v>
      </c>
      <c r="AP265" s="41">
        <f t="shared" si="297"/>
        <v>6.1683724047042283E-4</v>
      </c>
      <c r="AQ265" s="40">
        <f t="shared" si="298"/>
        <v>7524439.8974709129</v>
      </c>
      <c r="AR265" s="41">
        <f t="shared" si="299"/>
        <v>5.0458958539906869E-4</v>
      </c>
      <c r="AV265" t="s">
        <v>508</v>
      </c>
      <c r="AW265">
        <v>462408</v>
      </c>
      <c r="AX265">
        <v>282327</v>
      </c>
      <c r="AY265" s="51">
        <v>36279.089999999997</v>
      </c>
      <c r="AZ265" s="32">
        <f t="shared" si="278"/>
        <v>10242566642.429998</v>
      </c>
      <c r="BA265">
        <v>14912</v>
      </c>
      <c r="BB265" s="37">
        <f t="shared" si="279"/>
        <v>3.2248577014238507E-2</v>
      </c>
      <c r="BC265">
        <v>0</v>
      </c>
      <c r="BD265" s="3">
        <f t="shared" si="280"/>
        <v>0</v>
      </c>
      <c r="BE265" s="11">
        <f>+'Seat capacity elasticities'!Y295</f>
        <v>0</v>
      </c>
      <c r="BF265" s="11">
        <f>+'Seat capacity elasticities'!Z295</f>
        <v>0</v>
      </c>
      <c r="BG265" s="11">
        <f>+'Seat capacity elasticities'!AA295</f>
        <v>0</v>
      </c>
      <c r="BH265" s="11">
        <f>+'Seat capacity elasticities'!AB295</f>
        <v>0</v>
      </c>
      <c r="BI265" s="32">
        <f t="shared" si="300"/>
        <v>0</v>
      </c>
      <c r="BJ265" s="33">
        <f t="shared" si="301"/>
        <v>0</v>
      </c>
      <c r="BK265" s="40">
        <f t="shared" si="302"/>
        <v>0</v>
      </c>
      <c r="BL265" s="33">
        <f t="shared" si="303"/>
        <v>0</v>
      </c>
      <c r="BM265" s="40">
        <f t="shared" si="304"/>
        <v>0</v>
      </c>
      <c r="BN265" s="41">
        <f t="shared" si="305"/>
        <v>0</v>
      </c>
      <c r="BO265" s="40">
        <f t="shared" si="306"/>
        <v>0</v>
      </c>
      <c r="BP265" s="41">
        <f t="shared" si="307"/>
        <v>0</v>
      </c>
      <c r="BQ265" s="53"/>
      <c r="BR265" s="53"/>
      <c r="BS265" t="s">
        <v>508</v>
      </c>
      <c r="BT265">
        <v>462408</v>
      </c>
      <c r="BU265">
        <v>282327</v>
      </c>
      <c r="BV265" s="51">
        <v>36279.089999999997</v>
      </c>
      <c r="BW265" s="32">
        <f t="shared" si="281"/>
        <v>10242566642.429998</v>
      </c>
      <c r="BX265">
        <v>14912</v>
      </c>
      <c r="BY265" s="37">
        <f t="shared" si="282"/>
        <v>3.2248577014238507E-2</v>
      </c>
      <c r="BZ265">
        <v>1.3455E-2</v>
      </c>
      <c r="CA265" s="3">
        <f t="shared" si="283"/>
        <v>1.3454999999999999E-4</v>
      </c>
      <c r="CB265" s="11">
        <f>+'Seat capacity elasticities'!AF295</f>
        <v>6.1773820305899979E-2</v>
      </c>
      <c r="CC265" s="11">
        <f>+'Seat capacity elasticities'!AG295</f>
        <v>4.9362409723555822E-2</v>
      </c>
      <c r="CD265" s="11">
        <f>+'Seat capacity elasticities'!AH295</f>
        <v>0.16948773802340789</v>
      </c>
      <c r="CE265" s="11">
        <f>+'Seat capacity elasticities'!AI295</f>
        <v>5.8455485198947686E-2</v>
      </c>
      <c r="CF265" s="32">
        <f t="shared" si="308"/>
        <v>6327224.7124067601</v>
      </c>
      <c r="CG265" s="33">
        <f t="shared" si="309"/>
        <v>6.1773820305899979E-4</v>
      </c>
      <c r="CH265" s="40">
        <f t="shared" si="310"/>
        <v>5055977.7122445507</v>
      </c>
      <c r="CI265" s="33">
        <f t="shared" si="311"/>
        <v>4.9362409723555827E-4</v>
      </c>
      <c r="CJ265" s="40">
        <f t="shared" si="312"/>
        <v>25274011.494050585</v>
      </c>
      <c r="CK265" s="41">
        <f t="shared" si="313"/>
        <v>1.6948773802340788E-3</v>
      </c>
      <c r="CL265" s="40">
        <f t="shared" si="314"/>
        <v>8716881.9528670795</v>
      </c>
      <c r="CM265" s="41">
        <f t="shared" si="315"/>
        <v>5.8455485198947695E-4</v>
      </c>
      <c r="CO265" s="70">
        <f t="shared" si="316"/>
        <v>0</v>
      </c>
      <c r="CP265" s="70">
        <f t="shared" si="317"/>
        <v>0</v>
      </c>
      <c r="CQ265" s="70">
        <f t="shared" si="318"/>
        <v>0</v>
      </c>
      <c r="CR265" s="70">
        <f t="shared" si="319"/>
        <v>0</v>
      </c>
      <c r="CS265" s="70">
        <f t="shared" si="320"/>
        <v>0</v>
      </c>
      <c r="CT265" s="70">
        <f t="shared" si="321"/>
        <v>0</v>
      </c>
      <c r="CU265" s="69">
        <f t="shared" si="322"/>
        <v>0</v>
      </c>
      <c r="CV265" s="69">
        <f t="shared" si="323"/>
        <v>0</v>
      </c>
      <c r="CW265" s="70">
        <f t="shared" si="324"/>
        <v>0</v>
      </c>
      <c r="CX265" s="69">
        <f t="shared" si="325"/>
        <v>0</v>
      </c>
      <c r="CY265" s="69">
        <f t="shared" si="326"/>
        <v>0</v>
      </c>
      <c r="CZ265" s="70">
        <f t="shared" si="327"/>
        <v>0</v>
      </c>
      <c r="DB265" s="70">
        <f t="shared" si="328"/>
        <v>8.1562991739193897</v>
      </c>
      <c r="DC265" s="70">
        <f t="shared" si="329"/>
        <v>22.410979865215726</v>
      </c>
      <c r="DD265" s="70">
        <f t="shared" si="330"/>
        <v>30.567279039135116</v>
      </c>
      <c r="DE265" s="70">
        <f t="shared" si="331"/>
        <v>15.458443051260197</v>
      </c>
      <c r="DF265" s="70">
        <f t="shared" si="332"/>
        <v>17.908233049777564</v>
      </c>
      <c r="DG265" s="70">
        <f t="shared" si="333"/>
        <v>33.366676101037761</v>
      </c>
      <c r="DH265" s="69">
        <f t="shared" si="334"/>
        <v>32.580224101467252</v>
      </c>
      <c r="DI265" s="69">
        <f t="shared" si="335"/>
        <v>89.520348723468118</v>
      </c>
      <c r="DJ265" s="70">
        <f t="shared" si="336"/>
        <v>122.10057282493537</v>
      </c>
      <c r="DK265" s="69">
        <f t="shared" si="337"/>
        <v>26.651506577376281</v>
      </c>
      <c r="DL265" s="69">
        <f t="shared" si="338"/>
        <v>30.875126902021698</v>
      </c>
      <c r="DM265" s="70">
        <f t="shared" si="339"/>
        <v>57.526633479397979</v>
      </c>
    </row>
    <row r="266" spans="1:117">
      <c r="A266" t="s">
        <v>509</v>
      </c>
      <c r="B266">
        <v>207305</v>
      </c>
      <c r="C266">
        <v>138600</v>
      </c>
      <c r="D266" s="51">
        <v>34693.75</v>
      </c>
      <c r="E266" s="32">
        <f t="shared" si="272"/>
        <v>4808553750</v>
      </c>
      <c r="F266">
        <v>6374</v>
      </c>
      <c r="G266" s="37">
        <f t="shared" si="273"/>
        <v>3.074696702925641E-2</v>
      </c>
      <c r="H266">
        <v>0</v>
      </c>
      <c r="I266" s="3">
        <f t="shared" si="274"/>
        <v>0</v>
      </c>
      <c r="J266" s="11">
        <f>+'Seat capacity elasticities'!K296</f>
        <v>0</v>
      </c>
      <c r="K266" s="11">
        <f>+'Seat capacity elasticities'!L296</f>
        <v>0</v>
      </c>
      <c r="L266" s="11">
        <f>+'Seat capacity elasticities'!M296</f>
        <v>0</v>
      </c>
      <c r="M266" s="11">
        <f>+'Seat capacity elasticities'!N296</f>
        <v>0</v>
      </c>
      <c r="N266" s="32">
        <f t="shared" si="284"/>
        <v>0</v>
      </c>
      <c r="O266" s="33">
        <f t="shared" si="285"/>
        <v>0</v>
      </c>
      <c r="P266" s="40">
        <f t="shared" si="286"/>
        <v>0</v>
      </c>
      <c r="Q266" s="33">
        <f t="shared" si="287"/>
        <v>0</v>
      </c>
      <c r="R266" s="40">
        <f t="shared" si="288"/>
        <v>0</v>
      </c>
      <c r="S266" s="41">
        <f t="shared" si="289"/>
        <v>0</v>
      </c>
      <c r="T266" s="40">
        <f t="shared" si="290"/>
        <v>0</v>
      </c>
      <c r="U266" s="41">
        <f t="shared" si="291"/>
        <v>0</v>
      </c>
      <c r="V266" s="53"/>
      <c r="W266" s="53"/>
      <c r="X266" t="s">
        <v>509</v>
      </c>
      <c r="Y266">
        <v>207305</v>
      </c>
      <c r="Z266">
        <v>138600</v>
      </c>
      <c r="AA266" s="51">
        <v>34693.75</v>
      </c>
      <c r="AB266" s="32">
        <f t="shared" si="275"/>
        <v>4808553750</v>
      </c>
      <c r="AC266">
        <v>6374</v>
      </c>
      <c r="AD266" s="37">
        <f t="shared" si="276"/>
        <v>3.074696702925641E-2</v>
      </c>
      <c r="AE266">
        <v>8.4802000000000002E-3</v>
      </c>
      <c r="AF266" s="3">
        <f t="shared" si="277"/>
        <v>8.4802000000000006E-5</v>
      </c>
      <c r="AG266" s="11">
        <f>+'Seat capacity elasticities'!R296</f>
        <v>1.6721919765597823E-2</v>
      </c>
      <c r="AH266" s="11">
        <f>+'Seat capacity elasticities'!S296</f>
        <v>3.1692663411710086E-2</v>
      </c>
      <c r="AI266" s="11">
        <f>+'Seat capacity elasticities'!T296</f>
        <v>4.587963545795793E-2</v>
      </c>
      <c r="AJ266" s="11">
        <f>+'Seat capacity elasticities'!U296</f>
        <v>3.7530785619130362E-2</v>
      </c>
      <c r="AK266" s="32">
        <f t="shared" si="292"/>
        <v>804082.49996064533</v>
      </c>
      <c r="AL266" s="33">
        <f t="shared" si="293"/>
        <v>1.6721919765597823E-4</v>
      </c>
      <c r="AM266" s="40">
        <f t="shared" si="294"/>
        <v>1523958.7549586634</v>
      </c>
      <c r="AN266" s="33">
        <f t="shared" si="295"/>
        <v>3.1692663411710088E-4</v>
      </c>
      <c r="AO266" s="40">
        <f t="shared" si="296"/>
        <v>2924367.9640902388</v>
      </c>
      <c r="AP266" s="41">
        <f t="shared" si="297"/>
        <v>4.5879635457957938E-4</v>
      </c>
      <c r="AQ266" s="40">
        <f t="shared" si="298"/>
        <v>2392212.2753633698</v>
      </c>
      <c r="AR266" s="41">
        <f t="shared" si="299"/>
        <v>3.7530785619130369E-4</v>
      </c>
      <c r="AV266" t="s">
        <v>509</v>
      </c>
      <c r="AW266">
        <v>207305</v>
      </c>
      <c r="AX266">
        <v>138600</v>
      </c>
      <c r="AY266" s="51">
        <v>34693.75</v>
      </c>
      <c r="AZ266" s="32">
        <f t="shared" si="278"/>
        <v>4808553750</v>
      </c>
      <c r="BA266">
        <v>6374</v>
      </c>
      <c r="BB266" s="37">
        <f t="shared" si="279"/>
        <v>3.074696702925641E-2</v>
      </c>
      <c r="BC266">
        <v>0</v>
      </c>
      <c r="BD266" s="3">
        <f t="shared" si="280"/>
        <v>0</v>
      </c>
      <c r="BE266" s="11">
        <f>+'Seat capacity elasticities'!Y296</f>
        <v>0</v>
      </c>
      <c r="BF266" s="11">
        <f>+'Seat capacity elasticities'!Z296</f>
        <v>0</v>
      </c>
      <c r="BG266" s="11">
        <f>+'Seat capacity elasticities'!AA296</f>
        <v>0</v>
      </c>
      <c r="BH266" s="11">
        <f>+'Seat capacity elasticities'!AB296</f>
        <v>0</v>
      </c>
      <c r="BI266" s="32">
        <f t="shared" si="300"/>
        <v>0</v>
      </c>
      <c r="BJ266" s="33">
        <f t="shared" si="301"/>
        <v>0</v>
      </c>
      <c r="BK266" s="40">
        <f t="shared" si="302"/>
        <v>0</v>
      </c>
      <c r="BL266" s="33">
        <f t="shared" si="303"/>
        <v>0</v>
      </c>
      <c r="BM266" s="40">
        <f t="shared" si="304"/>
        <v>0</v>
      </c>
      <c r="BN266" s="41">
        <f t="shared" si="305"/>
        <v>0</v>
      </c>
      <c r="BO266" s="40">
        <f t="shared" si="306"/>
        <v>0</v>
      </c>
      <c r="BP266" s="41">
        <f t="shared" si="307"/>
        <v>0</v>
      </c>
      <c r="BQ266" s="53"/>
      <c r="BR266" s="53"/>
      <c r="BS266" t="s">
        <v>509</v>
      </c>
      <c r="BT266">
        <v>207305</v>
      </c>
      <c r="BU266">
        <v>138600</v>
      </c>
      <c r="BV266" s="51">
        <v>34693.75</v>
      </c>
      <c r="BW266" s="32">
        <f t="shared" si="281"/>
        <v>4808553750</v>
      </c>
      <c r="BX266">
        <v>6374</v>
      </c>
      <c r="BY266" s="37">
        <f t="shared" si="282"/>
        <v>3.074696702925641E-2</v>
      </c>
      <c r="BZ266">
        <v>8.4802000000000002E-3</v>
      </c>
      <c r="CA266" s="3">
        <f t="shared" si="283"/>
        <v>8.4802000000000006E-5</v>
      </c>
      <c r="CB266" s="11">
        <f>+'Seat capacity elasticities'!AF296</f>
        <v>8.6844519251266794E-2</v>
      </c>
      <c r="CC266" s="11">
        <f>+'Seat capacity elasticities'!AG296</f>
        <v>6.9395979078160197E-2</v>
      </c>
      <c r="CD266" s="11">
        <f>+'Seat capacity elasticities'!AH296</f>
        <v>0.23827377123091251</v>
      </c>
      <c r="CE266" s="11">
        <f>+'Seat capacity elasticities'!AI296</f>
        <v>8.2179448908347608E-2</v>
      </c>
      <c r="CF266" s="32">
        <f t="shared" si="308"/>
        <v>4175965.3871262614</v>
      </c>
      <c r="CG266" s="33">
        <f t="shared" si="309"/>
        <v>8.6844519251266794E-4</v>
      </c>
      <c r="CH266" s="40">
        <f t="shared" si="310"/>
        <v>3336942.9543120875</v>
      </c>
      <c r="CI266" s="33">
        <f t="shared" si="311"/>
        <v>6.9395979078160194E-4</v>
      </c>
      <c r="CJ266" s="40">
        <f t="shared" si="312"/>
        <v>15187570.178258363</v>
      </c>
      <c r="CK266" s="41">
        <f t="shared" si="313"/>
        <v>2.3827377123091251E-3</v>
      </c>
      <c r="CL266" s="40">
        <f t="shared" si="314"/>
        <v>5238118.0734180762</v>
      </c>
      <c r="CM266" s="41">
        <f t="shared" si="315"/>
        <v>8.2179448908347602E-4</v>
      </c>
      <c r="CO266" s="70">
        <f t="shared" si="316"/>
        <v>0</v>
      </c>
      <c r="CP266" s="70">
        <f t="shared" si="317"/>
        <v>0</v>
      </c>
      <c r="CQ266" s="70">
        <f t="shared" si="318"/>
        <v>0</v>
      </c>
      <c r="CR266" s="70">
        <f t="shared" si="319"/>
        <v>0</v>
      </c>
      <c r="CS266" s="70">
        <f t="shared" si="320"/>
        <v>0</v>
      </c>
      <c r="CT266" s="70">
        <f t="shared" si="321"/>
        <v>0</v>
      </c>
      <c r="CU266" s="69">
        <f t="shared" si="322"/>
        <v>0</v>
      </c>
      <c r="CV266" s="69">
        <f t="shared" si="323"/>
        <v>0</v>
      </c>
      <c r="CW266" s="70">
        <f t="shared" si="324"/>
        <v>0</v>
      </c>
      <c r="CX266" s="69">
        <f t="shared" si="325"/>
        <v>0</v>
      </c>
      <c r="CY266" s="69">
        <f t="shared" si="326"/>
        <v>0</v>
      </c>
      <c r="CZ266" s="70">
        <f t="shared" si="327"/>
        <v>0</v>
      </c>
      <c r="DB266" s="70">
        <f t="shared" si="328"/>
        <v>5.8014610386770951</v>
      </c>
      <c r="DC266" s="70">
        <f t="shared" si="329"/>
        <v>30.129620397736375</v>
      </c>
      <c r="DD266" s="70">
        <f t="shared" si="330"/>
        <v>35.931081436413471</v>
      </c>
      <c r="DE266" s="70">
        <f t="shared" si="331"/>
        <v>10.995373412400168</v>
      </c>
      <c r="DF266" s="70">
        <f t="shared" si="332"/>
        <v>24.076067491429203</v>
      </c>
      <c r="DG266" s="70">
        <f t="shared" si="333"/>
        <v>35.07144090382937</v>
      </c>
      <c r="DH266" s="69">
        <f t="shared" si="334"/>
        <v>21.099335960247032</v>
      </c>
      <c r="DI266" s="69">
        <f t="shared" si="335"/>
        <v>109.57842841456251</v>
      </c>
      <c r="DJ266" s="70">
        <f t="shared" si="336"/>
        <v>130.67776437480956</v>
      </c>
      <c r="DK266" s="69">
        <f t="shared" si="337"/>
        <v>17.259828826575539</v>
      </c>
      <c r="DL266" s="69">
        <f t="shared" si="338"/>
        <v>37.793059692771109</v>
      </c>
      <c r="DM266" s="70">
        <f t="shared" si="339"/>
        <v>55.052888519346652</v>
      </c>
    </row>
    <row r="267" spans="1:117">
      <c r="A267" t="s">
        <v>510</v>
      </c>
      <c r="B267">
        <v>426125</v>
      </c>
      <c r="C267">
        <v>270951</v>
      </c>
      <c r="D267" s="51">
        <v>30982.34</v>
      </c>
      <c r="E267" s="32">
        <f t="shared" si="272"/>
        <v>8394696005.3400002</v>
      </c>
      <c r="F267">
        <v>12666</v>
      </c>
      <c r="G267" s="37">
        <f t="shared" si="273"/>
        <v>2.9723672631270168E-2</v>
      </c>
      <c r="H267">
        <v>0</v>
      </c>
      <c r="I267" s="3">
        <f t="shared" si="274"/>
        <v>0</v>
      </c>
      <c r="J267" s="11">
        <f>+'Seat capacity elasticities'!K297</f>
        <v>0</v>
      </c>
      <c r="K267" s="11">
        <f>+'Seat capacity elasticities'!L297</f>
        <v>0</v>
      </c>
      <c r="L267" s="11">
        <f>+'Seat capacity elasticities'!M297</f>
        <v>0</v>
      </c>
      <c r="M267" s="11">
        <f>+'Seat capacity elasticities'!N297</f>
        <v>0</v>
      </c>
      <c r="N267" s="32">
        <f t="shared" si="284"/>
        <v>0</v>
      </c>
      <c r="O267" s="33">
        <f t="shared" si="285"/>
        <v>0</v>
      </c>
      <c r="P267" s="40">
        <f t="shared" si="286"/>
        <v>0</v>
      </c>
      <c r="Q267" s="33">
        <f t="shared" si="287"/>
        <v>0</v>
      </c>
      <c r="R267" s="40">
        <f t="shared" si="288"/>
        <v>0</v>
      </c>
      <c r="S267" s="41">
        <f t="shared" si="289"/>
        <v>0</v>
      </c>
      <c r="T267" s="40">
        <f t="shared" si="290"/>
        <v>0</v>
      </c>
      <c r="U267" s="41">
        <f t="shared" si="291"/>
        <v>0</v>
      </c>
      <c r="V267" s="53"/>
      <c r="W267" s="53"/>
      <c r="X267" t="s">
        <v>510</v>
      </c>
      <c r="Y267">
        <v>426125</v>
      </c>
      <c r="Z267">
        <v>270951</v>
      </c>
      <c r="AA267" s="51">
        <v>30982.34</v>
      </c>
      <c r="AB267" s="32">
        <f t="shared" si="275"/>
        <v>8394696005.3400002</v>
      </c>
      <c r="AC267">
        <v>12666</v>
      </c>
      <c r="AD267" s="37">
        <f t="shared" si="276"/>
        <v>2.9723672631270168E-2</v>
      </c>
      <c r="AE267">
        <v>1.5024000000000001E-3</v>
      </c>
      <c r="AF267" s="3">
        <f t="shared" si="277"/>
        <v>1.5024E-5</v>
      </c>
      <c r="AG267" s="11">
        <f>+'Seat capacity elasticities'!R297</f>
        <v>3.1077882390975397E-3</v>
      </c>
      <c r="AH267" s="11">
        <f>+'Seat capacity elasticities'!S297</f>
        <v>5.8901183594495168E-3</v>
      </c>
      <c r="AI267" s="11">
        <f>+'Seat capacity elasticities'!T297</f>
        <v>8.5267836162964995E-3</v>
      </c>
      <c r="AJ267" s="11">
        <f>+'Seat capacity elasticities'!U297</f>
        <v>6.9751401625060072E-3</v>
      </c>
      <c r="AK267" s="32">
        <f t="shared" si="292"/>
        <v>260889.37516194754</v>
      </c>
      <c r="AL267" s="33">
        <f t="shared" si="293"/>
        <v>3.1077882390975399E-5</v>
      </c>
      <c r="AM267" s="40">
        <f t="shared" si="294"/>
        <v>494457.53063050658</v>
      </c>
      <c r="AN267" s="33">
        <f t="shared" si="295"/>
        <v>5.8901183594495174E-5</v>
      </c>
      <c r="AO267" s="40">
        <f t="shared" si="296"/>
        <v>1080002.4128401147</v>
      </c>
      <c r="AP267" s="41">
        <f t="shared" si="297"/>
        <v>8.5267836162964994E-5</v>
      </c>
      <c r="AQ267" s="40">
        <f t="shared" si="298"/>
        <v>883471.25298301096</v>
      </c>
      <c r="AR267" s="41">
        <f t="shared" si="299"/>
        <v>6.975140162506009E-5</v>
      </c>
      <c r="AV267" t="s">
        <v>510</v>
      </c>
      <c r="AW267">
        <v>426125</v>
      </c>
      <c r="AX267">
        <v>270951</v>
      </c>
      <c r="AY267" s="51">
        <v>30982.34</v>
      </c>
      <c r="AZ267" s="32">
        <f t="shared" si="278"/>
        <v>8394696005.3400002</v>
      </c>
      <c r="BA267">
        <v>12666</v>
      </c>
      <c r="BB267" s="37">
        <f t="shared" si="279"/>
        <v>2.9723672631270168E-2</v>
      </c>
      <c r="BC267">
        <v>0</v>
      </c>
      <c r="BD267" s="3">
        <f t="shared" si="280"/>
        <v>0</v>
      </c>
      <c r="BE267" s="11">
        <f>+'Seat capacity elasticities'!Y297</f>
        <v>0</v>
      </c>
      <c r="BF267" s="11">
        <f>+'Seat capacity elasticities'!Z297</f>
        <v>0</v>
      </c>
      <c r="BG267" s="11">
        <f>+'Seat capacity elasticities'!AA297</f>
        <v>0</v>
      </c>
      <c r="BH267" s="11">
        <f>+'Seat capacity elasticities'!AB297</f>
        <v>0</v>
      </c>
      <c r="BI267" s="32">
        <f t="shared" si="300"/>
        <v>0</v>
      </c>
      <c r="BJ267" s="33">
        <f t="shared" si="301"/>
        <v>0</v>
      </c>
      <c r="BK267" s="40">
        <f t="shared" si="302"/>
        <v>0</v>
      </c>
      <c r="BL267" s="33">
        <f t="shared" si="303"/>
        <v>0</v>
      </c>
      <c r="BM267" s="40">
        <f t="shared" si="304"/>
        <v>0</v>
      </c>
      <c r="BN267" s="41">
        <f t="shared" si="305"/>
        <v>0</v>
      </c>
      <c r="BO267" s="40">
        <f t="shared" si="306"/>
        <v>0</v>
      </c>
      <c r="BP267" s="41">
        <f t="shared" si="307"/>
        <v>0</v>
      </c>
      <c r="BQ267" s="53"/>
      <c r="BR267" s="53"/>
      <c r="BS267" t="s">
        <v>510</v>
      </c>
      <c r="BT267">
        <v>426125</v>
      </c>
      <c r="BU267">
        <v>270951</v>
      </c>
      <c r="BV267" s="51">
        <v>30982.34</v>
      </c>
      <c r="BW267" s="32">
        <f t="shared" si="281"/>
        <v>8394696005.3400002</v>
      </c>
      <c r="BX267">
        <v>12666</v>
      </c>
      <c r="BY267" s="37">
        <f t="shared" si="282"/>
        <v>2.9723672631270168E-2</v>
      </c>
      <c r="BZ267">
        <v>1.5024000000000001E-3</v>
      </c>
      <c r="CA267" s="3">
        <f t="shared" si="283"/>
        <v>1.5024E-5</v>
      </c>
      <c r="CB267" s="11">
        <f>+'Seat capacity elasticities'!AF297</f>
        <v>7.485049178675666E-3</v>
      </c>
      <c r="CC267" s="11">
        <f>+'Seat capacity elasticities'!AG297</f>
        <v>5.9811755615746566E-3</v>
      </c>
      <c r="CD267" s="11">
        <f>+'Seat capacity elasticities'!AH297</f>
        <v>2.0536597024525292E-2</v>
      </c>
      <c r="CE267" s="11">
        <f>+'Seat capacity elasticities'!AI297</f>
        <v>7.0829710597594617E-3</v>
      </c>
      <c r="CF267" s="32">
        <f t="shared" si="308"/>
        <v>628347.12440002069</v>
      </c>
      <c r="CG267" s="33">
        <f t="shared" si="309"/>
        <v>7.4850491786756666E-5</v>
      </c>
      <c r="CH267" s="40">
        <f t="shared" si="310"/>
        <v>502101.50593988009</v>
      </c>
      <c r="CI267" s="33">
        <f t="shared" si="311"/>
        <v>5.9811755615746575E-5</v>
      </c>
      <c r="CJ267" s="40">
        <f t="shared" si="312"/>
        <v>2601165.3791263737</v>
      </c>
      <c r="CK267" s="41">
        <f t="shared" si="313"/>
        <v>2.0536597024525292E-4</v>
      </c>
      <c r="CL267" s="40">
        <f t="shared" si="314"/>
        <v>897129.11442913336</v>
      </c>
      <c r="CM267" s="41">
        <f t="shared" si="315"/>
        <v>7.082971059759461E-5</v>
      </c>
      <c r="CO267" s="70">
        <f t="shared" si="316"/>
        <v>0</v>
      </c>
      <c r="CP267" s="70">
        <f t="shared" si="317"/>
        <v>0</v>
      </c>
      <c r="CQ267" s="70">
        <f t="shared" si="318"/>
        <v>0</v>
      </c>
      <c r="CR267" s="70">
        <f t="shared" si="319"/>
        <v>0</v>
      </c>
      <c r="CS267" s="70">
        <f t="shared" si="320"/>
        <v>0</v>
      </c>
      <c r="CT267" s="70">
        <f t="shared" si="321"/>
        <v>0</v>
      </c>
      <c r="CU267" s="69">
        <f t="shared" si="322"/>
        <v>0</v>
      </c>
      <c r="CV267" s="69">
        <f t="shared" si="323"/>
        <v>0</v>
      </c>
      <c r="CW267" s="70">
        <f t="shared" si="324"/>
        <v>0</v>
      </c>
      <c r="CX267" s="69">
        <f t="shared" si="325"/>
        <v>0</v>
      </c>
      <c r="CY267" s="69">
        <f t="shared" si="326"/>
        <v>0</v>
      </c>
      <c r="CZ267" s="70">
        <f t="shared" si="327"/>
        <v>0</v>
      </c>
      <c r="DB267" s="70">
        <f t="shared" si="328"/>
        <v>0.96286551871721282</v>
      </c>
      <c r="DC267" s="70">
        <f t="shared" si="329"/>
        <v>2.3190433857045027</v>
      </c>
      <c r="DD267" s="70">
        <f t="shared" si="330"/>
        <v>3.2819089044217158</v>
      </c>
      <c r="DE267" s="70">
        <f t="shared" si="331"/>
        <v>1.8248964965270715</v>
      </c>
      <c r="DF267" s="70">
        <f t="shared" si="332"/>
        <v>1.8531081484839698</v>
      </c>
      <c r="DG267" s="70">
        <f t="shared" si="333"/>
        <v>3.6780046450110415</v>
      </c>
      <c r="DH267" s="69">
        <f t="shared" si="334"/>
        <v>3.9859694662138714</v>
      </c>
      <c r="DI267" s="69">
        <f t="shared" si="335"/>
        <v>9.600132050172812</v>
      </c>
      <c r="DJ267" s="70">
        <f t="shared" si="336"/>
        <v>13.586101516386684</v>
      </c>
      <c r="DK267" s="69">
        <f t="shared" si="337"/>
        <v>3.2606310845245488</v>
      </c>
      <c r="DL267" s="69">
        <f t="shared" si="338"/>
        <v>3.311038211444628</v>
      </c>
      <c r="DM267" s="70">
        <f t="shared" si="339"/>
        <v>6.5716692959691763</v>
      </c>
    </row>
    <row r="268" spans="1:117">
      <c r="A268" t="s">
        <v>511</v>
      </c>
      <c r="B268">
        <v>139818</v>
      </c>
      <c r="C268">
        <v>67417</v>
      </c>
      <c r="D268" s="51">
        <v>31100.98</v>
      </c>
      <c r="E268" s="32">
        <f t="shared" si="272"/>
        <v>2096734768.6600001</v>
      </c>
      <c r="F268">
        <v>3072</v>
      </c>
      <c r="G268" s="37">
        <f t="shared" si="273"/>
        <v>2.1971419988842639E-2</v>
      </c>
      <c r="H268">
        <v>0</v>
      </c>
      <c r="I268" s="3">
        <f t="shared" si="274"/>
        <v>0</v>
      </c>
      <c r="J268" s="11">
        <f>+'Seat capacity elasticities'!K298</f>
        <v>0</v>
      </c>
      <c r="K268" s="11">
        <f>+'Seat capacity elasticities'!L298</f>
        <v>0</v>
      </c>
      <c r="L268" s="11">
        <f>+'Seat capacity elasticities'!M298</f>
        <v>0</v>
      </c>
      <c r="M268" s="11">
        <f>+'Seat capacity elasticities'!N298</f>
        <v>0</v>
      </c>
      <c r="N268" s="32">
        <f t="shared" si="284"/>
        <v>0</v>
      </c>
      <c r="O268" s="33">
        <f t="shared" si="285"/>
        <v>0</v>
      </c>
      <c r="P268" s="40">
        <f t="shared" si="286"/>
        <v>0</v>
      </c>
      <c r="Q268" s="33">
        <f t="shared" si="287"/>
        <v>0</v>
      </c>
      <c r="R268" s="40">
        <f t="shared" si="288"/>
        <v>0</v>
      </c>
      <c r="S268" s="41">
        <f t="shared" si="289"/>
        <v>0</v>
      </c>
      <c r="T268" s="40">
        <f t="shared" si="290"/>
        <v>0</v>
      </c>
      <c r="U268" s="41">
        <f t="shared" si="291"/>
        <v>0</v>
      </c>
      <c r="V268" s="53"/>
      <c r="W268" s="53"/>
      <c r="X268" t="s">
        <v>511</v>
      </c>
      <c r="Y268">
        <v>139818</v>
      </c>
      <c r="Z268">
        <v>67417</v>
      </c>
      <c r="AA268" s="51">
        <v>31100.98</v>
      </c>
      <c r="AB268" s="32">
        <f t="shared" si="275"/>
        <v>2096734768.6600001</v>
      </c>
      <c r="AC268">
        <v>3072</v>
      </c>
      <c r="AD268" s="37">
        <f t="shared" si="276"/>
        <v>2.1971419988842639E-2</v>
      </c>
      <c r="AE268">
        <v>2.8533E-3</v>
      </c>
      <c r="AF268" s="3">
        <f t="shared" si="277"/>
        <v>2.8532999999999999E-5</v>
      </c>
      <c r="AG268" s="11">
        <f>+'Seat capacity elasticities'!R298</f>
        <v>9.0099864844511626E-3</v>
      </c>
      <c r="AH268" s="11">
        <f>+'Seat capacity elasticities'!S298</f>
        <v>1.7076416643454637E-2</v>
      </c>
      <c r="AI268" s="11">
        <f>+'Seat capacity elasticities'!T298</f>
        <v>2.4720540534956259E-2</v>
      </c>
      <c r="AJ268" s="11">
        <f>+'Seat capacity elasticities'!U298</f>
        <v>2.0222072340933123E-2</v>
      </c>
      <c r="AK268" s="32">
        <f t="shared" si="292"/>
        <v>188915.51927105433</v>
      </c>
      <c r="AL268" s="33">
        <f t="shared" si="293"/>
        <v>9.0099864844511617E-5</v>
      </c>
      <c r="AM268" s="40">
        <f t="shared" si="294"/>
        <v>358047.1650045563</v>
      </c>
      <c r="AN268" s="33">
        <f t="shared" si="295"/>
        <v>1.7076416643454635E-4</v>
      </c>
      <c r="AO268" s="40">
        <f t="shared" si="296"/>
        <v>759415.00523385627</v>
      </c>
      <c r="AP268" s="41">
        <f t="shared" si="297"/>
        <v>2.4720540534956258E-4</v>
      </c>
      <c r="AQ268" s="40">
        <f t="shared" si="298"/>
        <v>621222.06231346552</v>
      </c>
      <c r="AR268" s="41">
        <f t="shared" si="299"/>
        <v>2.0222072340933122E-4</v>
      </c>
      <c r="AV268" t="s">
        <v>511</v>
      </c>
      <c r="AW268">
        <v>139818</v>
      </c>
      <c r="AX268">
        <v>67417</v>
      </c>
      <c r="AY268" s="51">
        <v>31100.98</v>
      </c>
      <c r="AZ268" s="32">
        <f t="shared" si="278"/>
        <v>2096734768.6600001</v>
      </c>
      <c r="BA268">
        <v>3072</v>
      </c>
      <c r="BB268" s="37">
        <f t="shared" si="279"/>
        <v>2.1971419988842639E-2</v>
      </c>
      <c r="BC268">
        <v>0</v>
      </c>
      <c r="BD268" s="3">
        <f t="shared" si="280"/>
        <v>0</v>
      </c>
      <c r="BE268" s="11">
        <f>+'Seat capacity elasticities'!Y298</f>
        <v>0</v>
      </c>
      <c r="BF268" s="11">
        <f>+'Seat capacity elasticities'!Z298</f>
        <v>0</v>
      </c>
      <c r="BG268" s="11">
        <f>+'Seat capacity elasticities'!AA298</f>
        <v>0</v>
      </c>
      <c r="BH268" s="11">
        <f>+'Seat capacity elasticities'!AB298</f>
        <v>0</v>
      </c>
      <c r="BI268" s="32">
        <f t="shared" si="300"/>
        <v>0</v>
      </c>
      <c r="BJ268" s="33">
        <f t="shared" si="301"/>
        <v>0</v>
      </c>
      <c r="BK268" s="40">
        <f t="shared" si="302"/>
        <v>0</v>
      </c>
      <c r="BL268" s="33">
        <f t="shared" si="303"/>
        <v>0</v>
      </c>
      <c r="BM268" s="40">
        <f t="shared" si="304"/>
        <v>0</v>
      </c>
      <c r="BN268" s="41">
        <f t="shared" si="305"/>
        <v>0</v>
      </c>
      <c r="BO268" s="40">
        <f t="shared" si="306"/>
        <v>0</v>
      </c>
      <c r="BP268" s="41">
        <f t="shared" si="307"/>
        <v>0</v>
      </c>
      <c r="BQ268" s="53"/>
      <c r="BR268" s="53"/>
      <c r="BS268" t="s">
        <v>511</v>
      </c>
      <c r="BT268">
        <v>139818</v>
      </c>
      <c r="BU268">
        <v>67417</v>
      </c>
      <c r="BV268" s="51">
        <v>31100.98</v>
      </c>
      <c r="BW268" s="32">
        <f t="shared" si="281"/>
        <v>2096734768.6600001</v>
      </c>
      <c r="BX268">
        <v>3072</v>
      </c>
      <c r="BY268" s="37">
        <f t="shared" si="282"/>
        <v>2.1971419988842639E-2</v>
      </c>
      <c r="BZ268">
        <v>2.8533E-3</v>
      </c>
      <c r="CA268" s="3">
        <f t="shared" si="283"/>
        <v>2.8532999999999999E-5</v>
      </c>
      <c r="CB268" s="11">
        <f>+'Seat capacity elasticities'!AF298</f>
        <v>4.3324189649411059E-2</v>
      </c>
      <c r="CC268" s="11">
        <f>+'Seat capacity elasticities'!AG298</f>
        <v>3.4619623488156032E-2</v>
      </c>
      <c r="CD268" s="11">
        <f>+'Seat capacity elasticities'!AH298</f>
        <v>0.11886781275650689</v>
      </c>
      <c r="CE268" s="11">
        <f>+'Seat capacity elasticities'!AI298</f>
        <v>4.0996922551763723E-2</v>
      </c>
      <c r="CF268" s="32">
        <f t="shared" si="308"/>
        <v>908393.34761939861</v>
      </c>
      <c r="CG268" s="33">
        <f t="shared" si="309"/>
        <v>4.3324189649411056E-4</v>
      </c>
      <c r="CH268" s="40">
        <f t="shared" si="310"/>
        <v>725881.68245535134</v>
      </c>
      <c r="CI268" s="33">
        <f t="shared" si="311"/>
        <v>3.4619623488156028E-4</v>
      </c>
      <c r="CJ268" s="40">
        <f t="shared" si="312"/>
        <v>3651619.2078798916</v>
      </c>
      <c r="CK268" s="41">
        <f t="shared" si="313"/>
        <v>1.1886781275650691E-3</v>
      </c>
      <c r="CL268" s="40">
        <f t="shared" si="314"/>
        <v>1259425.4607901815</v>
      </c>
      <c r="CM268" s="41">
        <f t="shared" si="315"/>
        <v>4.0996922551763722E-4</v>
      </c>
      <c r="CO268" s="70">
        <f t="shared" si="316"/>
        <v>0</v>
      </c>
      <c r="CP268" s="70">
        <f t="shared" si="317"/>
        <v>0</v>
      </c>
      <c r="CQ268" s="70">
        <f t="shared" si="318"/>
        <v>0</v>
      </c>
      <c r="CR268" s="70">
        <f t="shared" si="319"/>
        <v>0</v>
      </c>
      <c r="CS268" s="70">
        <f t="shared" si="320"/>
        <v>0</v>
      </c>
      <c r="CT268" s="70">
        <f t="shared" si="321"/>
        <v>0</v>
      </c>
      <c r="CU268" s="69">
        <f t="shared" si="322"/>
        <v>0</v>
      </c>
      <c r="CV268" s="69">
        <f t="shared" si="323"/>
        <v>0</v>
      </c>
      <c r="CW268" s="70">
        <f t="shared" si="324"/>
        <v>0</v>
      </c>
      <c r="CX268" s="69">
        <f t="shared" si="325"/>
        <v>0</v>
      </c>
      <c r="CY268" s="69">
        <f t="shared" si="326"/>
        <v>0</v>
      </c>
      <c r="CZ268" s="70">
        <f t="shared" si="327"/>
        <v>0</v>
      </c>
      <c r="DB268" s="70">
        <f t="shared" si="328"/>
        <v>2.8021940945318589</v>
      </c>
      <c r="DC268" s="70">
        <f t="shared" si="329"/>
        <v>13.474247558025404</v>
      </c>
      <c r="DD268" s="70">
        <f t="shared" si="330"/>
        <v>16.276441652557263</v>
      </c>
      <c r="DE268" s="70">
        <f t="shared" si="331"/>
        <v>5.3109329249974975</v>
      </c>
      <c r="DF268" s="70">
        <f t="shared" si="332"/>
        <v>10.76704217712671</v>
      </c>
      <c r="DG268" s="70">
        <f t="shared" si="333"/>
        <v>16.077975102124206</v>
      </c>
      <c r="DH268" s="69">
        <f t="shared" si="334"/>
        <v>11.264443763944646</v>
      </c>
      <c r="DI268" s="69">
        <f t="shared" si="335"/>
        <v>54.164664815697698</v>
      </c>
      <c r="DJ268" s="70">
        <f t="shared" si="336"/>
        <v>65.429108579642346</v>
      </c>
      <c r="DK268" s="69">
        <f t="shared" si="337"/>
        <v>9.2146203822992057</v>
      </c>
      <c r="DL268" s="69">
        <f t="shared" si="338"/>
        <v>18.681125840517698</v>
      </c>
      <c r="DM268" s="70">
        <f t="shared" si="339"/>
        <v>27.895746222816904</v>
      </c>
    </row>
    <row r="269" spans="1:117">
      <c r="A269" t="s">
        <v>512</v>
      </c>
      <c r="B269">
        <v>187672</v>
      </c>
      <c r="C269">
        <v>130785</v>
      </c>
      <c r="D269" s="51">
        <v>33679.86</v>
      </c>
      <c r="E269" s="32">
        <f t="shared" si="272"/>
        <v>4404820490.1000004</v>
      </c>
      <c r="F269">
        <v>6589</v>
      </c>
      <c r="G269" s="37">
        <f t="shared" si="273"/>
        <v>3.5109126561234494E-2</v>
      </c>
      <c r="H269">
        <v>0</v>
      </c>
      <c r="I269" s="3">
        <f t="shared" ref="I269:I306" si="340">+H269*$C$1</f>
        <v>0</v>
      </c>
      <c r="J269" s="11">
        <f>+'Seat capacity elasticities'!K299</f>
        <v>0</v>
      </c>
      <c r="K269" s="11">
        <f>+'Seat capacity elasticities'!L299</f>
        <v>0</v>
      </c>
      <c r="L269" s="11">
        <f>+'Seat capacity elasticities'!M299</f>
        <v>0</v>
      </c>
      <c r="M269" s="11">
        <f>+'Seat capacity elasticities'!N299</f>
        <v>0</v>
      </c>
      <c r="N269" s="32">
        <f t="shared" si="284"/>
        <v>0</v>
      </c>
      <c r="O269" s="33">
        <f t="shared" si="285"/>
        <v>0</v>
      </c>
      <c r="P269" s="40">
        <f t="shared" si="286"/>
        <v>0</v>
      </c>
      <c r="Q269" s="33">
        <f t="shared" si="287"/>
        <v>0</v>
      </c>
      <c r="R269" s="40">
        <f t="shared" si="288"/>
        <v>0</v>
      </c>
      <c r="S269" s="41">
        <f t="shared" si="289"/>
        <v>0</v>
      </c>
      <c r="T269" s="40">
        <f t="shared" si="290"/>
        <v>0</v>
      </c>
      <c r="U269" s="41">
        <f t="shared" si="291"/>
        <v>0</v>
      </c>
      <c r="X269" t="s">
        <v>512</v>
      </c>
      <c r="Y269">
        <v>187672</v>
      </c>
      <c r="Z269">
        <v>130785</v>
      </c>
      <c r="AA269" s="51">
        <v>33679.86</v>
      </c>
      <c r="AB269" s="32">
        <f t="shared" si="275"/>
        <v>4404820490.1000004</v>
      </c>
      <c r="AC269">
        <v>6589</v>
      </c>
      <c r="AD269" s="37">
        <f t="shared" si="276"/>
        <v>3.5109126561234494E-2</v>
      </c>
      <c r="AE269">
        <v>6.0029999999999997E-3</v>
      </c>
      <c r="AF269" s="3">
        <f t="shared" ref="AF269:AF306" si="341">+AE269*$C$1</f>
        <v>6.003E-5</v>
      </c>
      <c r="AG269" s="11">
        <f>+'Seat capacity elasticities'!R299</f>
        <v>1.1492848285108378E-2</v>
      </c>
      <c r="AH269" s="11">
        <f>+'Seat capacity elasticities'!S299</f>
        <v>2.1782126540945482E-2</v>
      </c>
      <c r="AI269" s="11">
        <f>+'Seat capacity elasticities'!T299</f>
        <v>3.1532724536759447E-2</v>
      </c>
      <c r="AJ269" s="11">
        <f>+'Seat capacity elasticities'!U299</f>
        <v>2.5794623535330179E-2</v>
      </c>
      <c r="AK269" s="32">
        <f t="shared" si="292"/>
        <v>506239.33615856041</v>
      </c>
      <c r="AL269" s="33">
        <f t="shared" si="293"/>
        <v>1.1492848285108379E-4</v>
      </c>
      <c r="AM269" s="40">
        <f t="shared" si="294"/>
        <v>959463.57305507711</v>
      </c>
      <c r="AN269" s="33">
        <f t="shared" si="295"/>
        <v>2.1782126540945484E-4</v>
      </c>
      <c r="AO269" s="40">
        <f t="shared" si="296"/>
        <v>2077691.2197270798</v>
      </c>
      <c r="AP269" s="41">
        <f t="shared" si="297"/>
        <v>3.1532724536759447E-4</v>
      </c>
      <c r="AQ269" s="40">
        <f t="shared" si="298"/>
        <v>1699607.7447429057</v>
      </c>
      <c r="AR269" s="41">
        <f t="shared" si="299"/>
        <v>2.5794623535330179E-4</v>
      </c>
      <c r="AV269" t="s">
        <v>512</v>
      </c>
      <c r="AW269">
        <v>187672</v>
      </c>
      <c r="AX269">
        <v>130785</v>
      </c>
      <c r="AY269" s="51">
        <v>33679.86</v>
      </c>
      <c r="AZ269" s="32">
        <f t="shared" si="278"/>
        <v>4404820490.1000004</v>
      </c>
      <c r="BA269">
        <v>6589</v>
      </c>
      <c r="BB269" s="37">
        <f t="shared" si="279"/>
        <v>3.5109126561234494E-2</v>
      </c>
      <c r="BC269">
        <v>0</v>
      </c>
      <c r="BD269" s="3">
        <f t="shared" ref="BD269:BD306" si="342">+BC269*$C$1</f>
        <v>0</v>
      </c>
      <c r="BE269" s="11">
        <f>+'Seat capacity elasticities'!Y299</f>
        <v>0</v>
      </c>
      <c r="BF269" s="11">
        <f>+'Seat capacity elasticities'!Z299</f>
        <v>0</v>
      </c>
      <c r="BG269" s="11">
        <f>+'Seat capacity elasticities'!AA299</f>
        <v>0</v>
      </c>
      <c r="BH269" s="11">
        <f>+'Seat capacity elasticities'!AB299</f>
        <v>0</v>
      </c>
      <c r="BI269" s="32">
        <f t="shared" si="300"/>
        <v>0</v>
      </c>
      <c r="BJ269" s="33">
        <f t="shared" si="301"/>
        <v>0</v>
      </c>
      <c r="BK269" s="40">
        <f t="shared" si="302"/>
        <v>0</v>
      </c>
      <c r="BL269" s="33">
        <f t="shared" si="303"/>
        <v>0</v>
      </c>
      <c r="BM269" s="40">
        <f t="shared" si="304"/>
        <v>0</v>
      </c>
      <c r="BN269" s="41">
        <f t="shared" si="305"/>
        <v>0</v>
      </c>
      <c r="BO269" s="40">
        <f t="shared" si="306"/>
        <v>0</v>
      </c>
      <c r="BP269" s="41">
        <f t="shared" si="307"/>
        <v>0</v>
      </c>
      <c r="BQ269" s="52"/>
      <c r="BR269" s="52"/>
      <c r="BS269" t="s">
        <v>512</v>
      </c>
      <c r="BT269">
        <v>187672</v>
      </c>
      <c r="BU269">
        <v>130785</v>
      </c>
      <c r="BV269" s="51">
        <v>33679.86</v>
      </c>
      <c r="BW269" s="32">
        <f t="shared" si="281"/>
        <v>4404820490.1000004</v>
      </c>
      <c r="BX269">
        <v>6589</v>
      </c>
      <c r="BY269" s="37">
        <f t="shared" si="282"/>
        <v>3.5109126561234494E-2</v>
      </c>
      <c r="BZ269">
        <v>6.0029999999999997E-3</v>
      </c>
      <c r="CA269" s="3">
        <f t="shared" ref="CA269:CA306" si="343">+BZ269*$C$1</f>
        <v>6.003E-5</v>
      </c>
      <c r="CB269" s="11">
        <f>+'Seat capacity elasticities'!AF299</f>
        <v>6.7907064723421479E-2</v>
      </c>
      <c r="CC269" s="11">
        <f>+'Seat capacity elasticities'!AG299</f>
        <v>5.4263381079596315E-2</v>
      </c>
      <c r="CD269" s="11">
        <f>+'Seat capacity elasticities'!AH299</f>
        <v>0.18631541223754633</v>
      </c>
      <c r="CE269" s="11">
        <f>+'Seat capacity elasticities'!AI299</f>
        <v>6.4259267067943007E-2</v>
      </c>
      <c r="CF269" s="32">
        <f t="shared" si="308"/>
        <v>2991184.3011627388</v>
      </c>
      <c r="CG269" s="33">
        <f t="shared" si="309"/>
        <v>6.7907064723421483E-4</v>
      </c>
      <c r="CH269" s="40">
        <f t="shared" si="310"/>
        <v>2390204.5284151053</v>
      </c>
      <c r="CI269" s="33">
        <f t="shared" si="311"/>
        <v>5.4263381079596319E-4</v>
      </c>
      <c r="CJ269" s="40">
        <f t="shared" si="312"/>
        <v>12276322.512331929</v>
      </c>
      <c r="CK269" s="41">
        <f t="shared" si="313"/>
        <v>1.8631541223754634E-3</v>
      </c>
      <c r="CL269" s="40">
        <f t="shared" si="314"/>
        <v>4234043.1071067648</v>
      </c>
      <c r="CM269" s="41">
        <f t="shared" si="315"/>
        <v>6.4259267067943006E-4</v>
      </c>
      <c r="CO269" s="70">
        <f t="shared" si="316"/>
        <v>0</v>
      </c>
      <c r="CP269" s="70">
        <f t="shared" si="317"/>
        <v>0</v>
      </c>
      <c r="CQ269" s="70">
        <f t="shared" si="318"/>
        <v>0</v>
      </c>
      <c r="CR269" s="70">
        <f t="shared" si="319"/>
        <v>0</v>
      </c>
      <c r="CS269" s="70">
        <f t="shared" si="320"/>
        <v>0</v>
      </c>
      <c r="CT269" s="70">
        <f t="shared" si="321"/>
        <v>0</v>
      </c>
      <c r="CU269" s="69">
        <f t="shared" si="322"/>
        <v>0</v>
      </c>
      <c r="CV269" s="69">
        <f t="shared" si="323"/>
        <v>0</v>
      </c>
      <c r="CW269" s="70">
        <f t="shared" si="324"/>
        <v>0</v>
      </c>
      <c r="CX269" s="69">
        <f t="shared" si="325"/>
        <v>0</v>
      </c>
      <c r="CY269" s="69">
        <f t="shared" si="326"/>
        <v>0</v>
      </c>
      <c r="CZ269" s="70">
        <f t="shared" si="327"/>
        <v>0</v>
      </c>
      <c r="DB269" s="70">
        <f t="shared" si="328"/>
        <v>3.8707752124369033</v>
      </c>
      <c r="DC269" s="70">
        <f t="shared" si="329"/>
        <v>22.871004328957746</v>
      </c>
      <c r="DD269" s="70">
        <f t="shared" si="330"/>
        <v>26.741779541394649</v>
      </c>
      <c r="DE269" s="70">
        <f t="shared" si="331"/>
        <v>7.3361897240132823</v>
      </c>
      <c r="DF269" s="70">
        <f t="shared" si="332"/>
        <v>18.275830778874528</v>
      </c>
      <c r="DG269" s="70">
        <f t="shared" si="333"/>
        <v>25.612020502887809</v>
      </c>
      <c r="DH269" s="69">
        <f t="shared" si="334"/>
        <v>15.886311272141912</v>
      </c>
      <c r="DI269" s="69">
        <f t="shared" si="335"/>
        <v>93.866441199923003</v>
      </c>
      <c r="DJ269" s="70">
        <f t="shared" si="336"/>
        <v>109.75275247206491</v>
      </c>
      <c r="DK269" s="69">
        <f t="shared" si="337"/>
        <v>12.995433304606076</v>
      </c>
      <c r="DL269" s="69">
        <f t="shared" si="338"/>
        <v>32.37407276910016</v>
      </c>
      <c r="DM269" s="70">
        <f t="shared" si="339"/>
        <v>45.369506073706233</v>
      </c>
    </row>
    <row r="270" spans="1:117">
      <c r="A270" t="s">
        <v>1003</v>
      </c>
      <c r="B270">
        <v>135678</v>
      </c>
      <c r="C270">
        <v>74358</v>
      </c>
      <c r="D270" s="51">
        <v>26837.3</v>
      </c>
      <c r="E270" s="32">
        <f t="shared" si="272"/>
        <v>1995567953.3999999</v>
      </c>
      <c r="F270">
        <v>3052</v>
      </c>
      <c r="G270" s="37">
        <f t="shared" si="273"/>
        <v>2.2494435354294726E-2</v>
      </c>
      <c r="H270">
        <v>0</v>
      </c>
      <c r="I270" s="3">
        <f t="shared" si="340"/>
        <v>0</v>
      </c>
      <c r="J270" s="11">
        <f>+'Seat capacity elasticities'!K300</f>
        <v>0</v>
      </c>
      <c r="K270" s="11">
        <f>+'Seat capacity elasticities'!L300</f>
        <v>0</v>
      </c>
      <c r="L270" s="11">
        <f>+'Seat capacity elasticities'!M300</f>
        <v>0</v>
      </c>
      <c r="M270" s="11">
        <f>+'Seat capacity elasticities'!N300</f>
        <v>0</v>
      </c>
      <c r="N270" s="32">
        <f t="shared" si="284"/>
        <v>0</v>
      </c>
      <c r="O270" s="33">
        <f t="shared" si="285"/>
        <v>0</v>
      </c>
      <c r="P270" s="40">
        <f t="shared" si="286"/>
        <v>0</v>
      </c>
      <c r="Q270" s="33">
        <f t="shared" si="287"/>
        <v>0</v>
      </c>
      <c r="R270" s="40">
        <f t="shared" si="288"/>
        <v>0</v>
      </c>
      <c r="S270" s="41">
        <f t="shared" si="289"/>
        <v>0</v>
      </c>
      <c r="T270" s="40">
        <f t="shared" si="290"/>
        <v>0</v>
      </c>
      <c r="U270" s="41">
        <f t="shared" si="291"/>
        <v>0</v>
      </c>
      <c r="X270" t="s">
        <v>1003</v>
      </c>
      <c r="Y270">
        <v>135678</v>
      </c>
      <c r="Z270">
        <v>74358</v>
      </c>
      <c r="AA270" s="51">
        <v>26837.3</v>
      </c>
      <c r="AB270" s="32">
        <f t="shared" si="275"/>
        <v>1995567953.3999999</v>
      </c>
      <c r="AC270">
        <v>3052</v>
      </c>
      <c r="AD270" s="37">
        <f t="shared" si="276"/>
        <v>2.2494435354294726E-2</v>
      </c>
      <c r="AE270">
        <v>1.0129E-3</v>
      </c>
      <c r="AF270" s="3">
        <f t="shared" si="341"/>
        <v>1.0128999999999999E-5</v>
      </c>
      <c r="AG270" s="11">
        <f>+'Seat capacity elasticities'!R300</f>
        <v>2.7253039894981415E-3</v>
      </c>
      <c r="AH270" s="11">
        <f>+'Seat capacity elasticities'!S300</f>
        <v>5.1652049073605509E-3</v>
      </c>
      <c r="AI270" s="11">
        <f>+'Seat capacity elasticities'!T300</f>
        <v>7.4773683466375007E-3</v>
      </c>
      <c r="AJ270" s="11">
        <f>+'Seat capacity elasticities'!U300</f>
        <v>6.1166900218743367E-3</v>
      </c>
      <c r="AK270" s="32">
        <f t="shared" si="292"/>
        <v>54385.293047156607</v>
      </c>
      <c r="AL270" s="33">
        <f t="shared" si="293"/>
        <v>2.7253039894981414E-5</v>
      </c>
      <c r="AM270" s="40">
        <f t="shared" si="294"/>
        <v>103075.1738587313</v>
      </c>
      <c r="AN270" s="33">
        <f t="shared" si="295"/>
        <v>5.165204907360551E-5</v>
      </c>
      <c r="AO270" s="40">
        <f t="shared" si="296"/>
        <v>228209.28193937647</v>
      </c>
      <c r="AP270" s="41">
        <f t="shared" si="297"/>
        <v>7.4773683466374991E-5</v>
      </c>
      <c r="AQ270" s="40">
        <f t="shared" si="298"/>
        <v>186681.37946760474</v>
      </c>
      <c r="AR270" s="41">
        <f t="shared" si="299"/>
        <v>6.1166900218743371E-5</v>
      </c>
      <c r="AV270" t="s">
        <v>1003</v>
      </c>
      <c r="AW270">
        <v>135678</v>
      </c>
      <c r="AX270">
        <v>74358</v>
      </c>
      <c r="AY270" s="51">
        <v>26837.3</v>
      </c>
      <c r="AZ270" s="32">
        <f t="shared" si="278"/>
        <v>1995567953.3999999</v>
      </c>
      <c r="BA270">
        <v>3052</v>
      </c>
      <c r="BB270" s="37">
        <f t="shared" si="279"/>
        <v>2.2494435354294726E-2</v>
      </c>
      <c r="BC270">
        <v>0</v>
      </c>
      <c r="BD270" s="3">
        <f t="shared" si="342"/>
        <v>0</v>
      </c>
      <c r="BE270" s="11">
        <f>+'Seat capacity elasticities'!Y300</f>
        <v>0</v>
      </c>
      <c r="BF270" s="11">
        <f>+'Seat capacity elasticities'!Z300</f>
        <v>0</v>
      </c>
      <c r="BG270" s="11">
        <f>+'Seat capacity elasticities'!AA300</f>
        <v>0</v>
      </c>
      <c r="BH270" s="11">
        <f>+'Seat capacity elasticities'!AB300</f>
        <v>0</v>
      </c>
      <c r="BI270" s="32">
        <f t="shared" si="300"/>
        <v>0</v>
      </c>
      <c r="BJ270" s="33">
        <f t="shared" si="301"/>
        <v>0</v>
      </c>
      <c r="BK270" s="40">
        <f t="shared" si="302"/>
        <v>0</v>
      </c>
      <c r="BL270" s="33">
        <f t="shared" si="303"/>
        <v>0</v>
      </c>
      <c r="BM270" s="40">
        <f t="shared" si="304"/>
        <v>0</v>
      </c>
      <c r="BN270" s="41">
        <f t="shared" si="305"/>
        <v>0</v>
      </c>
      <c r="BO270" s="40">
        <f t="shared" si="306"/>
        <v>0</v>
      </c>
      <c r="BP270" s="41">
        <f t="shared" si="307"/>
        <v>0</v>
      </c>
      <c r="BQ270" s="52"/>
      <c r="BR270" s="52"/>
      <c r="BS270" t="s">
        <v>1003</v>
      </c>
      <c r="BT270">
        <v>135678</v>
      </c>
      <c r="BU270">
        <v>74358</v>
      </c>
      <c r="BV270" s="51">
        <v>26837.3</v>
      </c>
      <c r="BW270" s="32">
        <f t="shared" si="281"/>
        <v>1995567953.3999999</v>
      </c>
      <c r="BX270">
        <v>3052</v>
      </c>
      <c r="BY270" s="37">
        <f t="shared" si="282"/>
        <v>2.2494435354294726E-2</v>
      </c>
      <c r="BZ270">
        <v>1.0129E-3</v>
      </c>
      <c r="CA270" s="3">
        <f t="shared" si="343"/>
        <v>1.0128999999999999E-5</v>
      </c>
      <c r="CB270" s="11">
        <f>+'Seat capacity elasticities'!AF300</f>
        <v>1.5849049997730125E-2</v>
      </c>
      <c r="CC270" s="11">
        <f>+'Seat capacity elasticities'!AG300</f>
        <v>1.2664706437823374E-2</v>
      </c>
      <c r="CD270" s="11">
        <f>+'Seat capacity elasticities'!AH300</f>
        <v>4.3484758116515865E-2</v>
      </c>
      <c r="CE270" s="11">
        <f>+'Seat capacity elasticities'!AI300</f>
        <v>1.4997678676369787E-2</v>
      </c>
      <c r="CF270" s="32">
        <f t="shared" si="308"/>
        <v>316278.56267304579</v>
      </c>
      <c r="CG270" s="33">
        <f t="shared" si="309"/>
        <v>1.5849049997730124E-4</v>
      </c>
      <c r="CH270" s="40">
        <f t="shared" si="310"/>
        <v>252732.82306538994</v>
      </c>
      <c r="CI270" s="33">
        <f t="shared" si="311"/>
        <v>1.2664706437823375E-4</v>
      </c>
      <c r="CJ270" s="40">
        <f t="shared" si="312"/>
        <v>1327154.8177160644</v>
      </c>
      <c r="CK270" s="41">
        <f t="shared" si="313"/>
        <v>4.3484758116515873E-4</v>
      </c>
      <c r="CL270" s="40">
        <f t="shared" si="314"/>
        <v>457729.1532028059</v>
      </c>
      <c r="CM270" s="41">
        <f t="shared" si="315"/>
        <v>1.4997678676369788E-4</v>
      </c>
      <c r="CO270" s="70">
        <f t="shared" si="316"/>
        <v>0</v>
      </c>
      <c r="CP270" s="70">
        <f t="shared" si="317"/>
        <v>0</v>
      </c>
      <c r="CQ270" s="70">
        <f t="shared" si="318"/>
        <v>0</v>
      </c>
      <c r="CR270" s="70">
        <f t="shared" si="319"/>
        <v>0</v>
      </c>
      <c r="CS270" s="70">
        <f t="shared" si="320"/>
        <v>0</v>
      </c>
      <c r="CT270" s="70">
        <f t="shared" si="321"/>
        <v>0</v>
      </c>
      <c r="CU270" s="69">
        <f t="shared" si="322"/>
        <v>0</v>
      </c>
      <c r="CV270" s="69">
        <f t="shared" si="323"/>
        <v>0</v>
      </c>
      <c r="CW270" s="70">
        <f t="shared" si="324"/>
        <v>0</v>
      </c>
      <c r="CX270" s="69">
        <f t="shared" si="325"/>
        <v>0</v>
      </c>
      <c r="CY270" s="69">
        <f t="shared" si="326"/>
        <v>0</v>
      </c>
      <c r="CZ270" s="70">
        <f t="shared" si="327"/>
        <v>0</v>
      </c>
      <c r="DB270" s="70">
        <f t="shared" si="328"/>
        <v>0.73139800757358464</v>
      </c>
      <c r="DC270" s="70">
        <f t="shared" si="329"/>
        <v>4.2534570950408268</v>
      </c>
      <c r="DD270" s="70">
        <f t="shared" si="330"/>
        <v>4.9848551026144117</v>
      </c>
      <c r="DE270" s="70">
        <f t="shared" si="331"/>
        <v>1.3862015366030729</v>
      </c>
      <c r="DF270" s="70">
        <f t="shared" si="332"/>
        <v>3.3988652608379724</v>
      </c>
      <c r="DG270" s="70">
        <f t="shared" si="333"/>
        <v>4.7850667974410452</v>
      </c>
      <c r="DH270" s="69">
        <f t="shared" si="334"/>
        <v>3.0690615930952481</v>
      </c>
      <c r="DI270" s="69">
        <f t="shared" si="335"/>
        <v>17.848177972996375</v>
      </c>
      <c r="DJ270" s="70">
        <f t="shared" si="336"/>
        <v>20.917239566091624</v>
      </c>
      <c r="DK270" s="69">
        <f t="shared" si="337"/>
        <v>2.5105755865892672</v>
      </c>
      <c r="DL270" s="69">
        <f t="shared" si="338"/>
        <v>6.1557485839157309</v>
      </c>
      <c r="DM270" s="70">
        <f t="shared" si="339"/>
        <v>8.666324170504998</v>
      </c>
    </row>
    <row r="271" spans="1:117">
      <c r="A271" t="s">
        <v>513</v>
      </c>
      <c r="B271">
        <v>126051</v>
      </c>
      <c r="C271">
        <v>76449</v>
      </c>
      <c r="D271" s="51">
        <v>32280.68</v>
      </c>
      <c r="E271" s="32">
        <f t="shared" si="272"/>
        <v>2467825705.3200002</v>
      </c>
      <c r="F271">
        <v>3657</v>
      </c>
      <c r="G271" s="37">
        <f t="shared" si="273"/>
        <v>2.9012066544493894E-2</v>
      </c>
      <c r="H271">
        <v>0</v>
      </c>
      <c r="I271" s="3">
        <f t="shared" si="340"/>
        <v>0</v>
      </c>
      <c r="J271" s="11">
        <f>+'Seat capacity elasticities'!K301</f>
        <v>0</v>
      </c>
      <c r="K271" s="11">
        <f>+'Seat capacity elasticities'!L301</f>
        <v>0</v>
      </c>
      <c r="L271" s="11">
        <f>+'Seat capacity elasticities'!M301</f>
        <v>0</v>
      </c>
      <c r="M271" s="11">
        <f>+'Seat capacity elasticities'!N301</f>
        <v>0</v>
      </c>
      <c r="N271" s="32">
        <f t="shared" si="284"/>
        <v>0</v>
      </c>
      <c r="O271" s="33">
        <f t="shared" si="285"/>
        <v>0</v>
      </c>
      <c r="P271" s="40">
        <f t="shared" si="286"/>
        <v>0</v>
      </c>
      <c r="Q271" s="33">
        <f t="shared" si="287"/>
        <v>0</v>
      </c>
      <c r="R271" s="40">
        <f t="shared" si="288"/>
        <v>0</v>
      </c>
      <c r="S271" s="41">
        <f t="shared" si="289"/>
        <v>0</v>
      </c>
      <c r="T271" s="40">
        <f t="shared" si="290"/>
        <v>0</v>
      </c>
      <c r="U271" s="41">
        <f t="shared" si="291"/>
        <v>0</v>
      </c>
      <c r="X271" t="s">
        <v>513</v>
      </c>
      <c r="Y271">
        <v>126051</v>
      </c>
      <c r="Z271">
        <v>76449</v>
      </c>
      <c r="AA271" s="51">
        <v>32280.68</v>
      </c>
      <c r="AB271" s="32">
        <f t="shared" si="275"/>
        <v>2467825705.3200002</v>
      </c>
      <c r="AC271">
        <v>3657</v>
      </c>
      <c r="AD271" s="37">
        <f t="shared" si="276"/>
        <v>2.9012066544493894E-2</v>
      </c>
      <c r="AE271">
        <v>3.9766000000000003E-3</v>
      </c>
      <c r="AF271" s="3">
        <f t="shared" si="341"/>
        <v>3.9766000000000005E-5</v>
      </c>
      <c r="AG271" s="11">
        <f>+'Seat capacity elasticities'!R301</f>
        <v>1.2080982100161149E-2</v>
      </c>
      <c r="AH271" s="11">
        <f>+'Seat capacity elasticities'!S301</f>
        <v>2.289680280436469E-2</v>
      </c>
      <c r="AI271" s="11">
        <f>+'Seat capacity elasticities'!T301</f>
        <v>3.3146376881308566E-2</v>
      </c>
      <c r="AJ271" s="11">
        <f>+'Seat capacity elasticities'!U301</f>
        <v>2.7114634899905555E-2</v>
      </c>
      <c r="AK271" s="32">
        <f t="shared" si="292"/>
        <v>298137.58172288485</v>
      </c>
      <c r="AL271" s="33">
        <f t="shared" si="293"/>
        <v>1.2080982100161149E-4</v>
      </c>
      <c r="AM271" s="40">
        <f t="shared" si="294"/>
        <v>565053.18530254252</v>
      </c>
      <c r="AN271" s="33">
        <f t="shared" si="295"/>
        <v>2.2896802804364691E-4</v>
      </c>
      <c r="AO271" s="40">
        <f t="shared" si="296"/>
        <v>1212163.0025494543</v>
      </c>
      <c r="AP271" s="41">
        <f t="shared" si="297"/>
        <v>3.3146376881308567E-4</v>
      </c>
      <c r="AQ271" s="40">
        <f t="shared" si="298"/>
        <v>991582.19828954595</v>
      </c>
      <c r="AR271" s="41">
        <f t="shared" si="299"/>
        <v>2.7114634899905545E-4</v>
      </c>
      <c r="AV271" t="s">
        <v>513</v>
      </c>
      <c r="AW271">
        <v>126051</v>
      </c>
      <c r="AX271">
        <v>76449</v>
      </c>
      <c r="AY271" s="51">
        <v>32280.68</v>
      </c>
      <c r="AZ271" s="32">
        <f t="shared" si="278"/>
        <v>2467825705.3200002</v>
      </c>
      <c r="BA271">
        <v>3657</v>
      </c>
      <c r="BB271" s="37">
        <f t="shared" si="279"/>
        <v>2.9012066544493894E-2</v>
      </c>
      <c r="BC271">
        <v>0</v>
      </c>
      <c r="BD271" s="3">
        <f t="shared" si="342"/>
        <v>0</v>
      </c>
      <c r="BE271" s="11">
        <f>+'Seat capacity elasticities'!Y301</f>
        <v>0</v>
      </c>
      <c r="BF271" s="11">
        <f>+'Seat capacity elasticities'!Z301</f>
        <v>0</v>
      </c>
      <c r="BG271" s="11">
        <f>+'Seat capacity elasticities'!AA301</f>
        <v>0</v>
      </c>
      <c r="BH271" s="11">
        <f>+'Seat capacity elasticities'!AB301</f>
        <v>0</v>
      </c>
      <c r="BI271" s="32">
        <f t="shared" si="300"/>
        <v>0</v>
      </c>
      <c r="BJ271" s="33">
        <f t="shared" si="301"/>
        <v>0</v>
      </c>
      <c r="BK271" s="40">
        <f t="shared" si="302"/>
        <v>0</v>
      </c>
      <c r="BL271" s="33">
        <f t="shared" si="303"/>
        <v>0</v>
      </c>
      <c r="BM271" s="40">
        <f t="shared" si="304"/>
        <v>0</v>
      </c>
      <c r="BN271" s="41">
        <f t="shared" si="305"/>
        <v>0</v>
      </c>
      <c r="BO271" s="40">
        <f t="shared" si="306"/>
        <v>0</v>
      </c>
      <c r="BP271" s="41">
        <f t="shared" si="307"/>
        <v>0</v>
      </c>
      <c r="BQ271" s="52"/>
      <c r="BR271" s="52"/>
      <c r="BS271" t="s">
        <v>513</v>
      </c>
      <c r="BT271">
        <v>126051</v>
      </c>
      <c r="BU271">
        <v>76449</v>
      </c>
      <c r="BV271" s="51">
        <v>32280.68</v>
      </c>
      <c r="BW271" s="32">
        <f t="shared" si="281"/>
        <v>2467825705.3200002</v>
      </c>
      <c r="BX271">
        <v>3657</v>
      </c>
      <c r="BY271" s="37">
        <f t="shared" si="282"/>
        <v>2.9012066544493894E-2</v>
      </c>
      <c r="BZ271">
        <v>3.9766000000000003E-3</v>
      </c>
      <c r="CA271" s="3">
        <f t="shared" si="343"/>
        <v>3.9766000000000005E-5</v>
      </c>
      <c r="CB271" s="11">
        <f>+'Seat capacity elasticities'!AF301</f>
        <v>6.6974843920469596E-2</v>
      </c>
      <c r="CC271" s="11">
        <f>+'Seat capacity elasticities'!AG301</f>
        <v>5.3518459282623707E-2</v>
      </c>
      <c r="CD271" s="11">
        <f>+'Seat capacity elasticities'!AH301</f>
        <v>0.18375769451103571</v>
      </c>
      <c r="CE271" s="11">
        <f>+'Seat capacity elasticities'!AI301</f>
        <v>6.3377122834685967E-2</v>
      </c>
      <c r="CF271" s="32">
        <f t="shared" si="308"/>
        <v>1652822.4143672981</v>
      </c>
      <c r="CG271" s="33">
        <f t="shared" si="309"/>
        <v>6.6974843920469601E-4</v>
      </c>
      <c r="CH271" s="40">
        <f t="shared" si="310"/>
        <v>1320742.2952678057</v>
      </c>
      <c r="CI271" s="33">
        <f t="shared" si="311"/>
        <v>5.3518459282623707E-4</v>
      </c>
      <c r="CJ271" s="40">
        <f t="shared" si="312"/>
        <v>6720018.888268576</v>
      </c>
      <c r="CK271" s="41">
        <f t="shared" si="313"/>
        <v>1.8375769451103572E-3</v>
      </c>
      <c r="CL271" s="40">
        <f t="shared" si="314"/>
        <v>2317701.3820644659</v>
      </c>
      <c r="CM271" s="41">
        <f t="shared" si="315"/>
        <v>6.3377122834685975E-4</v>
      </c>
      <c r="CO271" s="70">
        <f t="shared" si="316"/>
        <v>0</v>
      </c>
      <c r="CP271" s="70">
        <f t="shared" si="317"/>
        <v>0</v>
      </c>
      <c r="CQ271" s="70">
        <f t="shared" si="318"/>
        <v>0</v>
      </c>
      <c r="CR271" s="70">
        <f t="shared" si="319"/>
        <v>0</v>
      </c>
      <c r="CS271" s="70">
        <f t="shared" si="320"/>
        <v>0</v>
      </c>
      <c r="CT271" s="70">
        <f t="shared" si="321"/>
        <v>0</v>
      </c>
      <c r="CU271" s="69">
        <f t="shared" si="322"/>
        <v>0</v>
      </c>
      <c r="CV271" s="69">
        <f t="shared" si="323"/>
        <v>0</v>
      </c>
      <c r="CW271" s="70">
        <f t="shared" si="324"/>
        <v>0</v>
      </c>
      <c r="CX271" s="69">
        <f t="shared" si="325"/>
        <v>0</v>
      </c>
      <c r="CY271" s="69">
        <f t="shared" si="326"/>
        <v>0</v>
      </c>
      <c r="CZ271" s="70">
        <f t="shared" si="327"/>
        <v>0</v>
      </c>
      <c r="DB271" s="70">
        <f t="shared" si="328"/>
        <v>3.8998231726103003</v>
      </c>
      <c r="DC271" s="70">
        <f t="shared" si="329"/>
        <v>21.619935046466246</v>
      </c>
      <c r="DD271" s="70">
        <f t="shared" si="330"/>
        <v>25.519758219076547</v>
      </c>
      <c r="DE271" s="70">
        <f t="shared" si="331"/>
        <v>7.3912436435079929</v>
      </c>
      <c r="DF271" s="70">
        <f t="shared" si="332"/>
        <v>17.276122581954056</v>
      </c>
      <c r="DG271" s="70">
        <f t="shared" si="333"/>
        <v>24.667366225462047</v>
      </c>
      <c r="DH271" s="69">
        <f t="shared" si="334"/>
        <v>15.855838566226561</v>
      </c>
      <c r="DI271" s="69">
        <f t="shared" si="335"/>
        <v>87.901985484029566</v>
      </c>
      <c r="DJ271" s="70">
        <f t="shared" si="336"/>
        <v>103.75782405025613</v>
      </c>
      <c r="DK271" s="69">
        <f t="shared" si="337"/>
        <v>12.970505805040561</v>
      </c>
      <c r="DL271" s="69">
        <f t="shared" si="338"/>
        <v>30.316961399945924</v>
      </c>
      <c r="DM271" s="70">
        <f t="shared" si="339"/>
        <v>43.287467204986484</v>
      </c>
    </row>
    <row r="272" spans="1:117">
      <c r="A272" t="s">
        <v>321</v>
      </c>
      <c r="B272">
        <v>2818688</v>
      </c>
      <c r="C272">
        <v>1731976</v>
      </c>
      <c r="D272" s="51">
        <v>42578.1</v>
      </c>
      <c r="E272" s="32">
        <f t="shared" si="272"/>
        <v>73744247325.599991</v>
      </c>
      <c r="F272">
        <v>116061</v>
      </c>
      <c r="G272" s="37">
        <f t="shared" si="273"/>
        <v>4.1175539825620999E-2</v>
      </c>
      <c r="H272">
        <v>2.2320999999999999E-3</v>
      </c>
      <c r="I272" s="3">
        <f t="shared" si="340"/>
        <v>2.2320999999999999E-5</v>
      </c>
      <c r="J272" s="11">
        <f>+'Seat capacity elasticities'!K302</f>
        <v>2.866323773938092E-3</v>
      </c>
      <c r="K272" s="11">
        <f>+'Seat capacity elasticities'!L302</f>
        <v>1.4222335146014118E-2</v>
      </c>
      <c r="L272" s="11">
        <f>+'Seat capacity elasticities'!M302</f>
        <v>7.8642818346315885E-3</v>
      </c>
      <c r="M272" s="11">
        <f>+'Seat capacity elasticities'!N302</f>
        <v>1.6842238988700929E-2</v>
      </c>
      <c r="N272" s="32">
        <f t="shared" si="284"/>
        <v>2113748.8930053781</v>
      </c>
      <c r="O272" s="33">
        <f t="shared" si="285"/>
        <v>2.8663237739380919E-5</v>
      </c>
      <c r="P272" s="40">
        <f t="shared" si="286"/>
        <v>10488154.005552385</v>
      </c>
      <c r="Q272" s="33">
        <f t="shared" si="287"/>
        <v>1.4222335146014121E-4</v>
      </c>
      <c r="R272" s="40">
        <f t="shared" si="288"/>
        <v>9127364.1400917694</v>
      </c>
      <c r="S272" s="41">
        <f t="shared" si="289"/>
        <v>7.8642818346315893E-5</v>
      </c>
      <c r="T272" s="40">
        <f t="shared" si="290"/>
        <v>19547270.992676191</v>
      </c>
      <c r="U272" s="41">
        <f t="shared" si="291"/>
        <v>1.6842238988700934E-4</v>
      </c>
      <c r="X272" t="s">
        <v>321</v>
      </c>
      <c r="Y272">
        <v>2818688</v>
      </c>
      <c r="Z272">
        <v>1731976</v>
      </c>
      <c r="AA272" s="51">
        <v>42578.1</v>
      </c>
      <c r="AB272" s="32">
        <f t="shared" si="275"/>
        <v>73744247325.599991</v>
      </c>
      <c r="AC272">
        <v>116061</v>
      </c>
      <c r="AD272" s="37">
        <f t="shared" si="276"/>
        <v>4.1175539825620999E-2</v>
      </c>
      <c r="AE272">
        <v>6.4111000000000003E-3</v>
      </c>
      <c r="AF272" s="3">
        <f t="shared" si="341"/>
        <v>6.411100000000001E-5</v>
      </c>
      <c r="AG272" s="11">
        <f>+'Seat capacity elasticities'!R302</f>
        <v>7.5684079694155306E-3</v>
      </c>
      <c r="AH272" s="11">
        <f>+'Seat capacity elasticities'!S302</f>
        <v>1.4344226601939762E-2</v>
      </c>
      <c r="AI272" s="11">
        <f>+'Seat capacity elasticities'!T302</f>
        <v>2.0765307064100375E-2</v>
      </c>
      <c r="AJ272" s="11">
        <f>+'Seat capacity elasticities'!U302</f>
        <v>1.6986584133876034E-2</v>
      </c>
      <c r="AK272" s="32">
        <f t="shared" si="292"/>
        <v>5581265.4915762087</v>
      </c>
      <c r="AL272" s="33">
        <f t="shared" si="293"/>
        <v>7.5684079694155303E-5</v>
      </c>
      <c r="AM272" s="40">
        <f t="shared" si="294"/>
        <v>10578041.942278966</v>
      </c>
      <c r="AN272" s="33">
        <f t="shared" si="295"/>
        <v>1.4344226601939764E-4</v>
      </c>
      <c r="AO272" s="40">
        <f t="shared" si="296"/>
        <v>24100423.031665538</v>
      </c>
      <c r="AP272" s="41">
        <f t="shared" si="297"/>
        <v>2.0765307064100376E-4</v>
      </c>
      <c r="AQ272" s="40">
        <f t="shared" si="298"/>
        <v>19714799.411617868</v>
      </c>
      <c r="AR272" s="41">
        <f t="shared" si="299"/>
        <v>1.6986584133876035E-4</v>
      </c>
      <c r="AV272" t="s">
        <v>321</v>
      </c>
      <c r="AW272">
        <v>2818688</v>
      </c>
      <c r="AX272">
        <v>1731976</v>
      </c>
      <c r="AY272" s="51">
        <v>42578.1</v>
      </c>
      <c r="AZ272" s="32">
        <f t="shared" si="278"/>
        <v>73744247325.599991</v>
      </c>
      <c r="BA272">
        <v>116061</v>
      </c>
      <c r="BB272" s="37">
        <f t="shared" si="279"/>
        <v>4.1175539825620999E-2</v>
      </c>
      <c r="BC272">
        <v>2.2320999999999999E-3</v>
      </c>
      <c r="BD272" s="3">
        <f t="shared" si="342"/>
        <v>2.2320999999999999E-5</v>
      </c>
      <c r="BE272" s="11">
        <f>+'Seat capacity elasticities'!Y302</f>
        <v>1.6016859873507327E-2</v>
      </c>
      <c r="BF272" s="11">
        <f>+'Seat capacity elasticities'!Z302</f>
        <v>4.3691476955148155E-2</v>
      </c>
      <c r="BG272" s="11">
        <f>+'Seat capacity elasticities'!AA302</f>
        <v>4.3945175104207826E-2</v>
      </c>
      <c r="BH272" s="11">
        <f>+'Seat capacity elasticities'!AB302</f>
        <v>5.1739906920570185E-2</v>
      </c>
      <c r="BI272" s="32">
        <f t="shared" si="300"/>
        <v>11811512.758914026</v>
      </c>
      <c r="BJ272" s="33">
        <f t="shared" si="301"/>
        <v>1.6016859873507327E-4</v>
      </c>
      <c r="BK272" s="40">
        <f t="shared" si="302"/>
        <v>32219950.826011982</v>
      </c>
      <c r="BL272" s="33">
        <f t="shared" si="303"/>
        <v>4.3691476955148156E-4</v>
      </c>
      <c r="BM272" s="40">
        <f t="shared" si="304"/>
        <v>51003209.677694649</v>
      </c>
      <c r="BN272" s="41">
        <f t="shared" si="305"/>
        <v>4.3945175104207829E-4</v>
      </c>
      <c r="BO272" s="40">
        <f t="shared" si="306"/>
        <v>60049853.371082969</v>
      </c>
      <c r="BP272" s="41">
        <f t="shared" si="307"/>
        <v>5.1739906920570192E-4</v>
      </c>
      <c r="BQ272" s="52"/>
      <c r="BR272" s="52"/>
      <c r="BS272" t="s">
        <v>321</v>
      </c>
      <c r="BT272">
        <v>2818688</v>
      </c>
      <c r="BU272">
        <v>1731976</v>
      </c>
      <c r="BV272" s="51">
        <v>42578.1</v>
      </c>
      <c r="BW272" s="32">
        <f t="shared" si="281"/>
        <v>73744247325.599991</v>
      </c>
      <c r="BX272">
        <v>116061</v>
      </c>
      <c r="BY272" s="37">
        <f t="shared" si="282"/>
        <v>4.1175539825620999E-2</v>
      </c>
      <c r="BZ272">
        <v>6.4111000000000003E-3</v>
      </c>
      <c r="CA272" s="3">
        <f t="shared" si="343"/>
        <v>6.411100000000001E-5</v>
      </c>
      <c r="CB272" s="11">
        <f>+'Seat capacity elasticities'!AF302</f>
        <v>4.8287157631520944E-3</v>
      </c>
      <c r="CC272" s="11">
        <f>+'Seat capacity elasticities'!AG302</f>
        <v>3.8585446837993429E-3</v>
      </c>
      <c r="CD272" s="11">
        <f>+'Seat capacity elasticities'!AH302</f>
        <v>1.3248462021644735E-2</v>
      </c>
      <c r="CE272" s="11">
        <f>+'Seat capacity elasticities'!AI302</f>
        <v>4.5693292308150116E-3</v>
      </c>
      <c r="CF272" s="32">
        <f t="shared" si="308"/>
        <v>3560900.0950291138</v>
      </c>
      <c r="CG272" s="33">
        <f t="shared" si="309"/>
        <v>4.8287157631520948E-5</v>
      </c>
      <c r="CH272" s="40">
        <f t="shared" si="310"/>
        <v>2845454.7347897775</v>
      </c>
      <c r="CI272" s="33">
        <f t="shared" si="311"/>
        <v>3.8585446837993429E-5</v>
      </c>
      <c r="CJ272" s="40">
        <f t="shared" si="312"/>
        <v>15376297.506941099</v>
      </c>
      <c r="CK272" s="41">
        <f t="shared" si="313"/>
        <v>1.3248462021644739E-4</v>
      </c>
      <c r="CL272" s="40">
        <f t="shared" si="314"/>
        <v>5303209.198576211</v>
      </c>
      <c r="CM272" s="41">
        <f t="shared" si="315"/>
        <v>4.5693292308150122E-5</v>
      </c>
      <c r="CO272" s="70">
        <f t="shared" si="316"/>
        <v>1.2204262027911346</v>
      </c>
      <c r="CP272" s="70">
        <f t="shared" si="317"/>
        <v>6.8196746138018227</v>
      </c>
      <c r="CQ272" s="70">
        <f t="shared" si="318"/>
        <v>8.0401008165929575</v>
      </c>
      <c r="CR272" s="70">
        <f t="shared" si="319"/>
        <v>6.0556000808050374</v>
      </c>
      <c r="CS272" s="70">
        <f t="shared" si="320"/>
        <v>18.603000749439936</v>
      </c>
      <c r="CT272" s="70">
        <f t="shared" si="321"/>
        <v>24.658600830244971</v>
      </c>
      <c r="CU272" s="69">
        <f t="shared" si="322"/>
        <v>5.2699137517446948</v>
      </c>
      <c r="CV272" s="69">
        <f t="shared" si="323"/>
        <v>29.447988700590916</v>
      </c>
      <c r="CW272" s="70">
        <f t="shared" si="324"/>
        <v>34.717902452335608</v>
      </c>
      <c r="CX272" s="69">
        <f t="shared" si="325"/>
        <v>11.28610961853755</v>
      </c>
      <c r="CY272" s="69">
        <f t="shared" si="326"/>
        <v>34.671296467781865</v>
      </c>
      <c r="CZ272" s="70">
        <f t="shared" si="327"/>
        <v>45.957406086319416</v>
      </c>
      <c r="DB272" s="70">
        <f t="shared" si="328"/>
        <v>3.2224843136257135</v>
      </c>
      <c r="DC272" s="70">
        <f t="shared" si="329"/>
        <v>2.055975426350662</v>
      </c>
      <c r="DD272" s="70">
        <f t="shared" si="330"/>
        <v>5.2784597399763751</v>
      </c>
      <c r="DE272" s="70">
        <f t="shared" si="331"/>
        <v>6.1074991468005138</v>
      </c>
      <c r="DF272" s="70">
        <f t="shared" si="332"/>
        <v>1.6428950140127678</v>
      </c>
      <c r="DG272" s="70">
        <f t="shared" si="333"/>
        <v>7.7503941608132818</v>
      </c>
      <c r="DH272" s="69">
        <f t="shared" si="334"/>
        <v>13.914986715558147</v>
      </c>
      <c r="DI272" s="69">
        <f t="shared" si="335"/>
        <v>8.8778929424778976</v>
      </c>
      <c r="DJ272" s="70">
        <f t="shared" si="336"/>
        <v>22.792879658036043</v>
      </c>
      <c r="DK272" s="69">
        <f t="shared" si="337"/>
        <v>11.382836373955453</v>
      </c>
      <c r="DL272" s="69">
        <f t="shared" si="338"/>
        <v>3.0619415041410569</v>
      </c>
      <c r="DM272" s="70">
        <f t="shared" si="339"/>
        <v>14.444777878096509</v>
      </c>
    </row>
    <row r="273" spans="1:117">
      <c r="A273" t="s">
        <v>514</v>
      </c>
      <c r="B273">
        <v>145550</v>
      </c>
      <c r="C273">
        <v>110365</v>
      </c>
      <c r="D273" s="51">
        <v>31585.439999999999</v>
      </c>
      <c r="E273" s="32">
        <f t="shared" si="272"/>
        <v>3485927085.5999999</v>
      </c>
      <c r="F273">
        <v>3502</v>
      </c>
      <c r="G273" s="37">
        <f t="shared" si="273"/>
        <v>2.4060460322913087E-2</v>
      </c>
      <c r="H273">
        <v>0</v>
      </c>
      <c r="I273" s="3">
        <f t="shared" si="340"/>
        <v>0</v>
      </c>
      <c r="J273" s="11">
        <f>+'Seat capacity elasticities'!K303</f>
        <v>0</v>
      </c>
      <c r="K273" s="11">
        <f>+'Seat capacity elasticities'!L303</f>
        <v>0</v>
      </c>
      <c r="L273" s="11">
        <f>+'Seat capacity elasticities'!M303</f>
        <v>0</v>
      </c>
      <c r="M273" s="11">
        <f>+'Seat capacity elasticities'!N303</f>
        <v>0</v>
      </c>
      <c r="N273" s="32">
        <f t="shared" si="284"/>
        <v>0</v>
      </c>
      <c r="O273" s="33">
        <f t="shared" si="285"/>
        <v>0</v>
      </c>
      <c r="P273" s="40">
        <f t="shared" si="286"/>
        <v>0</v>
      </c>
      <c r="Q273" s="33">
        <f t="shared" si="287"/>
        <v>0</v>
      </c>
      <c r="R273" s="40">
        <f t="shared" si="288"/>
        <v>0</v>
      </c>
      <c r="S273" s="41">
        <f t="shared" si="289"/>
        <v>0</v>
      </c>
      <c r="T273" s="40">
        <f t="shared" si="290"/>
        <v>0</v>
      </c>
      <c r="U273" s="41">
        <f t="shared" si="291"/>
        <v>0</v>
      </c>
      <c r="X273" t="s">
        <v>514</v>
      </c>
      <c r="Y273">
        <v>145550</v>
      </c>
      <c r="Z273">
        <v>110365</v>
      </c>
      <c r="AA273" s="51">
        <v>31585.439999999999</v>
      </c>
      <c r="AB273" s="32">
        <f t="shared" si="275"/>
        <v>3485927085.5999999</v>
      </c>
      <c r="AC273">
        <v>3502</v>
      </c>
      <c r="AD273" s="37">
        <f t="shared" si="276"/>
        <v>2.4060460322913087E-2</v>
      </c>
      <c r="AE273">
        <v>1.2880900000000001E-2</v>
      </c>
      <c r="AF273" s="3">
        <f t="shared" si="341"/>
        <v>1.2880900000000002E-4</v>
      </c>
      <c r="AG273" s="11">
        <f>+'Seat capacity elasticities'!R303</f>
        <v>2.1091923888085916E-2</v>
      </c>
      <c r="AH273" s="11">
        <f>+'Seat capacity elasticities'!S303</f>
        <v>3.9975030012148631E-2</v>
      </c>
      <c r="AI273" s="11">
        <f>+'Seat capacity elasticities'!T303</f>
        <v>5.7869538465506486E-2</v>
      </c>
      <c r="AJ273" s="11">
        <f>+'Seat capacity elasticities'!U303</f>
        <v>4.7338851330176013E-2</v>
      </c>
      <c r="AK273" s="32">
        <f t="shared" si="292"/>
        <v>735249.08768892358</v>
      </c>
      <c r="AL273" s="33">
        <f t="shared" si="293"/>
        <v>2.1091923888085916E-4</v>
      </c>
      <c r="AM273" s="40">
        <f t="shared" si="294"/>
        <v>1393500.398670218</v>
      </c>
      <c r="AN273" s="33">
        <f t="shared" si="295"/>
        <v>3.997503001214863E-4</v>
      </c>
      <c r="AO273" s="40">
        <f t="shared" si="296"/>
        <v>2026591.2370620375</v>
      </c>
      <c r="AP273" s="41">
        <f t="shared" si="297"/>
        <v>5.7869538465506491E-4</v>
      </c>
      <c r="AQ273" s="40">
        <f t="shared" si="298"/>
        <v>1657806.5735827638</v>
      </c>
      <c r="AR273" s="41">
        <f t="shared" si="299"/>
        <v>4.7338851330176008E-4</v>
      </c>
      <c r="AV273" t="s">
        <v>514</v>
      </c>
      <c r="AW273">
        <v>145550</v>
      </c>
      <c r="AX273">
        <v>110365</v>
      </c>
      <c r="AY273" s="51">
        <v>31585.439999999999</v>
      </c>
      <c r="AZ273" s="32">
        <f t="shared" si="278"/>
        <v>3485927085.5999999</v>
      </c>
      <c r="BA273">
        <v>3502</v>
      </c>
      <c r="BB273" s="37">
        <f t="shared" si="279"/>
        <v>2.4060460322913087E-2</v>
      </c>
      <c r="BC273">
        <v>0</v>
      </c>
      <c r="BD273" s="3">
        <f t="shared" si="342"/>
        <v>0</v>
      </c>
      <c r="BE273" s="11">
        <f>+'Seat capacity elasticities'!Y303</f>
        <v>0</v>
      </c>
      <c r="BF273" s="11">
        <f>+'Seat capacity elasticities'!Z303</f>
        <v>0</v>
      </c>
      <c r="BG273" s="11">
        <f>+'Seat capacity elasticities'!AA303</f>
        <v>0</v>
      </c>
      <c r="BH273" s="11">
        <f>+'Seat capacity elasticities'!AB303</f>
        <v>0</v>
      </c>
      <c r="BI273" s="32">
        <f t="shared" si="300"/>
        <v>0</v>
      </c>
      <c r="BJ273" s="33">
        <f t="shared" si="301"/>
        <v>0</v>
      </c>
      <c r="BK273" s="40">
        <f t="shared" si="302"/>
        <v>0</v>
      </c>
      <c r="BL273" s="33">
        <f t="shared" si="303"/>
        <v>0</v>
      </c>
      <c r="BM273" s="40">
        <f t="shared" si="304"/>
        <v>0</v>
      </c>
      <c r="BN273" s="41">
        <f t="shared" si="305"/>
        <v>0</v>
      </c>
      <c r="BO273" s="40">
        <f t="shared" si="306"/>
        <v>0</v>
      </c>
      <c r="BP273" s="41">
        <f t="shared" si="307"/>
        <v>0</v>
      </c>
      <c r="BQ273" s="52"/>
      <c r="BR273" s="52"/>
      <c r="BS273" t="s">
        <v>514</v>
      </c>
      <c r="BT273">
        <v>145550</v>
      </c>
      <c r="BU273">
        <v>110365</v>
      </c>
      <c r="BV273" s="51">
        <v>31585.439999999999</v>
      </c>
      <c r="BW273" s="32">
        <f t="shared" si="281"/>
        <v>3485927085.5999999</v>
      </c>
      <c r="BX273">
        <v>3502</v>
      </c>
      <c r="BY273" s="37">
        <f t="shared" si="282"/>
        <v>2.4060460322913087E-2</v>
      </c>
      <c r="BZ273">
        <v>1.2880900000000001E-2</v>
      </c>
      <c r="CA273" s="3">
        <f t="shared" si="343"/>
        <v>1.2880900000000002E-4</v>
      </c>
      <c r="CB273" s="11">
        <f>+'Seat capacity elasticities'!AF303</f>
        <v>0.18787980306326202</v>
      </c>
      <c r="CC273" s="11">
        <f>+'Seat capacity elasticities'!AG303</f>
        <v>0.15013155689035385</v>
      </c>
      <c r="CD273" s="11">
        <f>+'Seat capacity elasticities'!AH303</f>
        <v>0.51548249215913045</v>
      </c>
      <c r="CE273" s="11">
        <f>+'Seat capacity elasticities'!AI303</f>
        <v>0.17778737000173483</v>
      </c>
      <c r="CF273" s="32">
        <f t="shared" si="308"/>
        <v>6549352.9433541894</v>
      </c>
      <c r="CG273" s="33">
        <f t="shared" si="309"/>
        <v>1.8787980306326202E-3</v>
      </c>
      <c r="CH273" s="40">
        <f t="shared" si="310"/>
        <v>5233476.6056738179</v>
      </c>
      <c r="CI273" s="33">
        <f t="shared" si="311"/>
        <v>1.5013155689035385E-3</v>
      </c>
      <c r="CJ273" s="40">
        <f t="shared" si="312"/>
        <v>18052196.875412751</v>
      </c>
      <c r="CK273" s="41">
        <f t="shared" si="313"/>
        <v>5.1548249215913056E-3</v>
      </c>
      <c r="CL273" s="40">
        <f t="shared" si="314"/>
        <v>6226113.6974607538</v>
      </c>
      <c r="CM273" s="41">
        <f t="shared" si="315"/>
        <v>1.7778737000173483E-3</v>
      </c>
      <c r="CO273" s="70">
        <f t="shared" si="316"/>
        <v>0</v>
      </c>
      <c r="CP273" s="70">
        <f t="shared" si="317"/>
        <v>0</v>
      </c>
      <c r="CQ273" s="70">
        <f t="shared" si="318"/>
        <v>0</v>
      </c>
      <c r="CR273" s="70">
        <f t="shared" si="319"/>
        <v>0</v>
      </c>
      <c r="CS273" s="70">
        <f t="shared" si="320"/>
        <v>0</v>
      </c>
      <c r="CT273" s="70">
        <f t="shared" si="321"/>
        <v>0</v>
      </c>
      <c r="CU273" s="69">
        <f t="shared" si="322"/>
        <v>0</v>
      </c>
      <c r="CV273" s="69">
        <f t="shared" si="323"/>
        <v>0</v>
      </c>
      <c r="CW273" s="70">
        <f t="shared" si="324"/>
        <v>0</v>
      </c>
      <c r="CX273" s="69">
        <f t="shared" si="325"/>
        <v>0</v>
      </c>
      <c r="CY273" s="69">
        <f t="shared" si="326"/>
        <v>0</v>
      </c>
      <c r="CZ273" s="70">
        <f t="shared" si="327"/>
        <v>0</v>
      </c>
      <c r="DB273" s="70">
        <f t="shared" si="328"/>
        <v>6.6619769645170441</v>
      </c>
      <c r="DC273" s="70">
        <f t="shared" si="329"/>
        <v>59.342662468664791</v>
      </c>
      <c r="DD273" s="70">
        <f t="shared" si="330"/>
        <v>66.004639433181836</v>
      </c>
      <c r="DE273" s="70">
        <f t="shared" si="331"/>
        <v>12.626289119469197</v>
      </c>
      <c r="DF273" s="70">
        <f t="shared" si="332"/>
        <v>47.419712822668579</v>
      </c>
      <c r="DG273" s="70">
        <f t="shared" si="333"/>
        <v>60.046001942137778</v>
      </c>
      <c r="DH273" s="69">
        <f t="shared" si="334"/>
        <v>18.362626168278325</v>
      </c>
      <c r="DI273" s="69">
        <f t="shared" si="335"/>
        <v>163.56813188431795</v>
      </c>
      <c r="DJ273" s="70">
        <f t="shared" si="336"/>
        <v>181.93075805259627</v>
      </c>
      <c r="DK273" s="69">
        <f t="shared" si="337"/>
        <v>15.021126023492627</v>
      </c>
      <c r="DL273" s="69">
        <f t="shared" si="338"/>
        <v>56.413842227705828</v>
      </c>
      <c r="DM273" s="70">
        <f t="shared" si="339"/>
        <v>71.434968251198455</v>
      </c>
    </row>
    <row r="274" spans="1:117">
      <c r="A274" t="s">
        <v>515</v>
      </c>
      <c r="B274">
        <v>668753</v>
      </c>
      <c r="C274">
        <v>289244</v>
      </c>
      <c r="D274" s="51">
        <v>35977.360000000001</v>
      </c>
      <c r="E274" s="32">
        <f t="shared" si="272"/>
        <v>10406235515.84</v>
      </c>
      <c r="F274">
        <v>16604</v>
      </c>
      <c r="G274" s="37">
        <f t="shared" si="273"/>
        <v>2.4828299835664289E-2</v>
      </c>
      <c r="H274">
        <v>5.1333999999999998E-3</v>
      </c>
      <c r="I274" s="3">
        <f t="shared" si="340"/>
        <v>5.1334E-5</v>
      </c>
      <c r="J274" s="11">
        <f>+'Seat capacity elasticities'!K304</f>
        <v>1.0774188122397148E-2</v>
      </c>
      <c r="K274" s="11">
        <f>+'Seat capacity elasticities'!L304</f>
        <v>5.3460155407498086E-2</v>
      </c>
      <c r="L274" s="11">
        <f>+'Seat capacity elasticities'!M304</f>
        <v>2.9560949361089651E-2</v>
      </c>
      <c r="M274" s="11">
        <f>+'Seat capacity elasticities'!N304</f>
        <v>6.3308078772037202E-2</v>
      </c>
      <c r="N274" s="32">
        <f t="shared" si="284"/>
        <v>1121187.3909363069</v>
      </c>
      <c r="O274" s="33">
        <f t="shared" si="285"/>
        <v>1.0774188122397148E-4</v>
      </c>
      <c r="P274" s="40">
        <f t="shared" si="286"/>
        <v>5563189.6788383238</v>
      </c>
      <c r="Q274" s="33">
        <f t="shared" si="287"/>
        <v>5.3460155407498077E-4</v>
      </c>
      <c r="R274" s="40">
        <f t="shared" si="288"/>
        <v>4908300.0319153257</v>
      </c>
      <c r="S274" s="41">
        <f t="shared" si="289"/>
        <v>2.9560949361089647E-4</v>
      </c>
      <c r="T274" s="40">
        <f t="shared" si="290"/>
        <v>10511673.399309058</v>
      </c>
      <c r="U274" s="41">
        <f t="shared" si="291"/>
        <v>6.3308078772037206E-4</v>
      </c>
      <c r="X274" t="s">
        <v>515</v>
      </c>
      <c r="Y274">
        <v>668753</v>
      </c>
      <c r="Z274">
        <v>289244</v>
      </c>
      <c r="AA274" s="51">
        <v>35977.360000000001</v>
      </c>
      <c r="AB274" s="32">
        <f t="shared" si="275"/>
        <v>10406235515.84</v>
      </c>
      <c r="AC274">
        <v>16604</v>
      </c>
      <c r="AD274" s="37">
        <f t="shared" si="276"/>
        <v>2.4828299835664289E-2</v>
      </c>
      <c r="AE274">
        <v>7.5386000000000003E-3</v>
      </c>
      <c r="AF274" s="3">
        <f t="shared" si="341"/>
        <v>7.5386E-5</v>
      </c>
      <c r="AG274" s="11">
        <f>+'Seat capacity elasticities'!R304</f>
        <v>1.4545562912809982E-2</v>
      </c>
      <c r="AH274" s="11">
        <f>+'Seat capacity elasticities'!S304</f>
        <v>2.7567865172869362E-2</v>
      </c>
      <c r="AI274" s="11">
        <f>+'Seat capacity elasticities'!T304</f>
        <v>3.9908403659695259E-2</v>
      </c>
      <c r="AJ274" s="11">
        <f>+'Seat capacity elasticities'!U304</f>
        <v>3.2646156125766351E-2</v>
      </c>
      <c r="AK274" s="32">
        <f t="shared" si="292"/>
        <v>1513645.5338116835</v>
      </c>
      <c r="AL274" s="33">
        <f t="shared" si="293"/>
        <v>1.454556291280998E-4</v>
      </c>
      <c r="AM274" s="40">
        <f t="shared" si="294"/>
        <v>2868776.9765780177</v>
      </c>
      <c r="AN274" s="33">
        <f t="shared" si="295"/>
        <v>2.7567865172869359E-4</v>
      </c>
      <c r="AO274" s="40">
        <f t="shared" si="296"/>
        <v>6626391.3436558004</v>
      </c>
      <c r="AP274" s="41">
        <f t="shared" si="297"/>
        <v>3.9908403659695254E-4</v>
      </c>
      <c r="AQ274" s="40">
        <f t="shared" si="298"/>
        <v>5420567.7631222457</v>
      </c>
      <c r="AR274" s="41">
        <f t="shared" si="299"/>
        <v>3.2646156125766356E-4</v>
      </c>
      <c r="AV274" t="s">
        <v>515</v>
      </c>
      <c r="AW274">
        <v>668753</v>
      </c>
      <c r="AX274">
        <v>289244</v>
      </c>
      <c r="AY274" s="51">
        <v>35977.360000000001</v>
      </c>
      <c r="AZ274" s="32">
        <f t="shared" si="278"/>
        <v>10406235515.84</v>
      </c>
      <c r="BA274">
        <v>16604</v>
      </c>
      <c r="BB274" s="37">
        <f t="shared" si="279"/>
        <v>2.4828299835664289E-2</v>
      </c>
      <c r="BC274">
        <v>5.1333999999999998E-3</v>
      </c>
      <c r="BD274" s="3">
        <f t="shared" si="342"/>
        <v>5.1334E-5</v>
      </c>
      <c r="BE274" s="11">
        <f>+'Seat capacity elasticities'!Y304</f>
        <v>0.15525660964294677</v>
      </c>
      <c r="BF274" s="11">
        <f>+'Seat capacity elasticities'!Z304</f>
        <v>0.42351563514452067</v>
      </c>
      <c r="BG274" s="11">
        <f>+'Seat capacity elasticities'!AA304</f>
        <v>0.42597481346079258</v>
      </c>
      <c r="BH274" s="11">
        <f>+'Seat capacity elasticities'!AB304</f>
        <v>0.50153167319745873</v>
      </c>
      <c r="BI274" s="32">
        <f t="shared" si="300"/>
        <v>16156368.453353398</v>
      </c>
      <c r="BJ274" s="33">
        <f t="shared" si="301"/>
        <v>1.5525660964294677E-3</v>
      </c>
      <c r="BK274" s="40">
        <f t="shared" si="302"/>
        <v>44072034.439544462</v>
      </c>
      <c r="BL274" s="33">
        <f t="shared" si="303"/>
        <v>4.2351563514452066E-3</v>
      </c>
      <c r="BM274" s="40">
        <f t="shared" si="304"/>
        <v>70728858.027030006</v>
      </c>
      <c r="BN274" s="41">
        <f t="shared" si="305"/>
        <v>4.2597481346079253E-3</v>
      </c>
      <c r="BO274" s="40">
        <f t="shared" si="306"/>
        <v>83274319.017706037</v>
      </c>
      <c r="BP274" s="41">
        <f t="shared" si="307"/>
        <v>5.0153167319745865E-3</v>
      </c>
      <c r="BQ274" s="52"/>
      <c r="BR274" s="52"/>
      <c r="BS274" t="s">
        <v>515</v>
      </c>
      <c r="BT274">
        <v>668753</v>
      </c>
      <c r="BU274">
        <v>289244</v>
      </c>
      <c r="BV274" s="51">
        <v>35977.360000000001</v>
      </c>
      <c r="BW274" s="32">
        <f t="shared" si="281"/>
        <v>10406235515.84</v>
      </c>
      <c r="BX274">
        <v>16604</v>
      </c>
      <c r="BY274" s="37">
        <f t="shared" si="282"/>
        <v>2.4828299835664289E-2</v>
      </c>
      <c r="BZ274">
        <v>7.5386000000000003E-3</v>
      </c>
      <c r="CA274" s="3">
        <f t="shared" si="343"/>
        <v>7.5386E-5</v>
      </c>
      <c r="CB274" s="11">
        <f>+'Seat capacity elasticities'!AF304</f>
        <v>2.3931562474666955E-2</v>
      </c>
      <c r="CC274" s="11">
        <f>+'Seat capacity elasticities'!AG304</f>
        <v>1.9123304764859374E-2</v>
      </c>
      <c r="CD274" s="11">
        <f>+'Seat capacity elasticities'!AH304</f>
        <v>6.5660604623634961E-2</v>
      </c>
      <c r="CE274" s="11">
        <f>+'Seat capacity elasticities'!AI304</f>
        <v>2.2646018800491365E-2</v>
      </c>
      <c r="CF274" s="32">
        <f t="shared" si="308"/>
        <v>2490374.7537342305</v>
      </c>
      <c r="CG274" s="33">
        <f t="shared" si="309"/>
        <v>2.3931562474666953E-4</v>
      </c>
      <c r="CH274" s="40">
        <f t="shared" si="310"/>
        <v>1990016.1322431192</v>
      </c>
      <c r="CI274" s="33">
        <f t="shared" si="311"/>
        <v>1.9123304764859375E-4</v>
      </c>
      <c r="CJ274" s="40">
        <f t="shared" si="312"/>
        <v>10902286.791708348</v>
      </c>
      <c r="CK274" s="41">
        <f t="shared" si="313"/>
        <v>6.5660604623634961E-4</v>
      </c>
      <c r="CL274" s="40">
        <f t="shared" si="314"/>
        <v>3760144.9616335868</v>
      </c>
      <c r="CM274" s="41">
        <f t="shared" si="315"/>
        <v>2.2646018800491366E-4</v>
      </c>
      <c r="CO274" s="70">
        <f t="shared" si="316"/>
        <v>3.8762684478720626</v>
      </c>
      <c r="CP274" s="70">
        <f t="shared" si="317"/>
        <v>55.857229375037676</v>
      </c>
      <c r="CQ274" s="70">
        <f t="shared" si="318"/>
        <v>59.73349782290974</v>
      </c>
      <c r="CR274" s="70">
        <f t="shared" si="319"/>
        <v>19.233552567515051</v>
      </c>
      <c r="CS274" s="70">
        <f t="shared" si="320"/>
        <v>152.36974471223073</v>
      </c>
      <c r="CT274" s="70">
        <f t="shared" si="321"/>
        <v>171.60329727974579</v>
      </c>
      <c r="CU274" s="69">
        <f t="shared" si="322"/>
        <v>16.969410020312697</v>
      </c>
      <c r="CV274" s="69">
        <f t="shared" si="323"/>
        <v>244.53007850475726</v>
      </c>
      <c r="CW274" s="70">
        <f t="shared" si="324"/>
        <v>261.49948852506998</v>
      </c>
      <c r="CX274" s="69">
        <f t="shared" si="325"/>
        <v>36.341889198424369</v>
      </c>
      <c r="CY274" s="69">
        <f t="shared" si="326"/>
        <v>287.90335847141529</v>
      </c>
      <c r="CZ274" s="70">
        <f t="shared" si="327"/>
        <v>324.24524766983967</v>
      </c>
      <c r="DB274" s="70">
        <f t="shared" si="328"/>
        <v>5.2331095331681334</v>
      </c>
      <c r="DC274" s="70">
        <f t="shared" si="329"/>
        <v>8.6099443851358384</v>
      </c>
      <c r="DD274" s="70">
        <f t="shared" si="330"/>
        <v>13.843053918303973</v>
      </c>
      <c r="DE274" s="70">
        <f t="shared" si="331"/>
        <v>9.918190097557833</v>
      </c>
      <c r="DF274" s="70">
        <f t="shared" si="332"/>
        <v>6.8800601991506101</v>
      </c>
      <c r="DG274" s="70">
        <f t="shared" si="333"/>
        <v>16.798250296708442</v>
      </c>
      <c r="DH274" s="69">
        <f t="shared" si="334"/>
        <v>22.909347622269781</v>
      </c>
      <c r="DI274" s="69">
        <f t="shared" si="335"/>
        <v>37.692352448826419</v>
      </c>
      <c r="DJ274" s="70">
        <f t="shared" si="336"/>
        <v>60.601700071096204</v>
      </c>
      <c r="DK274" s="69">
        <f t="shared" si="337"/>
        <v>18.74046743622079</v>
      </c>
      <c r="DL274" s="69">
        <f t="shared" si="338"/>
        <v>12.999906520562524</v>
      </c>
      <c r="DM274" s="70">
        <f t="shared" si="339"/>
        <v>31.740373956783316</v>
      </c>
    </row>
    <row r="275" spans="1:117">
      <c r="A275" t="s">
        <v>516</v>
      </c>
      <c r="B275">
        <v>104313</v>
      </c>
      <c r="C275">
        <v>55277</v>
      </c>
      <c r="D275" s="51">
        <v>28898.97</v>
      </c>
      <c r="E275" s="32">
        <f t="shared" si="272"/>
        <v>1597448364.6900001</v>
      </c>
      <c r="F275">
        <v>2056</v>
      </c>
      <c r="G275" s="37">
        <f t="shared" si="273"/>
        <v>1.9709911516301901E-2</v>
      </c>
      <c r="H275">
        <v>0</v>
      </c>
      <c r="I275" s="3">
        <f t="shared" si="340"/>
        <v>0</v>
      </c>
      <c r="J275" s="11">
        <f>+'Seat capacity elasticities'!K305</f>
        <v>0</v>
      </c>
      <c r="K275" s="11">
        <f>+'Seat capacity elasticities'!L305</f>
        <v>0</v>
      </c>
      <c r="L275" s="11">
        <f>+'Seat capacity elasticities'!M305</f>
        <v>0</v>
      </c>
      <c r="M275" s="11">
        <f>+'Seat capacity elasticities'!N305</f>
        <v>0</v>
      </c>
      <c r="N275" s="32">
        <f t="shared" si="284"/>
        <v>0</v>
      </c>
      <c r="O275" s="33">
        <f t="shared" si="285"/>
        <v>0</v>
      </c>
      <c r="P275" s="40">
        <f t="shared" si="286"/>
        <v>0</v>
      </c>
      <c r="Q275" s="33">
        <f t="shared" si="287"/>
        <v>0</v>
      </c>
      <c r="R275" s="40">
        <f t="shared" si="288"/>
        <v>0</v>
      </c>
      <c r="S275" s="41">
        <f t="shared" si="289"/>
        <v>0</v>
      </c>
      <c r="T275" s="40">
        <f t="shared" si="290"/>
        <v>0</v>
      </c>
      <c r="U275" s="41">
        <f t="shared" si="291"/>
        <v>0</v>
      </c>
      <c r="X275" t="s">
        <v>516</v>
      </c>
      <c r="Y275">
        <v>104313</v>
      </c>
      <c r="Z275">
        <v>55277</v>
      </c>
      <c r="AA275" s="51">
        <v>28898.97</v>
      </c>
      <c r="AB275" s="32">
        <f t="shared" si="275"/>
        <v>1597448364.6900001</v>
      </c>
      <c r="AC275">
        <v>2056</v>
      </c>
      <c r="AD275" s="37">
        <f t="shared" si="276"/>
        <v>1.9709911516301901E-2</v>
      </c>
      <c r="AE275">
        <v>6.7546999999999998E-3</v>
      </c>
      <c r="AF275" s="3">
        <f t="shared" si="341"/>
        <v>6.7546999999999996E-5</v>
      </c>
      <c r="AG275" s="11">
        <f>+'Seat capacity elasticities'!R305</f>
        <v>2.9509341899572362E-2</v>
      </c>
      <c r="AH275" s="11">
        <f>+'Seat capacity elasticities'!S305</f>
        <v>5.5928365488768693E-2</v>
      </c>
      <c r="AI275" s="11">
        <f>+'Seat capacity elasticities'!T305</f>
        <v>8.096425936344763E-2</v>
      </c>
      <c r="AJ275" s="11">
        <f>+'Seat capacity elasticities'!U305</f>
        <v>6.6230959131436604E-2</v>
      </c>
      <c r="AK275" s="32">
        <f t="shared" si="292"/>
        <v>471396.49960549967</v>
      </c>
      <c r="AL275" s="33">
        <f t="shared" si="293"/>
        <v>2.950934189957236E-4</v>
      </c>
      <c r="AM275" s="40">
        <f t="shared" si="294"/>
        <v>893426.75989818177</v>
      </c>
      <c r="AN275" s="33">
        <f t="shared" si="295"/>
        <v>5.5928365488768688E-4</v>
      </c>
      <c r="AO275" s="40">
        <f t="shared" si="296"/>
        <v>1664625.1725124833</v>
      </c>
      <c r="AP275" s="41">
        <f t="shared" si="297"/>
        <v>8.0964259363447628E-4</v>
      </c>
      <c r="AQ275" s="40">
        <f t="shared" si="298"/>
        <v>1361708.5197423366</v>
      </c>
      <c r="AR275" s="41">
        <f t="shared" si="299"/>
        <v>6.6230959131436599E-4</v>
      </c>
      <c r="AV275" t="s">
        <v>516</v>
      </c>
      <c r="AW275">
        <v>104313</v>
      </c>
      <c r="AX275">
        <v>55277</v>
      </c>
      <c r="AY275" s="51">
        <v>28898.97</v>
      </c>
      <c r="AZ275" s="32">
        <f t="shared" si="278"/>
        <v>1597448364.6900001</v>
      </c>
      <c r="BA275">
        <v>2056</v>
      </c>
      <c r="BB275" s="37">
        <f t="shared" si="279"/>
        <v>1.9709911516301901E-2</v>
      </c>
      <c r="BC275">
        <v>0</v>
      </c>
      <c r="BD275" s="3">
        <f t="shared" si="342"/>
        <v>0</v>
      </c>
      <c r="BE275" s="11">
        <f>+'Seat capacity elasticities'!Y305</f>
        <v>0</v>
      </c>
      <c r="BF275" s="11">
        <f>+'Seat capacity elasticities'!Z305</f>
        <v>0</v>
      </c>
      <c r="BG275" s="11">
        <f>+'Seat capacity elasticities'!AA305</f>
        <v>0</v>
      </c>
      <c r="BH275" s="11">
        <f>+'Seat capacity elasticities'!AB305</f>
        <v>0</v>
      </c>
      <c r="BI275" s="32">
        <f t="shared" si="300"/>
        <v>0</v>
      </c>
      <c r="BJ275" s="33">
        <f t="shared" si="301"/>
        <v>0</v>
      </c>
      <c r="BK275" s="40">
        <f t="shared" si="302"/>
        <v>0</v>
      </c>
      <c r="BL275" s="33">
        <f t="shared" si="303"/>
        <v>0</v>
      </c>
      <c r="BM275" s="40">
        <f t="shared" si="304"/>
        <v>0</v>
      </c>
      <c r="BN275" s="41">
        <f t="shared" si="305"/>
        <v>0</v>
      </c>
      <c r="BO275" s="40">
        <f t="shared" si="306"/>
        <v>0</v>
      </c>
      <c r="BP275" s="41">
        <f t="shared" si="307"/>
        <v>0</v>
      </c>
      <c r="BQ275" s="52"/>
      <c r="BR275" s="52"/>
      <c r="BS275" t="s">
        <v>516</v>
      </c>
      <c r="BT275">
        <v>104313</v>
      </c>
      <c r="BU275">
        <v>55277</v>
      </c>
      <c r="BV275" s="51">
        <v>28898.97</v>
      </c>
      <c r="BW275" s="32">
        <f t="shared" si="281"/>
        <v>1597448364.6900001</v>
      </c>
      <c r="BX275">
        <v>2056</v>
      </c>
      <c r="BY275" s="37">
        <f t="shared" si="282"/>
        <v>1.9709911516301901E-2</v>
      </c>
      <c r="BZ275">
        <v>6.7546999999999998E-3</v>
      </c>
      <c r="CA275" s="3">
        <f t="shared" si="343"/>
        <v>6.7546999999999996E-5</v>
      </c>
      <c r="CB275" s="11">
        <f>+'Seat capacity elasticities'!AF305</f>
        <v>0.13747183411349689</v>
      </c>
      <c r="CC275" s="11">
        <f>+'Seat capacity elasticities'!AG305</f>
        <v>0.10985140577927008</v>
      </c>
      <c r="CD275" s="11">
        <f>+'Seat capacity elasticities'!AH305</f>
        <v>0.37717903944497339</v>
      </c>
      <c r="CE275" s="11">
        <f>+'Seat capacity elasticities'!AI305</f>
        <v>0.13008719105439878</v>
      </c>
      <c r="CF275" s="32">
        <f t="shared" si="308"/>
        <v>2196041.5659554056</v>
      </c>
      <c r="CG275" s="33">
        <f t="shared" si="309"/>
        <v>1.3747183411349688E-3</v>
      </c>
      <c r="CH275" s="40">
        <f t="shared" si="310"/>
        <v>1754819.485209926</v>
      </c>
      <c r="CI275" s="33">
        <f t="shared" si="311"/>
        <v>1.0985140577927008E-3</v>
      </c>
      <c r="CJ275" s="40">
        <f t="shared" si="312"/>
        <v>7754801.0509886537</v>
      </c>
      <c r="CK275" s="41">
        <f t="shared" si="313"/>
        <v>3.7717903944497343E-3</v>
      </c>
      <c r="CL275" s="40">
        <f t="shared" si="314"/>
        <v>2674592.6480784398</v>
      </c>
      <c r="CM275" s="41">
        <f t="shared" si="315"/>
        <v>1.3008719105439882E-3</v>
      </c>
      <c r="CO275" s="70">
        <f t="shared" si="316"/>
        <v>0</v>
      </c>
      <c r="CP275" s="70">
        <f t="shared" si="317"/>
        <v>0</v>
      </c>
      <c r="CQ275" s="70">
        <f t="shared" si="318"/>
        <v>0</v>
      </c>
      <c r="CR275" s="70">
        <f t="shared" si="319"/>
        <v>0</v>
      </c>
      <c r="CS275" s="70">
        <f t="shared" si="320"/>
        <v>0</v>
      </c>
      <c r="CT275" s="70">
        <f t="shared" si="321"/>
        <v>0</v>
      </c>
      <c r="CU275" s="69">
        <f t="shared" si="322"/>
        <v>0</v>
      </c>
      <c r="CV275" s="69">
        <f t="shared" si="323"/>
        <v>0</v>
      </c>
      <c r="CW275" s="70">
        <f t="shared" si="324"/>
        <v>0</v>
      </c>
      <c r="CX275" s="69">
        <f t="shared" si="325"/>
        <v>0</v>
      </c>
      <c r="CY275" s="69">
        <f t="shared" si="326"/>
        <v>0</v>
      </c>
      <c r="CZ275" s="70">
        <f t="shared" si="327"/>
        <v>0</v>
      </c>
      <c r="DB275" s="70">
        <f t="shared" si="328"/>
        <v>8.5278958627548462</v>
      </c>
      <c r="DC275" s="70">
        <f t="shared" si="329"/>
        <v>39.727944098909234</v>
      </c>
      <c r="DD275" s="70">
        <f t="shared" si="330"/>
        <v>48.25583996166408</v>
      </c>
      <c r="DE275" s="70">
        <f t="shared" si="331"/>
        <v>16.162721564089619</v>
      </c>
      <c r="DF275" s="70">
        <f t="shared" si="332"/>
        <v>31.745924800729526</v>
      </c>
      <c r="DG275" s="70">
        <f t="shared" si="333"/>
        <v>47.908646364819148</v>
      </c>
      <c r="DH275" s="69">
        <f t="shared" si="334"/>
        <v>30.114245934339479</v>
      </c>
      <c r="DI275" s="69">
        <f t="shared" si="335"/>
        <v>140.28983213612631</v>
      </c>
      <c r="DJ275" s="70">
        <f t="shared" si="336"/>
        <v>170.4040780704658</v>
      </c>
      <c r="DK275" s="69">
        <f t="shared" si="337"/>
        <v>24.634269583051477</v>
      </c>
      <c r="DL275" s="69">
        <f t="shared" si="338"/>
        <v>48.385271416293207</v>
      </c>
      <c r="DM275" s="70">
        <f t="shared" si="339"/>
        <v>73.019540999344684</v>
      </c>
    </row>
    <row r="276" spans="1:117">
      <c r="A276" t="s">
        <v>517</v>
      </c>
      <c r="B276">
        <v>645016</v>
      </c>
      <c r="C276">
        <v>389267</v>
      </c>
      <c r="D276" s="51">
        <v>37228.97</v>
      </c>
      <c r="E276" s="32">
        <f t="shared" si="272"/>
        <v>14492009464.99</v>
      </c>
      <c r="F276">
        <v>23241</v>
      </c>
      <c r="G276" s="37">
        <f t="shared" si="273"/>
        <v>3.6031664330807296E-2</v>
      </c>
      <c r="H276">
        <v>0</v>
      </c>
      <c r="I276" s="3">
        <f t="shared" si="340"/>
        <v>0</v>
      </c>
      <c r="J276" s="11">
        <f>+'Seat capacity elasticities'!K306</f>
        <v>0</v>
      </c>
      <c r="K276" s="11">
        <f>+'Seat capacity elasticities'!L306</f>
        <v>0</v>
      </c>
      <c r="L276" s="11">
        <f>+'Seat capacity elasticities'!M306</f>
        <v>0</v>
      </c>
      <c r="M276" s="11">
        <f>+'Seat capacity elasticities'!N306</f>
        <v>0</v>
      </c>
      <c r="N276" s="32">
        <f t="shared" si="284"/>
        <v>0</v>
      </c>
      <c r="O276" s="33">
        <f t="shared" si="285"/>
        <v>0</v>
      </c>
      <c r="P276" s="40">
        <f t="shared" si="286"/>
        <v>0</v>
      </c>
      <c r="Q276" s="33">
        <f t="shared" si="287"/>
        <v>0</v>
      </c>
      <c r="R276" s="40">
        <f t="shared" si="288"/>
        <v>0</v>
      </c>
      <c r="S276" s="41">
        <f t="shared" si="289"/>
        <v>0</v>
      </c>
      <c r="T276" s="40">
        <f t="shared" si="290"/>
        <v>0</v>
      </c>
      <c r="U276" s="41">
        <f t="shared" si="291"/>
        <v>0</v>
      </c>
      <c r="X276" t="s">
        <v>517</v>
      </c>
      <c r="Y276">
        <v>645016</v>
      </c>
      <c r="Z276">
        <v>389267</v>
      </c>
      <c r="AA276" s="51">
        <v>37228.97</v>
      </c>
      <c r="AB276" s="32">
        <f t="shared" si="275"/>
        <v>14492009464.99</v>
      </c>
      <c r="AC276">
        <v>23241</v>
      </c>
      <c r="AD276" s="37">
        <f t="shared" si="276"/>
        <v>3.6031664330807296E-2</v>
      </c>
      <c r="AE276">
        <v>1.28065E-2</v>
      </c>
      <c r="AF276" s="3">
        <f t="shared" si="341"/>
        <v>1.2806500000000001E-4</v>
      </c>
      <c r="AG276" s="11">
        <f>+'Seat capacity elasticities'!R306</f>
        <v>1.1550926348573624E-2</v>
      </c>
      <c r="AH276" s="11">
        <f>+'Seat capacity elasticities'!S306</f>
        <v>2.1892200536204977E-2</v>
      </c>
      <c r="AI276" s="11">
        <f>+'Seat capacity elasticities'!T306</f>
        <v>3.1692072292115361E-2</v>
      </c>
      <c r="AJ276" s="11">
        <f>+'Seat capacity elasticities'!U306</f>
        <v>2.5924974319190105E-2</v>
      </c>
      <c r="AK276" s="32">
        <f t="shared" si="292"/>
        <v>1673961.3397293133</v>
      </c>
      <c r="AL276" s="33">
        <f t="shared" si="293"/>
        <v>1.1550926348573624E-4</v>
      </c>
      <c r="AM276" s="40">
        <f t="shared" si="294"/>
        <v>3172619.7738014166</v>
      </c>
      <c r="AN276" s="33">
        <f t="shared" si="295"/>
        <v>2.1892200536204976E-4</v>
      </c>
      <c r="AO276" s="40">
        <f t="shared" si="296"/>
        <v>7365554.5214105304</v>
      </c>
      <c r="AP276" s="41">
        <f t="shared" si="297"/>
        <v>3.169207229211536E-4</v>
      </c>
      <c r="AQ276" s="40">
        <f t="shared" si="298"/>
        <v>6025223.2815229716</v>
      </c>
      <c r="AR276" s="41">
        <f t="shared" si="299"/>
        <v>2.59249743191901E-4</v>
      </c>
      <c r="AV276" t="s">
        <v>517</v>
      </c>
      <c r="AW276">
        <v>645016</v>
      </c>
      <c r="AX276">
        <v>389267</v>
      </c>
      <c r="AY276" s="51">
        <v>37228.97</v>
      </c>
      <c r="AZ276" s="32">
        <f t="shared" si="278"/>
        <v>14492009464.99</v>
      </c>
      <c r="BA276">
        <v>23241</v>
      </c>
      <c r="BB276" s="37">
        <f t="shared" si="279"/>
        <v>3.6031664330807296E-2</v>
      </c>
      <c r="BC276">
        <v>0</v>
      </c>
      <c r="BD276" s="3">
        <f t="shared" si="342"/>
        <v>0</v>
      </c>
      <c r="BE276" s="11">
        <f>+'Seat capacity elasticities'!Y306</f>
        <v>0</v>
      </c>
      <c r="BF276" s="11">
        <f>+'Seat capacity elasticities'!Z306</f>
        <v>0</v>
      </c>
      <c r="BG276" s="11">
        <f>+'Seat capacity elasticities'!AA306</f>
        <v>0</v>
      </c>
      <c r="BH276" s="11">
        <f>+'Seat capacity elasticities'!AB306</f>
        <v>0</v>
      </c>
      <c r="BI276" s="32">
        <f t="shared" si="300"/>
        <v>0</v>
      </c>
      <c r="BJ276" s="33">
        <f t="shared" si="301"/>
        <v>0</v>
      </c>
      <c r="BK276" s="40">
        <f t="shared" si="302"/>
        <v>0</v>
      </c>
      <c r="BL276" s="33">
        <f t="shared" si="303"/>
        <v>0</v>
      </c>
      <c r="BM276" s="40">
        <f t="shared" si="304"/>
        <v>0</v>
      </c>
      <c r="BN276" s="41">
        <f t="shared" si="305"/>
        <v>0</v>
      </c>
      <c r="BO276" s="40">
        <f t="shared" si="306"/>
        <v>0</v>
      </c>
      <c r="BP276" s="41">
        <f t="shared" si="307"/>
        <v>0</v>
      </c>
      <c r="BQ276" s="52"/>
      <c r="BR276" s="52"/>
      <c r="BS276" t="s">
        <v>517</v>
      </c>
      <c r="BT276">
        <v>645016</v>
      </c>
      <c r="BU276">
        <v>389267</v>
      </c>
      <c r="BV276" s="51">
        <v>37228.97</v>
      </c>
      <c r="BW276" s="32">
        <f t="shared" si="281"/>
        <v>14492009464.99</v>
      </c>
      <c r="BX276">
        <v>23241</v>
      </c>
      <c r="BY276" s="37">
        <f t="shared" si="282"/>
        <v>3.6031664330807296E-2</v>
      </c>
      <c r="BZ276">
        <v>1.28065E-2</v>
      </c>
      <c r="CA276" s="3">
        <f t="shared" si="343"/>
        <v>1.2806500000000001E-4</v>
      </c>
      <c r="CB276" s="11">
        <f>+'Seat capacity elasticities'!AF306</f>
        <v>4.2150823472719402E-2</v>
      </c>
      <c r="CC276" s="11">
        <f>+'Seat capacity elasticities'!AG306</f>
        <v>3.3682006522218054E-2</v>
      </c>
      <c r="CD276" s="11">
        <f>+'Seat capacity elasticities'!AH306</f>
        <v>0.11564846873381497</v>
      </c>
      <c r="CE276" s="11">
        <f>+'Seat capacity elasticities'!AI306</f>
        <v>3.9886586671047698E-2</v>
      </c>
      <c r="CF276" s="32">
        <f t="shared" si="308"/>
        <v>6108501.3272377215</v>
      </c>
      <c r="CG276" s="33">
        <f t="shared" si="309"/>
        <v>4.2150823472719397E-4</v>
      </c>
      <c r="CH276" s="40">
        <f t="shared" si="310"/>
        <v>4881199.5731983893</v>
      </c>
      <c r="CI276" s="33">
        <f t="shared" si="311"/>
        <v>3.3682006522218051E-4</v>
      </c>
      <c r="CJ276" s="40">
        <f t="shared" si="312"/>
        <v>26877860.618425936</v>
      </c>
      <c r="CK276" s="41">
        <f t="shared" si="313"/>
        <v>1.1564846873381497E-3</v>
      </c>
      <c r="CL276" s="40">
        <f t="shared" si="314"/>
        <v>9270041.6082181949</v>
      </c>
      <c r="CM276" s="41">
        <f t="shared" si="315"/>
        <v>3.9886586671047697E-4</v>
      </c>
      <c r="CO276" s="70">
        <f t="shared" si="316"/>
        <v>0</v>
      </c>
      <c r="CP276" s="70">
        <f t="shared" si="317"/>
        <v>0</v>
      </c>
      <c r="CQ276" s="70">
        <f t="shared" si="318"/>
        <v>0</v>
      </c>
      <c r="CR276" s="70">
        <f t="shared" si="319"/>
        <v>0</v>
      </c>
      <c r="CS276" s="70">
        <f t="shared" si="320"/>
        <v>0</v>
      </c>
      <c r="CT276" s="70">
        <f t="shared" si="321"/>
        <v>0</v>
      </c>
      <c r="CU276" s="69">
        <f t="shared" si="322"/>
        <v>0</v>
      </c>
      <c r="CV276" s="69">
        <f t="shared" si="323"/>
        <v>0</v>
      </c>
      <c r="CW276" s="70">
        <f t="shared" si="324"/>
        <v>0</v>
      </c>
      <c r="CX276" s="69">
        <f t="shared" si="325"/>
        <v>0</v>
      </c>
      <c r="CY276" s="69">
        <f t="shared" si="326"/>
        <v>0</v>
      </c>
      <c r="CZ276" s="70">
        <f t="shared" si="327"/>
        <v>0</v>
      </c>
      <c r="DB276" s="70">
        <f t="shared" si="328"/>
        <v>4.3002909050325693</v>
      </c>
      <c r="DC276" s="70">
        <f t="shared" si="329"/>
        <v>15.692317425411662</v>
      </c>
      <c r="DD276" s="70">
        <f t="shared" si="330"/>
        <v>19.992608330444231</v>
      </c>
      <c r="DE276" s="70">
        <f t="shared" si="331"/>
        <v>8.1502407699635899</v>
      </c>
      <c r="DF276" s="70">
        <f t="shared" si="332"/>
        <v>12.539464103554602</v>
      </c>
      <c r="DG276" s="70">
        <f t="shared" si="333"/>
        <v>20.689704873518192</v>
      </c>
      <c r="DH276" s="69">
        <f t="shared" si="334"/>
        <v>18.921600139263102</v>
      </c>
      <c r="DI276" s="69">
        <f t="shared" si="335"/>
        <v>69.04736496652923</v>
      </c>
      <c r="DJ276" s="70">
        <f t="shared" si="336"/>
        <v>87.968965105792336</v>
      </c>
      <c r="DK276" s="69">
        <f t="shared" si="337"/>
        <v>15.478381885757004</v>
      </c>
      <c r="DL276" s="69">
        <f t="shared" si="338"/>
        <v>23.814095744612811</v>
      </c>
      <c r="DM276" s="70">
        <f t="shared" si="339"/>
        <v>39.292477630369817</v>
      </c>
    </row>
    <row r="277" spans="1:117">
      <c r="A277" t="s">
        <v>518</v>
      </c>
      <c r="B277">
        <v>357171</v>
      </c>
      <c r="C277">
        <v>219628</v>
      </c>
      <c r="D277" s="51">
        <v>33525.43</v>
      </c>
      <c r="E277" s="32">
        <f t="shared" si="272"/>
        <v>7363123140.04</v>
      </c>
      <c r="F277">
        <v>8736</v>
      </c>
      <c r="G277" s="37">
        <f t="shared" si="273"/>
        <v>2.4458872640835901E-2</v>
      </c>
      <c r="H277">
        <v>0</v>
      </c>
      <c r="I277" s="3">
        <f t="shared" si="340"/>
        <v>0</v>
      </c>
      <c r="J277" s="11">
        <f>+'Seat capacity elasticities'!K307</f>
        <v>0</v>
      </c>
      <c r="K277" s="11">
        <f>+'Seat capacity elasticities'!L307</f>
        <v>0</v>
      </c>
      <c r="L277" s="11">
        <f>+'Seat capacity elasticities'!M307</f>
        <v>0</v>
      </c>
      <c r="M277" s="11">
        <f>+'Seat capacity elasticities'!N307</f>
        <v>0</v>
      </c>
      <c r="N277" s="32">
        <f t="shared" si="284"/>
        <v>0</v>
      </c>
      <c r="O277" s="33">
        <f t="shared" si="285"/>
        <v>0</v>
      </c>
      <c r="P277" s="40">
        <f t="shared" si="286"/>
        <v>0</v>
      </c>
      <c r="Q277" s="33">
        <f t="shared" si="287"/>
        <v>0</v>
      </c>
      <c r="R277" s="40">
        <f t="shared" si="288"/>
        <v>0</v>
      </c>
      <c r="S277" s="41">
        <f t="shared" si="289"/>
        <v>0</v>
      </c>
      <c r="T277" s="40">
        <f t="shared" si="290"/>
        <v>0</v>
      </c>
      <c r="U277" s="41">
        <f t="shared" si="291"/>
        <v>0</v>
      </c>
      <c r="X277" t="s">
        <v>518</v>
      </c>
      <c r="Y277">
        <v>357171</v>
      </c>
      <c r="Z277">
        <v>219628</v>
      </c>
      <c r="AA277" s="51">
        <v>33525.43</v>
      </c>
      <c r="AB277" s="32">
        <f t="shared" si="275"/>
        <v>7363123140.04</v>
      </c>
      <c r="AC277">
        <v>8736</v>
      </c>
      <c r="AD277" s="37">
        <f t="shared" si="276"/>
        <v>2.4458872640835901E-2</v>
      </c>
      <c r="AE277">
        <v>6.2338999999999997E-3</v>
      </c>
      <c r="AF277" s="3">
        <f t="shared" si="341"/>
        <v>6.2339000000000001E-5</v>
      </c>
      <c r="AG277" s="11">
        <f>+'Seat capacity elasticities'!R307</f>
        <v>1.2088870081414495E-2</v>
      </c>
      <c r="AH277" s="11">
        <f>+'Seat capacity elasticities'!S307</f>
        <v>2.2911752710736956E-2</v>
      </c>
      <c r="AI277" s="11">
        <f>+'Seat capacity elasticities'!T307</f>
        <v>3.3168018995938686E-2</v>
      </c>
      <c r="AJ277" s="11">
        <f>+'Seat capacity elasticities'!U307</f>
        <v>2.7132338736399027E-2</v>
      </c>
      <c r="AK277" s="32">
        <f t="shared" si="292"/>
        <v>890118.39033400302</v>
      </c>
      <c r="AL277" s="33">
        <f t="shared" si="293"/>
        <v>1.2088870081414494E-4</v>
      </c>
      <c r="AM277" s="40">
        <f t="shared" si="294"/>
        <v>1687020.5656330148</v>
      </c>
      <c r="AN277" s="33">
        <f t="shared" si="295"/>
        <v>2.2911752710736956E-4</v>
      </c>
      <c r="AO277" s="40">
        <f t="shared" si="296"/>
        <v>2897558.1394852037</v>
      </c>
      <c r="AP277" s="41">
        <f t="shared" si="297"/>
        <v>3.3168018995938692E-4</v>
      </c>
      <c r="AQ277" s="40">
        <f t="shared" si="298"/>
        <v>2370281.1120118191</v>
      </c>
      <c r="AR277" s="41">
        <f t="shared" si="299"/>
        <v>2.7132338736399024E-4</v>
      </c>
      <c r="AV277" t="s">
        <v>518</v>
      </c>
      <c r="AW277">
        <v>357171</v>
      </c>
      <c r="AX277">
        <v>219628</v>
      </c>
      <c r="AY277" s="51">
        <v>33525.43</v>
      </c>
      <c r="AZ277" s="32">
        <f t="shared" si="278"/>
        <v>7363123140.04</v>
      </c>
      <c r="BA277">
        <v>8736</v>
      </c>
      <c r="BB277" s="37">
        <f t="shared" si="279"/>
        <v>2.4458872640835901E-2</v>
      </c>
      <c r="BC277">
        <v>0</v>
      </c>
      <c r="BD277" s="3">
        <f t="shared" si="342"/>
        <v>0</v>
      </c>
      <c r="BE277" s="11">
        <f>+'Seat capacity elasticities'!Y307</f>
        <v>0</v>
      </c>
      <c r="BF277" s="11">
        <f>+'Seat capacity elasticities'!Z307</f>
        <v>0</v>
      </c>
      <c r="BG277" s="11">
        <f>+'Seat capacity elasticities'!AA307</f>
        <v>0</v>
      </c>
      <c r="BH277" s="11">
        <f>+'Seat capacity elasticities'!AB307</f>
        <v>0</v>
      </c>
      <c r="BI277" s="32">
        <f t="shared" si="300"/>
        <v>0</v>
      </c>
      <c r="BJ277" s="33">
        <f t="shared" si="301"/>
        <v>0</v>
      </c>
      <c r="BK277" s="40">
        <f t="shared" si="302"/>
        <v>0</v>
      </c>
      <c r="BL277" s="33">
        <f t="shared" si="303"/>
        <v>0</v>
      </c>
      <c r="BM277" s="40">
        <f t="shared" si="304"/>
        <v>0</v>
      </c>
      <c r="BN277" s="41">
        <f t="shared" si="305"/>
        <v>0</v>
      </c>
      <c r="BO277" s="40">
        <f t="shared" si="306"/>
        <v>0</v>
      </c>
      <c r="BP277" s="41">
        <f t="shared" si="307"/>
        <v>0</v>
      </c>
      <c r="BQ277" s="52"/>
      <c r="BR277" s="52"/>
      <c r="BS277" t="s">
        <v>518</v>
      </c>
      <c r="BT277">
        <v>357171</v>
      </c>
      <c r="BU277">
        <v>219628</v>
      </c>
      <c r="BV277" s="51">
        <v>33525.43</v>
      </c>
      <c r="BW277" s="32">
        <f t="shared" si="281"/>
        <v>7363123140.04</v>
      </c>
      <c r="BX277">
        <v>8736</v>
      </c>
      <c r="BY277" s="37">
        <f t="shared" si="282"/>
        <v>2.4458872640835901E-2</v>
      </c>
      <c r="BZ277">
        <v>6.2338999999999997E-3</v>
      </c>
      <c r="CA277" s="3">
        <f t="shared" si="343"/>
        <v>6.2339000000000001E-5</v>
      </c>
      <c r="CB277" s="11">
        <f>+'Seat capacity elasticities'!AF307</f>
        <v>3.7053542847638093E-2</v>
      </c>
      <c r="CC277" s="11">
        <f>+'Seat capacity elasticities'!AG307</f>
        <v>2.9608856222540461E-2</v>
      </c>
      <c r="CD277" s="11">
        <f>+'Seat capacity elasticities'!AH307</f>
        <v>0.10166315005128142</v>
      </c>
      <c r="CE277" s="11">
        <f>+'Seat capacity elasticities'!AI307</f>
        <v>3.5063119210903181E-2</v>
      </c>
      <c r="CF277" s="32">
        <f t="shared" si="308"/>
        <v>2728297.9876190769</v>
      </c>
      <c r="CG277" s="33">
        <f t="shared" si="309"/>
        <v>3.7053542847638097E-4</v>
      </c>
      <c r="CH277" s="40">
        <f t="shared" si="310"/>
        <v>2180136.54402305</v>
      </c>
      <c r="CI277" s="33">
        <f t="shared" si="311"/>
        <v>2.9608856222540459E-4</v>
      </c>
      <c r="CJ277" s="40">
        <f t="shared" si="312"/>
        <v>8881292.7884799447</v>
      </c>
      <c r="CK277" s="41">
        <f t="shared" si="313"/>
        <v>1.0166315005128142E-3</v>
      </c>
      <c r="CL277" s="40">
        <f t="shared" si="314"/>
        <v>3063114.0942645017</v>
      </c>
      <c r="CM277" s="41">
        <f t="shared" si="315"/>
        <v>3.5063119210903182E-4</v>
      </c>
      <c r="CO277" s="70">
        <f t="shared" si="316"/>
        <v>0</v>
      </c>
      <c r="CP277" s="70">
        <f t="shared" si="317"/>
        <v>0</v>
      </c>
      <c r="CQ277" s="70">
        <f t="shared" si="318"/>
        <v>0</v>
      </c>
      <c r="CR277" s="70">
        <f t="shared" si="319"/>
        <v>0</v>
      </c>
      <c r="CS277" s="70">
        <f t="shared" si="320"/>
        <v>0</v>
      </c>
      <c r="CT277" s="70">
        <f t="shared" si="321"/>
        <v>0</v>
      </c>
      <c r="CU277" s="69">
        <f t="shared" si="322"/>
        <v>0</v>
      </c>
      <c r="CV277" s="69">
        <f t="shared" si="323"/>
        <v>0</v>
      </c>
      <c r="CW277" s="70">
        <f t="shared" si="324"/>
        <v>0</v>
      </c>
      <c r="CX277" s="69">
        <f t="shared" si="325"/>
        <v>0</v>
      </c>
      <c r="CY277" s="69">
        <f t="shared" si="326"/>
        <v>0</v>
      </c>
      <c r="CZ277" s="70">
        <f t="shared" si="327"/>
        <v>0</v>
      </c>
      <c r="DB277" s="70">
        <f t="shared" si="328"/>
        <v>4.0528456769355596</v>
      </c>
      <c r="DC277" s="70">
        <f t="shared" si="329"/>
        <v>12.422359569904916</v>
      </c>
      <c r="DD277" s="70">
        <f t="shared" si="330"/>
        <v>16.475205246840474</v>
      </c>
      <c r="DE277" s="70">
        <f t="shared" si="331"/>
        <v>7.6812636168112203</v>
      </c>
      <c r="DF277" s="70">
        <f t="shared" si="332"/>
        <v>9.9264963666884451</v>
      </c>
      <c r="DG277" s="70">
        <f t="shared" si="333"/>
        <v>17.607759983499665</v>
      </c>
      <c r="DH277" s="69">
        <f t="shared" si="334"/>
        <v>13.193027025175313</v>
      </c>
      <c r="DI277" s="69">
        <f t="shared" si="335"/>
        <v>40.437889469830552</v>
      </c>
      <c r="DJ277" s="70">
        <f t="shared" si="336"/>
        <v>53.630916495005863</v>
      </c>
      <c r="DK277" s="69">
        <f t="shared" si="337"/>
        <v>10.792253774618077</v>
      </c>
      <c r="DL277" s="69">
        <f t="shared" si="338"/>
        <v>13.946828702462808</v>
      </c>
      <c r="DM277" s="70">
        <f t="shared" si="339"/>
        <v>24.739082477080885</v>
      </c>
    </row>
    <row r="278" spans="1:117">
      <c r="A278" t="s">
        <v>333</v>
      </c>
      <c r="B278">
        <v>2730007</v>
      </c>
      <c r="C278">
        <v>1576110</v>
      </c>
      <c r="D278" s="51">
        <v>38033.29</v>
      </c>
      <c r="E278" s="32">
        <f t="shared" si="272"/>
        <v>59944648701.900002</v>
      </c>
      <c r="F278">
        <v>98666</v>
      </c>
      <c r="G278" s="37">
        <f t="shared" si="273"/>
        <v>3.6141299271393812E-2</v>
      </c>
      <c r="H278">
        <v>1.7479999999999999E-4</v>
      </c>
      <c r="I278" s="3">
        <f t="shared" si="340"/>
        <v>1.748E-6</v>
      </c>
      <c r="J278" s="11">
        <f>+'Seat capacity elasticities'!K308</f>
        <v>2.6659050387972449E-4</v>
      </c>
      <c r="K278" s="11">
        <f>+'Seat capacity elasticities'!L308</f>
        <v>1.3227882793272012E-3</v>
      </c>
      <c r="L278" s="11">
        <f>+'Seat capacity elasticities'!M308</f>
        <v>7.314396496339011E-4</v>
      </c>
      <c r="M278" s="11">
        <f>+'Seat capacity elasticities'!N308</f>
        <v>1.5664598044664226E-3</v>
      </c>
      <c r="N278" s="32">
        <f t="shared" si="284"/>
        <v>159806.74102332594</v>
      </c>
      <c r="O278" s="33">
        <f t="shared" si="285"/>
        <v>2.6659050387972448E-6</v>
      </c>
      <c r="P278" s="40">
        <f t="shared" si="286"/>
        <v>792940.78711259854</v>
      </c>
      <c r="Q278" s="33">
        <f t="shared" si="287"/>
        <v>1.3227882793272013E-5</v>
      </c>
      <c r="R278" s="40">
        <f t="shared" si="288"/>
        <v>721682.24470778485</v>
      </c>
      <c r="S278" s="41">
        <f t="shared" si="289"/>
        <v>7.3143964963390112E-6</v>
      </c>
      <c r="T278" s="40">
        <f t="shared" si="290"/>
        <v>1545563.2306748407</v>
      </c>
      <c r="U278" s="41">
        <f t="shared" si="291"/>
        <v>1.5664598044664227E-5</v>
      </c>
      <c r="X278" t="s">
        <v>333</v>
      </c>
      <c r="Y278">
        <v>2730007</v>
      </c>
      <c r="Z278">
        <v>1576110</v>
      </c>
      <c r="AA278" s="51">
        <v>38033.29</v>
      </c>
      <c r="AB278" s="32">
        <f t="shared" si="275"/>
        <v>59944648701.900002</v>
      </c>
      <c r="AC278">
        <v>98666</v>
      </c>
      <c r="AD278" s="37">
        <f t="shared" si="276"/>
        <v>3.6141299271393812E-2</v>
      </c>
      <c r="AE278">
        <v>5.5868000000000003E-3</v>
      </c>
      <c r="AF278" s="3">
        <f t="shared" si="341"/>
        <v>5.5868000000000001E-5</v>
      </c>
      <c r="AG278" s="11">
        <f>+'Seat capacity elasticities'!R308</f>
        <v>7.8329752921872439E-3</v>
      </c>
      <c r="AH278" s="11">
        <f>+'Seat capacity elasticities'!S308</f>
        <v>1.4845654860649113E-2</v>
      </c>
      <c r="AI278" s="11">
        <f>+'Seat capacity elasticities'!T308</f>
        <v>2.1491195747517348E-2</v>
      </c>
      <c r="AJ278" s="11">
        <f>+'Seat capacity elasticities'!U308</f>
        <v>1.7580380756031844E-2</v>
      </c>
      <c r="AK278" s="32">
        <f t="shared" si="292"/>
        <v>4695449.5218082685</v>
      </c>
      <c r="AL278" s="33">
        <f t="shared" si="293"/>
        <v>7.8329752921872434E-5</v>
      </c>
      <c r="AM278" s="40">
        <f t="shared" si="294"/>
        <v>8899175.6537126526</v>
      </c>
      <c r="AN278" s="33">
        <f t="shared" si="295"/>
        <v>1.4845654860649112E-4</v>
      </c>
      <c r="AO278" s="40">
        <f t="shared" si="296"/>
        <v>21204503.196245469</v>
      </c>
      <c r="AP278" s="41">
        <f t="shared" si="297"/>
        <v>2.149119574751735E-4</v>
      </c>
      <c r="AQ278" s="40">
        <f t="shared" si="298"/>
        <v>17345858.476746384</v>
      </c>
      <c r="AR278" s="41">
        <f t="shared" si="299"/>
        <v>1.7580380756031849E-4</v>
      </c>
      <c r="AV278" t="s">
        <v>333</v>
      </c>
      <c r="AW278">
        <v>2730007</v>
      </c>
      <c r="AX278">
        <v>1576110</v>
      </c>
      <c r="AY278" s="51">
        <v>38033.29</v>
      </c>
      <c r="AZ278" s="32">
        <f t="shared" si="278"/>
        <v>59944648701.900002</v>
      </c>
      <c r="BA278">
        <v>98666</v>
      </c>
      <c r="BB278" s="37">
        <f t="shared" si="279"/>
        <v>3.6141299271393812E-2</v>
      </c>
      <c r="BC278">
        <v>1.7479999999999999E-4</v>
      </c>
      <c r="BD278" s="3">
        <f t="shared" si="342"/>
        <v>1.748E-6</v>
      </c>
      <c r="BE278" s="11">
        <f>+'Seat capacity elasticities'!Y308</f>
        <v>1.2950555662852644E-3</v>
      </c>
      <c r="BF278" s="11">
        <f>+'Seat capacity elasticities'!Z308</f>
        <v>3.5327080886547466E-3</v>
      </c>
      <c r="BG278" s="11">
        <f>+'Seat capacity elasticities'!AA308</f>
        <v>3.5532210482917001E-3</v>
      </c>
      <c r="BH278" s="11">
        <f>+'Seat capacity elasticities'!AB308</f>
        <v>4.1834701049858845E-3</v>
      </c>
      <c r="BI278" s="32">
        <f t="shared" si="300"/>
        <v>776316.50970410346</v>
      </c>
      <c r="BJ278" s="33">
        <f t="shared" si="301"/>
        <v>1.2950555662852644E-5</v>
      </c>
      <c r="BK278" s="40">
        <f t="shared" si="302"/>
        <v>2117669.4534076941</v>
      </c>
      <c r="BL278" s="33">
        <f t="shared" si="303"/>
        <v>3.5327080886547469E-5</v>
      </c>
      <c r="BM278" s="40">
        <f t="shared" si="304"/>
        <v>3505821.0795074892</v>
      </c>
      <c r="BN278" s="41">
        <f t="shared" si="305"/>
        <v>3.5532210482917003E-5</v>
      </c>
      <c r="BO278" s="40">
        <f t="shared" si="306"/>
        <v>4127662.6137853735</v>
      </c>
      <c r="BP278" s="41">
        <f t="shared" si="307"/>
        <v>4.183470104985885E-5</v>
      </c>
      <c r="BQ278" s="52"/>
      <c r="BR278" s="52"/>
      <c r="BS278" t="s">
        <v>333</v>
      </c>
      <c r="BT278">
        <v>2730007</v>
      </c>
      <c r="BU278">
        <v>1576110</v>
      </c>
      <c r="BV278" s="51">
        <v>38033.29</v>
      </c>
      <c r="BW278" s="32">
        <f t="shared" si="281"/>
        <v>59944648701.900002</v>
      </c>
      <c r="BX278">
        <v>98666</v>
      </c>
      <c r="BY278" s="37">
        <f t="shared" si="282"/>
        <v>3.6141299271393812E-2</v>
      </c>
      <c r="BZ278">
        <v>5.5868000000000003E-3</v>
      </c>
      <c r="CA278" s="3">
        <f t="shared" si="343"/>
        <v>5.5868000000000001E-5</v>
      </c>
      <c r="CB278" s="11">
        <f>+'Seat capacity elasticities'!AF308</f>
        <v>4.3445566179260986E-3</v>
      </c>
      <c r="CC278" s="11">
        <f>+'Seat capacity elasticities'!AG308</f>
        <v>3.4716613409899685E-3</v>
      </c>
      <c r="CD278" s="11">
        <f>+'Seat capacity elasticities'!AH308</f>
        <v>1.1920083139436228E-2</v>
      </c>
      <c r="CE278" s="11">
        <f>+'Seat capacity elasticities'!AI308</f>
        <v>4.1111779038039099E-3</v>
      </c>
      <c r="CF278" s="32">
        <f t="shared" si="308"/>
        <v>2604329.2022709479</v>
      </c>
      <c r="CG278" s="33">
        <f t="shared" si="309"/>
        <v>4.3445566179260988E-5</v>
      </c>
      <c r="CH278" s="40">
        <f t="shared" si="310"/>
        <v>2081075.1949761075</v>
      </c>
      <c r="CI278" s="33">
        <f t="shared" si="311"/>
        <v>3.4716613409899688E-5</v>
      </c>
      <c r="CJ278" s="40">
        <f t="shared" si="312"/>
        <v>11761069.230356149</v>
      </c>
      <c r="CK278" s="41">
        <f t="shared" si="313"/>
        <v>1.1920083139436229E-4</v>
      </c>
      <c r="CL278" s="40">
        <f t="shared" si="314"/>
        <v>4056334.7905671662</v>
      </c>
      <c r="CM278" s="41">
        <f t="shared" si="315"/>
        <v>4.1111779038039102E-5</v>
      </c>
      <c r="CO278" s="70">
        <f t="shared" si="316"/>
        <v>0.10139313945303687</v>
      </c>
      <c r="CP278" s="70">
        <f t="shared" si="317"/>
        <v>0.49255223918641683</v>
      </c>
      <c r="CQ278" s="70">
        <f t="shared" si="318"/>
        <v>0.59394537863945374</v>
      </c>
      <c r="CR278" s="70">
        <f t="shared" si="319"/>
        <v>0.50309990236252455</v>
      </c>
      <c r="CS278" s="70">
        <f t="shared" si="320"/>
        <v>1.3436051122115171</v>
      </c>
      <c r="CT278" s="70">
        <f t="shared" si="321"/>
        <v>1.8467050145740416</v>
      </c>
      <c r="CU278" s="69">
        <f t="shared" si="322"/>
        <v>0.45788824682781332</v>
      </c>
      <c r="CV278" s="69">
        <f t="shared" si="323"/>
        <v>2.2243505082180111</v>
      </c>
      <c r="CW278" s="70">
        <f t="shared" si="324"/>
        <v>2.6822387550458244</v>
      </c>
      <c r="CX278" s="69">
        <f t="shared" si="325"/>
        <v>0.9806188848968922</v>
      </c>
      <c r="CY278" s="69">
        <f t="shared" si="326"/>
        <v>2.618892471835959</v>
      </c>
      <c r="CZ278" s="70">
        <f t="shared" si="327"/>
        <v>3.5995113567328509</v>
      </c>
      <c r="DB278" s="70">
        <f t="shared" si="328"/>
        <v>2.9791382085059217</v>
      </c>
      <c r="DC278" s="70">
        <f t="shared" si="329"/>
        <v>1.6523778177100252</v>
      </c>
      <c r="DD278" s="70">
        <f t="shared" si="330"/>
        <v>4.6315160262159472</v>
      </c>
      <c r="DE278" s="70">
        <f t="shared" si="331"/>
        <v>5.6462909655497731</v>
      </c>
      <c r="DF278" s="70">
        <f t="shared" si="332"/>
        <v>1.3203870256366037</v>
      </c>
      <c r="DG278" s="70">
        <f t="shared" si="333"/>
        <v>6.9666779911863763</v>
      </c>
      <c r="DH278" s="69">
        <f t="shared" si="334"/>
        <v>13.453694980836026</v>
      </c>
      <c r="DI278" s="69">
        <f t="shared" si="335"/>
        <v>7.4620865487536721</v>
      </c>
      <c r="DJ278" s="70">
        <f t="shared" si="336"/>
        <v>20.915781529589697</v>
      </c>
      <c r="DK278" s="69">
        <f t="shared" si="337"/>
        <v>11.005487229156838</v>
      </c>
      <c r="DL278" s="69">
        <f t="shared" si="338"/>
        <v>2.5736368594623258</v>
      </c>
      <c r="DM278" s="70">
        <f t="shared" si="339"/>
        <v>13.579124088619164</v>
      </c>
    </row>
    <row r="279" spans="1:117">
      <c r="A279" t="s">
        <v>519</v>
      </c>
      <c r="B279">
        <v>169812</v>
      </c>
      <c r="C279">
        <v>90217</v>
      </c>
      <c r="D279" s="51">
        <v>32112.61</v>
      </c>
      <c r="E279" s="32">
        <f t="shared" si="272"/>
        <v>2897103336.3699999</v>
      </c>
      <c r="F279">
        <v>4604</v>
      </c>
      <c r="G279" s="37">
        <f t="shared" si="273"/>
        <v>2.7112335995100465E-2</v>
      </c>
      <c r="H279">
        <v>0</v>
      </c>
      <c r="I279" s="3">
        <f t="shared" si="340"/>
        <v>0</v>
      </c>
      <c r="J279" s="11">
        <f>+'Seat capacity elasticities'!K309</f>
        <v>0</v>
      </c>
      <c r="K279" s="11">
        <f>+'Seat capacity elasticities'!L309</f>
        <v>0</v>
      </c>
      <c r="L279" s="11">
        <f>+'Seat capacity elasticities'!M309</f>
        <v>0</v>
      </c>
      <c r="M279" s="11">
        <f>+'Seat capacity elasticities'!N309</f>
        <v>0</v>
      </c>
      <c r="N279" s="32">
        <f t="shared" si="284"/>
        <v>0</v>
      </c>
      <c r="O279" s="33">
        <f t="shared" si="285"/>
        <v>0</v>
      </c>
      <c r="P279" s="40">
        <f t="shared" si="286"/>
        <v>0</v>
      </c>
      <c r="Q279" s="33">
        <f t="shared" si="287"/>
        <v>0</v>
      </c>
      <c r="R279" s="40">
        <f t="shared" si="288"/>
        <v>0</v>
      </c>
      <c r="S279" s="41">
        <f t="shared" si="289"/>
        <v>0</v>
      </c>
      <c r="T279" s="40">
        <f t="shared" si="290"/>
        <v>0</v>
      </c>
      <c r="U279" s="41">
        <f t="shared" si="291"/>
        <v>0</v>
      </c>
      <c r="X279" t="s">
        <v>519</v>
      </c>
      <c r="Y279">
        <v>169812</v>
      </c>
      <c r="Z279">
        <v>90217</v>
      </c>
      <c r="AA279" s="51">
        <v>32112.61</v>
      </c>
      <c r="AB279" s="32">
        <f t="shared" si="275"/>
        <v>2897103336.3699999</v>
      </c>
      <c r="AC279">
        <v>4604</v>
      </c>
      <c r="AD279" s="37">
        <f t="shared" si="276"/>
        <v>2.7112335995100465E-2</v>
      </c>
      <c r="AE279">
        <v>1.3648E-3</v>
      </c>
      <c r="AF279" s="3">
        <f t="shared" si="341"/>
        <v>1.3648E-5</v>
      </c>
      <c r="AG279" s="11">
        <f>+'Seat capacity elasticities'!R309</f>
        <v>4.3708881674717958E-3</v>
      </c>
      <c r="AH279" s="11">
        <f>+'Seat capacity elasticities'!S309</f>
        <v>8.2840421102186469E-3</v>
      </c>
      <c r="AI279" s="11">
        <f>+'Seat capacity elasticities'!T309</f>
        <v>1.1992328546132002E-2</v>
      </c>
      <c r="AJ279" s="11">
        <f>+'Seat capacity elasticities'!U309</f>
        <v>9.8100498673641887E-3</v>
      </c>
      <c r="AK279" s="32">
        <f t="shared" si="292"/>
        <v>126629.14692882694</v>
      </c>
      <c r="AL279" s="33">
        <f t="shared" si="293"/>
        <v>4.3708881674717957E-5</v>
      </c>
      <c r="AM279" s="40">
        <f t="shared" si="294"/>
        <v>239997.26036144016</v>
      </c>
      <c r="AN279" s="33">
        <f t="shared" si="295"/>
        <v>8.2840421102186473E-5</v>
      </c>
      <c r="AO279" s="40">
        <f t="shared" si="296"/>
        <v>552126.80626391736</v>
      </c>
      <c r="AP279" s="41">
        <f t="shared" si="297"/>
        <v>1.1992328546132002E-4</v>
      </c>
      <c r="AQ279" s="40">
        <f t="shared" si="298"/>
        <v>451654.69589344726</v>
      </c>
      <c r="AR279" s="41">
        <f t="shared" si="299"/>
        <v>9.8100498673641889E-5</v>
      </c>
      <c r="AV279" t="s">
        <v>519</v>
      </c>
      <c r="AW279">
        <v>169812</v>
      </c>
      <c r="AX279">
        <v>90217</v>
      </c>
      <c r="AY279" s="51">
        <v>32112.61</v>
      </c>
      <c r="AZ279" s="32">
        <f t="shared" si="278"/>
        <v>2897103336.3699999</v>
      </c>
      <c r="BA279">
        <v>4604</v>
      </c>
      <c r="BB279" s="37">
        <f t="shared" si="279"/>
        <v>2.7112335995100465E-2</v>
      </c>
      <c r="BC279">
        <v>0</v>
      </c>
      <c r="BD279" s="3">
        <f t="shared" si="342"/>
        <v>0</v>
      </c>
      <c r="BE279" s="11">
        <f>+'Seat capacity elasticities'!Y309</f>
        <v>0</v>
      </c>
      <c r="BF279" s="11">
        <f>+'Seat capacity elasticities'!Z309</f>
        <v>0</v>
      </c>
      <c r="BG279" s="11">
        <f>+'Seat capacity elasticities'!AA309</f>
        <v>0</v>
      </c>
      <c r="BH279" s="11">
        <f>+'Seat capacity elasticities'!AB309</f>
        <v>0</v>
      </c>
      <c r="BI279" s="32">
        <f t="shared" si="300"/>
        <v>0</v>
      </c>
      <c r="BJ279" s="33">
        <f t="shared" si="301"/>
        <v>0</v>
      </c>
      <c r="BK279" s="40">
        <f t="shared" si="302"/>
        <v>0</v>
      </c>
      <c r="BL279" s="33">
        <f t="shared" si="303"/>
        <v>0</v>
      </c>
      <c r="BM279" s="40">
        <f t="shared" si="304"/>
        <v>0</v>
      </c>
      <c r="BN279" s="41">
        <f t="shared" si="305"/>
        <v>0</v>
      </c>
      <c r="BO279" s="40">
        <f t="shared" si="306"/>
        <v>0</v>
      </c>
      <c r="BP279" s="41">
        <f t="shared" si="307"/>
        <v>0</v>
      </c>
      <c r="BQ279" s="52"/>
      <c r="BR279" s="52"/>
      <c r="BS279" t="s">
        <v>519</v>
      </c>
      <c r="BT279">
        <v>169812</v>
      </c>
      <c r="BU279">
        <v>90217</v>
      </c>
      <c r="BV279" s="51">
        <v>32112.61</v>
      </c>
      <c r="BW279" s="32">
        <f t="shared" si="281"/>
        <v>2897103336.3699999</v>
      </c>
      <c r="BX279">
        <v>4604</v>
      </c>
      <c r="BY279" s="37">
        <f t="shared" si="282"/>
        <v>2.7112335995100465E-2</v>
      </c>
      <c r="BZ279">
        <v>1.3648E-3</v>
      </c>
      <c r="CA279" s="3">
        <f t="shared" si="343"/>
        <v>1.3648E-5</v>
      </c>
      <c r="CB279" s="11">
        <f>+'Seat capacity elasticities'!AF309</f>
        <v>1.7062659896600569E-2</v>
      </c>
      <c r="CC279" s="11">
        <f>+'Seat capacity elasticities'!AG309</f>
        <v>1.3634481478058088E-2</v>
      </c>
      <c r="CD279" s="11">
        <f>+'Seat capacity elasticities'!AH309</f>
        <v>4.6814518127857155E-2</v>
      </c>
      <c r="CE279" s="11">
        <f>+'Seat capacity elasticities'!AI309</f>
        <v>1.6146096487174053E-2</v>
      </c>
      <c r="CF279" s="32">
        <f t="shared" si="308"/>
        <v>494322.88913788105</v>
      </c>
      <c r="CG279" s="33">
        <f t="shared" si="309"/>
        <v>1.7062659896600568E-4</v>
      </c>
      <c r="CH279" s="40">
        <f t="shared" si="310"/>
        <v>395005.01779757056</v>
      </c>
      <c r="CI279" s="33">
        <f t="shared" si="311"/>
        <v>1.3634481478058089E-4</v>
      </c>
      <c r="CJ279" s="40">
        <f t="shared" si="312"/>
        <v>2155340.4146065437</v>
      </c>
      <c r="CK279" s="41">
        <f t="shared" si="313"/>
        <v>4.6814518127857163E-4</v>
      </c>
      <c r="CL279" s="40">
        <f t="shared" si="314"/>
        <v>743366.28226949344</v>
      </c>
      <c r="CM279" s="41">
        <f t="shared" si="315"/>
        <v>1.6146096487174055E-4</v>
      </c>
      <c r="CO279" s="70">
        <f t="shared" si="316"/>
        <v>0</v>
      </c>
      <c r="CP279" s="70">
        <f t="shared" si="317"/>
        <v>0</v>
      </c>
      <c r="CQ279" s="70">
        <f t="shared" si="318"/>
        <v>0</v>
      </c>
      <c r="CR279" s="70">
        <f t="shared" si="319"/>
        <v>0</v>
      </c>
      <c r="CS279" s="70">
        <f t="shared" si="320"/>
        <v>0</v>
      </c>
      <c r="CT279" s="70">
        <f t="shared" si="321"/>
        <v>0</v>
      </c>
      <c r="CU279" s="69">
        <f t="shared" si="322"/>
        <v>0</v>
      </c>
      <c r="CV279" s="69">
        <f t="shared" si="323"/>
        <v>0</v>
      </c>
      <c r="CW279" s="70">
        <f t="shared" si="324"/>
        <v>0</v>
      </c>
      <c r="CX279" s="69">
        <f t="shared" si="325"/>
        <v>0</v>
      </c>
      <c r="CY279" s="69">
        <f t="shared" si="326"/>
        <v>0</v>
      </c>
      <c r="CZ279" s="70">
        <f t="shared" si="327"/>
        <v>0</v>
      </c>
      <c r="DB279" s="70">
        <f t="shared" si="328"/>
        <v>1.4036062707563646</v>
      </c>
      <c r="DC279" s="70">
        <f t="shared" si="329"/>
        <v>5.4792654282217441</v>
      </c>
      <c r="DD279" s="70">
        <f t="shared" si="330"/>
        <v>6.8828716989781089</v>
      </c>
      <c r="DE279" s="70">
        <f t="shared" si="331"/>
        <v>2.6602221350902839</v>
      </c>
      <c r="DF279" s="70">
        <f t="shared" si="332"/>
        <v>4.3783878625710297</v>
      </c>
      <c r="DG279" s="70">
        <f t="shared" si="333"/>
        <v>7.0386099976613137</v>
      </c>
      <c r="DH279" s="69">
        <f t="shared" si="334"/>
        <v>6.1199863247937456</v>
      </c>
      <c r="DI279" s="69">
        <f t="shared" si="335"/>
        <v>23.890623880272496</v>
      </c>
      <c r="DJ279" s="70">
        <f t="shared" si="336"/>
        <v>30.010610205066243</v>
      </c>
      <c r="DK279" s="69">
        <f t="shared" si="337"/>
        <v>5.0063147288587215</v>
      </c>
      <c r="DL279" s="69">
        <f t="shared" si="338"/>
        <v>8.2397583855536478</v>
      </c>
      <c r="DM279" s="70">
        <f t="shared" si="339"/>
        <v>13.246073114412368</v>
      </c>
    </row>
    <row r="280" spans="1:117">
      <c r="A280" t="s">
        <v>1006</v>
      </c>
      <c r="B280">
        <v>135981</v>
      </c>
      <c r="C280">
        <v>75372</v>
      </c>
      <c r="D280" s="51">
        <v>30133.7</v>
      </c>
      <c r="E280" s="32">
        <f t="shared" si="272"/>
        <v>2271237236.4000001</v>
      </c>
      <c r="F280">
        <v>3339</v>
      </c>
      <c r="G280" s="37">
        <f t="shared" si="273"/>
        <v>2.4554901052352904E-2</v>
      </c>
      <c r="H280">
        <v>0</v>
      </c>
      <c r="I280" s="3">
        <f t="shared" si="340"/>
        <v>0</v>
      </c>
      <c r="J280" s="11">
        <f>+'Seat capacity elasticities'!K310</f>
        <v>0</v>
      </c>
      <c r="K280" s="11">
        <f>+'Seat capacity elasticities'!L310</f>
        <v>0</v>
      </c>
      <c r="L280" s="11">
        <f>+'Seat capacity elasticities'!M310</f>
        <v>0</v>
      </c>
      <c r="M280" s="11">
        <f>+'Seat capacity elasticities'!N310</f>
        <v>0</v>
      </c>
      <c r="N280" s="32">
        <f t="shared" si="284"/>
        <v>0</v>
      </c>
      <c r="O280" s="33">
        <f t="shared" si="285"/>
        <v>0</v>
      </c>
      <c r="P280" s="40">
        <f t="shared" si="286"/>
        <v>0</v>
      </c>
      <c r="Q280" s="33">
        <f t="shared" si="287"/>
        <v>0</v>
      </c>
      <c r="R280" s="40">
        <f t="shared" si="288"/>
        <v>0</v>
      </c>
      <c r="S280" s="41">
        <f t="shared" si="289"/>
        <v>0</v>
      </c>
      <c r="T280" s="40">
        <f t="shared" si="290"/>
        <v>0</v>
      </c>
      <c r="U280" s="41">
        <f t="shared" si="291"/>
        <v>0</v>
      </c>
      <c r="X280" t="s">
        <v>1006</v>
      </c>
      <c r="Y280">
        <v>135981</v>
      </c>
      <c r="Z280">
        <v>75372</v>
      </c>
      <c r="AA280" s="51">
        <v>30133.7</v>
      </c>
      <c r="AB280" s="32">
        <f t="shared" si="275"/>
        <v>2271237236.4000001</v>
      </c>
      <c r="AC280">
        <v>3339</v>
      </c>
      <c r="AD280" s="37">
        <f t="shared" si="276"/>
        <v>2.4554901052352904E-2</v>
      </c>
      <c r="AE280">
        <v>1.0931999999999999E-3</v>
      </c>
      <c r="AF280" s="3">
        <f t="shared" si="341"/>
        <v>1.0932E-5</v>
      </c>
      <c r="AG280" s="11">
        <f>+'Seat capacity elasticities'!R310</f>
        <v>3.9901885711049823E-3</v>
      </c>
      <c r="AH280" s="11">
        <f>+'Seat capacity elasticities'!S310</f>
        <v>7.562511069658967E-3</v>
      </c>
      <c r="AI280" s="11">
        <f>+'Seat capacity elasticities'!T310</f>
        <v>1.0947809797977569E-2</v>
      </c>
      <c r="AJ280" s="11">
        <f>+'Seat capacity elasticities'!U310</f>
        <v>8.9556052140698297E-3</v>
      </c>
      <c r="AK280" s="32">
        <f t="shared" si="292"/>
        <v>90626.648629513453</v>
      </c>
      <c r="AL280" s="33">
        <f t="shared" si="293"/>
        <v>3.9901885711049821E-5</v>
      </c>
      <c r="AM280" s="40">
        <f t="shared" si="294"/>
        <v>171762.5674209664</v>
      </c>
      <c r="AN280" s="33">
        <f t="shared" si="295"/>
        <v>7.5625110696589666E-5</v>
      </c>
      <c r="AO280" s="40">
        <f t="shared" si="296"/>
        <v>365547.36915447103</v>
      </c>
      <c r="AP280" s="41">
        <f t="shared" si="297"/>
        <v>1.094780979797757E-4</v>
      </c>
      <c r="AQ280" s="40">
        <f t="shared" si="298"/>
        <v>299027.65809779166</v>
      </c>
      <c r="AR280" s="41">
        <f t="shared" si="299"/>
        <v>8.9556052140698315E-5</v>
      </c>
      <c r="AV280" t="s">
        <v>1006</v>
      </c>
      <c r="AW280">
        <v>135981</v>
      </c>
      <c r="AX280">
        <v>75372</v>
      </c>
      <c r="AY280" s="51">
        <v>30133.7</v>
      </c>
      <c r="AZ280" s="32">
        <f t="shared" si="278"/>
        <v>2271237236.4000001</v>
      </c>
      <c r="BA280">
        <v>3339</v>
      </c>
      <c r="BB280" s="37">
        <f t="shared" si="279"/>
        <v>2.4554901052352904E-2</v>
      </c>
      <c r="BC280">
        <v>0</v>
      </c>
      <c r="BD280" s="3">
        <f t="shared" si="342"/>
        <v>0</v>
      </c>
      <c r="BE280" s="11">
        <f>+'Seat capacity elasticities'!Y310</f>
        <v>0</v>
      </c>
      <c r="BF280" s="11">
        <f>+'Seat capacity elasticities'!Z310</f>
        <v>0</v>
      </c>
      <c r="BG280" s="11">
        <f>+'Seat capacity elasticities'!AA310</f>
        <v>0</v>
      </c>
      <c r="BH280" s="11">
        <f>+'Seat capacity elasticities'!AB310</f>
        <v>0</v>
      </c>
      <c r="BI280" s="32">
        <f t="shared" si="300"/>
        <v>0</v>
      </c>
      <c r="BJ280" s="33">
        <f t="shared" si="301"/>
        <v>0</v>
      </c>
      <c r="BK280" s="40">
        <f t="shared" si="302"/>
        <v>0</v>
      </c>
      <c r="BL280" s="33">
        <f t="shared" si="303"/>
        <v>0</v>
      </c>
      <c r="BM280" s="40">
        <f t="shared" si="304"/>
        <v>0</v>
      </c>
      <c r="BN280" s="41">
        <f t="shared" si="305"/>
        <v>0</v>
      </c>
      <c r="BO280" s="40">
        <f t="shared" si="306"/>
        <v>0</v>
      </c>
      <c r="BP280" s="41">
        <f t="shared" si="307"/>
        <v>0</v>
      </c>
      <c r="BQ280" s="52"/>
      <c r="BR280" s="52"/>
      <c r="BS280" t="s">
        <v>1006</v>
      </c>
      <c r="BT280">
        <v>135981</v>
      </c>
      <c r="BU280">
        <v>75372</v>
      </c>
      <c r="BV280" s="51">
        <v>30133.7</v>
      </c>
      <c r="BW280" s="32">
        <f t="shared" si="281"/>
        <v>2271237236.4000001</v>
      </c>
      <c r="BX280">
        <v>3339</v>
      </c>
      <c r="BY280" s="37">
        <f t="shared" si="282"/>
        <v>2.4554901052352904E-2</v>
      </c>
      <c r="BZ280">
        <v>1.0931999999999999E-3</v>
      </c>
      <c r="CA280" s="3">
        <f t="shared" si="343"/>
        <v>1.0932E-5</v>
      </c>
      <c r="CB280" s="11">
        <f>+'Seat capacity elasticities'!AF310</f>
        <v>1.706740482849092E-2</v>
      </c>
      <c r="CC280" s="11">
        <f>+'Seat capacity elasticities'!AG310</f>
        <v>1.363827307247336E-2</v>
      </c>
      <c r="CD280" s="11">
        <f>+'Seat capacity elasticities'!AH310</f>
        <v>4.6827536713549091E-2</v>
      </c>
      <c r="CE280" s="11">
        <f>+'Seat capacity elasticities'!AI310</f>
        <v>1.6150586533192138E-2</v>
      </c>
      <c r="CF280" s="32">
        <f t="shared" si="308"/>
        <v>387641.25375181733</v>
      </c>
      <c r="CG280" s="33">
        <f t="shared" si="309"/>
        <v>1.7067404828490919E-4</v>
      </c>
      <c r="CH280" s="40">
        <f t="shared" si="310"/>
        <v>309757.53642392933</v>
      </c>
      <c r="CI280" s="33">
        <f t="shared" si="311"/>
        <v>1.3638273072473359E-4</v>
      </c>
      <c r="CJ280" s="40">
        <f t="shared" si="312"/>
        <v>1563571.4508654044</v>
      </c>
      <c r="CK280" s="41">
        <f t="shared" si="313"/>
        <v>4.6827536713549105E-4</v>
      </c>
      <c r="CL280" s="40">
        <f t="shared" si="314"/>
        <v>539268.08434328553</v>
      </c>
      <c r="CM280" s="41">
        <f t="shared" si="315"/>
        <v>1.615058653319214E-4</v>
      </c>
      <c r="CO280" s="70">
        <f t="shared" si="316"/>
        <v>0</v>
      </c>
      <c r="CP280" s="70">
        <f t="shared" si="317"/>
        <v>0</v>
      </c>
      <c r="CQ280" s="70">
        <f t="shared" si="318"/>
        <v>0</v>
      </c>
      <c r="CR280" s="70">
        <f t="shared" si="319"/>
        <v>0</v>
      </c>
      <c r="CS280" s="70">
        <f t="shared" si="320"/>
        <v>0</v>
      </c>
      <c r="CT280" s="70">
        <f t="shared" si="321"/>
        <v>0</v>
      </c>
      <c r="CU280" s="69">
        <f t="shared" si="322"/>
        <v>0</v>
      </c>
      <c r="CV280" s="69">
        <f t="shared" si="323"/>
        <v>0</v>
      </c>
      <c r="CW280" s="70">
        <f t="shared" si="324"/>
        <v>0</v>
      </c>
      <c r="CX280" s="69">
        <f t="shared" si="325"/>
        <v>0</v>
      </c>
      <c r="CY280" s="69">
        <f t="shared" si="326"/>
        <v>0</v>
      </c>
      <c r="CZ280" s="70">
        <f t="shared" si="327"/>
        <v>0</v>
      </c>
      <c r="DB280" s="70">
        <f t="shared" si="328"/>
        <v>1.202391453451062</v>
      </c>
      <c r="DC280" s="70">
        <f t="shared" si="329"/>
        <v>5.1430405688029683</v>
      </c>
      <c r="DD280" s="70">
        <f t="shared" si="330"/>
        <v>6.3454320222540304</v>
      </c>
      <c r="DE280" s="70">
        <f t="shared" si="331"/>
        <v>2.278864398197824</v>
      </c>
      <c r="DF280" s="70">
        <f t="shared" si="332"/>
        <v>4.1097162928399049</v>
      </c>
      <c r="DG280" s="70">
        <f t="shared" si="333"/>
        <v>6.3885806910377294</v>
      </c>
      <c r="DH280" s="69">
        <f t="shared" si="334"/>
        <v>4.8499093715765937</v>
      </c>
      <c r="DI280" s="69">
        <f t="shared" si="335"/>
        <v>20.74472550636051</v>
      </c>
      <c r="DJ280" s="70">
        <f t="shared" si="336"/>
        <v>25.594634877937104</v>
      </c>
      <c r="DK280" s="69">
        <f t="shared" si="337"/>
        <v>3.9673573488535752</v>
      </c>
      <c r="DL280" s="69">
        <f t="shared" si="338"/>
        <v>7.1547535469840993</v>
      </c>
      <c r="DM280" s="70">
        <f t="shared" si="339"/>
        <v>11.122110895837675</v>
      </c>
    </row>
    <row r="281" spans="1:117">
      <c r="A281" t="s">
        <v>521</v>
      </c>
      <c r="B281">
        <v>229774</v>
      </c>
      <c r="C281">
        <v>144846</v>
      </c>
      <c r="D281" s="51">
        <v>34260.03</v>
      </c>
      <c r="E281" s="32">
        <f t="shared" si="272"/>
        <v>4962428305.3800001</v>
      </c>
      <c r="F281">
        <v>6905</v>
      </c>
      <c r="G281" s="37">
        <f t="shared" si="273"/>
        <v>3.0051267767458457E-2</v>
      </c>
      <c r="H281">
        <v>0</v>
      </c>
      <c r="I281" s="3">
        <f t="shared" si="340"/>
        <v>0</v>
      </c>
      <c r="J281" s="11">
        <f>+'Seat capacity elasticities'!K311</f>
        <v>0</v>
      </c>
      <c r="K281" s="11">
        <f>+'Seat capacity elasticities'!L311</f>
        <v>0</v>
      </c>
      <c r="L281" s="11">
        <f>+'Seat capacity elasticities'!M311</f>
        <v>0</v>
      </c>
      <c r="M281" s="11">
        <f>+'Seat capacity elasticities'!N311</f>
        <v>0</v>
      </c>
      <c r="N281" s="32">
        <f t="shared" si="284"/>
        <v>0</v>
      </c>
      <c r="O281" s="33">
        <f t="shared" si="285"/>
        <v>0</v>
      </c>
      <c r="P281" s="40">
        <f t="shared" si="286"/>
        <v>0</v>
      </c>
      <c r="Q281" s="33">
        <f t="shared" si="287"/>
        <v>0</v>
      </c>
      <c r="R281" s="40">
        <f t="shared" si="288"/>
        <v>0</v>
      </c>
      <c r="S281" s="41">
        <f t="shared" si="289"/>
        <v>0</v>
      </c>
      <c r="T281" s="40">
        <f t="shared" si="290"/>
        <v>0</v>
      </c>
      <c r="U281" s="41">
        <f t="shared" si="291"/>
        <v>0</v>
      </c>
      <c r="X281" t="s">
        <v>521</v>
      </c>
      <c r="Y281">
        <v>229774</v>
      </c>
      <c r="Z281">
        <v>144846</v>
      </c>
      <c r="AA281" s="51">
        <v>34260.03</v>
      </c>
      <c r="AB281" s="32">
        <f t="shared" si="275"/>
        <v>4962428305.3800001</v>
      </c>
      <c r="AC281">
        <v>6905</v>
      </c>
      <c r="AD281" s="37">
        <f t="shared" si="276"/>
        <v>3.0051267767458457E-2</v>
      </c>
      <c r="AE281">
        <v>5.6382999999999997E-3</v>
      </c>
      <c r="AF281" s="3">
        <f t="shared" si="341"/>
        <v>5.6382999999999999E-5</v>
      </c>
      <c r="AG281" s="11">
        <f>+'Seat capacity elasticities'!R311</f>
        <v>1.3432862456889206E-2</v>
      </c>
      <c r="AH281" s="11">
        <f>+'Seat capacity elasticities'!S311</f>
        <v>2.5458990024448697E-2</v>
      </c>
      <c r="AI281" s="11">
        <f>+'Seat capacity elasticities'!T311</f>
        <v>3.6855507101934283E-2</v>
      </c>
      <c r="AJ281" s="11">
        <f>+'Seat capacity elasticities'!U311</f>
        <v>3.0148803976320825E-2</v>
      </c>
      <c r="AK281" s="32">
        <f t="shared" si="292"/>
        <v>666596.16878343327</v>
      </c>
      <c r="AL281" s="33">
        <f t="shared" si="293"/>
        <v>1.3432862456889207E-4</v>
      </c>
      <c r="AM281" s="40">
        <f t="shared" si="294"/>
        <v>1263384.1272371127</v>
      </c>
      <c r="AN281" s="33">
        <f t="shared" si="295"/>
        <v>2.5458990024448697E-4</v>
      </c>
      <c r="AO281" s="40">
        <f t="shared" si="296"/>
        <v>2544872.7653885619</v>
      </c>
      <c r="AP281" s="41">
        <f t="shared" si="297"/>
        <v>3.6855507101934282E-4</v>
      </c>
      <c r="AQ281" s="40">
        <f t="shared" si="298"/>
        <v>2081774.914564953</v>
      </c>
      <c r="AR281" s="41">
        <f t="shared" si="299"/>
        <v>3.0148803976320823E-4</v>
      </c>
      <c r="AV281" t="s">
        <v>521</v>
      </c>
      <c r="AW281">
        <v>229774</v>
      </c>
      <c r="AX281">
        <v>144846</v>
      </c>
      <c r="AY281" s="51">
        <v>34260.03</v>
      </c>
      <c r="AZ281" s="32">
        <f t="shared" si="278"/>
        <v>4962428305.3800001</v>
      </c>
      <c r="BA281">
        <v>6905</v>
      </c>
      <c r="BB281" s="37">
        <f t="shared" si="279"/>
        <v>3.0051267767458457E-2</v>
      </c>
      <c r="BC281">
        <v>0</v>
      </c>
      <c r="BD281" s="3">
        <f t="shared" si="342"/>
        <v>0</v>
      </c>
      <c r="BE281" s="11">
        <f>+'Seat capacity elasticities'!Y311</f>
        <v>0</v>
      </c>
      <c r="BF281" s="11">
        <f>+'Seat capacity elasticities'!Z311</f>
        <v>0</v>
      </c>
      <c r="BG281" s="11">
        <f>+'Seat capacity elasticities'!AA311</f>
        <v>0</v>
      </c>
      <c r="BH281" s="11">
        <f>+'Seat capacity elasticities'!AB311</f>
        <v>0</v>
      </c>
      <c r="BI281" s="32">
        <f t="shared" si="300"/>
        <v>0</v>
      </c>
      <c r="BJ281" s="33">
        <f t="shared" si="301"/>
        <v>0</v>
      </c>
      <c r="BK281" s="40">
        <f t="shared" si="302"/>
        <v>0</v>
      </c>
      <c r="BL281" s="33">
        <f t="shared" si="303"/>
        <v>0</v>
      </c>
      <c r="BM281" s="40">
        <f t="shared" si="304"/>
        <v>0</v>
      </c>
      <c r="BN281" s="41">
        <f t="shared" si="305"/>
        <v>0</v>
      </c>
      <c r="BO281" s="40">
        <f t="shared" si="306"/>
        <v>0</v>
      </c>
      <c r="BP281" s="41">
        <f t="shared" si="307"/>
        <v>0</v>
      </c>
      <c r="BQ281" s="52"/>
      <c r="BR281" s="52"/>
      <c r="BS281" t="s">
        <v>521</v>
      </c>
      <c r="BT281">
        <v>229774</v>
      </c>
      <c r="BU281">
        <v>144846</v>
      </c>
      <c r="BV281" s="51">
        <v>34260.03</v>
      </c>
      <c r="BW281" s="32">
        <f t="shared" si="281"/>
        <v>4962428305.3800001</v>
      </c>
      <c r="BX281">
        <v>6905</v>
      </c>
      <c r="BY281" s="37">
        <f t="shared" si="282"/>
        <v>3.0051267767458457E-2</v>
      </c>
      <c r="BZ281">
        <v>5.6382999999999997E-3</v>
      </c>
      <c r="CA281" s="3">
        <f t="shared" si="343"/>
        <v>5.6382999999999999E-5</v>
      </c>
      <c r="CB281" s="11">
        <f>+'Seat capacity elasticities'!AF311</f>
        <v>5.2094682156499664E-2</v>
      </c>
      <c r="CC281" s="11">
        <f>+'Seat capacity elasticities'!AG311</f>
        <v>4.1627974962428295E-2</v>
      </c>
      <c r="CD281" s="11">
        <f>+'Seat capacity elasticities'!AH311</f>
        <v>0.14293125790230957</v>
      </c>
      <c r="CE281" s="11">
        <f>+'Seat capacity elasticities'!AI311</f>
        <v>4.9296286139717725E-2</v>
      </c>
      <c r="CF281" s="32">
        <f t="shared" si="308"/>
        <v>2585161.2529318836</v>
      </c>
      <c r="CG281" s="33">
        <f t="shared" si="309"/>
        <v>5.2094682156499659E-4</v>
      </c>
      <c r="CH281" s="40">
        <f t="shared" si="310"/>
        <v>2065758.4124920412</v>
      </c>
      <c r="CI281" s="33">
        <f t="shared" si="311"/>
        <v>4.1627974962428298E-4</v>
      </c>
      <c r="CJ281" s="40">
        <f t="shared" si="312"/>
        <v>9869403.3581544738</v>
      </c>
      <c r="CK281" s="41">
        <f t="shared" si="313"/>
        <v>1.4293125790230954E-3</v>
      </c>
      <c r="CL281" s="40">
        <f t="shared" si="314"/>
        <v>3403908.557947509</v>
      </c>
      <c r="CM281" s="41">
        <f t="shared" si="315"/>
        <v>4.9296286139717733E-4</v>
      </c>
      <c r="CO281" s="70">
        <f t="shared" si="316"/>
        <v>0</v>
      </c>
      <c r="CP281" s="70">
        <f t="shared" si="317"/>
        <v>0</v>
      </c>
      <c r="CQ281" s="70">
        <f t="shared" si="318"/>
        <v>0</v>
      </c>
      <c r="CR281" s="70">
        <f t="shared" si="319"/>
        <v>0</v>
      </c>
      <c r="CS281" s="70">
        <f t="shared" si="320"/>
        <v>0</v>
      </c>
      <c r="CT281" s="70">
        <f t="shared" si="321"/>
        <v>0</v>
      </c>
      <c r="CU281" s="69">
        <f t="shared" si="322"/>
        <v>0</v>
      </c>
      <c r="CV281" s="69">
        <f t="shared" si="323"/>
        <v>0</v>
      </c>
      <c r="CW281" s="70">
        <f t="shared" si="324"/>
        <v>0</v>
      </c>
      <c r="CX281" s="69">
        <f t="shared" si="325"/>
        <v>0</v>
      </c>
      <c r="CY281" s="69">
        <f t="shared" si="326"/>
        <v>0</v>
      </c>
      <c r="CZ281" s="70">
        <f t="shared" si="327"/>
        <v>0</v>
      </c>
      <c r="DB281" s="70">
        <f t="shared" si="328"/>
        <v>4.6021027075889789</v>
      </c>
      <c r="DC281" s="70">
        <f t="shared" si="329"/>
        <v>17.847653735221432</v>
      </c>
      <c r="DD281" s="70">
        <f t="shared" si="330"/>
        <v>22.449756442810411</v>
      </c>
      <c r="DE281" s="70">
        <f t="shared" si="331"/>
        <v>8.7222576200731314</v>
      </c>
      <c r="DF281" s="70">
        <f t="shared" si="332"/>
        <v>14.261756710520423</v>
      </c>
      <c r="DG281" s="70">
        <f t="shared" si="333"/>
        <v>22.984014330593553</v>
      </c>
      <c r="DH281" s="69">
        <f t="shared" si="334"/>
        <v>17.56950668564242</v>
      </c>
      <c r="DI281" s="69">
        <f t="shared" si="335"/>
        <v>68.13721716964551</v>
      </c>
      <c r="DJ281" s="70">
        <f t="shared" si="336"/>
        <v>85.706723855287933</v>
      </c>
      <c r="DK281" s="69">
        <f t="shared" si="337"/>
        <v>14.372332784922973</v>
      </c>
      <c r="DL281" s="69">
        <f t="shared" si="338"/>
        <v>23.50019025687633</v>
      </c>
      <c r="DM281" s="70">
        <f t="shared" si="339"/>
        <v>37.872523041799305</v>
      </c>
    </row>
    <row r="282" spans="1:117">
      <c r="A282" t="s">
        <v>522</v>
      </c>
      <c r="B282">
        <v>1009832</v>
      </c>
      <c r="C282">
        <v>520444</v>
      </c>
      <c r="D282" s="51">
        <v>35391.06</v>
      </c>
      <c r="E282" s="32">
        <f t="shared" si="272"/>
        <v>18419064830.639999</v>
      </c>
      <c r="F282">
        <v>25595</v>
      </c>
      <c r="G282" s="37">
        <f t="shared" si="273"/>
        <v>2.5345800093480895E-2</v>
      </c>
      <c r="H282">
        <v>0</v>
      </c>
      <c r="I282" s="3">
        <f t="shared" si="340"/>
        <v>0</v>
      </c>
      <c r="J282" s="11">
        <f>+'Seat capacity elasticities'!K312</f>
        <v>0</v>
      </c>
      <c r="K282" s="11">
        <f>+'Seat capacity elasticities'!L312</f>
        <v>0</v>
      </c>
      <c r="L282" s="11">
        <f>+'Seat capacity elasticities'!M312</f>
        <v>0</v>
      </c>
      <c r="M282" s="11">
        <f>+'Seat capacity elasticities'!N312</f>
        <v>0</v>
      </c>
      <c r="N282" s="32">
        <f t="shared" si="284"/>
        <v>0</v>
      </c>
      <c r="O282" s="33">
        <f t="shared" si="285"/>
        <v>0</v>
      </c>
      <c r="P282" s="40">
        <f t="shared" si="286"/>
        <v>0</v>
      </c>
      <c r="Q282" s="33">
        <f t="shared" si="287"/>
        <v>0</v>
      </c>
      <c r="R282" s="40">
        <f t="shared" si="288"/>
        <v>0</v>
      </c>
      <c r="S282" s="41">
        <f t="shared" si="289"/>
        <v>0</v>
      </c>
      <c r="T282" s="40">
        <f t="shared" si="290"/>
        <v>0</v>
      </c>
      <c r="U282" s="41">
        <f t="shared" si="291"/>
        <v>0</v>
      </c>
      <c r="X282" t="s">
        <v>522</v>
      </c>
      <c r="Y282">
        <v>1009832</v>
      </c>
      <c r="Z282">
        <v>520444</v>
      </c>
      <c r="AA282" s="51">
        <v>35391.06</v>
      </c>
      <c r="AB282" s="32">
        <f t="shared" si="275"/>
        <v>18419064830.639999</v>
      </c>
      <c r="AC282">
        <v>25595</v>
      </c>
      <c r="AD282" s="37">
        <f t="shared" si="276"/>
        <v>2.5345800093480895E-2</v>
      </c>
      <c r="AE282">
        <v>8.2550999999999996E-3</v>
      </c>
      <c r="AF282" s="3">
        <f t="shared" si="341"/>
        <v>8.2551000000000003E-5</v>
      </c>
      <c r="AG282" s="11">
        <f>+'Seat capacity elasticities'!R312</f>
        <v>1.8423775860053344E-2</v>
      </c>
      <c r="AH282" s="11">
        <f>+'Seat capacity elasticities'!S312</f>
        <v>3.4918151461695239E-2</v>
      </c>
      <c r="AI282" s="11">
        <f>+'Seat capacity elasticities'!T312</f>
        <v>5.0548987919279934E-2</v>
      </c>
      <c r="AJ282" s="11">
        <f>+'Seat capacity elasticities'!U312</f>
        <v>4.1350442520428576E-2</v>
      </c>
      <c r="AK282" s="32">
        <f t="shared" si="292"/>
        <v>3393487.2199150277</v>
      </c>
      <c r="AL282" s="33">
        <f t="shared" si="293"/>
        <v>1.8423775860053346E-4</v>
      </c>
      <c r="AM282" s="40">
        <f t="shared" si="294"/>
        <v>6431596.955390715</v>
      </c>
      <c r="AN282" s="33">
        <f t="shared" si="295"/>
        <v>3.4918151461695241E-4</v>
      </c>
      <c r="AO282" s="40">
        <f t="shared" si="296"/>
        <v>12938013.457939699</v>
      </c>
      <c r="AP282" s="41">
        <f t="shared" si="297"/>
        <v>5.0548987919279932E-4</v>
      </c>
      <c r="AQ282" s="40">
        <f t="shared" si="298"/>
        <v>10583645.763103696</v>
      </c>
      <c r="AR282" s="41">
        <f t="shared" si="299"/>
        <v>4.1350442520428582E-4</v>
      </c>
      <c r="AV282" t="s">
        <v>522</v>
      </c>
      <c r="AW282">
        <v>1009832</v>
      </c>
      <c r="AX282">
        <v>520444</v>
      </c>
      <c r="AY282" s="51">
        <v>35391.06</v>
      </c>
      <c r="AZ282" s="32">
        <f t="shared" si="278"/>
        <v>18419064830.639999</v>
      </c>
      <c r="BA282">
        <v>25595</v>
      </c>
      <c r="BB282" s="37">
        <f t="shared" si="279"/>
        <v>2.5345800093480895E-2</v>
      </c>
      <c r="BC282">
        <v>0</v>
      </c>
      <c r="BD282" s="3">
        <f t="shared" si="342"/>
        <v>0</v>
      </c>
      <c r="BE282" s="11">
        <f>+'Seat capacity elasticities'!Y312</f>
        <v>0</v>
      </c>
      <c r="BF282" s="11">
        <f>+'Seat capacity elasticities'!Z312</f>
        <v>0</v>
      </c>
      <c r="BG282" s="11">
        <f>+'Seat capacity elasticities'!AA312</f>
        <v>0</v>
      </c>
      <c r="BH282" s="11">
        <f>+'Seat capacity elasticities'!AB312</f>
        <v>0</v>
      </c>
      <c r="BI282" s="32">
        <f t="shared" si="300"/>
        <v>0</v>
      </c>
      <c r="BJ282" s="33">
        <f t="shared" si="301"/>
        <v>0</v>
      </c>
      <c r="BK282" s="40">
        <f t="shared" si="302"/>
        <v>0</v>
      </c>
      <c r="BL282" s="33">
        <f t="shared" si="303"/>
        <v>0</v>
      </c>
      <c r="BM282" s="40">
        <f t="shared" si="304"/>
        <v>0</v>
      </c>
      <c r="BN282" s="41">
        <f t="shared" si="305"/>
        <v>0</v>
      </c>
      <c r="BO282" s="40">
        <f t="shared" si="306"/>
        <v>0</v>
      </c>
      <c r="BP282" s="41">
        <f t="shared" si="307"/>
        <v>0</v>
      </c>
      <c r="BQ282" s="52"/>
      <c r="BR282" s="52"/>
      <c r="BS282" t="s">
        <v>522</v>
      </c>
      <c r="BT282">
        <v>1009832</v>
      </c>
      <c r="BU282">
        <v>520444</v>
      </c>
      <c r="BV282" s="51">
        <v>35391.06</v>
      </c>
      <c r="BW282" s="32">
        <f t="shared" si="281"/>
        <v>18419064830.639999</v>
      </c>
      <c r="BX282">
        <v>25595</v>
      </c>
      <c r="BY282" s="37">
        <f t="shared" si="282"/>
        <v>2.5345800093480895E-2</v>
      </c>
      <c r="BZ282">
        <v>8.2550999999999996E-3</v>
      </c>
      <c r="CA282" s="3">
        <f t="shared" si="343"/>
        <v>8.2551000000000003E-5</v>
      </c>
      <c r="CB282" s="11">
        <f>+'Seat capacity elasticities'!AF312</f>
        <v>1.7354787777810299E-2</v>
      </c>
      <c r="CC282" s="11">
        <f>+'Seat capacity elasticities'!AG312</f>
        <v>1.3867915902099556E-2</v>
      </c>
      <c r="CD282" s="11">
        <f>+'Seat capacity elasticities'!AH312</f>
        <v>4.7616024227927177E-2</v>
      </c>
      <c r="CE282" s="11">
        <f>+'Seat capacity elasticities'!AI312</f>
        <v>1.6422531989328422E-2</v>
      </c>
      <c r="CF282" s="32">
        <f t="shared" si="308"/>
        <v>3196589.612014866</v>
      </c>
      <c r="CG282" s="33">
        <f t="shared" si="309"/>
        <v>1.7354787777810299E-4</v>
      </c>
      <c r="CH282" s="40">
        <f t="shared" si="310"/>
        <v>2554340.4206663514</v>
      </c>
      <c r="CI282" s="33">
        <f t="shared" si="311"/>
        <v>1.3867915902099557E-4</v>
      </c>
      <c r="CJ282" s="40">
        <f t="shared" si="312"/>
        <v>12187321.401137961</v>
      </c>
      <c r="CK282" s="41">
        <f t="shared" si="313"/>
        <v>4.7616024227927178E-4</v>
      </c>
      <c r="CL282" s="40">
        <f t="shared" si="314"/>
        <v>4203347.0626686094</v>
      </c>
      <c r="CM282" s="41">
        <f t="shared" si="315"/>
        <v>1.6422531989328422E-4</v>
      </c>
      <c r="CO282" s="70">
        <f t="shared" si="316"/>
        <v>0</v>
      </c>
      <c r="CP282" s="70">
        <f t="shared" si="317"/>
        <v>0</v>
      </c>
      <c r="CQ282" s="70">
        <f t="shared" si="318"/>
        <v>0</v>
      </c>
      <c r="CR282" s="70">
        <f t="shared" si="319"/>
        <v>0</v>
      </c>
      <c r="CS282" s="70">
        <f t="shared" si="320"/>
        <v>0</v>
      </c>
      <c r="CT282" s="70">
        <f t="shared" si="321"/>
        <v>0</v>
      </c>
      <c r="CU282" s="69">
        <f t="shared" si="322"/>
        <v>0</v>
      </c>
      <c r="CV282" s="69">
        <f t="shared" si="323"/>
        <v>0</v>
      </c>
      <c r="CW282" s="70">
        <f t="shared" si="324"/>
        <v>0</v>
      </c>
      <c r="CX282" s="69">
        <f t="shared" si="325"/>
        <v>0</v>
      </c>
      <c r="CY282" s="69">
        <f t="shared" si="326"/>
        <v>0</v>
      </c>
      <c r="CZ282" s="70">
        <f t="shared" si="327"/>
        <v>0</v>
      </c>
      <c r="DB282" s="70">
        <f t="shared" si="328"/>
        <v>6.5203695688969949</v>
      </c>
      <c r="DC282" s="70">
        <f t="shared" si="329"/>
        <v>6.1420433553175098</v>
      </c>
      <c r="DD282" s="70">
        <f t="shared" si="330"/>
        <v>12.662412924214504</v>
      </c>
      <c r="DE282" s="70">
        <f t="shared" si="331"/>
        <v>12.35790393469944</v>
      </c>
      <c r="DF282" s="70">
        <f t="shared" si="332"/>
        <v>4.9080024376615956</v>
      </c>
      <c r="DG282" s="70">
        <f t="shared" si="333"/>
        <v>17.265906372361037</v>
      </c>
      <c r="DH282" s="69">
        <f t="shared" si="334"/>
        <v>24.85956886416156</v>
      </c>
      <c r="DI282" s="69">
        <f t="shared" si="335"/>
        <v>23.417161887038684</v>
      </c>
      <c r="DJ282" s="70">
        <f t="shared" si="336"/>
        <v>48.276730751200247</v>
      </c>
      <c r="DK282" s="69">
        <f t="shared" si="337"/>
        <v>20.335801283334412</v>
      </c>
      <c r="DL282" s="69">
        <f t="shared" si="338"/>
        <v>8.0764636784526473</v>
      </c>
      <c r="DM282" s="70">
        <f t="shared" si="339"/>
        <v>28.412264961787059</v>
      </c>
    </row>
    <row r="283" spans="1:117">
      <c r="A283" t="s">
        <v>523</v>
      </c>
      <c r="B283">
        <v>916037</v>
      </c>
      <c r="C283">
        <v>585325</v>
      </c>
      <c r="D283" s="51">
        <v>40439.620000000003</v>
      </c>
      <c r="E283" s="32">
        <f t="shared" si="272"/>
        <v>23670320576.5</v>
      </c>
      <c r="F283">
        <v>41796</v>
      </c>
      <c r="G283" s="37">
        <f t="shared" si="273"/>
        <v>4.5626977949580642E-2</v>
      </c>
      <c r="H283">
        <v>0</v>
      </c>
      <c r="I283" s="3">
        <f t="shared" si="340"/>
        <v>0</v>
      </c>
      <c r="J283" s="11">
        <f>+'Seat capacity elasticities'!K313</f>
        <v>0</v>
      </c>
      <c r="K283" s="11">
        <f>+'Seat capacity elasticities'!L313</f>
        <v>0</v>
      </c>
      <c r="L283" s="11">
        <f>+'Seat capacity elasticities'!M313</f>
        <v>0</v>
      </c>
      <c r="M283" s="11">
        <f>+'Seat capacity elasticities'!N313</f>
        <v>0</v>
      </c>
      <c r="N283" s="32">
        <f t="shared" si="284"/>
        <v>0</v>
      </c>
      <c r="O283" s="33">
        <f t="shared" si="285"/>
        <v>0</v>
      </c>
      <c r="P283" s="40">
        <f t="shared" si="286"/>
        <v>0</v>
      </c>
      <c r="Q283" s="33">
        <f t="shared" si="287"/>
        <v>0</v>
      </c>
      <c r="R283" s="40">
        <f t="shared" si="288"/>
        <v>0</v>
      </c>
      <c r="S283" s="41">
        <f t="shared" si="289"/>
        <v>0</v>
      </c>
      <c r="T283" s="40">
        <f t="shared" si="290"/>
        <v>0</v>
      </c>
      <c r="U283" s="41">
        <f t="shared" si="291"/>
        <v>0</v>
      </c>
      <c r="X283" t="s">
        <v>523</v>
      </c>
      <c r="Y283">
        <v>916037</v>
      </c>
      <c r="Z283">
        <v>585325</v>
      </c>
      <c r="AA283" s="51">
        <v>40439.620000000003</v>
      </c>
      <c r="AB283" s="32">
        <f t="shared" si="275"/>
        <v>23670320576.5</v>
      </c>
      <c r="AC283">
        <v>41796</v>
      </c>
      <c r="AD283" s="37">
        <f t="shared" si="276"/>
        <v>4.5626977949580642E-2</v>
      </c>
      <c r="AE283">
        <v>2.1795999999999999E-3</v>
      </c>
      <c r="AF283" s="3">
        <f t="shared" si="341"/>
        <v>2.1795999999999999E-5</v>
      </c>
      <c r="AG283" s="11">
        <f>+'Seat capacity elasticities'!R313</f>
        <v>4.078245853357183E-3</v>
      </c>
      <c r="AH283" s="11">
        <f>+'Seat capacity elasticities'!S313</f>
        <v>7.7294039770816206E-3</v>
      </c>
      <c r="AI283" s="11">
        <f>+'Seat capacity elasticities'!T313</f>
        <v>1.1189411005600936E-2</v>
      </c>
      <c r="AJ283" s="11">
        <f>+'Seat capacity elasticities'!U313</f>
        <v>9.1532415518071827E-3</v>
      </c>
      <c r="AK283" s="32">
        <f t="shared" si="292"/>
        <v>965333.86738746334</v>
      </c>
      <c r="AL283" s="33">
        <f t="shared" si="293"/>
        <v>4.0782458533571833E-5</v>
      </c>
      <c r="AM283" s="40">
        <f t="shared" si="294"/>
        <v>1829574.7000279604</v>
      </c>
      <c r="AN283" s="33">
        <f t="shared" si="295"/>
        <v>7.7294039770816207E-5</v>
      </c>
      <c r="AO283" s="40">
        <f t="shared" si="296"/>
        <v>4676726.2239009673</v>
      </c>
      <c r="AP283" s="41">
        <f t="shared" si="297"/>
        <v>1.1189411005600937E-4</v>
      </c>
      <c r="AQ283" s="40">
        <f t="shared" si="298"/>
        <v>3825688.838993331</v>
      </c>
      <c r="AR283" s="41">
        <f t="shared" si="299"/>
        <v>9.1532415518071845E-5</v>
      </c>
      <c r="AV283" t="s">
        <v>523</v>
      </c>
      <c r="AW283">
        <v>916037</v>
      </c>
      <c r="AX283">
        <v>585325</v>
      </c>
      <c r="AY283" s="51">
        <v>40439.620000000003</v>
      </c>
      <c r="AZ283" s="32">
        <f t="shared" si="278"/>
        <v>23670320576.5</v>
      </c>
      <c r="BA283">
        <v>41796</v>
      </c>
      <c r="BB283" s="37">
        <f t="shared" si="279"/>
        <v>4.5626977949580642E-2</v>
      </c>
      <c r="BC283">
        <v>0</v>
      </c>
      <c r="BD283" s="3">
        <f t="shared" si="342"/>
        <v>0</v>
      </c>
      <c r="BE283" s="11">
        <f>+'Seat capacity elasticities'!Y313</f>
        <v>0</v>
      </c>
      <c r="BF283" s="11">
        <f>+'Seat capacity elasticities'!Z313</f>
        <v>0</v>
      </c>
      <c r="BG283" s="11">
        <f>+'Seat capacity elasticities'!AA313</f>
        <v>0</v>
      </c>
      <c r="BH283" s="11">
        <f>+'Seat capacity elasticities'!AB313</f>
        <v>0</v>
      </c>
      <c r="BI283" s="32">
        <f t="shared" si="300"/>
        <v>0</v>
      </c>
      <c r="BJ283" s="33">
        <f t="shared" si="301"/>
        <v>0</v>
      </c>
      <c r="BK283" s="40">
        <f t="shared" si="302"/>
        <v>0</v>
      </c>
      <c r="BL283" s="33">
        <f t="shared" si="303"/>
        <v>0</v>
      </c>
      <c r="BM283" s="40">
        <f t="shared" si="304"/>
        <v>0</v>
      </c>
      <c r="BN283" s="41">
        <f t="shared" si="305"/>
        <v>0</v>
      </c>
      <c r="BO283" s="40">
        <f t="shared" si="306"/>
        <v>0</v>
      </c>
      <c r="BP283" s="41">
        <f t="shared" si="307"/>
        <v>0</v>
      </c>
      <c r="BQ283" s="52"/>
      <c r="BR283" s="52"/>
      <c r="BS283" t="s">
        <v>523</v>
      </c>
      <c r="BT283">
        <v>916037</v>
      </c>
      <c r="BU283">
        <v>585325</v>
      </c>
      <c r="BV283" s="51">
        <v>40439.620000000003</v>
      </c>
      <c r="BW283" s="32">
        <f t="shared" si="281"/>
        <v>23670320576.5</v>
      </c>
      <c r="BX283">
        <v>41796</v>
      </c>
      <c r="BY283" s="37">
        <f t="shared" si="282"/>
        <v>4.5626977949580642E-2</v>
      </c>
      <c r="BZ283">
        <v>2.1795999999999999E-3</v>
      </c>
      <c r="CA283" s="3">
        <f t="shared" si="343"/>
        <v>2.1795999999999999E-5</v>
      </c>
      <c r="CB283" s="11">
        <f>+'Seat capacity elasticities'!AF313</f>
        <v>5.051378144656898E-3</v>
      </c>
      <c r="CC283" s="11">
        <f>+'Seat capacity elasticities'!AG313</f>
        <v>4.0364704078590706E-3</v>
      </c>
      <c r="CD283" s="11">
        <f>+'Seat capacity elasticities'!AH313</f>
        <v>1.3859376858986437E-2</v>
      </c>
      <c r="CE283" s="11">
        <f>+'Seat capacity elasticities'!AI313</f>
        <v>4.7800307461488998E-3</v>
      </c>
      <c r="CF283" s="32">
        <f t="shared" si="308"/>
        <v>1195677.4003715457</v>
      </c>
      <c r="CG283" s="33">
        <f t="shared" si="309"/>
        <v>5.0513781446568982E-5</v>
      </c>
      <c r="CH283" s="40">
        <f t="shared" si="310"/>
        <v>955445.48551579914</v>
      </c>
      <c r="CI283" s="33">
        <f t="shared" si="311"/>
        <v>4.0364704078590706E-5</v>
      </c>
      <c r="CJ283" s="40">
        <f t="shared" si="312"/>
        <v>5792665.1519819712</v>
      </c>
      <c r="CK283" s="41">
        <f t="shared" si="313"/>
        <v>1.3859376858986437E-4</v>
      </c>
      <c r="CL283" s="40">
        <f t="shared" si="314"/>
        <v>1997861.6506603942</v>
      </c>
      <c r="CM283" s="41">
        <f t="shared" si="315"/>
        <v>4.7800307461488997E-5</v>
      </c>
      <c r="CO283" s="70">
        <f t="shared" si="316"/>
        <v>0</v>
      </c>
      <c r="CP283" s="70">
        <f t="shared" si="317"/>
        <v>0</v>
      </c>
      <c r="CQ283" s="70">
        <f t="shared" si="318"/>
        <v>0</v>
      </c>
      <c r="CR283" s="70">
        <f t="shared" si="319"/>
        <v>0</v>
      </c>
      <c r="CS283" s="70">
        <f t="shared" si="320"/>
        <v>0</v>
      </c>
      <c r="CT283" s="70">
        <f t="shared" si="321"/>
        <v>0</v>
      </c>
      <c r="CU283" s="69">
        <f t="shared" si="322"/>
        <v>0</v>
      </c>
      <c r="CV283" s="69">
        <f t="shared" si="323"/>
        <v>0</v>
      </c>
      <c r="CW283" s="70">
        <f t="shared" si="324"/>
        <v>0</v>
      </c>
      <c r="CX283" s="69">
        <f t="shared" si="325"/>
        <v>0</v>
      </c>
      <c r="CY283" s="69">
        <f t="shared" si="326"/>
        <v>0</v>
      </c>
      <c r="CZ283" s="70">
        <f t="shared" si="327"/>
        <v>0</v>
      </c>
      <c r="DB283" s="70">
        <f t="shared" si="328"/>
        <v>1.6492271257634021</v>
      </c>
      <c r="DC283" s="70">
        <f t="shared" si="329"/>
        <v>2.0427581264622998</v>
      </c>
      <c r="DD283" s="70">
        <f t="shared" si="330"/>
        <v>3.691985252225702</v>
      </c>
      <c r="DE283" s="70">
        <f t="shared" si="331"/>
        <v>3.1257415965966948</v>
      </c>
      <c r="DF283" s="70">
        <f t="shared" si="332"/>
        <v>1.6323332943506583</v>
      </c>
      <c r="DG283" s="70">
        <f t="shared" si="333"/>
        <v>4.7580748909473529</v>
      </c>
      <c r="DH283" s="69">
        <f t="shared" si="334"/>
        <v>7.9899649321333746</v>
      </c>
      <c r="DI283" s="69">
        <f t="shared" si="335"/>
        <v>9.8964936607559419</v>
      </c>
      <c r="DJ283" s="70">
        <f t="shared" si="336"/>
        <v>17.886458592889316</v>
      </c>
      <c r="DK283" s="69">
        <f t="shared" si="337"/>
        <v>6.5360079255000745</v>
      </c>
      <c r="DL283" s="69">
        <f t="shared" si="338"/>
        <v>3.4132518697482497</v>
      </c>
      <c r="DM283" s="70">
        <f t="shared" si="339"/>
        <v>9.9492597952483237</v>
      </c>
    </row>
    <row r="284" spans="1:117">
      <c r="A284" t="s">
        <v>524</v>
      </c>
      <c r="B284">
        <v>208902</v>
      </c>
      <c r="C284">
        <v>121545</v>
      </c>
      <c r="D284" s="51">
        <v>35053.11</v>
      </c>
      <c r="E284" s="32">
        <f t="shared" si="272"/>
        <v>4260530254.9500003</v>
      </c>
      <c r="F284">
        <v>6498</v>
      </c>
      <c r="G284" s="37">
        <f t="shared" si="273"/>
        <v>3.1105494442370107E-2</v>
      </c>
      <c r="H284">
        <v>0</v>
      </c>
      <c r="I284" s="3">
        <f t="shared" si="340"/>
        <v>0</v>
      </c>
      <c r="J284" s="11">
        <f>+'Seat capacity elasticities'!K314</f>
        <v>0</v>
      </c>
      <c r="K284" s="11">
        <f>+'Seat capacity elasticities'!L314</f>
        <v>0</v>
      </c>
      <c r="L284" s="11">
        <f>+'Seat capacity elasticities'!M314</f>
        <v>0</v>
      </c>
      <c r="M284" s="11">
        <f>+'Seat capacity elasticities'!N314</f>
        <v>0</v>
      </c>
      <c r="N284" s="32">
        <f t="shared" si="284"/>
        <v>0</v>
      </c>
      <c r="O284" s="33">
        <f t="shared" si="285"/>
        <v>0</v>
      </c>
      <c r="P284" s="40">
        <f t="shared" si="286"/>
        <v>0</v>
      </c>
      <c r="Q284" s="33">
        <f t="shared" si="287"/>
        <v>0</v>
      </c>
      <c r="R284" s="40">
        <f t="shared" si="288"/>
        <v>0</v>
      </c>
      <c r="S284" s="41">
        <f t="shared" si="289"/>
        <v>0</v>
      </c>
      <c r="T284" s="40">
        <f t="shared" si="290"/>
        <v>0</v>
      </c>
      <c r="U284" s="41">
        <f t="shared" si="291"/>
        <v>0</v>
      </c>
      <c r="X284" t="s">
        <v>524</v>
      </c>
      <c r="Y284">
        <v>208902</v>
      </c>
      <c r="Z284">
        <v>121545</v>
      </c>
      <c r="AA284" s="51">
        <v>35053.11</v>
      </c>
      <c r="AB284" s="32">
        <f t="shared" si="275"/>
        <v>4260530254.9500003</v>
      </c>
      <c r="AC284">
        <v>6498</v>
      </c>
      <c r="AD284" s="37">
        <f t="shared" si="276"/>
        <v>3.1105494442370107E-2</v>
      </c>
      <c r="AE284">
        <v>1.4744000000000001E-3</v>
      </c>
      <c r="AF284" s="3">
        <f t="shared" si="341"/>
        <v>1.4744000000000001E-5</v>
      </c>
      <c r="AG284" s="11">
        <f>+'Seat capacity elasticities'!R314</f>
        <v>5.053884075430142E-3</v>
      </c>
      <c r="AH284" s="11">
        <f>+'Seat capacity elasticities'!S314</f>
        <v>9.578508279529642E-3</v>
      </c>
      <c r="AI284" s="11">
        <f>+'Seat capacity elasticities'!T314</f>
        <v>1.3866252336920244E-2</v>
      </c>
      <c r="AJ284" s="11">
        <f>+'Seat capacity elasticities'!U314</f>
        <v>1.1342970331021945E-2</v>
      </c>
      <c r="AK284" s="32">
        <f t="shared" si="292"/>
        <v>215322.26008380129</v>
      </c>
      <c r="AL284" s="33">
        <f t="shared" si="293"/>
        <v>5.0538840754301421E-5</v>
      </c>
      <c r="AM284" s="40">
        <f t="shared" si="294"/>
        <v>408095.24322225113</v>
      </c>
      <c r="AN284" s="33">
        <f t="shared" si="295"/>
        <v>9.5785082795296422E-5</v>
      </c>
      <c r="AO284" s="40">
        <f t="shared" si="296"/>
        <v>901029.07685307751</v>
      </c>
      <c r="AP284" s="41">
        <f t="shared" si="297"/>
        <v>1.3866252336920245E-4</v>
      </c>
      <c r="AQ284" s="40">
        <f t="shared" si="298"/>
        <v>737066.21210980602</v>
      </c>
      <c r="AR284" s="41">
        <f t="shared" si="299"/>
        <v>1.1342970331021946E-4</v>
      </c>
      <c r="AV284" t="s">
        <v>524</v>
      </c>
      <c r="AW284">
        <v>208902</v>
      </c>
      <c r="AX284">
        <v>121545</v>
      </c>
      <c r="AY284" s="51">
        <v>35053.11</v>
      </c>
      <c r="AZ284" s="32">
        <f t="shared" si="278"/>
        <v>4260530254.9500003</v>
      </c>
      <c r="BA284">
        <v>6498</v>
      </c>
      <c r="BB284" s="37">
        <f t="shared" si="279"/>
        <v>3.1105494442370107E-2</v>
      </c>
      <c r="BC284">
        <v>0</v>
      </c>
      <c r="BD284" s="3">
        <f t="shared" si="342"/>
        <v>0</v>
      </c>
      <c r="BE284" s="11">
        <f>+'Seat capacity elasticities'!Y314</f>
        <v>0</v>
      </c>
      <c r="BF284" s="11">
        <f>+'Seat capacity elasticities'!Z314</f>
        <v>0</v>
      </c>
      <c r="BG284" s="11">
        <f>+'Seat capacity elasticities'!AA314</f>
        <v>0</v>
      </c>
      <c r="BH284" s="11">
        <f>+'Seat capacity elasticities'!AB314</f>
        <v>0</v>
      </c>
      <c r="BI284" s="32">
        <f t="shared" si="300"/>
        <v>0</v>
      </c>
      <c r="BJ284" s="33">
        <f t="shared" si="301"/>
        <v>0</v>
      </c>
      <c r="BK284" s="40">
        <f t="shared" si="302"/>
        <v>0</v>
      </c>
      <c r="BL284" s="33">
        <f t="shared" si="303"/>
        <v>0</v>
      </c>
      <c r="BM284" s="40">
        <f t="shared" si="304"/>
        <v>0</v>
      </c>
      <c r="BN284" s="41">
        <f t="shared" si="305"/>
        <v>0</v>
      </c>
      <c r="BO284" s="40">
        <f t="shared" si="306"/>
        <v>0</v>
      </c>
      <c r="BP284" s="41">
        <f t="shared" si="307"/>
        <v>0</v>
      </c>
      <c r="BQ284" s="52"/>
      <c r="BR284" s="52"/>
      <c r="BS284" t="s">
        <v>524</v>
      </c>
      <c r="BT284">
        <v>208902</v>
      </c>
      <c r="BU284">
        <v>121545</v>
      </c>
      <c r="BV284" s="51">
        <v>35053.11</v>
      </c>
      <c r="BW284" s="32">
        <f t="shared" si="281"/>
        <v>4260530254.9500003</v>
      </c>
      <c r="BX284">
        <v>6498</v>
      </c>
      <c r="BY284" s="37">
        <f t="shared" si="282"/>
        <v>3.1105494442370107E-2</v>
      </c>
      <c r="BZ284">
        <v>1.4744000000000001E-3</v>
      </c>
      <c r="CA284" s="3">
        <f t="shared" si="343"/>
        <v>1.4744000000000001E-5</v>
      </c>
      <c r="CB284" s="11">
        <f>+'Seat capacity elasticities'!AF314</f>
        <v>1.4983691465980256E-2</v>
      </c>
      <c r="CC284" s="11">
        <f>+'Seat capacity elasticities'!AG314</f>
        <v>1.1973213145187697E-2</v>
      </c>
      <c r="CD284" s="11">
        <f>+'Seat capacity elasticities'!AH314</f>
        <v>4.1110489220740051E-2</v>
      </c>
      <c r="CE284" s="11">
        <f>+'Seat capacity elasticities'!AI314</f>
        <v>1.4178805040353851E-2</v>
      </c>
      <c r="CF284" s="32">
        <f t="shared" si="308"/>
        <v>638384.70821645006</v>
      </c>
      <c r="CG284" s="33">
        <f t="shared" si="309"/>
        <v>1.4983691465980258E-4</v>
      </c>
      <c r="CH284" s="40">
        <f t="shared" si="310"/>
        <v>510122.36854037235</v>
      </c>
      <c r="CI284" s="33">
        <f t="shared" si="311"/>
        <v>1.1973213145187697E-4</v>
      </c>
      <c r="CJ284" s="40">
        <f t="shared" si="312"/>
        <v>2671359.5895636887</v>
      </c>
      <c r="CK284" s="41">
        <f t="shared" si="313"/>
        <v>4.1110489220740054E-4</v>
      </c>
      <c r="CL284" s="40">
        <f t="shared" si="314"/>
        <v>921338.7515221932</v>
      </c>
      <c r="CM284" s="41">
        <f t="shared" si="315"/>
        <v>1.417880504035385E-4</v>
      </c>
      <c r="CO284" s="70">
        <f t="shared" si="316"/>
        <v>0</v>
      </c>
      <c r="CP284" s="70">
        <f t="shared" si="317"/>
        <v>0</v>
      </c>
      <c r="CQ284" s="70">
        <f t="shared" si="318"/>
        <v>0</v>
      </c>
      <c r="CR284" s="70">
        <f t="shared" si="319"/>
        <v>0</v>
      </c>
      <c r="CS284" s="70">
        <f t="shared" si="320"/>
        <v>0</v>
      </c>
      <c r="CT284" s="70">
        <f t="shared" si="321"/>
        <v>0</v>
      </c>
      <c r="CU284" s="69">
        <f t="shared" si="322"/>
        <v>0</v>
      </c>
      <c r="CV284" s="69">
        <f t="shared" si="323"/>
        <v>0</v>
      </c>
      <c r="CW284" s="70">
        <f t="shared" si="324"/>
        <v>0</v>
      </c>
      <c r="CX284" s="69">
        <f t="shared" si="325"/>
        <v>0</v>
      </c>
      <c r="CY284" s="69">
        <f t="shared" si="326"/>
        <v>0</v>
      </c>
      <c r="CZ284" s="70">
        <f t="shared" si="327"/>
        <v>0</v>
      </c>
      <c r="DB284" s="70">
        <f t="shared" si="328"/>
        <v>1.7715435442330107</v>
      </c>
      <c r="DC284" s="70">
        <f t="shared" si="329"/>
        <v>5.2522498516306726</v>
      </c>
      <c r="DD284" s="70">
        <f t="shared" si="330"/>
        <v>7.0237933958636836</v>
      </c>
      <c r="DE284" s="70">
        <f t="shared" si="331"/>
        <v>3.3575650435826332</v>
      </c>
      <c r="DF284" s="70">
        <f t="shared" si="332"/>
        <v>4.1969835743171036</v>
      </c>
      <c r="DG284" s="70">
        <f t="shared" si="333"/>
        <v>7.5545486178997372</v>
      </c>
      <c r="DH284" s="69">
        <f t="shared" si="334"/>
        <v>7.4131315714597683</v>
      </c>
      <c r="DI284" s="69">
        <f t="shared" si="335"/>
        <v>21.978358546741443</v>
      </c>
      <c r="DJ284" s="70">
        <f t="shared" si="336"/>
        <v>29.391490118201212</v>
      </c>
      <c r="DK284" s="69">
        <f t="shared" si="337"/>
        <v>6.064142598295331</v>
      </c>
      <c r="DL284" s="69">
        <f t="shared" si="338"/>
        <v>7.5802275002854351</v>
      </c>
      <c r="DM284" s="70">
        <f t="shared" si="339"/>
        <v>13.644370098580765</v>
      </c>
    </row>
    <row r="285" spans="1:117">
      <c r="A285" t="s">
        <v>1007</v>
      </c>
      <c r="B285">
        <v>201160</v>
      </c>
      <c r="C285">
        <v>131832</v>
      </c>
      <c r="D285" s="51">
        <v>36975.11</v>
      </c>
      <c r="E285" s="32">
        <f t="shared" si="272"/>
        <v>4874502701.5200005</v>
      </c>
      <c r="F285">
        <v>7866</v>
      </c>
      <c r="G285" s="37">
        <f t="shared" si="273"/>
        <v>3.9103201431696162E-2</v>
      </c>
      <c r="H285">
        <v>0</v>
      </c>
      <c r="I285" s="3">
        <f t="shared" si="340"/>
        <v>0</v>
      </c>
      <c r="J285" s="11">
        <f>+'Seat capacity elasticities'!K315</f>
        <v>0</v>
      </c>
      <c r="K285" s="11">
        <f>+'Seat capacity elasticities'!L315</f>
        <v>0</v>
      </c>
      <c r="L285" s="11">
        <f>+'Seat capacity elasticities'!M315</f>
        <v>0</v>
      </c>
      <c r="M285" s="11">
        <f>+'Seat capacity elasticities'!N315</f>
        <v>0</v>
      </c>
      <c r="N285" s="32">
        <f t="shared" si="284"/>
        <v>0</v>
      </c>
      <c r="O285" s="33">
        <f t="shared" si="285"/>
        <v>0</v>
      </c>
      <c r="P285" s="40">
        <f t="shared" si="286"/>
        <v>0</v>
      </c>
      <c r="Q285" s="33">
        <f t="shared" si="287"/>
        <v>0</v>
      </c>
      <c r="R285" s="40">
        <f t="shared" si="288"/>
        <v>0</v>
      </c>
      <c r="S285" s="41">
        <f t="shared" si="289"/>
        <v>0</v>
      </c>
      <c r="T285" s="40">
        <f t="shared" si="290"/>
        <v>0</v>
      </c>
      <c r="U285" s="41">
        <f t="shared" si="291"/>
        <v>0</v>
      </c>
      <c r="X285" t="s">
        <v>1007</v>
      </c>
      <c r="Y285">
        <v>201160</v>
      </c>
      <c r="Z285">
        <v>131832</v>
      </c>
      <c r="AA285" s="51">
        <v>36975.11</v>
      </c>
      <c r="AB285" s="32">
        <f t="shared" si="275"/>
        <v>4874502701.5200005</v>
      </c>
      <c r="AC285">
        <v>7866</v>
      </c>
      <c r="AD285" s="37">
        <f t="shared" si="276"/>
        <v>3.9103201431696162E-2</v>
      </c>
      <c r="AE285">
        <v>1.01E-3</v>
      </c>
      <c r="AF285" s="3">
        <f t="shared" si="341"/>
        <v>1.01E-5</v>
      </c>
      <c r="AG285" s="11">
        <f>+'Seat capacity elasticities'!R315</f>
        <v>2.4119932546423236E-3</v>
      </c>
      <c r="AH285" s="11">
        <f>+'Seat capacity elasticities'!S315</f>
        <v>4.5713943998200619E-3</v>
      </c>
      <c r="AI285" s="11">
        <f>+'Seat capacity elasticities'!T315</f>
        <v>6.6177432257334507E-3</v>
      </c>
      <c r="AJ285" s="11">
        <f>+'Seat capacity elasticities'!U315</f>
        <v>5.4134933682079677E-3</v>
      </c>
      <c r="AK285" s="32">
        <f t="shared" si="292"/>
        <v>117572.67635802024</v>
      </c>
      <c r="AL285" s="33">
        <f t="shared" si="293"/>
        <v>2.4119932546423235E-5</v>
      </c>
      <c r="AM285" s="40">
        <f t="shared" si="294"/>
        <v>222832.74351636294</v>
      </c>
      <c r="AN285" s="33">
        <f t="shared" si="295"/>
        <v>4.5713943998200621E-5</v>
      </c>
      <c r="AO285" s="40">
        <f t="shared" si="296"/>
        <v>520551.68213619327</v>
      </c>
      <c r="AP285" s="41">
        <f t="shared" si="297"/>
        <v>6.6177432257334513E-5</v>
      </c>
      <c r="AQ285" s="40">
        <f t="shared" si="298"/>
        <v>425825.3883432388</v>
      </c>
      <c r="AR285" s="41">
        <f t="shared" si="299"/>
        <v>5.4134933682079684E-5</v>
      </c>
      <c r="AV285" t="s">
        <v>1007</v>
      </c>
      <c r="AW285">
        <v>201160</v>
      </c>
      <c r="AX285">
        <v>131832</v>
      </c>
      <c r="AY285" s="51">
        <v>36975.11</v>
      </c>
      <c r="AZ285" s="32">
        <f t="shared" si="278"/>
        <v>4874502701.5200005</v>
      </c>
      <c r="BA285">
        <v>7866</v>
      </c>
      <c r="BB285" s="37">
        <f t="shared" si="279"/>
        <v>3.9103201431696162E-2</v>
      </c>
      <c r="BC285">
        <v>0</v>
      </c>
      <c r="BD285" s="3">
        <f t="shared" si="342"/>
        <v>0</v>
      </c>
      <c r="BE285" s="11">
        <f>+'Seat capacity elasticities'!Y315</f>
        <v>0</v>
      </c>
      <c r="BF285" s="11">
        <f>+'Seat capacity elasticities'!Z315</f>
        <v>0</v>
      </c>
      <c r="BG285" s="11">
        <f>+'Seat capacity elasticities'!AA315</f>
        <v>0</v>
      </c>
      <c r="BH285" s="11">
        <f>+'Seat capacity elasticities'!AB315</f>
        <v>0</v>
      </c>
      <c r="BI285" s="32">
        <f t="shared" si="300"/>
        <v>0</v>
      </c>
      <c r="BJ285" s="33">
        <f t="shared" si="301"/>
        <v>0</v>
      </c>
      <c r="BK285" s="40">
        <f t="shared" si="302"/>
        <v>0</v>
      </c>
      <c r="BL285" s="33">
        <f t="shared" si="303"/>
        <v>0</v>
      </c>
      <c r="BM285" s="40">
        <f t="shared" si="304"/>
        <v>0</v>
      </c>
      <c r="BN285" s="41">
        <f t="shared" si="305"/>
        <v>0</v>
      </c>
      <c r="BO285" s="40">
        <f t="shared" si="306"/>
        <v>0</v>
      </c>
      <c r="BP285" s="41">
        <f t="shared" si="307"/>
        <v>0</v>
      </c>
      <c r="BQ285" s="52"/>
      <c r="BR285" s="52"/>
      <c r="BS285" t="s">
        <v>1007</v>
      </c>
      <c r="BT285">
        <v>201160</v>
      </c>
      <c r="BU285">
        <v>131832</v>
      </c>
      <c r="BV285" s="51">
        <v>36975.11</v>
      </c>
      <c r="BW285" s="32">
        <f t="shared" si="281"/>
        <v>4874502701.5200005</v>
      </c>
      <c r="BX285">
        <v>7866</v>
      </c>
      <c r="BY285" s="37">
        <f t="shared" si="282"/>
        <v>3.9103201431696162E-2</v>
      </c>
      <c r="BZ285">
        <v>1.01E-3</v>
      </c>
      <c r="CA285" s="3">
        <f t="shared" si="343"/>
        <v>1.01E-5</v>
      </c>
      <c r="CB285" s="11">
        <f>+'Seat capacity elasticities'!AF315</f>
        <v>1.0659230268608072E-2</v>
      </c>
      <c r="CC285" s="11">
        <f>+'Seat capacity elasticities'!AG315</f>
        <v>8.517609713163652E-3</v>
      </c>
      <c r="CD285" s="11">
        <f>+'Seat capacity elasticities'!AH315</f>
        <v>2.9245541531199046E-2</v>
      </c>
      <c r="CE285" s="11">
        <f>+'Seat capacity elasticities'!AI315</f>
        <v>1.008664308137801E-2</v>
      </c>
      <c r="CF285" s="32">
        <f t="shared" si="308"/>
        <v>519584.46740453807</v>
      </c>
      <c r="CG285" s="33">
        <f t="shared" si="309"/>
        <v>1.0659230268608072E-4</v>
      </c>
      <c r="CH285" s="40">
        <f t="shared" si="310"/>
        <v>415191.11557309219</v>
      </c>
      <c r="CI285" s="33">
        <f t="shared" si="311"/>
        <v>8.5176097131636527E-5</v>
      </c>
      <c r="CJ285" s="40">
        <f t="shared" si="312"/>
        <v>2300454.2968441169</v>
      </c>
      <c r="CK285" s="41">
        <f t="shared" si="313"/>
        <v>2.9245541531199048E-4</v>
      </c>
      <c r="CL285" s="40">
        <f t="shared" si="314"/>
        <v>793415.34478119412</v>
      </c>
      <c r="CM285" s="41">
        <f t="shared" si="315"/>
        <v>1.0086643081378008E-4</v>
      </c>
      <c r="CO285" s="70">
        <f t="shared" si="316"/>
        <v>0</v>
      </c>
      <c r="CP285" s="70">
        <f t="shared" si="317"/>
        <v>0</v>
      </c>
      <c r="CQ285" s="70">
        <f t="shared" si="318"/>
        <v>0</v>
      </c>
      <c r="CR285" s="70">
        <f t="shared" si="319"/>
        <v>0</v>
      </c>
      <c r="CS285" s="70">
        <f t="shared" si="320"/>
        <v>0</v>
      </c>
      <c r="CT285" s="70">
        <f t="shared" si="321"/>
        <v>0</v>
      </c>
      <c r="CU285" s="69">
        <f t="shared" si="322"/>
        <v>0</v>
      </c>
      <c r="CV285" s="69">
        <f t="shared" si="323"/>
        <v>0</v>
      </c>
      <c r="CW285" s="70">
        <f t="shared" si="324"/>
        <v>0</v>
      </c>
      <c r="CX285" s="69">
        <f t="shared" si="325"/>
        <v>0</v>
      </c>
      <c r="CY285" s="69">
        <f t="shared" si="326"/>
        <v>0</v>
      </c>
      <c r="CZ285" s="70">
        <f t="shared" si="327"/>
        <v>0</v>
      </c>
      <c r="DB285" s="70">
        <f t="shared" si="328"/>
        <v>0.89183715909657924</v>
      </c>
      <c r="DC285" s="70">
        <f t="shared" si="329"/>
        <v>3.9412621169711306</v>
      </c>
      <c r="DD285" s="70">
        <f t="shared" si="330"/>
        <v>4.8330992760677098</v>
      </c>
      <c r="DE285" s="70">
        <f t="shared" si="331"/>
        <v>1.6902781078673079</v>
      </c>
      <c r="DF285" s="70">
        <f t="shared" si="332"/>
        <v>3.1493955608129451</v>
      </c>
      <c r="DG285" s="70">
        <f t="shared" si="333"/>
        <v>4.8396736686802528</v>
      </c>
      <c r="DH285" s="69">
        <f t="shared" si="334"/>
        <v>3.948598838948004</v>
      </c>
      <c r="DI285" s="69">
        <f t="shared" si="335"/>
        <v>17.449893021755848</v>
      </c>
      <c r="DJ285" s="70">
        <f t="shared" si="336"/>
        <v>21.398491860703853</v>
      </c>
      <c r="DK285" s="69">
        <f t="shared" si="337"/>
        <v>3.2300608982890253</v>
      </c>
      <c r="DL285" s="69">
        <f t="shared" si="338"/>
        <v>6.018382067944005</v>
      </c>
      <c r="DM285" s="70">
        <f t="shared" si="339"/>
        <v>9.2484429662330303</v>
      </c>
    </row>
    <row r="286" spans="1:117">
      <c r="A286" t="s">
        <v>525</v>
      </c>
      <c r="B286">
        <v>292833</v>
      </c>
      <c r="C286">
        <v>163507</v>
      </c>
      <c r="D286" s="51">
        <v>31950.880000000001</v>
      </c>
      <c r="E286" s="32">
        <f t="shared" si="272"/>
        <v>5224192536.1599998</v>
      </c>
      <c r="F286">
        <v>6653</v>
      </c>
      <c r="G286" s="37">
        <f t="shared" si="273"/>
        <v>2.2719433943578764E-2</v>
      </c>
      <c r="H286">
        <v>0</v>
      </c>
      <c r="I286" s="3">
        <f t="shared" si="340"/>
        <v>0</v>
      </c>
      <c r="J286" s="11">
        <f>+'Seat capacity elasticities'!K316</f>
        <v>0</v>
      </c>
      <c r="K286" s="11">
        <f>+'Seat capacity elasticities'!L316</f>
        <v>0</v>
      </c>
      <c r="L286" s="11">
        <f>+'Seat capacity elasticities'!M316</f>
        <v>0</v>
      </c>
      <c r="M286" s="11">
        <f>+'Seat capacity elasticities'!N316</f>
        <v>0</v>
      </c>
      <c r="N286" s="32">
        <f t="shared" si="284"/>
        <v>0</v>
      </c>
      <c r="O286" s="33">
        <f t="shared" si="285"/>
        <v>0</v>
      </c>
      <c r="P286" s="40">
        <f t="shared" si="286"/>
        <v>0</v>
      </c>
      <c r="Q286" s="33">
        <f t="shared" si="287"/>
        <v>0</v>
      </c>
      <c r="R286" s="40">
        <f t="shared" si="288"/>
        <v>0</v>
      </c>
      <c r="S286" s="41">
        <f t="shared" si="289"/>
        <v>0</v>
      </c>
      <c r="T286" s="40">
        <f t="shared" si="290"/>
        <v>0</v>
      </c>
      <c r="U286" s="41">
        <f t="shared" si="291"/>
        <v>0</v>
      </c>
      <c r="X286" t="s">
        <v>525</v>
      </c>
      <c r="Y286">
        <v>292833</v>
      </c>
      <c r="Z286">
        <v>163507</v>
      </c>
      <c r="AA286" s="51">
        <v>31950.880000000001</v>
      </c>
      <c r="AB286" s="32">
        <f t="shared" si="275"/>
        <v>5224192536.1599998</v>
      </c>
      <c r="AC286">
        <v>6653</v>
      </c>
      <c r="AD286" s="37">
        <f t="shared" si="276"/>
        <v>2.2719433943578764E-2</v>
      </c>
      <c r="AE286">
        <v>5.0854999999999997E-3</v>
      </c>
      <c r="AF286" s="3">
        <f t="shared" si="341"/>
        <v>5.0855E-5</v>
      </c>
      <c r="AG286" s="11">
        <f>+'Seat capacity elasticities'!R316</f>
        <v>9.9540668847236981E-3</v>
      </c>
      <c r="AH286" s="11">
        <f>+'Seat capacity elasticities'!S316</f>
        <v>1.8865710144371054E-2</v>
      </c>
      <c r="AI286" s="11">
        <f>+'Seat capacity elasticities'!T316</f>
        <v>2.7310797228844805E-2</v>
      </c>
      <c r="AJ286" s="11">
        <f>+'Seat capacity elasticities'!U316</f>
        <v>2.2340972539386775E-2</v>
      </c>
      <c r="AK286" s="32">
        <f t="shared" si="292"/>
        <v>520019.61923610966</v>
      </c>
      <c r="AL286" s="33">
        <f t="shared" si="293"/>
        <v>9.954066884723698E-5</v>
      </c>
      <c r="AM286" s="40">
        <f t="shared" si="294"/>
        <v>985581.02125581249</v>
      </c>
      <c r="AN286" s="33">
        <f t="shared" si="295"/>
        <v>1.8865710144371053E-4</v>
      </c>
      <c r="AO286" s="40">
        <f t="shared" si="296"/>
        <v>1816987.3396350453</v>
      </c>
      <c r="AP286" s="41">
        <f t="shared" si="297"/>
        <v>2.7310797228844808E-4</v>
      </c>
      <c r="AQ286" s="40">
        <f t="shared" si="298"/>
        <v>1486344.9030454024</v>
      </c>
      <c r="AR286" s="41">
        <f t="shared" si="299"/>
        <v>2.2340972539386776E-4</v>
      </c>
      <c r="AV286" t="s">
        <v>525</v>
      </c>
      <c r="AW286">
        <v>292833</v>
      </c>
      <c r="AX286">
        <v>163507</v>
      </c>
      <c r="AY286" s="51">
        <v>31950.880000000001</v>
      </c>
      <c r="AZ286" s="32">
        <f t="shared" si="278"/>
        <v>5224192536.1599998</v>
      </c>
      <c r="BA286">
        <v>6653</v>
      </c>
      <c r="BB286" s="37">
        <f t="shared" si="279"/>
        <v>2.2719433943578764E-2</v>
      </c>
      <c r="BC286">
        <v>0</v>
      </c>
      <c r="BD286" s="3">
        <f t="shared" si="342"/>
        <v>0</v>
      </c>
      <c r="BE286" s="11">
        <f>+'Seat capacity elasticities'!Y316</f>
        <v>0</v>
      </c>
      <c r="BF286" s="11">
        <f>+'Seat capacity elasticities'!Z316</f>
        <v>0</v>
      </c>
      <c r="BG286" s="11">
        <f>+'Seat capacity elasticities'!AA316</f>
        <v>0</v>
      </c>
      <c r="BH286" s="11">
        <f>+'Seat capacity elasticities'!AB316</f>
        <v>0</v>
      </c>
      <c r="BI286" s="32">
        <f t="shared" si="300"/>
        <v>0</v>
      </c>
      <c r="BJ286" s="33">
        <f t="shared" si="301"/>
        <v>0</v>
      </c>
      <c r="BK286" s="40">
        <f t="shared" si="302"/>
        <v>0</v>
      </c>
      <c r="BL286" s="33">
        <f t="shared" si="303"/>
        <v>0</v>
      </c>
      <c r="BM286" s="40">
        <f t="shared" si="304"/>
        <v>0</v>
      </c>
      <c r="BN286" s="41">
        <f t="shared" si="305"/>
        <v>0</v>
      </c>
      <c r="BO286" s="40">
        <f t="shared" si="306"/>
        <v>0</v>
      </c>
      <c r="BP286" s="41">
        <f t="shared" si="307"/>
        <v>0</v>
      </c>
      <c r="BQ286" s="52"/>
      <c r="BR286" s="52"/>
      <c r="BS286" t="s">
        <v>525</v>
      </c>
      <c r="BT286">
        <v>292833</v>
      </c>
      <c r="BU286">
        <v>163507</v>
      </c>
      <c r="BV286" s="51">
        <v>31950.880000000001</v>
      </c>
      <c r="BW286" s="32">
        <f t="shared" si="281"/>
        <v>5224192536.1599998</v>
      </c>
      <c r="BX286">
        <v>6653</v>
      </c>
      <c r="BY286" s="37">
        <f t="shared" si="282"/>
        <v>2.2719433943578764E-2</v>
      </c>
      <c r="BZ286">
        <v>5.0854999999999997E-3</v>
      </c>
      <c r="CA286" s="3">
        <f t="shared" si="343"/>
        <v>5.0855E-5</v>
      </c>
      <c r="CB286" s="11">
        <f>+'Seat capacity elasticities'!AF316</f>
        <v>3.6868862552847041E-2</v>
      </c>
      <c r="CC286" s="11">
        <f>+'Seat capacity elasticities'!AG316</f>
        <v>2.9461281338322529E-2</v>
      </c>
      <c r="CD286" s="11">
        <f>+'Seat capacity elasticities'!AH316</f>
        <v>0.10115644599337094</v>
      </c>
      <c r="CE286" s="11">
        <f>+'Seat capacity elasticities'!AI316</f>
        <v>3.4888359479592471E-2</v>
      </c>
      <c r="CF286" s="32">
        <f t="shared" si="308"/>
        <v>1926100.3656529242</v>
      </c>
      <c r="CG286" s="33">
        <f t="shared" si="309"/>
        <v>3.6868862552847038E-4</v>
      </c>
      <c r="CH286" s="40">
        <f t="shared" si="310"/>
        <v>1539114.0607337444</v>
      </c>
      <c r="CI286" s="33">
        <f t="shared" si="311"/>
        <v>2.9461281338322528E-4</v>
      </c>
      <c r="CJ286" s="40">
        <f t="shared" si="312"/>
        <v>6729938.3519389685</v>
      </c>
      <c r="CK286" s="41">
        <f t="shared" si="313"/>
        <v>1.0115644599337093E-3</v>
      </c>
      <c r="CL286" s="40">
        <f t="shared" si="314"/>
        <v>2321122.5561772874</v>
      </c>
      <c r="CM286" s="41">
        <f t="shared" si="315"/>
        <v>3.4888359479592473E-4</v>
      </c>
      <c r="CO286" s="70">
        <f t="shared" si="316"/>
        <v>0</v>
      </c>
      <c r="CP286" s="70">
        <f t="shared" si="317"/>
        <v>0</v>
      </c>
      <c r="CQ286" s="70">
        <f t="shared" si="318"/>
        <v>0</v>
      </c>
      <c r="CR286" s="70">
        <f t="shared" si="319"/>
        <v>0</v>
      </c>
      <c r="CS286" s="70">
        <f t="shared" si="320"/>
        <v>0</v>
      </c>
      <c r="CT286" s="70">
        <f t="shared" si="321"/>
        <v>0</v>
      </c>
      <c r="CU286" s="69">
        <f t="shared" si="322"/>
        <v>0</v>
      </c>
      <c r="CV286" s="69">
        <f t="shared" si="323"/>
        <v>0</v>
      </c>
      <c r="CW286" s="70">
        <f t="shared" si="324"/>
        <v>0</v>
      </c>
      <c r="CX286" s="69">
        <f t="shared" si="325"/>
        <v>0</v>
      </c>
      <c r="CY286" s="69">
        <f t="shared" si="326"/>
        <v>0</v>
      </c>
      <c r="CZ286" s="70">
        <f t="shared" si="327"/>
        <v>0</v>
      </c>
      <c r="DB286" s="70">
        <f t="shared" si="328"/>
        <v>3.1804119654578069</v>
      </c>
      <c r="DC286" s="70">
        <f t="shared" si="329"/>
        <v>11.779926031625093</v>
      </c>
      <c r="DD286" s="70">
        <f t="shared" si="330"/>
        <v>14.960337997082901</v>
      </c>
      <c r="DE286" s="70">
        <f t="shared" si="331"/>
        <v>6.0277604093758219</v>
      </c>
      <c r="DF286" s="70">
        <f t="shared" si="332"/>
        <v>9.4131386468698253</v>
      </c>
      <c r="DG286" s="70">
        <f t="shared" si="333"/>
        <v>15.440899056245648</v>
      </c>
      <c r="DH286" s="69">
        <f t="shared" si="334"/>
        <v>11.112596645006301</v>
      </c>
      <c r="DI286" s="69">
        <f t="shared" si="335"/>
        <v>41.159940259065166</v>
      </c>
      <c r="DJ286" s="70">
        <f t="shared" si="336"/>
        <v>52.272536904071465</v>
      </c>
      <c r="DK286" s="69">
        <f t="shared" si="337"/>
        <v>9.0904053223739805</v>
      </c>
      <c r="DL286" s="69">
        <f t="shared" si="338"/>
        <v>14.195860459657919</v>
      </c>
      <c r="DM286" s="70">
        <f t="shared" si="339"/>
        <v>23.286265782031897</v>
      </c>
    </row>
    <row r="287" spans="1:117">
      <c r="A287" t="s">
        <v>1008</v>
      </c>
      <c r="B287">
        <v>406293</v>
      </c>
      <c r="C287">
        <v>173682</v>
      </c>
      <c r="D287" s="51">
        <v>39411.39</v>
      </c>
      <c r="E287" s="32">
        <f t="shared" si="272"/>
        <v>6845049037.9799995</v>
      </c>
      <c r="F287">
        <v>10597</v>
      </c>
      <c r="G287" s="37">
        <f t="shared" si="273"/>
        <v>2.6082162380351125E-2</v>
      </c>
      <c r="H287">
        <v>0</v>
      </c>
      <c r="I287" s="3">
        <f t="shared" si="340"/>
        <v>0</v>
      </c>
      <c r="J287" s="11">
        <f>+'Seat capacity elasticities'!K317</f>
        <v>0</v>
      </c>
      <c r="K287" s="11">
        <f>+'Seat capacity elasticities'!L317</f>
        <v>0</v>
      </c>
      <c r="L287" s="11">
        <f>+'Seat capacity elasticities'!M317</f>
        <v>0</v>
      </c>
      <c r="M287" s="11">
        <f>+'Seat capacity elasticities'!N317</f>
        <v>0</v>
      </c>
      <c r="N287" s="32">
        <f t="shared" si="284"/>
        <v>0</v>
      </c>
      <c r="O287" s="33">
        <f t="shared" si="285"/>
        <v>0</v>
      </c>
      <c r="P287" s="40">
        <f t="shared" si="286"/>
        <v>0</v>
      </c>
      <c r="Q287" s="33">
        <f t="shared" si="287"/>
        <v>0</v>
      </c>
      <c r="R287" s="40">
        <f t="shared" si="288"/>
        <v>0</v>
      </c>
      <c r="S287" s="41">
        <f t="shared" si="289"/>
        <v>0</v>
      </c>
      <c r="T287" s="40">
        <f t="shared" si="290"/>
        <v>0</v>
      </c>
      <c r="U287" s="41">
        <f t="shared" si="291"/>
        <v>0</v>
      </c>
      <c r="X287" t="s">
        <v>1008</v>
      </c>
      <c r="Y287">
        <v>406293</v>
      </c>
      <c r="Z287">
        <v>173682</v>
      </c>
      <c r="AA287" s="51">
        <v>39411.39</v>
      </c>
      <c r="AB287" s="32">
        <f t="shared" si="275"/>
        <v>6845049037.9799995</v>
      </c>
      <c r="AC287">
        <v>10597</v>
      </c>
      <c r="AD287" s="37">
        <f t="shared" si="276"/>
        <v>2.6082162380351125E-2</v>
      </c>
      <c r="AE287">
        <v>1.42317E-2</v>
      </c>
      <c r="AF287" s="3">
        <f t="shared" si="341"/>
        <v>1.4231700000000001E-4</v>
      </c>
      <c r="AG287" s="11">
        <f>+'Seat capacity elasticities'!R317</f>
        <v>4.2974313551704391E-2</v>
      </c>
      <c r="AH287" s="11">
        <f>+'Seat capacity elasticities'!S317</f>
        <v>8.1448211319937944E-2</v>
      </c>
      <c r="AI287" s="11">
        <f>+'Seat capacity elasticities'!T317</f>
        <v>0.11790786389637306</v>
      </c>
      <c r="AJ287" s="11">
        <f>+'Seat capacity elasticities'!U317</f>
        <v>9.6451829194663358E-2</v>
      </c>
      <c r="AK287" s="32">
        <f t="shared" si="292"/>
        <v>2941612.8363494496</v>
      </c>
      <c r="AL287" s="33">
        <f t="shared" si="293"/>
        <v>4.2974313551704383E-4</v>
      </c>
      <c r="AM287" s="40">
        <f t="shared" si="294"/>
        <v>5575170.0054073287</v>
      </c>
      <c r="AN287" s="33">
        <f t="shared" si="295"/>
        <v>8.1448211319937939E-4</v>
      </c>
      <c r="AO287" s="40">
        <f t="shared" si="296"/>
        <v>12494696.337098652</v>
      </c>
      <c r="AP287" s="41">
        <f t="shared" si="297"/>
        <v>1.1790786389637305E-3</v>
      </c>
      <c r="AQ287" s="40">
        <f t="shared" si="298"/>
        <v>10221000.339758476</v>
      </c>
      <c r="AR287" s="41">
        <f t="shared" si="299"/>
        <v>9.6451829194663357E-4</v>
      </c>
      <c r="AV287" t="s">
        <v>1008</v>
      </c>
      <c r="AW287">
        <v>406293</v>
      </c>
      <c r="AX287">
        <v>173682</v>
      </c>
      <c r="AY287" s="51">
        <v>39411.39</v>
      </c>
      <c r="AZ287" s="32">
        <f t="shared" si="278"/>
        <v>6845049037.9799995</v>
      </c>
      <c r="BA287">
        <v>10597</v>
      </c>
      <c r="BB287" s="37">
        <f t="shared" si="279"/>
        <v>2.6082162380351125E-2</v>
      </c>
      <c r="BC287">
        <v>0</v>
      </c>
      <c r="BD287" s="3">
        <f t="shared" si="342"/>
        <v>0</v>
      </c>
      <c r="BE287" s="11">
        <f>+'Seat capacity elasticities'!Y317</f>
        <v>0</v>
      </c>
      <c r="BF287" s="11">
        <f>+'Seat capacity elasticities'!Z317</f>
        <v>0</v>
      </c>
      <c r="BG287" s="11">
        <f>+'Seat capacity elasticities'!AA317</f>
        <v>0</v>
      </c>
      <c r="BH287" s="11">
        <f>+'Seat capacity elasticities'!AB317</f>
        <v>0</v>
      </c>
      <c r="BI287" s="32">
        <f t="shared" si="300"/>
        <v>0</v>
      </c>
      <c r="BJ287" s="33">
        <f t="shared" si="301"/>
        <v>0</v>
      </c>
      <c r="BK287" s="40">
        <f t="shared" si="302"/>
        <v>0</v>
      </c>
      <c r="BL287" s="33">
        <f t="shared" si="303"/>
        <v>0</v>
      </c>
      <c r="BM287" s="40">
        <f t="shared" si="304"/>
        <v>0</v>
      </c>
      <c r="BN287" s="41">
        <f t="shared" si="305"/>
        <v>0</v>
      </c>
      <c r="BO287" s="40">
        <f t="shared" si="306"/>
        <v>0</v>
      </c>
      <c r="BP287" s="41">
        <f t="shared" si="307"/>
        <v>0</v>
      </c>
      <c r="BQ287" s="52"/>
      <c r="BR287" s="52"/>
      <c r="BS287" t="s">
        <v>1008</v>
      </c>
      <c r="BT287">
        <v>406293</v>
      </c>
      <c r="BU287">
        <v>173682</v>
      </c>
      <c r="BV287" s="51">
        <v>39411.39</v>
      </c>
      <c r="BW287" s="32">
        <f t="shared" si="281"/>
        <v>6845049037.9799995</v>
      </c>
      <c r="BX287">
        <v>10597</v>
      </c>
      <c r="BY287" s="37">
        <f t="shared" si="282"/>
        <v>2.6082162380351125E-2</v>
      </c>
      <c r="BZ287">
        <v>1.42317E-2</v>
      </c>
      <c r="CA287" s="3">
        <f t="shared" si="343"/>
        <v>1.4231700000000001E-4</v>
      </c>
      <c r="CB287" s="11">
        <f>+'Seat capacity elasticities'!AF317</f>
        <v>7.4364136238874015E-2</v>
      </c>
      <c r="CC287" s="11">
        <f>+'Seat capacity elasticities'!AG317</f>
        <v>5.9423117164910555E-2</v>
      </c>
      <c r="CD287" s="11">
        <f>+'Seat capacity elasticities'!AH317</f>
        <v>0.20403156513192872</v>
      </c>
      <c r="CE287" s="11">
        <f>+'Seat capacity elasticities'!AI317</f>
        <v>7.036948085318355E-2</v>
      </c>
      <c r="CF287" s="32">
        <f t="shared" si="308"/>
        <v>5090261.5922211818</v>
      </c>
      <c r="CG287" s="33">
        <f t="shared" si="309"/>
        <v>7.4364136238874018E-4</v>
      </c>
      <c r="CH287" s="40">
        <f t="shared" si="310"/>
        <v>4067541.5098344376</v>
      </c>
      <c r="CI287" s="33">
        <f t="shared" si="311"/>
        <v>5.9423117164910549E-4</v>
      </c>
      <c r="CJ287" s="40">
        <f t="shared" si="312"/>
        <v>21621224.957030486</v>
      </c>
      <c r="CK287" s="41">
        <f t="shared" si="313"/>
        <v>2.0403156513192871E-3</v>
      </c>
      <c r="CL287" s="40">
        <f t="shared" si="314"/>
        <v>7457053.8860118613</v>
      </c>
      <c r="CM287" s="41">
        <f t="shared" si="315"/>
        <v>7.0369480853183549E-4</v>
      </c>
      <c r="CO287" s="70">
        <f t="shared" si="316"/>
        <v>0</v>
      </c>
      <c r="CP287" s="70">
        <f t="shared" si="317"/>
        <v>0</v>
      </c>
      <c r="CQ287" s="70">
        <f t="shared" si="318"/>
        <v>0</v>
      </c>
      <c r="CR287" s="70">
        <f t="shared" si="319"/>
        <v>0</v>
      </c>
      <c r="CS287" s="70">
        <f t="shared" si="320"/>
        <v>0</v>
      </c>
      <c r="CT287" s="70">
        <f t="shared" si="321"/>
        <v>0</v>
      </c>
      <c r="CU287" s="69">
        <f t="shared" si="322"/>
        <v>0</v>
      </c>
      <c r="CV287" s="69">
        <f t="shared" si="323"/>
        <v>0</v>
      </c>
      <c r="CW287" s="70">
        <f t="shared" si="324"/>
        <v>0</v>
      </c>
      <c r="CX287" s="69">
        <f t="shared" si="325"/>
        <v>0</v>
      </c>
      <c r="CY287" s="69">
        <f t="shared" si="326"/>
        <v>0</v>
      </c>
      <c r="CZ287" s="70">
        <f t="shared" si="327"/>
        <v>0</v>
      </c>
      <c r="DB287" s="70">
        <f t="shared" si="328"/>
        <v>16.936774313685067</v>
      </c>
      <c r="DC287" s="70">
        <f t="shared" si="329"/>
        <v>29.307939753233967</v>
      </c>
      <c r="DD287" s="70">
        <f t="shared" si="330"/>
        <v>46.24471406691903</v>
      </c>
      <c r="DE287" s="70">
        <f t="shared" si="331"/>
        <v>32.099872211324886</v>
      </c>
      <c r="DF287" s="70">
        <f t="shared" si="332"/>
        <v>23.41947645601984</v>
      </c>
      <c r="DG287" s="70">
        <f t="shared" si="333"/>
        <v>55.51934866734473</v>
      </c>
      <c r="DH287" s="69">
        <f t="shared" si="334"/>
        <v>71.940076329721293</v>
      </c>
      <c r="DI287" s="69">
        <f t="shared" si="335"/>
        <v>124.48742504710037</v>
      </c>
      <c r="DJ287" s="70">
        <f t="shared" si="336"/>
        <v>196.42750137682168</v>
      </c>
      <c r="DK287" s="69">
        <f t="shared" si="337"/>
        <v>58.848932760783939</v>
      </c>
      <c r="DL287" s="69">
        <f t="shared" si="338"/>
        <v>42.935099123754107</v>
      </c>
      <c r="DM287" s="70">
        <f t="shared" si="339"/>
        <v>101.78403188453805</v>
      </c>
    </row>
    <row r="288" spans="1:117">
      <c r="A288" t="s">
        <v>526</v>
      </c>
      <c r="B288">
        <v>114256</v>
      </c>
      <c r="C288">
        <v>70584</v>
      </c>
      <c r="D288" s="51">
        <v>36814.11</v>
      </c>
      <c r="E288" s="32">
        <f t="shared" si="272"/>
        <v>2598487140.2400002</v>
      </c>
      <c r="F288">
        <v>5056</v>
      </c>
      <c r="G288" s="37">
        <f t="shared" si="273"/>
        <v>4.4251505391401762E-2</v>
      </c>
      <c r="H288">
        <v>0</v>
      </c>
      <c r="I288" s="3">
        <f t="shared" si="340"/>
        <v>0</v>
      </c>
      <c r="J288" s="11">
        <f>+'Seat capacity elasticities'!K318</f>
        <v>0</v>
      </c>
      <c r="K288" s="11">
        <f>+'Seat capacity elasticities'!L318</f>
        <v>0</v>
      </c>
      <c r="L288" s="11">
        <f>+'Seat capacity elasticities'!M318</f>
        <v>0</v>
      </c>
      <c r="M288" s="11">
        <f>+'Seat capacity elasticities'!N318</f>
        <v>0</v>
      </c>
      <c r="N288" s="32">
        <f t="shared" si="284"/>
        <v>0</v>
      </c>
      <c r="O288" s="33">
        <f t="shared" si="285"/>
        <v>0</v>
      </c>
      <c r="P288" s="40">
        <f t="shared" si="286"/>
        <v>0</v>
      </c>
      <c r="Q288" s="33">
        <f t="shared" si="287"/>
        <v>0</v>
      </c>
      <c r="R288" s="40">
        <f t="shared" si="288"/>
        <v>0</v>
      </c>
      <c r="S288" s="41">
        <f t="shared" si="289"/>
        <v>0</v>
      </c>
      <c r="T288" s="40">
        <f t="shared" si="290"/>
        <v>0</v>
      </c>
      <c r="U288" s="41">
        <f t="shared" si="291"/>
        <v>0</v>
      </c>
      <c r="X288" t="s">
        <v>526</v>
      </c>
      <c r="Y288">
        <v>114256</v>
      </c>
      <c r="Z288">
        <v>70584</v>
      </c>
      <c r="AA288" s="51">
        <v>36814.11</v>
      </c>
      <c r="AB288" s="32">
        <f t="shared" si="275"/>
        <v>2598487140.2400002</v>
      </c>
      <c r="AC288">
        <v>5056</v>
      </c>
      <c r="AD288" s="37">
        <f t="shared" si="276"/>
        <v>4.4251505391401762E-2</v>
      </c>
      <c r="AE288">
        <v>2.5561E-3</v>
      </c>
      <c r="AF288" s="3">
        <f t="shared" si="341"/>
        <v>2.5561000000000001E-5</v>
      </c>
      <c r="AG288" s="11">
        <f>+'Seat capacity elasticities'!R318</f>
        <v>1.6511312059968079E-2</v>
      </c>
      <c r="AH288" s="11">
        <f>+'Seat capacity elasticities'!S318</f>
        <v>3.1293503553272775E-2</v>
      </c>
      <c r="AI288" s="11">
        <f>+'Seat capacity elasticities'!T318</f>
        <v>4.5301794821573073E-2</v>
      </c>
      <c r="AJ288" s="11">
        <f>+'Seat capacity elasticities'!U318</f>
        <v>3.7058096313086188E-2</v>
      </c>
      <c r="AK288" s="32">
        <f t="shared" si="292"/>
        <v>429044.32056316681</v>
      </c>
      <c r="AL288" s="33">
        <f t="shared" si="293"/>
        <v>1.6511312059968078E-4</v>
      </c>
      <c r="AM288" s="40">
        <f t="shared" si="294"/>
        <v>813157.66556234052</v>
      </c>
      <c r="AN288" s="33">
        <f t="shared" si="295"/>
        <v>3.1293503553272772E-4</v>
      </c>
      <c r="AO288" s="40">
        <f t="shared" si="296"/>
        <v>2290458.7461787346</v>
      </c>
      <c r="AP288" s="41">
        <f t="shared" si="297"/>
        <v>4.5301794821573071E-4</v>
      </c>
      <c r="AQ288" s="40">
        <f t="shared" si="298"/>
        <v>1873657.3495896377</v>
      </c>
      <c r="AR288" s="41">
        <f t="shared" si="299"/>
        <v>3.7058096313086192E-4</v>
      </c>
      <c r="AV288" t="s">
        <v>526</v>
      </c>
      <c r="AW288">
        <v>114256</v>
      </c>
      <c r="AX288">
        <v>70584</v>
      </c>
      <c r="AY288" s="51">
        <v>36814.11</v>
      </c>
      <c r="AZ288" s="32">
        <f t="shared" si="278"/>
        <v>2598487140.2400002</v>
      </c>
      <c r="BA288">
        <v>5056</v>
      </c>
      <c r="BB288" s="37">
        <f t="shared" si="279"/>
        <v>4.4251505391401762E-2</v>
      </c>
      <c r="BC288">
        <v>0</v>
      </c>
      <c r="BD288" s="3">
        <f t="shared" si="342"/>
        <v>0</v>
      </c>
      <c r="BE288" s="11">
        <f>+'Seat capacity elasticities'!Y318</f>
        <v>0</v>
      </c>
      <c r="BF288" s="11">
        <f>+'Seat capacity elasticities'!Z318</f>
        <v>0</v>
      </c>
      <c r="BG288" s="11">
        <f>+'Seat capacity elasticities'!AA318</f>
        <v>0</v>
      </c>
      <c r="BH288" s="11">
        <f>+'Seat capacity elasticities'!AB318</f>
        <v>0</v>
      </c>
      <c r="BI288" s="32">
        <f t="shared" si="300"/>
        <v>0</v>
      </c>
      <c r="BJ288" s="33">
        <f t="shared" si="301"/>
        <v>0</v>
      </c>
      <c r="BK288" s="40">
        <f t="shared" si="302"/>
        <v>0</v>
      </c>
      <c r="BL288" s="33">
        <f t="shared" si="303"/>
        <v>0</v>
      </c>
      <c r="BM288" s="40">
        <f t="shared" si="304"/>
        <v>0</v>
      </c>
      <c r="BN288" s="41">
        <f t="shared" si="305"/>
        <v>0</v>
      </c>
      <c r="BO288" s="40">
        <f t="shared" si="306"/>
        <v>0</v>
      </c>
      <c r="BP288" s="41">
        <f t="shared" si="307"/>
        <v>0</v>
      </c>
      <c r="BQ288" s="52"/>
      <c r="BR288" s="52"/>
      <c r="BS288" t="s">
        <v>526</v>
      </c>
      <c r="BT288">
        <v>114256</v>
      </c>
      <c r="BU288">
        <v>70584</v>
      </c>
      <c r="BV288" s="51">
        <v>36814.11</v>
      </c>
      <c r="BW288" s="32">
        <f t="shared" si="281"/>
        <v>2598487140.2400002</v>
      </c>
      <c r="BX288">
        <v>5056</v>
      </c>
      <c r="BY288" s="37">
        <f t="shared" si="282"/>
        <v>4.4251505391401762E-2</v>
      </c>
      <c r="BZ288">
        <v>2.5561E-3</v>
      </c>
      <c r="CA288" s="3">
        <f t="shared" si="343"/>
        <v>2.5561000000000001E-5</v>
      </c>
      <c r="CB288" s="11">
        <f>+'Seat capacity elasticities'!AF318</f>
        <v>4.7494675200156239E-2</v>
      </c>
      <c r="CC288" s="11">
        <f>+'Seat capacity elasticities'!AG318</f>
        <v>3.7952187598366827E-2</v>
      </c>
      <c r="CD288" s="11">
        <f>+'Seat capacity elasticities'!AH318</f>
        <v>0.13031030018815429</v>
      </c>
      <c r="CE288" s="11">
        <f>+'Seat capacity elasticities'!AI318</f>
        <v>4.4943380050697562E-2</v>
      </c>
      <c r="CF288" s="32">
        <f t="shared" si="308"/>
        <v>1234143.0273748164</v>
      </c>
      <c r="CG288" s="33">
        <f t="shared" si="309"/>
        <v>4.7494675200156233E-4</v>
      </c>
      <c r="CH288" s="40">
        <f t="shared" si="310"/>
        <v>986182.71418332215</v>
      </c>
      <c r="CI288" s="33">
        <f t="shared" si="311"/>
        <v>3.7952187598366827E-4</v>
      </c>
      <c r="CJ288" s="40">
        <f t="shared" si="312"/>
        <v>6588488.7775130812</v>
      </c>
      <c r="CK288" s="41">
        <f t="shared" si="313"/>
        <v>1.303103001881543E-3</v>
      </c>
      <c r="CL288" s="40">
        <f t="shared" si="314"/>
        <v>2272337.2953632688</v>
      </c>
      <c r="CM288" s="41">
        <f t="shared" si="315"/>
        <v>4.494338005069756E-4</v>
      </c>
      <c r="CO288" s="70">
        <f t="shared" si="316"/>
        <v>0</v>
      </c>
      <c r="CP288" s="70">
        <f t="shared" si="317"/>
        <v>0</v>
      </c>
      <c r="CQ288" s="70">
        <f t="shared" si="318"/>
        <v>0</v>
      </c>
      <c r="CR288" s="70">
        <f t="shared" si="319"/>
        <v>0</v>
      </c>
      <c r="CS288" s="70">
        <f t="shared" si="320"/>
        <v>0</v>
      </c>
      <c r="CT288" s="70">
        <f t="shared" si="321"/>
        <v>0</v>
      </c>
      <c r="CU288" s="69">
        <f t="shared" si="322"/>
        <v>0</v>
      </c>
      <c r="CV288" s="69">
        <f t="shared" si="323"/>
        <v>0</v>
      </c>
      <c r="CW288" s="70">
        <f t="shared" si="324"/>
        <v>0</v>
      </c>
      <c r="CX288" s="69">
        <f t="shared" si="325"/>
        <v>0</v>
      </c>
      <c r="CY288" s="69">
        <f t="shared" si="326"/>
        <v>0</v>
      </c>
      <c r="CZ288" s="70">
        <f t="shared" si="327"/>
        <v>0</v>
      </c>
      <c r="DB288" s="70">
        <f t="shared" si="328"/>
        <v>6.0784925841999149</v>
      </c>
      <c r="DC288" s="70">
        <f t="shared" si="329"/>
        <v>17.484741972328237</v>
      </c>
      <c r="DD288" s="70">
        <f t="shared" si="330"/>
        <v>23.563234556528151</v>
      </c>
      <c r="DE288" s="70">
        <f t="shared" si="331"/>
        <v>11.520424820955748</v>
      </c>
      <c r="DF288" s="70">
        <f t="shared" si="332"/>
        <v>13.971760089869123</v>
      </c>
      <c r="DG288" s="70">
        <f t="shared" si="333"/>
        <v>25.492184910824871</v>
      </c>
      <c r="DH288" s="69">
        <f t="shared" si="334"/>
        <v>32.450112577620061</v>
      </c>
      <c r="DI288" s="69">
        <f t="shared" si="335"/>
        <v>93.342524899595958</v>
      </c>
      <c r="DJ288" s="70">
        <f t="shared" si="336"/>
        <v>125.79263747721602</v>
      </c>
      <c r="DK288" s="69">
        <f t="shared" si="337"/>
        <v>26.545071823495945</v>
      </c>
      <c r="DL288" s="69">
        <f t="shared" si="338"/>
        <v>32.193376620243519</v>
      </c>
      <c r="DM288" s="70">
        <f t="shared" si="339"/>
        <v>58.738448443739465</v>
      </c>
    </row>
    <row r="289" spans="1:117">
      <c r="A289" t="s">
        <v>527</v>
      </c>
      <c r="B289">
        <v>1670225</v>
      </c>
      <c r="C289">
        <v>1046118</v>
      </c>
      <c r="D289" s="51">
        <v>34901.74</v>
      </c>
      <c r="E289" s="32">
        <f t="shared" si="272"/>
        <v>36511338445.32</v>
      </c>
      <c r="F289">
        <v>54568</v>
      </c>
      <c r="G289" s="37">
        <f t="shared" si="273"/>
        <v>3.2671047313984646E-2</v>
      </c>
      <c r="H289">
        <v>0</v>
      </c>
      <c r="I289" s="3">
        <f t="shared" si="340"/>
        <v>0</v>
      </c>
      <c r="J289" s="11">
        <f>+'Seat capacity elasticities'!K319</f>
        <v>0</v>
      </c>
      <c r="K289" s="11">
        <f>+'Seat capacity elasticities'!L319</f>
        <v>0</v>
      </c>
      <c r="L289" s="11">
        <f>+'Seat capacity elasticities'!M319</f>
        <v>0</v>
      </c>
      <c r="M289" s="11">
        <f>+'Seat capacity elasticities'!N319</f>
        <v>0</v>
      </c>
      <c r="N289" s="32">
        <f t="shared" si="284"/>
        <v>0</v>
      </c>
      <c r="O289" s="33">
        <f t="shared" si="285"/>
        <v>0</v>
      </c>
      <c r="P289" s="40">
        <f t="shared" si="286"/>
        <v>0</v>
      </c>
      <c r="Q289" s="33">
        <f t="shared" si="287"/>
        <v>0</v>
      </c>
      <c r="R289" s="40">
        <f t="shared" si="288"/>
        <v>0</v>
      </c>
      <c r="S289" s="41">
        <f t="shared" si="289"/>
        <v>0</v>
      </c>
      <c r="T289" s="40">
        <f t="shared" si="290"/>
        <v>0</v>
      </c>
      <c r="U289" s="41">
        <f t="shared" si="291"/>
        <v>0</v>
      </c>
      <c r="X289" t="s">
        <v>527</v>
      </c>
      <c r="Y289">
        <v>1670225</v>
      </c>
      <c r="Z289">
        <v>1046118</v>
      </c>
      <c r="AA289" s="51">
        <v>34901.74</v>
      </c>
      <c r="AB289" s="32">
        <f t="shared" si="275"/>
        <v>36511338445.32</v>
      </c>
      <c r="AC289">
        <v>54568</v>
      </c>
      <c r="AD289" s="37">
        <f t="shared" si="276"/>
        <v>3.2671047313984646E-2</v>
      </c>
      <c r="AE289">
        <v>9.1693999999999994E-3</v>
      </c>
      <c r="AF289" s="3">
        <f t="shared" si="341"/>
        <v>9.1693999999999993E-5</v>
      </c>
      <c r="AG289" s="11">
        <f>+'Seat capacity elasticities'!R319</f>
        <v>2.3895835222203645E-2</v>
      </c>
      <c r="AH289" s="11">
        <f>+'Seat capacity elasticities'!S319</f>
        <v>4.5289217581167572E-2</v>
      </c>
      <c r="AI289" s="11">
        <f>+'Seat capacity elasticities'!T319</f>
        <v>6.5562580393049713E-2</v>
      </c>
      <c r="AJ289" s="11">
        <f>+'Seat capacity elasticities'!U319</f>
        <v>5.3631968188224757E-2</v>
      </c>
      <c r="AK289" s="32">
        <f t="shared" si="292"/>
        <v>8724689.2723147571</v>
      </c>
      <c r="AL289" s="33">
        <f t="shared" si="293"/>
        <v>2.3895835222203645E-4</v>
      </c>
      <c r="AM289" s="40">
        <f t="shared" si="294"/>
        <v>16535699.510297459</v>
      </c>
      <c r="AN289" s="33">
        <f t="shared" si="295"/>
        <v>4.528921758116757E-4</v>
      </c>
      <c r="AO289" s="40">
        <f t="shared" si="296"/>
        <v>35776188.86887937</v>
      </c>
      <c r="AP289" s="41">
        <f t="shared" si="297"/>
        <v>6.5562580393049722E-4</v>
      </c>
      <c r="AQ289" s="40">
        <f t="shared" si="298"/>
        <v>29265892.400950488</v>
      </c>
      <c r="AR289" s="41">
        <f t="shared" si="299"/>
        <v>5.3631968188224766E-4</v>
      </c>
      <c r="AV289" t="s">
        <v>527</v>
      </c>
      <c r="AW289">
        <v>1670225</v>
      </c>
      <c r="AX289">
        <v>1046118</v>
      </c>
      <c r="AY289" s="51">
        <v>34901.74</v>
      </c>
      <c r="AZ289" s="32">
        <f t="shared" si="278"/>
        <v>36511338445.32</v>
      </c>
      <c r="BA289">
        <v>54568</v>
      </c>
      <c r="BB289" s="37">
        <f t="shared" si="279"/>
        <v>3.2671047313984646E-2</v>
      </c>
      <c r="BC289">
        <v>0</v>
      </c>
      <c r="BD289" s="3">
        <f t="shared" si="342"/>
        <v>0</v>
      </c>
      <c r="BE289" s="11">
        <f>+'Seat capacity elasticities'!Y319</f>
        <v>0</v>
      </c>
      <c r="BF289" s="11">
        <f>+'Seat capacity elasticities'!Z319</f>
        <v>0</v>
      </c>
      <c r="BG289" s="11">
        <f>+'Seat capacity elasticities'!AA319</f>
        <v>0</v>
      </c>
      <c r="BH289" s="11">
        <f>+'Seat capacity elasticities'!AB319</f>
        <v>0</v>
      </c>
      <c r="BI289" s="32">
        <f t="shared" si="300"/>
        <v>0</v>
      </c>
      <c r="BJ289" s="33">
        <f t="shared" si="301"/>
        <v>0</v>
      </c>
      <c r="BK289" s="40">
        <f t="shared" si="302"/>
        <v>0</v>
      </c>
      <c r="BL289" s="33">
        <f t="shared" si="303"/>
        <v>0</v>
      </c>
      <c r="BM289" s="40">
        <f t="shared" si="304"/>
        <v>0</v>
      </c>
      <c r="BN289" s="41">
        <f t="shared" si="305"/>
        <v>0</v>
      </c>
      <c r="BO289" s="40">
        <f t="shared" si="306"/>
        <v>0</v>
      </c>
      <c r="BP289" s="41">
        <f t="shared" si="307"/>
        <v>0</v>
      </c>
      <c r="BQ289" s="52"/>
      <c r="BR289" s="52"/>
      <c r="BS289" t="s">
        <v>527</v>
      </c>
      <c r="BT289">
        <v>1670225</v>
      </c>
      <c r="BU289">
        <v>1046118</v>
      </c>
      <c r="BV289" s="51">
        <v>34901.74</v>
      </c>
      <c r="BW289" s="32">
        <f t="shared" si="281"/>
        <v>36511338445.32</v>
      </c>
      <c r="BX289">
        <v>54568</v>
      </c>
      <c r="BY289" s="37">
        <f t="shared" si="282"/>
        <v>3.2671047313984646E-2</v>
      </c>
      <c r="BZ289">
        <v>9.1693999999999994E-3</v>
      </c>
      <c r="CA289" s="3">
        <f t="shared" si="343"/>
        <v>9.1693999999999993E-5</v>
      </c>
      <c r="CB289" s="11">
        <f>+'Seat capacity elasticities'!AF319</f>
        <v>1.1654993509876577E-2</v>
      </c>
      <c r="CC289" s="11">
        <f>+'Seat capacity elasticities'!AG319</f>
        <v>9.3133071924477225E-3</v>
      </c>
      <c r="CD289" s="11">
        <f>+'Seat capacity elasticities'!AH319</f>
        <v>3.1977599521683026E-2</v>
      </c>
      <c r="CE289" s="11">
        <f>+'Seat capacity elasticities'!AI319</f>
        <v>1.1028916412109145E-2</v>
      </c>
      <c r="CF289" s="32">
        <f t="shared" si="308"/>
        <v>4255394.1261711176</v>
      </c>
      <c r="CG289" s="33">
        <f t="shared" si="309"/>
        <v>1.1654993509876578E-4</v>
      </c>
      <c r="CH289" s="40">
        <f t="shared" si="310"/>
        <v>3400413.109486918</v>
      </c>
      <c r="CI289" s="33">
        <f t="shared" si="311"/>
        <v>9.3133071924477229E-5</v>
      </c>
      <c r="CJ289" s="40">
        <f t="shared" si="312"/>
        <v>17449536.506991997</v>
      </c>
      <c r="CK289" s="41">
        <f t="shared" si="313"/>
        <v>3.1977599521683034E-4</v>
      </c>
      <c r="CL289" s="40">
        <f t="shared" si="314"/>
        <v>6018259.1077597188</v>
      </c>
      <c r="CM289" s="41">
        <f t="shared" si="315"/>
        <v>1.1028916412109146E-4</v>
      </c>
      <c r="CO289" s="70">
        <f t="shared" si="316"/>
        <v>0</v>
      </c>
      <c r="CP289" s="70">
        <f t="shared" si="317"/>
        <v>0</v>
      </c>
      <c r="CQ289" s="70">
        <f t="shared" si="318"/>
        <v>0</v>
      </c>
      <c r="CR289" s="70">
        <f t="shared" si="319"/>
        <v>0</v>
      </c>
      <c r="CS289" s="70">
        <f t="shared" si="320"/>
        <v>0</v>
      </c>
      <c r="CT289" s="70">
        <f t="shared" si="321"/>
        <v>0</v>
      </c>
      <c r="CU289" s="69">
        <f t="shared" si="322"/>
        <v>0</v>
      </c>
      <c r="CV289" s="69">
        <f t="shared" si="323"/>
        <v>0</v>
      </c>
      <c r="CW289" s="70">
        <f t="shared" si="324"/>
        <v>0</v>
      </c>
      <c r="CX289" s="69">
        <f t="shared" si="325"/>
        <v>0</v>
      </c>
      <c r="CY289" s="69">
        <f t="shared" si="326"/>
        <v>0</v>
      </c>
      <c r="CZ289" s="70">
        <f t="shared" si="327"/>
        <v>0</v>
      </c>
      <c r="DB289" s="70">
        <f t="shared" si="328"/>
        <v>8.3400622800819377</v>
      </c>
      <c r="DC289" s="70">
        <f t="shared" si="329"/>
        <v>4.0677955318339976</v>
      </c>
      <c r="DD289" s="70">
        <f t="shared" si="330"/>
        <v>12.407857811915935</v>
      </c>
      <c r="DE289" s="70">
        <f t="shared" si="331"/>
        <v>15.806724968213393</v>
      </c>
      <c r="DF289" s="70">
        <f t="shared" si="332"/>
        <v>3.2505062617094036</v>
      </c>
      <c r="DG289" s="70">
        <f t="shared" si="333"/>
        <v>19.057231229922795</v>
      </c>
      <c r="DH289" s="69">
        <f t="shared" si="334"/>
        <v>34.19899941390873</v>
      </c>
      <c r="DI289" s="69">
        <f t="shared" si="335"/>
        <v>16.680275558772525</v>
      </c>
      <c r="DJ289" s="70">
        <f t="shared" si="336"/>
        <v>50.879274972681259</v>
      </c>
      <c r="DK289" s="69">
        <f t="shared" si="337"/>
        <v>27.975708668573226</v>
      </c>
      <c r="DL289" s="69">
        <f t="shared" si="338"/>
        <v>5.7529447994965377</v>
      </c>
      <c r="DM289" s="70">
        <f t="shared" si="339"/>
        <v>33.728653468069766</v>
      </c>
    </row>
    <row r="290" spans="1:117">
      <c r="A290" t="s">
        <v>528</v>
      </c>
      <c r="B290">
        <v>422343</v>
      </c>
      <c r="C290">
        <v>192374</v>
      </c>
      <c r="D290" s="51">
        <v>31968.18</v>
      </c>
      <c r="E290" s="32">
        <f t="shared" si="272"/>
        <v>6149846659.3199997</v>
      </c>
      <c r="F290">
        <v>9535</v>
      </c>
      <c r="G290" s="37">
        <f t="shared" si="273"/>
        <v>2.257643668771591E-2</v>
      </c>
      <c r="H290">
        <v>0</v>
      </c>
      <c r="I290" s="3">
        <f t="shared" si="340"/>
        <v>0</v>
      </c>
      <c r="J290" s="11">
        <f>+'Seat capacity elasticities'!K320</f>
        <v>0</v>
      </c>
      <c r="K290" s="11">
        <f>+'Seat capacity elasticities'!L320</f>
        <v>0</v>
      </c>
      <c r="L290" s="11">
        <f>+'Seat capacity elasticities'!M320</f>
        <v>0</v>
      </c>
      <c r="M290" s="11">
        <f>+'Seat capacity elasticities'!N320</f>
        <v>0</v>
      </c>
      <c r="N290" s="32">
        <f t="shared" si="284"/>
        <v>0</v>
      </c>
      <c r="O290" s="33">
        <f t="shared" si="285"/>
        <v>0</v>
      </c>
      <c r="P290" s="40">
        <f t="shared" si="286"/>
        <v>0</v>
      </c>
      <c r="Q290" s="33">
        <f t="shared" si="287"/>
        <v>0</v>
      </c>
      <c r="R290" s="40">
        <f t="shared" si="288"/>
        <v>0</v>
      </c>
      <c r="S290" s="41">
        <f t="shared" si="289"/>
        <v>0</v>
      </c>
      <c r="T290" s="40">
        <f t="shared" si="290"/>
        <v>0</v>
      </c>
      <c r="U290" s="41">
        <f t="shared" si="291"/>
        <v>0</v>
      </c>
      <c r="X290" t="s">
        <v>528</v>
      </c>
      <c r="Y290">
        <v>422343</v>
      </c>
      <c r="Z290">
        <v>192374</v>
      </c>
      <c r="AA290" s="51">
        <v>31968.18</v>
      </c>
      <c r="AB290" s="32">
        <f t="shared" si="275"/>
        <v>6149846659.3199997</v>
      </c>
      <c r="AC290">
        <v>9535</v>
      </c>
      <c r="AD290" s="37">
        <f t="shared" si="276"/>
        <v>2.257643668771591E-2</v>
      </c>
      <c r="AE290">
        <v>4.1206999999999997E-3</v>
      </c>
      <c r="AF290" s="3">
        <f t="shared" si="341"/>
        <v>4.1207E-5</v>
      </c>
      <c r="AG290" s="11">
        <f>+'Seat capacity elasticities'!R320</f>
        <v>1.0008697409512485E-2</v>
      </c>
      <c r="AH290" s="11">
        <f>+'Seat capacity elasticities'!S320</f>
        <v>1.8969250100213813E-2</v>
      </c>
      <c r="AI290" s="11">
        <f>+'Seat capacity elasticities'!T320</f>
        <v>2.7460686033319456E-2</v>
      </c>
      <c r="AJ290" s="11">
        <f>+'Seat capacity elasticities'!U320</f>
        <v>2.2463585644990042E-2</v>
      </c>
      <c r="AK290" s="32">
        <f t="shared" si="292"/>
        <v>615519.54328035098</v>
      </c>
      <c r="AL290" s="33">
        <f t="shared" si="293"/>
        <v>1.0008697409512486E-4</v>
      </c>
      <c r="AM290" s="40">
        <f t="shared" si="294"/>
        <v>1166579.7935860548</v>
      </c>
      <c r="AN290" s="33">
        <f t="shared" si="295"/>
        <v>1.8969250100213812E-4</v>
      </c>
      <c r="AO290" s="40">
        <f t="shared" si="296"/>
        <v>2618376.41327701</v>
      </c>
      <c r="AP290" s="41">
        <f t="shared" si="297"/>
        <v>2.7460686033319454E-4</v>
      </c>
      <c r="AQ290" s="40">
        <f t="shared" si="298"/>
        <v>2141902.8912498006</v>
      </c>
      <c r="AR290" s="41">
        <f t="shared" si="299"/>
        <v>2.2463585644990041E-4</v>
      </c>
      <c r="AV290" t="s">
        <v>528</v>
      </c>
      <c r="AW290">
        <v>422343</v>
      </c>
      <c r="AX290">
        <v>192374</v>
      </c>
      <c r="AY290" s="51">
        <v>31968.18</v>
      </c>
      <c r="AZ290" s="32">
        <f t="shared" si="278"/>
        <v>6149846659.3199997</v>
      </c>
      <c r="BA290">
        <v>9535</v>
      </c>
      <c r="BB290" s="37">
        <f t="shared" si="279"/>
        <v>2.257643668771591E-2</v>
      </c>
      <c r="BC290">
        <v>0</v>
      </c>
      <c r="BD290" s="3">
        <f t="shared" si="342"/>
        <v>0</v>
      </c>
      <c r="BE290" s="11">
        <f>+'Seat capacity elasticities'!Y320</f>
        <v>0</v>
      </c>
      <c r="BF290" s="11">
        <f>+'Seat capacity elasticities'!Z320</f>
        <v>0</v>
      </c>
      <c r="BG290" s="11">
        <f>+'Seat capacity elasticities'!AA320</f>
        <v>0</v>
      </c>
      <c r="BH290" s="11">
        <f>+'Seat capacity elasticities'!AB320</f>
        <v>0</v>
      </c>
      <c r="BI290" s="32">
        <f t="shared" si="300"/>
        <v>0</v>
      </c>
      <c r="BJ290" s="33">
        <f t="shared" si="301"/>
        <v>0</v>
      </c>
      <c r="BK290" s="40">
        <f t="shared" si="302"/>
        <v>0</v>
      </c>
      <c r="BL290" s="33">
        <f t="shared" si="303"/>
        <v>0</v>
      </c>
      <c r="BM290" s="40">
        <f t="shared" si="304"/>
        <v>0</v>
      </c>
      <c r="BN290" s="41">
        <f t="shared" si="305"/>
        <v>0</v>
      </c>
      <c r="BO290" s="40">
        <f t="shared" si="306"/>
        <v>0</v>
      </c>
      <c r="BP290" s="41">
        <f t="shared" si="307"/>
        <v>0</v>
      </c>
      <c r="BQ290" s="52"/>
      <c r="BR290" s="52"/>
      <c r="BS290" t="s">
        <v>528</v>
      </c>
      <c r="BT290">
        <v>422343</v>
      </c>
      <c r="BU290">
        <v>192374</v>
      </c>
      <c r="BV290" s="51">
        <v>31968.18</v>
      </c>
      <c r="BW290" s="32">
        <f t="shared" si="281"/>
        <v>6149846659.3199997</v>
      </c>
      <c r="BX290">
        <v>9535</v>
      </c>
      <c r="BY290" s="37">
        <f t="shared" si="282"/>
        <v>2.257643668771591E-2</v>
      </c>
      <c r="BZ290">
        <v>4.1206999999999997E-3</v>
      </c>
      <c r="CA290" s="3">
        <f t="shared" si="343"/>
        <v>4.1207E-5</v>
      </c>
      <c r="CB290" s="11">
        <f>+'Seat capacity elasticities'!AF320</f>
        <v>2.0713419202175301E-2</v>
      </c>
      <c r="CC290" s="11">
        <f>+'Seat capacity elasticities'!AG320</f>
        <v>1.6551741180493105E-2</v>
      </c>
      <c r="CD290" s="11">
        <f>+'Seat capacity elasticities'!AH320</f>
        <v>5.6831041854343789E-2</v>
      </c>
      <c r="CE290" s="11">
        <f>+'Seat capacity elasticities'!AI320</f>
        <v>1.9600746134794469E-2</v>
      </c>
      <c r="CF290" s="32">
        <f t="shared" si="308"/>
        <v>1273843.518835925</v>
      </c>
      <c r="CG290" s="33">
        <f t="shared" si="309"/>
        <v>2.07134192021753E-4</v>
      </c>
      <c r="CH290" s="40">
        <f t="shared" si="310"/>
        <v>1017906.7020478479</v>
      </c>
      <c r="CI290" s="33">
        <f t="shared" si="311"/>
        <v>1.6551741180493106E-4</v>
      </c>
      <c r="CJ290" s="40">
        <f t="shared" si="312"/>
        <v>5418839.840811681</v>
      </c>
      <c r="CK290" s="41">
        <f t="shared" si="313"/>
        <v>5.6831041854343801E-4</v>
      </c>
      <c r="CL290" s="40">
        <f t="shared" si="314"/>
        <v>1868931.1439526528</v>
      </c>
      <c r="CM290" s="41">
        <f t="shared" si="315"/>
        <v>1.9600746134794471E-4</v>
      </c>
      <c r="CO290" s="70">
        <f t="shared" si="316"/>
        <v>0</v>
      </c>
      <c r="CP290" s="70">
        <f t="shared" si="317"/>
        <v>0</v>
      </c>
      <c r="CQ290" s="70">
        <f t="shared" si="318"/>
        <v>0</v>
      </c>
      <c r="CR290" s="70">
        <f t="shared" si="319"/>
        <v>0</v>
      </c>
      <c r="CS290" s="70">
        <f t="shared" si="320"/>
        <v>0</v>
      </c>
      <c r="CT290" s="70">
        <f t="shared" si="321"/>
        <v>0</v>
      </c>
      <c r="CU290" s="69">
        <f t="shared" si="322"/>
        <v>0</v>
      </c>
      <c r="CV290" s="69">
        <f t="shared" si="323"/>
        <v>0</v>
      </c>
      <c r="CW290" s="70">
        <f t="shared" si="324"/>
        <v>0</v>
      </c>
      <c r="CX290" s="69">
        <f t="shared" si="325"/>
        <v>0</v>
      </c>
      <c r="CY290" s="69">
        <f t="shared" si="326"/>
        <v>0</v>
      </c>
      <c r="CZ290" s="70">
        <f t="shared" si="327"/>
        <v>0</v>
      </c>
      <c r="DB290" s="70">
        <f t="shared" si="328"/>
        <v>3.1995984035282885</v>
      </c>
      <c r="DC290" s="70">
        <f t="shared" si="329"/>
        <v>6.6217031347059638</v>
      </c>
      <c r="DD290" s="70">
        <f t="shared" si="330"/>
        <v>9.8213015382342519</v>
      </c>
      <c r="DE290" s="70">
        <f t="shared" si="331"/>
        <v>6.0641240166865318</v>
      </c>
      <c r="DF290" s="70">
        <f t="shared" si="332"/>
        <v>5.2912904137141608</v>
      </c>
      <c r="DG290" s="70">
        <f t="shared" si="333"/>
        <v>11.355414430400693</v>
      </c>
      <c r="DH290" s="69">
        <f t="shared" si="334"/>
        <v>13.610864323021874</v>
      </c>
      <c r="DI290" s="69">
        <f t="shared" si="335"/>
        <v>28.16825475798019</v>
      </c>
      <c r="DJ290" s="70">
        <f t="shared" si="336"/>
        <v>41.779119081002065</v>
      </c>
      <c r="DK290" s="69">
        <f t="shared" si="337"/>
        <v>11.134056011986031</v>
      </c>
      <c r="DL290" s="69">
        <f t="shared" si="338"/>
        <v>9.715092184768487</v>
      </c>
      <c r="DM290" s="70">
        <f t="shared" si="339"/>
        <v>20.84914819675452</v>
      </c>
    </row>
    <row r="291" spans="1:117">
      <c r="A291" t="s">
        <v>529</v>
      </c>
      <c r="B291">
        <v>230849</v>
      </c>
      <c r="C291">
        <v>138139</v>
      </c>
      <c r="D291" s="51">
        <v>31016.01</v>
      </c>
      <c r="E291" s="32">
        <f t="shared" si="272"/>
        <v>4284520605.3899999</v>
      </c>
      <c r="F291">
        <v>6856</v>
      </c>
      <c r="G291" s="37">
        <f t="shared" si="273"/>
        <v>2.9699067355717375E-2</v>
      </c>
      <c r="H291">
        <v>0</v>
      </c>
      <c r="I291" s="3">
        <f t="shared" si="340"/>
        <v>0</v>
      </c>
      <c r="J291" s="11">
        <f>+'Seat capacity elasticities'!K321</f>
        <v>0</v>
      </c>
      <c r="K291" s="11">
        <f>+'Seat capacity elasticities'!L321</f>
        <v>0</v>
      </c>
      <c r="L291" s="11">
        <f>+'Seat capacity elasticities'!M321</f>
        <v>0</v>
      </c>
      <c r="M291" s="11">
        <f>+'Seat capacity elasticities'!N321</f>
        <v>0</v>
      </c>
      <c r="N291" s="32">
        <f t="shared" si="284"/>
        <v>0</v>
      </c>
      <c r="O291" s="33">
        <f t="shared" si="285"/>
        <v>0</v>
      </c>
      <c r="P291" s="40">
        <f t="shared" si="286"/>
        <v>0</v>
      </c>
      <c r="Q291" s="33">
        <f t="shared" si="287"/>
        <v>0</v>
      </c>
      <c r="R291" s="40">
        <f t="shared" si="288"/>
        <v>0</v>
      </c>
      <c r="S291" s="41">
        <f t="shared" si="289"/>
        <v>0</v>
      </c>
      <c r="T291" s="40">
        <f t="shared" si="290"/>
        <v>0</v>
      </c>
      <c r="U291" s="41">
        <f t="shared" si="291"/>
        <v>0</v>
      </c>
      <c r="X291" t="s">
        <v>529</v>
      </c>
      <c r="Y291">
        <v>230849</v>
      </c>
      <c r="Z291">
        <v>138139</v>
      </c>
      <c r="AA291" s="51">
        <v>31016.01</v>
      </c>
      <c r="AB291" s="32">
        <f t="shared" si="275"/>
        <v>4284520605.3899999</v>
      </c>
      <c r="AC291">
        <v>6856</v>
      </c>
      <c r="AD291" s="37">
        <f t="shared" si="276"/>
        <v>2.9699067355717375E-2</v>
      </c>
      <c r="AE291">
        <v>3.3167000000000001E-3</v>
      </c>
      <c r="AF291" s="3">
        <f t="shared" si="341"/>
        <v>3.3167000000000003E-5</v>
      </c>
      <c r="AG291" s="11">
        <f>+'Seat capacity elasticities'!R321</f>
        <v>8.7534138399092947E-3</v>
      </c>
      <c r="AH291" s="11">
        <f>+'Seat capacity elasticities'!S321</f>
        <v>1.6590140511401501E-2</v>
      </c>
      <c r="AI291" s="11">
        <f>+'Seat capacity elasticities'!T321</f>
        <v>2.4016586708776405E-2</v>
      </c>
      <c r="AJ291" s="11">
        <f>+'Seat capacity elasticities'!U321</f>
        <v>1.9646219026659674E-2</v>
      </c>
      <c r="AK291" s="32">
        <f t="shared" si="292"/>
        <v>375041.81964597374</v>
      </c>
      <c r="AL291" s="33">
        <f t="shared" si="293"/>
        <v>8.7534138399092946E-5</v>
      </c>
      <c r="AM291" s="40">
        <f t="shared" si="294"/>
        <v>710807.98867415113</v>
      </c>
      <c r="AN291" s="33">
        <f t="shared" si="295"/>
        <v>1.6590140511401499E-4</v>
      </c>
      <c r="AO291" s="40">
        <f t="shared" si="296"/>
        <v>1646577.1847537104</v>
      </c>
      <c r="AP291" s="41">
        <f t="shared" si="297"/>
        <v>2.4016586708776406E-4</v>
      </c>
      <c r="AQ291" s="40">
        <f t="shared" si="298"/>
        <v>1346944.7764677873</v>
      </c>
      <c r="AR291" s="41">
        <f t="shared" si="299"/>
        <v>1.9646219026659675E-4</v>
      </c>
      <c r="AV291" t="s">
        <v>529</v>
      </c>
      <c r="AW291">
        <v>230849</v>
      </c>
      <c r="AX291">
        <v>138139</v>
      </c>
      <c r="AY291" s="51">
        <v>31016.01</v>
      </c>
      <c r="AZ291" s="32">
        <f t="shared" si="278"/>
        <v>4284520605.3899999</v>
      </c>
      <c r="BA291">
        <v>6856</v>
      </c>
      <c r="BB291" s="37">
        <f t="shared" si="279"/>
        <v>2.9699067355717375E-2</v>
      </c>
      <c r="BC291">
        <v>0</v>
      </c>
      <c r="BD291" s="3">
        <f t="shared" si="342"/>
        <v>0</v>
      </c>
      <c r="BE291" s="11">
        <f>+'Seat capacity elasticities'!Y321</f>
        <v>0</v>
      </c>
      <c r="BF291" s="11">
        <f>+'Seat capacity elasticities'!Z321</f>
        <v>0</v>
      </c>
      <c r="BG291" s="11">
        <f>+'Seat capacity elasticities'!AA321</f>
        <v>0</v>
      </c>
      <c r="BH291" s="11">
        <f>+'Seat capacity elasticities'!AB321</f>
        <v>0</v>
      </c>
      <c r="BI291" s="32">
        <f t="shared" si="300"/>
        <v>0</v>
      </c>
      <c r="BJ291" s="33">
        <f t="shared" si="301"/>
        <v>0</v>
      </c>
      <c r="BK291" s="40">
        <f t="shared" si="302"/>
        <v>0</v>
      </c>
      <c r="BL291" s="33">
        <f t="shared" si="303"/>
        <v>0</v>
      </c>
      <c r="BM291" s="40">
        <f t="shared" si="304"/>
        <v>0</v>
      </c>
      <c r="BN291" s="41">
        <f t="shared" si="305"/>
        <v>0</v>
      </c>
      <c r="BO291" s="40">
        <f t="shared" si="306"/>
        <v>0</v>
      </c>
      <c r="BP291" s="41">
        <f t="shared" si="307"/>
        <v>0</v>
      </c>
      <c r="BQ291" s="52"/>
      <c r="BR291" s="52"/>
      <c r="BS291" t="s">
        <v>529</v>
      </c>
      <c r="BT291">
        <v>230849</v>
      </c>
      <c r="BU291">
        <v>138139</v>
      </c>
      <c r="BV291" s="51">
        <v>31016.01</v>
      </c>
      <c r="BW291" s="32">
        <f t="shared" si="281"/>
        <v>4284520605.3899999</v>
      </c>
      <c r="BX291">
        <v>6856</v>
      </c>
      <c r="BY291" s="37">
        <f t="shared" si="282"/>
        <v>2.9699067355717375E-2</v>
      </c>
      <c r="BZ291">
        <v>3.3167000000000001E-3</v>
      </c>
      <c r="CA291" s="3">
        <f t="shared" si="343"/>
        <v>3.3167000000000003E-5</v>
      </c>
      <c r="CB291" s="11">
        <f>+'Seat capacity elasticities'!AF321</f>
        <v>3.0501717231796725E-2</v>
      </c>
      <c r="CC291" s="11">
        <f>+'Seat capacity elasticities'!AG321</f>
        <v>2.4373403746314692E-2</v>
      </c>
      <c r="CD291" s="11">
        <f>+'Seat capacity elasticities'!AH321</f>
        <v>8.3687022007817732E-2</v>
      </c>
      <c r="CE291" s="11">
        <f>+'Seat capacity elasticities'!AI321</f>
        <v>2.8863241278530558E-2</v>
      </c>
      <c r="CF291" s="32">
        <f t="shared" si="308"/>
        <v>1306852.3597941229</v>
      </c>
      <c r="CG291" s="33">
        <f t="shared" si="309"/>
        <v>3.0501717231796722E-4</v>
      </c>
      <c r="CH291" s="40">
        <f t="shared" si="310"/>
        <v>1044283.5057457511</v>
      </c>
      <c r="CI291" s="33">
        <f t="shared" si="311"/>
        <v>2.437340374631469E-4</v>
      </c>
      <c r="CJ291" s="40">
        <f t="shared" si="312"/>
        <v>5737582.2288559834</v>
      </c>
      <c r="CK291" s="41">
        <f t="shared" si="313"/>
        <v>8.3687022007817723E-4</v>
      </c>
      <c r="CL291" s="40">
        <f t="shared" si="314"/>
        <v>1978863.8220560553</v>
      </c>
      <c r="CM291" s="41">
        <f t="shared" si="315"/>
        <v>2.8863241278530565E-4</v>
      </c>
      <c r="CO291" s="70">
        <f t="shared" si="316"/>
        <v>0</v>
      </c>
      <c r="CP291" s="70">
        <f t="shared" si="317"/>
        <v>0</v>
      </c>
      <c r="CQ291" s="70">
        <f t="shared" si="318"/>
        <v>0</v>
      </c>
      <c r="CR291" s="70">
        <f t="shared" si="319"/>
        <v>0</v>
      </c>
      <c r="CS291" s="70">
        <f t="shared" si="320"/>
        <v>0</v>
      </c>
      <c r="CT291" s="70">
        <f t="shared" si="321"/>
        <v>0</v>
      </c>
      <c r="CU291" s="69">
        <f t="shared" si="322"/>
        <v>0</v>
      </c>
      <c r="CV291" s="69">
        <f t="shared" si="323"/>
        <v>0</v>
      </c>
      <c r="CW291" s="70">
        <f t="shared" si="324"/>
        <v>0</v>
      </c>
      <c r="CX291" s="69">
        <f t="shared" si="325"/>
        <v>0</v>
      </c>
      <c r="CY291" s="69">
        <f t="shared" si="326"/>
        <v>0</v>
      </c>
      <c r="CZ291" s="70">
        <f t="shared" si="327"/>
        <v>0</v>
      </c>
      <c r="DB291" s="70">
        <f t="shared" si="328"/>
        <v>2.7149597119276505</v>
      </c>
      <c r="DC291" s="70">
        <f t="shared" si="329"/>
        <v>9.4604156667857939</v>
      </c>
      <c r="DD291" s="70">
        <f t="shared" si="330"/>
        <v>12.175375378713444</v>
      </c>
      <c r="DE291" s="70">
        <f t="shared" si="331"/>
        <v>5.1455996400303396</v>
      </c>
      <c r="DF291" s="70">
        <f t="shared" si="332"/>
        <v>7.5596573432973386</v>
      </c>
      <c r="DG291" s="70">
        <f t="shared" si="333"/>
        <v>12.705256983327679</v>
      </c>
      <c r="DH291" s="69">
        <f t="shared" si="334"/>
        <v>11.919712642727328</v>
      </c>
      <c r="DI291" s="69">
        <f t="shared" si="335"/>
        <v>41.5348469936512</v>
      </c>
      <c r="DJ291" s="70">
        <f t="shared" si="336"/>
        <v>53.454559636378526</v>
      </c>
      <c r="DK291" s="69">
        <f t="shared" si="337"/>
        <v>9.7506480897341614</v>
      </c>
      <c r="DL291" s="69">
        <f t="shared" si="338"/>
        <v>14.32516394396988</v>
      </c>
      <c r="DM291" s="70">
        <f t="shared" si="339"/>
        <v>24.07581203370404</v>
      </c>
    </row>
    <row r="292" spans="1:117">
      <c r="A292" t="s">
        <v>337</v>
      </c>
      <c r="B292">
        <v>5377936</v>
      </c>
      <c r="C292">
        <v>3904006</v>
      </c>
      <c r="D292" s="51">
        <v>55048.91</v>
      </c>
      <c r="E292" s="32">
        <f t="shared" si="272"/>
        <v>214911274933.46002</v>
      </c>
      <c r="F292">
        <v>312626</v>
      </c>
      <c r="G292" s="37">
        <f t="shared" si="273"/>
        <v>5.8131223577223681E-2</v>
      </c>
      <c r="H292">
        <v>2.2847800000000001E-2</v>
      </c>
      <c r="I292" s="3">
        <f t="shared" si="340"/>
        <v>2.2847800000000003E-4</v>
      </c>
      <c r="J292" s="11">
        <f>+'Seat capacity elasticities'!K322</f>
        <v>1.6424970357526374E-2</v>
      </c>
      <c r="K292" s="11">
        <f>+'Seat capacity elasticities'!L322</f>
        <v>8.1498620397352506E-2</v>
      </c>
      <c r="L292" s="11">
        <f>+'Seat capacity elasticities'!M322</f>
        <v>4.5064900619927961E-2</v>
      </c>
      <c r="M292" s="11">
        <f>+'Seat capacity elasticities'!N322</f>
        <v>9.6511524154759554E-2</v>
      </c>
      <c r="N292" s="32">
        <f t="shared" si="284"/>
        <v>35299113.202802822</v>
      </c>
      <c r="O292" s="33">
        <f t="shared" si="285"/>
        <v>1.6424970357526377E-4</v>
      </c>
      <c r="P292" s="40">
        <f t="shared" si="286"/>
        <v>175149724.14913118</v>
      </c>
      <c r="Q292" s="33">
        <f t="shared" si="287"/>
        <v>8.149862039735251E-4</v>
      </c>
      <c r="R292" s="40">
        <f t="shared" si="288"/>
        <v>140884596.21205601</v>
      </c>
      <c r="S292" s="41">
        <f t="shared" si="289"/>
        <v>4.5064900619927971E-4</v>
      </c>
      <c r="T292" s="40">
        <f t="shared" si="290"/>
        <v>301720117.50405866</v>
      </c>
      <c r="U292" s="41">
        <f t="shared" si="291"/>
        <v>9.6511524154759573E-4</v>
      </c>
      <c r="X292" t="s">
        <v>337</v>
      </c>
      <c r="Y292">
        <v>5377936</v>
      </c>
      <c r="Z292">
        <v>3904006</v>
      </c>
      <c r="AA292" s="51">
        <v>55048.91</v>
      </c>
      <c r="AB292" s="32">
        <f t="shared" si="275"/>
        <v>214911274933.46002</v>
      </c>
      <c r="AC292">
        <v>312626</v>
      </c>
      <c r="AD292" s="37">
        <f t="shared" si="276"/>
        <v>5.8131223577223681E-2</v>
      </c>
      <c r="AE292">
        <v>2.4515800000000001E-2</v>
      </c>
      <c r="AF292" s="3">
        <f t="shared" si="341"/>
        <v>2.4515799999999999E-4</v>
      </c>
      <c r="AG292" s="11">
        <f>+'Seat capacity elasticities'!R322</f>
        <v>1.6201926610836071E-2</v>
      </c>
      <c r="AH292" s="11">
        <f>+'Seat capacity elasticities'!S322</f>
        <v>3.0707132547953521E-2</v>
      </c>
      <c r="AI292" s="11">
        <f>+'Seat capacity elasticities'!T322</f>
        <v>4.4452939437672971E-2</v>
      </c>
      <c r="AJ292" s="11">
        <f>+'Seat capacity elasticities'!U322</f>
        <v>3.636370959626075E-2</v>
      </c>
      <c r="AK292" s="32">
        <f t="shared" si="292"/>
        <v>34819767.043131337</v>
      </c>
      <c r="AL292" s="33">
        <f t="shared" si="293"/>
        <v>1.6201926610836075E-4</v>
      </c>
      <c r="AM292" s="40">
        <f t="shared" si="294"/>
        <v>65993090.054314382</v>
      </c>
      <c r="AN292" s="33">
        <f t="shared" si="295"/>
        <v>3.0707132547953521E-4</v>
      </c>
      <c r="AO292" s="40">
        <f t="shared" si="296"/>
        <v>138971446.44641951</v>
      </c>
      <c r="AP292" s="41">
        <f t="shared" si="297"/>
        <v>4.4452939437672972E-4</v>
      </c>
      <c r="AQ292" s="40">
        <f t="shared" si="298"/>
        <v>113682410.76240616</v>
      </c>
      <c r="AR292" s="41">
        <f t="shared" si="299"/>
        <v>3.6363709596260759E-4</v>
      </c>
      <c r="AV292" t="s">
        <v>337</v>
      </c>
      <c r="AW292">
        <v>5377936</v>
      </c>
      <c r="AX292">
        <v>3904006</v>
      </c>
      <c r="AY292" s="51">
        <v>55048.91</v>
      </c>
      <c r="AZ292" s="32">
        <f t="shared" si="278"/>
        <v>214911274933.46002</v>
      </c>
      <c r="BA292">
        <v>312626</v>
      </c>
      <c r="BB292" s="37">
        <f t="shared" si="279"/>
        <v>5.8131223577223681E-2</v>
      </c>
      <c r="BC292">
        <v>2.2847800000000001E-2</v>
      </c>
      <c r="BD292" s="3">
        <f t="shared" si="342"/>
        <v>2.2847800000000003E-4</v>
      </c>
      <c r="BE292" s="11">
        <f>+'Seat capacity elasticities'!Y322</f>
        <v>8.5928947833752323E-2</v>
      </c>
      <c r="BF292" s="11">
        <f>+'Seat capacity elasticities'!Z322</f>
        <v>0.23440066740350388</v>
      </c>
      <c r="BG292" s="11">
        <f>+'Seat capacity elasticities'!AA322</f>
        <v>0.23576173412870674</v>
      </c>
      <c r="BH292" s="11">
        <f>+'Seat capacity elasticities'!AB322</f>
        <v>0.27757973771467565</v>
      </c>
      <c r="BI292" s="32">
        <f t="shared" si="300"/>
        <v>184670997.32642493</v>
      </c>
      <c r="BJ292" s="33">
        <f t="shared" si="301"/>
        <v>8.592894783375234E-4</v>
      </c>
      <c r="BK292" s="40">
        <f t="shared" si="302"/>
        <v>503753462.76940948</v>
      </c>
      <c r="BL292" s="33">
        <f t="shared" si="303"/>
        <v>2.3440066740350392E-3</v>
      </c>
      <c r="BM292" s="40">
        <f t="shared" si="304"/>
        <v>737052478.93721068</v>
      </c>
      <c r="BN292" s="41">
        <f t="shared" si="305"/>
        <v>2.357617341287067E-3</v>
      </c>
      <c r="BO292" s="40">
        <f t="shared" si="306"/>
        <v>867786430.82788193</v>
      </c>
      <c r="BP292" s="41">
        <f t="shared" si="307"/>
        <v>2.7757973771467565E-3</v>
      </c>
      <c r="BQ292" s="52"/>
      <c r="BR292" s="52"/>
      <c r="BS292" t="s">
        <v>337</v>
      </c>
      <c r="BT292">
        <v>5377936</v>
      </c>
      <c r="BU292">
        <v>3904006</v>
      </c>
      <c r="BV292" s="51">
        <v>55048.91</v>
      </c>
      <c r="BW292" s="32">
        <f t="shared" si="281"/>
        <v>214911274933.46002</v>
      </c>
      <c r="BX292">
        <v>312626</v>
      </c>
      <c r="BY292" s="37">
        <f t="shared" si="282"/>
        <v>5.8131223577223681E-2</v>
      </c>
      <c r="BZ292">
        <v>2.4515800000000001E-2</v>
      </c>
      <c r="CA292" s="3">
        <f t="shared" si="343"/>
        <v>2.4515799999999999E-4</v>
      </c>
      <c r="CB292" s="11">
        <f>+'Seat capacity elasticities'!AF322</f>
        <v>9.6777976544106976E-3</v>
      </c>
      <c r="CC292" s="11">
        <f>+'Seat capacity elasticities'!AG322</f>
        <v>7.7333635943681745E-3</v>
      </c>
      <c r="CD292" s="11">
        <f>+'Seat capacity elasticities'!AH322</f>
        <v>2.6552802228708053E-2</v>
      </c>
      <c r="CE292" s="11">
        <f>+'Seat capacity elasticities'!AI322</f>
        <v>9.1579305722781015E-3</v>
      </c>
      <c r="CF292" s="32">
        <f t="shared" si="308"/>
        <v>20798678.324574523</v>
      </c>
      <c r="CG292" s="33">
        <f t="shared" si="309"/>
        <v>9.6777976544106984E-5</v>
      </c>
      <c r="CH292" s="40">
        <f t="shared" si="310"/>
        <v>16619870.295896696</v>
      </c>
      <c r="CI292" s="33">
        <f t="shared" si="311"/>
        <v>7.7333635943681761E-5</v>
      </c>
      <c r="CJ292" s="40">
        <f t="shared" si="312"/>
        <v>83010963.495520845</v>
      </c>
      <c r="CK292" s="41">
        <f t="shared" si="313"/>
        <v>2.6552802228708056E-4</v>
      </c>
      <c r="CL292" s="40">
        <f t="shared" si="314"/>
        <v>28630072.030890144</v>
      </c>
      <c r="CM292" s="41">
        <f t="shared" si="315"/>
        <v>9.1579305722781047E-5</v>
      </c>
      <c r="CO292" s="70">
        <f t="shared" si="316"/>
        <v>9.0417671496413732</v>
      </c>
      <c r="CP292" s="70">
        <f t="shared" si="317"/>
        <v>47.302949156949282</v>
      </c>
      <c r="CQ292" s="70">
        <f t="shared" si="318"/>
        <v>56.344716306590655</v>
      </c>
      <c r="CR292" s="70">
        <f t="shared" si="319"/>
        <v>44.864102193780226</v>
      </c>
      <c r="CS292" s="70">
        <f t="shared" si="320"/>
        <v>129.03501243835422</v>
      </c>
      <c r="CT292" s="70">
        <f t="shared" si="321"/>
        <v>173.89911463213446</v>
      </c>
      <c r="CU292" s="69">
        <f t="shared" si="322"/>
        <v>36.087187420320568</v>
      </c>
      <c r="CV292" s="69">
        <f t="shared" si="323"/>
        <v>188.79388990109408</v>
      </c>
      <c r="CW292" s="70">
        <f t="shared" si="324"/>
        <v>224.88107732141464</v>
      </c>
      <c r="CX292" s="69">
        <f t="shared" si="325"/>
        <v>77.284747386161456</v>
      </c>
      <c r="CY292" s="69">
        <f t="shared" si="326"/>
        <v>222.28101873508442</v>
      </c>
      <c r="CZ292" s="70">
        <f t="shared" si="327"/>
        <v>299.56576612124587</v>
      </c>
      <c r="DB292" s="70">
        <f t="shared" si="328"/>
        <v>8.9189839982652011</v>
      </c>
      <c r="DC292" s="70">
        <f t="shared" si="329"/>
        <v>5.3275221207586574</v>
      </c>
      <c r="DD292" s="70">
        <f t="shared" si="330"/>
        <v>14.246506119023859</v>
      </c>
      <c r="DE292" s="70">
        <f t="shared" si="331"/>
        <v>16.903941759903642</v>
      </c>
      <c r="DF292" s="70">
        <f t="shared" si="332"/>
        <v>4.2571323650365027</v>
      </c>
      <c r="DG292" s="70">
        <f t="shared" si="333"/>
        <v>21.161074124940143</v>
      </c>
      <c r="DH292" s="69">
        <f t="shared" si="334"/>
        <v>35.597139565466733</v>
      </c>
      <c r="DI292" s="69">
        <f t="shared" si="335"/>
        <v>21.263021495233573</v>
      </c>
      <c r="DJ292" s="70">
        <f t="shared" si="336"/>
        <v>56.860161060700307</v>
      </c>
      <c r="DK292" s="69">
        <f t="shared" si="337"/>
        <v>29.11942521666364</v>
      </c>
      <c r="DL292" s="69">
        <f t="shared" si="338"/>
        <v>7.3335112781307572</v>
      </c>
      <c r="DM292" s="70">
        <f t="shared" si="339"/>
        <v>36.4529364947944</v>
      </c>
    </row>
    <row r="293" spans="1:117">
      <c r="A293" t="s">
        <v>530</v>
      </c>
      <c r="B293">
        <v>163659</v>
      </c>
      <c r="C293">
        <v>113542</v>
      </c>
      <c r="D293" s="51">
        <v>34509.769999999997</v>
      </c>
      <c r="E293" s="32">
        <f t="shared" si="272"/>
        <v>3918308305.3399997</v>
      </c>
      <c r="F293">
        <v>6724</v>
      </c>
      <c r="G293" s="37">
        <f t="shared" si="273"/>
        <v>4.108542762695605E-2</v>
      </c>
      <c r="H293">
        <v>0</v>
      </c>
      <c r="I293" s="3">
        <f t="shared" si="340"/>
        <v>0</v>
      </c>
      <c r="J293" s="11">
        <f>+'Seat capacity elasticities'!K323</f>
        <v>0</v>
      </c>
      <c r="K293" s="11">
        <f>+'Seat capacity elasticities'!L323</f>
        <v>0</v>
      </c>
      <c r="L293" s="11">
        <f>+'Seat capacity elasticities'!M323</f>
        <v>0</v>
      </c>
      <c r="M293" s="11">
        <f>+'Seat capacity elasticities'!N323</f>
        <v>0</v>
      </c>
      <c r="N293" s="32">
        <f t="shared" si="284"/>
        <v>0</v>
      </c>
      <c r="O293" s="33">
        <f t="shared" si="285"/>
        <v>0</v>
      </c>
      <c r="P293" s="40">
        <f t="shared" si="286"/>
        <v>0</v>
      </c>
      <c r="Q293" s="33">
        <f t="shared" si="287"/>
        <v>0</v>
      </c>
      <c r="R293" s="40">
        <f t="shared" si="288"/>
        <v>0</v>
      </c>
      <c r="S293" s="41">
        <f t="shared" si="289"/>
        <v>0</v>
      </c>
      <c r="T293" s="40">
        <f t="shared" si="290"/>
        <v>0</v>
      </c>
      <c r="U293" s="41">
        <f t="shared" si="291"/>
        <v>0</v>
      </c>
      <c r="X293" t="s">
        <v>530</v>
      </c>
      <c r="Y293">
        <v>163659</v>
      </c>
      <c r="Z293">
        <v>113542</v>
      </c>
      <c r="AA293" s="51">
        <v>34509.769999999997</v>
      </c>
      <c r="AB293" s="32">
        <f t="shared" si="275"/>
        <v>3918308305.3399997</v>
      </c>
      <c r="AC293">
        <v>6724</v>
      </c>
      <c r="AD293" s="37">
        <f t="shared" si="276"/>
        <v>4.108542762695605E-2</v>
      </c>
      <c r="AE293">
        <v>3.1516000000000001E-3</v>
      </c>
      <c r="AF293" s="3">
        <f t="shared" si="341"/>
        <v>3.1516000000000001E-5</v>
      </c>
      <c r="AG293" s="11">
        <f>+'Seat capacity elasticities'!R323</f>
        <v>1.0283624573574178E-2</v>
      </c>
      <c r="AH293" s="11">
        <f>+'Seat capacity elasticities'!S323</f>
        <v>1.9490313123806887E-2</v>
      </c>
      <c r="AI293" s="11">
        <f>+'Seat capacity elasticities'!T323</f>
        <v>2.8214998830023014E-2</v>
      </c>
      <c r="AJ293" s="11">
        <f>+'Seat capacity elasticities'!U323</f>
        <v>2.3080633962402893E-2</v>
      </c>
      <c r="AK293" s="32">
        <f t="shared" si="292"/>
        <v>402944.11575634213</v>
      </c>
      <c r="AL293" s="33">
        <f t="shared" si="293"/>
        <v>1.0283624573574178E-4</v>
      </c>
      <c r="AM293" s="40">
        <f t="shared" si="294"/>
        <v>763690.5578668972</v>
      </c>
      <c r="AN293" s="33">
        <f t="shared" si="295"/>
        <v>1.9490313123806887E-4</v>
      </c>
      <c r="AO293" s="40">
        <f t="shared" si="296"/>
        <v>1897176.5213307478</v>
      </c>
      <c r="AP293" s="41">
        <f t="shared" si="297"/>
        <v>2.8214998830023016E-4</v>
      </c>
      <c r="AQ293" s="40">
        <f t="shared" si="298"/>
        <v>1551941.8276319706</v>
      </c>
      <c r="AR293" s="41">
        <f t="shared" si="299"/>
        <v>2.3080633962402894E-4</v>
      </c>
      <c r="AV293" t="s">
        <v>530</v>
      </c>
      <c r="AW293">
        <v>163659</v>
      </c>
      <c r="AX293">
        <v>113542</v>
      </c>
      <c r="AY293" s="51">
        <v>34509.769999999997</v>
      </c>
      <c r="AZ293" s="32">
        <f t="shared" si="278"/>
        <v>3918308305.3399997</v>
      </c>
      <c r="BA293">
        <v>6724</v>
      </c>
      <c r="BB293" s="37">
        <f t="shared" si="279"/>
        <v>4.108542762695605E-2</v>
      </c>
      <c r="BC293">
        <v>0</v>
      </c>
      <c r="BD293" s="3">
        <f t="shared" si="342"/>
        <v>0</v>
      </c>
      <c r="BE293" s="11">
        <f>+'Seat capacity elasticities'!Y323</f>
        <v>0</v>
      </c>
      <c r="BF293" s="11">
        <f>+'Seat capacity elasticities'!Z323</f>
        <v>0</v>
      </c>
      <c r="BG293" s="11">
        <f>+'Seat capacity elasticities'!AA323</f>
        <v>0</v>
      </c>
      <c r="BH293" s="11">
        <f>+'Seat capacity elasticities'!AB323</f>
        <v>0</v>
      </c>
      <c r="BI293" s="32">
        <f t="shared" si="300"/>
        <v>0</v>
      </c>
      <c r="BJ293" s="33">
        <f t="shared" si="301"/>
        <v>0</v>
      </c>
      <c r="BK293" s="40">
        <f t="shared" si="302"/>
        <v>0</v>
      </c>
      <c r="BL293" s="33">
        <f t="shared" si="303"/>
        <v>0</v>
      </c>
      <c r="BM293" s="40">
        <f t="shared" si="304"/>
        <v>0</v>
      </c>
      <c r="BN293" s="41">
        <f t="shared" si="305"/>
        <v>0</v>
      </c>
      <c r="BO293" s="40">
        <f t="shared" si="306"/>
        <v>0</v>
      </c>
      <c r="BP293" s="41">
        <f t="shared" si="307"/>
        <v>0</v>
      </c>
      <c r="BQ293" s="52"/>
      <c r="BR293" s="52"/>
      <c r="BS293" t="s">
        <v>530</v>
      </c>
      <c r="BT293">
        <v>163659</v>
      </c>
      <c r="BU293">
        <v>113542</v>
      </c>
      <c r="BV293" s="51">
        <v>34509.769999999997</v>
      </c>
      <c r="BW293" s="32">
        <f t="shared" si="281"/>
        <v>3918308305.3399997</v>
      </c>
      <c r="BX293">
        <v>6724</v>
      </c>
      <c r="BY293" s="37">
        <f t="shared" si="282"/>
        <v>4.108542762695605E-2</v>
      </c>
      <c r="BZ293">
        <v>3.1516000000000001E-3</v>
      </c>
      <c r="CA293" s="3">
        <f t="shared" si="343"/>
        <v>3.1516000000000001E-5</v>
      </c>
      <c r="CB293" s="11">
        <f>+'Seat capacity elasticities'!AF323</f>
        <v>4.0882485938323658E-2</v>
      </c>
      <c r="CC293" s="11">
        <f>+'Seat capacity elasticities'!AG323</f>
        <v>3.2668499558741043E-2</v>
      </c>
      <c r="CD293" s="11">
        <f>+'Seat capacity elasticities'!AH323</f>
        <v>0.11216855347698909</v>
      </c>
      <c r="CE293" s="11">
        <f>+'Seat capacity elasticities'!AI323</f>
        <v>3.8686381056403873E-2</v>
      </c>
      <c r="CF293" s="32">
        <f t="shared" si="308"/>
        <v>1601901.8419507933</v>
      </c>
      <c r="CG293" s="33">
        <f t="shared" si="309"/>
        <v>4.0882485938323657E-4</v>
      </c>
      <c r="CH293" s="40">
        <f t="shared" si="310"/>
        <v>1280052.5314401113</v>
      </c>
      <c r="CI293" s="33">
        <f t="shared" si="311"/>
        <v>3.2668499558741041E-4</v>
      </c>
      <c r="CJ293" s="40">
        <f t="shared" si="312"/>
        <v>7542213.5357927475</v>
      </c>
      <c r="CK293" s="41">
        <f t="shared" si="313"/>
        <v>1.121685534769891E-3</v>
      </c>
      <c r="CL293" s="40">
        <f t="shared" si="314"/>
        <v>2601272.2622325965</v>
      </c>
      <c r="CM293" s="41">
        <f t="shared" si="315"/>
        <v>3.8686381056403878E-4</v>
      </c>
      <c r="CO293" s="70">
        <f t="shared" si="316"/>
        <v>0</v>
      </c>
      <c r="CP293" s="70">
        <f t="shared" si="317"/>
        <v>0</v>
      </c>
      <c r="CQ293" s="70">
        <f t="shared" si="318"/>
        <v>0</v>
      </c>
      <c r="CR293" s="70">
        <f t="shared" si="319"/>
        <v>0</v>
      </c>
      <c r="CS293" s="70">
        <f t="shared" si="320"/>
        <v>0</v>
      </c>
      <c r="CT293" s="70">
        <f t="shared" si="321"/>
        <v>0</v>
      </c>
      <c r="CU293" s="69">
        <f t="shared" si="322"/>
        <v>0</v>
      </c>
      <c r="CV293" s="69">
        <f t="shared" si="323"/>
        <v>0</v>
      </c>
      <c r="CW293" s="70">
        <f t="shared" si="324"/>
        <v>0</v>
      </c>
      <c r="CX293" s="69">
        <f t="shared" si="325"/>
        <v>0</v>
      </c>
      <c r="CY293" s="69">
        <f t="shared" si="326"/>
        <v>0</v>
      </c>
      <c r="CZ293" s="70">
        <f t="shared" si="327"/>
        <v>0</v>
      </c>
      <c r="DB293" s="70">
        <f t="shared" si="328"/>
        <v>3.5488551880039294</v>
      </c>
      <c r="DC293" s="70">
        <f t="shared" si="329"/>
        <v>14.108451867597834</v>
      </c>
      <c r="DD293" s="70">
        <f t="shared" si="330"/>
        <v>17.657307055601763</v>
      </c>
      <c r="DE293" s="70">
        <f t="shared" si="331"/>
        <v>6.7260622313055718</v>
      </c>
      <c r="DF293" s="70">
        <f t="shared" si="332"/>
        <v>11.273824060172547</v>
      </c>
      <c r="DG293" s="70">
        <f t="shared" si="333"/>
        <v>17.99988629147812</v>
      </c>
      <c r="DH293" s="69">
        <f t="shared" si="334"/>
        <v>16.70902856503098</v>
      </c>
      <c r="DI293" s="69">
        <f t="shared" si="335"/>
        <v>66.426639796663324</v>
      </c>
      <c r="DJ293" s="70">
        <f t="shared" si="336"/>
        <v>83.1356683616943</v>
      </c>
      <c r="DK293" s="69">
        <f t="shared" si="337"/>
        <v>13.668438354370812</v>
      </c>
      <c r="DL293" s="69">
        <f t="shared" si="338"/>
        <v>22.910220554795551</v>
      </c>
      <c r="DM293" s="70">
        <f t="shared" si="339"/>
        <v>36.578658909166364</v>
      </c>
    </row>
    <row r="294" spans="1:117">
      <c r="A294" t="s">
        <v>531</v>
      </c>
      <c r="B294">
        <v>131043</v>
      </c>
      <c r="C294">
        <v>92289</v>
      </c>
      <c r="D294" s="51">
        <v>35303.300000000003</v>
      </c>
      <c r="E294" s="32">
        <f t="shared" si="272"/>
        <v>3258106253.7000003</v>
      </c>
      <c r="F294">
        <v>5099</v>
      </c>
      <c r="G294" s="37">
        <f t="shared" si="273"/>
        <v>3.8910891844661677E-2</v>
      </c>
      <c r="H294">
        <v>0</v>
      </c>
      <c r="I294" s="3">
        <f t="shared" si="340"/>
        <v>0</v>
      </c>
      <c r="J294" s="11">
        <f>+'Seat capacity elasticities'!K324</f>
        <v>0</v>
      </c>
      <c r="K294" s="11">
        <f>+'Seat capacity elasticities'!L324</f>
        <v>0</v>
      </c>
      <c r="L294" s="11">
        <f>+'Seat capacity elasticities'!M324</f>
        <v>0</v>
      </c>
      <c r="M294" s="11">
        <f>+'Seat capacity elasticities'!N324</f>
        <v>0</v>
      </c>
      <c r="N294" s="32">
        <f t="shared" si="284"/>
        <v>0</v>
      </c>
      <c r="O294" s="33">
        <f t="shared" si="285"/>
        <v>0</v>
      </c>
      <c r="P294" s="40">
        <f t="shared" si="286"/>
        <v>0</v>
      </c>
      <c r="Q294" s="33">
        <f t="shared" si="287"/>
        <v>0</v>
      </c>
      <c r="R294" s="40">
        <f t="shared" si="288"/>
        <v>0</v>
      </c>
      <c r="S294" s="41">
        <f t="shared" si="289"/>
        <v>0</v>
      </c>
      <c r="T294" s="40">
        <f t="shared" si="290"/>
        <v>0</v>
      </c>
      <c r="U294" s="41">
        <f t="shared" si="291"/>
        <v>0</v>
      </c>
      <c r="X294" t="s">
        <v>531</v>
      </c>
      <c r="Y294">
        <v>131043</v>
      </c>
      <c r="Z294">
        <v>92289</v>
      </c>
      <c r="AA294" s="51">
        <v>35303.300000000003</v>
      </c>
      <c r="AB294" s="32">
        <f t="shared" si="275"/>
        <v>3258106253.7000003</v>
      </c>
      <c r="AC294">
        <v>5099</v>
      </c>
      <c r="AD294" s="37">
        <f t="shared" si="276"/>
        <v>3.8910891844661677E-2</v>
      </c>
      <c r="AE294">
        <v>8.7311999999999997E-3</v>
      </c>
      <c r="AF294" s="3">
        <f t="shared" si="341"/>
        <v>8.7311999999999993E-5</v>
      </c>
      <c r="AG294" s="11">
        <f>+'Seat capacity elasticities'!R324</f>
        <v>1.5205253699047419E-2</v>
      </c>
      <c r="AH294" s="11">
        <f>+'Seat capacity elasticities'!S324</f>
        <v>2.8818161690081601E-2</v>
      </c>
      <c r="AI294" s="11">
        <f>+'Seat capacity elasticities'!T324</f>
        <v>4.1718385600274507E-2</v>
      </c>
      <c r="AJ294" s="11">
        <f>+'Seat capacity elasticities'!U324</f>
        <v>3.4126770422465057E-2</v>
      </c>
      <c r="AK294" s="32">
        <f t="shared" si="292"/>
        <v>495403.32165961462</v>
      </c>
      <c r="AL294" s="33">
        <f t="shared" si="293"/>
        <v>1.5205253699047421E-4</v>
      </c>
      <c r="AM294" s="40">
        <f t="shared" si="294"/>
        <v>938926.32822592638</v>
      </c>
      <c r="AN294" s="33">
        <f t="shared" si="295"/>
        <v>2.88181616900816E-4</v>
      </c>
      <c r="AO294" s="40">
        <f t="shared" si="296"/>
        <v>2127220.4817579975</v>
      </c>
      <c r="AP294" s="41">
        <f t="shared" si="297"/>
        <v>4.1718385600274515E-4</v>
      </c>
      <c r="AQ294" s="40">
        <f t="shared" si="298"/>
        <v>1740124.0238414935</v>
      </c>
      <c r="AR294" s="41">
        <f t="shared" si="299"/>
        <v>3.4126770422465062E-4</v>
      </c>
      <c r="AV294" t="s">
        <v>531</v>
      </c>
      <c r="AW294">
        <v>131043</v>
      </c>
      <c r="AX294">
        <v>92289</v>
      </c>
      <c r="AY294" s="51">
        <v>35303.300000000003</v>
      </c>
      <c r="AZ294" s="32">
        <f t="shared" si="278"/>
        <v>3258106253.7000003</v>
      </c>
      <c r="BA294">
        <v>5099</v>
      </c>
      <c r="BB294" s="37">
        <f t="shared" si="279"/>
        <v>3.8910891844661677E-2</v>
      </c>
      <c r="BC294">
        <v>0</v>
      </c>
      <c r="BD294" s="3">
        <f t="shared" si="342"/>
        <v>0</v>
      </c>
      <c r="BE294" s="11">
        <f>+'Seat capacity elasticities'!Y324</f>
        <v>0</v>
      </c>
      <c r="BF294" s="11">
        <f>+'Seat capacity elasticities'!Z324</f>
        <v>0</v>
      </c>
      <c r="BG294" s="11">
        <f>+'Seat capacity elasticities'!AA324</f>
        <v>0</v>
      </c>
      <c r="BH294" s="11">
        <f>+'Seat capacity elasticities'!AB324</f>
        <v>0</v>
      </c>
      <c r="BI294" s="32">
        <f t="shared" si="300"/>
        <v>0</v>
      </c>
      <c r="BJ294" s="33">
        <f t="shared" si="301"/>
        <v>0</v>
      </c>
      <c r="BK294" s="40">
        <f t="shared" si="302"/>
        <v>0</v>
      </c>
      <c r="BL294" s="33">
        <f t="shared" si="303"/>
        <v>0</v>
      </c>
      <c r="BM294" s="40">
        <f t="shared" si="304"/>
        <v>0</v>
      </c>
      <c r="BN294" s="41">
        <f t="shared" si="305"/>
        <v>0</v>
      </c>
      <c r="BO294" s="40">
        <f t="shared" si="306"/>
        <v>0</v>
      </c>
      <c r="BP294" s="41">
        <f t="shared" si="307"/>
        <v>0</v>
      </c>
      <c r="BQ294" s="52"/>
      <c r="BR294" s="52"/>
      <c r="BS294" t="s">
        <v>531</v>
      </c>
      <c r="BT294">
        <v>131043</v>
      </c>
      <c r="BU294">
        <v>92289</v>
      </c>
      <c r="BV294" s="51">
        <v>35303.300000000003</v>
      </c>
      <c r="BW294" s="32">
        <f t="shared" si="281"/>
        <v>3258106253.7000003</v>
      </c>
      <c r="BX294">
        <v>5099</v>
      </c>
      <c r="BY294" s="37">
        <f t="shared" si="282"/>
        <v>3.8910891844661677E-2</v>
      </c>
      <c r="BZ294">
        <v>8.7311999999999997E-3</v>
      </c>
      <c r="CA294" s="3">
        <f t="shared" si="343"/>
        <v>8.7311999999999993E-5</v>
      </c>
      <c r="CB294" s="11">
        <f>+'Seat capacity elasticities'!AF324</f>
        <v>0.14145106020287371</v>
      </c>
      <c r="CC294" s="11">
        <f>+'Seat capacity elasticities'!AG324</f>
        <v>0.11303113770508917</v>
      </c>
      <c r="CD294" s="11">
        <f>+'Seat capacity elasticities'!AH324</f>
        <v>0.38809677167575463</v>
      </c>
      <c r="CE294" s="11">
        <f>+'Seat capacity elasticities'!AI324</f>
        <v>0.13385266307181612</v>
      </c>
      <c r="CF294" s="32">
        <f t="shared" si="308"/>
        <v>4608625.8383947806</v>
      </c>
      <c r="CG294" s="33">
        <f t="shared" si="309"/>
        <v>1.4145106020287371E-3</v>
      </c>
      <c r="CH294" s="40">
        <f t="shared" si="310"/>
        <v>3682674.5661977693</v>
      </c>
      <c r="CI294" s="33">
        <f t="shared" si="311"/>
        <v>1.1303113770508918E-3</v>
      </c>
      <c r="CJ294" s="40">
        <f t="shared" si="312"/>
        <v>19789054.387746733</v>
      </c>
      <c r="CK294" s="41">
        <f t="shared" si="313"/>
        <v>3.8809677167575469E-3</v>
      </c>
      <c r="CL294" s="40">
        <f t="shared" si="314"/>
        <v>6825147.2900319034</v>
      </c>
      <c r="CM294" s="41">
        <f t="shared" si="315"/>
        <v>1.3385266307181611E-3</v>
      </c>
      <c r="CO294" s="70">
        <f t="shared" si="316"/>
        <v>0</v>
      </c>
      <c r="CP294" s="70">
        <f t="shared" si="317"/>
        <v>0</v>
      </c>
      <c r="CQ294" s="70">
        <f t="shared" si="318"/>
        <v>0</v>
      </c>
      <c r="CR294" s="70">
        <f t="shared" si="319"/>
        <v>0</v>
      </c>
      <c r="CS294" s="70">
        <f t="shared" si="320"/>
        <v>0</v>
      </c>
      <c r="CT294" s="70">
        <f t="shared" si="321"/>
        <v>0</v>
      </c>
      <c r="CU294" s="69">
        <f t="shared" si="322"/>
        <v>0</v>
      </c>
      <c r="CV294" s="69">
        <f t="shared" si="323"/>
        <v>0</v>
      </c>
      <c r="CW294" s="70">
        <f t="shared" si="324"/>
        <v>0</v>
      </c>
      <c r="CX294" s="69">
        <f t="shared" si="325"/>
        <v>0</v>
      </c>
      <c r="CY294" s="69">
        <f t="shared" si="326"/>
        <v>0</v>
      </c>
      <c r="CZ294" s="70">
        <f t="shared" si="327"/>
        <v>0</v>
      </c>
      <c r="DB294" s="70">
        <f t="shared" si="328"/>
        <v>5.3679563291358088</v>
      </c>
      <c r="DC294" s="70">
        <f t="shared" si="329"/>
        <v>49.936892136601116</v>
      </c>
      <c r="DD294" s="70">
        <f t="shared" si="330"/>
        <v>55.304848465736924</v>
      </c>
      <c r="DE294" s="70">
        <f t="shared" si="331"/>
        <v>10.173762075934579</v>
      </c>
      <c r="DF294" s="70">
        <f t="shared" si="332"/>
        <v>39.903721637440746</v>
      </c>
      <c r="DG294" s="70">
        <f t="shared" si="333"/>
        <v>50.077483713375329</v>
      </c>
      <c r="DH294" s="69">
        <f t="shared" si="334"/>
        <v>23.049556087486021</v>
      </c>
      <c r="DI294" s="69">
        <f t="shared" si="335"/>
        <v>214.4248435647448</v>
      </c>
      <c r="DJ294" s="70">
        <f t="shared" si="336"/>
        <v>237.47439965223083</v>
      </c>
      <c r="DK294" s="69">
        <f t="shared" si="337"/>
        <v>18.85516176187296</v>
      </c>
      <c r="DL294" s="69">
        <f t="shared" si="338"/>
        <v>73.954071341458928</v>
      </c>
      <c r="DM294" s="70">
        <f t="shared" si="339"/>
        <v>92.809233103331891</v>
      </c>
    </row>
    <row r="295" spans="1:117">
      <c r="A295" t="s">
        <v>1009</v>
      </c>
      <c r="B295">
        <v>121682</v>
      </c>
      <c r="C295">
        <v>58501</v>
      </c>
      <c r="D295" s="51">
        <v>30707.5</v>
      </c>
      <c r="E295" s="32">
        <f t="shared" si="272"/>
        <v>1796419457.5</v>
      </c>
      <c r="F295">
        <v>3325</v>
      </c>
      <c r="G295" s="37">
        <f t="shared" si="273"/>
        <v>2.7325323383902304E-2</v>
      </c>
      <c r="H295">
        <v>0</v>
      </c>
      <c r="I295" s="3">
        <f t="shared" si="340"/>
        <v>0</v>
      </c>
      <c r="J295" s="11">
        <f>+'Seat capacity elasticities'!K325</f>
        <v>0</v>
      </c>
      <c r="K295" s="11">
        <f>+'Seat capacity elasticities'!L325</f>
        <v>0</v>
      </c>
      <c r="L295" s="11">
        <f>+'Seat capacity elasticities'!M325</f>
        <v>0</v>
      </c>
      <c r="M295" s="11">
        <f>+'Seat capacity elasticities'!N325</f>
        <v>0</v>
      </c>
      <c r="N295" s="32">
        <f t="shared" si="284"/>
        <v>0</v>
      </c>
      <c r="O295" s="33">
        <f t="shared" si="285"/>
        <v>0</v>
      </c>
      <c r="P295" s="40">
        <f t="shared" si="286"/>
        <v>0</v>
      </c>
      <c r="Q295" s="33">
        <f t="shared" si="287"/>
        <v>0</v>
      </c>
      <c r="R295" s="40">
        <f t="shared" si="288"/>
        <v>0</v>
      </c>
      <c r="S295" s="41">
        <f t="shared" si="289"/>
        <v>0</v>
      </c>
      <c r="T295" s="40">
        <f t="shared" si="290"/>
        <v>0</v>
      </c>
      <c r="U295" s="41">
        <f t="shared" si="291"/>
        <v>0</v>
      </c>
      <c r="X295" t="s">
        <v>1009</v>
      </c>
      <c r="Y295">
        <v>121682</v>
      </c>
      <c r="Z295">
        <v>58501</v>
      </c>
      <c r="AA295" s="51">
        <v>30707.5</v>
      </c>
      <c r="AB295" s="32">
        <f t="shared" si="275"/>
        <v>1796419457.5</v>
      </c>
      <c r="AC295">
        <v>3325</v>
      </c>
      <c r="AD295" s="37">
        <f t="shared" si="276"/>
        <v>2.7325323383902304E-2</v>
      </c>
      <c r="AE295">
        <v>1.7906E-3</v>
      </c>
      <c r="AF295" s="3">
        <f t="shared" si="341"/>
        <v>1.7906000000000001E-5</v>
      </c>
      <c r="AG295" s="11">
        <f>+'Seat capacity elasticities'!R325</f>
        <v>8.240158539794212E-3</v>
      </c>
      <c r="AH295" s="11">
        <f>+'Seat capacity elasticities'!S325</f>
        <v>1.5617379745960645E-2</v>
      </c>
      <c r="AI295" s="11">
        <f>+'Seat capacity elasticities'!T325</f>
        <v>2.2608377221096033E-2</v>
      </c>
      <c r="AJ295" s="11">
        <f>+'Seat capacity elasticities'!U325</f>
        <v>1.8494265488637605E-2</v>
      </c>
      <c r="AK295" s="32">
        <f t="shared" si="292"/>
        <v>148027.81133771109</v>
      </c>
      <c r="AL295" s="33">
        <f t="shared" si="293"/>
        <v>8.2401585397942116E-5</v>
      </c>
      <c r="AM295" s="40">
        <f t="shared" si="294"/>
        <v>280553.64850810106</v>
      </c>
      <c r="AN295" s="33">
        <f t="shared" si="295"/>
        <v>1.5617379745960642E-4</v>
      </c>
      <c r="AO295" s="40">
        <f t="shared" si="296"/>
        <v>751728.54260144301</v>
      </c>
      <c r="AP295" s="41">
        <f t="shared" si="297"/>
        <v>2.2608377221096029E-4</v>
      </c>
      <c r="AQ295" s="40">
        <f t="shared" si="298"/>
        <v>614934.32749720046</v>
      </c>
      <c r="AR295" s="41">
        <f t="shared" si="299"/>
        <v>1.8494265488637609E-4</v>
      </c>
      <c r="AV295" t="s">
        <v>1009</v>
      </c>
      <c r="AW295">
        <v>121682</v>
      </c>
      <c r="AX295">
        <v>58501</v>
      </c>
      <c r="AY295" s="51">
        <v>30707.5</v>
      </c>
      <c r="AZ295" s="32">
        <f t="shared" si="278"/>
        <v>1796419457.5</v>
      </c>
      <c r="BA295">
        <v>3325</v>
      </c>
      <c r="BB295" s="37">
        <f t="shared" si="279"/>
        <v>2.7325323383902304E-2</v>
      </c>
      <c r="BC295">
        <v>0</v>
      </c>
      <c r="BD295" s="3">
        <f t="shared" si="342"/>
        <v>0</v>
      </c>
      <c r="BE295" s="11">
        <f>+'Seat capacity elasticities'!Y325</f>
        <v>0</v>
      </c>
      <c r="BF295" s="11">
        <f>+'Seat capacity elasticities'!Z325</f>
        <v>0</v>
      </c>
      <c r="BG295" s="11">
        <f>+'Seat capacity elasticities'!AA325</f>
        <v>0</v>
      </c>
      <c r="BH295" s="11">
        <f>+'Seat capacity elasticities'!AB325</f>
        <v>0</v>
      </c>
      <c r="BI295" s="32">
        <f t="shared" si="300"/>
        <v>0</v>
      </c>
      <c r="BJ295" s="33">
        <f t="shared" si="301"/>
        <v>0</v>
      </c>
      <c r="BK295" s="40">
        <f t="shared" si="302"/>
        <v>0</v>
      </c>
      <c r="BL295" s="33">
        <f t="shared" si="303"/>
        <v>0</v>
      </c>
      <c r="BM295" s="40">
        <f t="shared" si="304"/>
        <v>0</v>
      </c>
      <c r="BN295" s="41">
        <f t="shared" si="305"/>
        <v>0</v>
      </c>
      <c r="BO295" s="40">
        <f t="shared" si="306"/>
        <v>0</v>
      </c>
      <c r="BP295" s="41">
        <f t="shared" si="307"/>
        <v>0</v>
      </c>
      <c r="BQ295" s="52"/>
      <c r="BR295" s="52"/>
      <c r="BS295" t="s">
        <v>1009</v>
      </c>
      <c r="BT295">
        <v>121682</v>
      </c>
      <c r="BU295">
        <v>58501</v>
      </c>
      <c r="BV295" s="51">
        <v>30707.5</v>
      </c>
      <c r="BW295" s="32">
        <f t="shared" si="281"/>
        <v>1796419457.5</v>
      </c>
      <c r="BX295">
        <v>3325</v>
      </c>
      <c r="BY295" s="37">
        <f t="shared" si="282"/>
        <v>2.7325323383902304E-2</v>
      </c>
      <c r="BZ295">
        <v>1.7906E-3</v>
      </c>
      <c r="CA295" s="3">
        <f t="shared" si="343"/>
        <v>1.7906000000000001E-5</v>
      </c>
      <c r="CB295" s="11">
        <f>+'Seat capacity elasticities'!AF325</f>
        <v>3.124052605507463E-2</v>
      </c>
      <c r="CC295" s="11">
        <f>+'Seat capacity elasticities'!AG325</f>
        <v>2.4963773318107858E-2</v>
      </c>
      <c r="CD295" s="11">
        <f>+'Seat capacity elasticities'!AH325</f>
        <v>8.5714078707063976E-2</v>
      </c>
      <c r="CE295" s="11">
        <f>+'Seat capacity elasticities'!AI325</f>
        <v>2.9562363139864569E-2</v>
      </c>
      <c r="CF295" s="32">
        <f t="shared" si="308"/>
        <v>561210.88867871778</v>
      </c>
      <c r="CG295" s="33">
        <f t="shared" si="309"/>
        <v>3.1240526055074626E-4</v>
      </c>
      <c r="CH295" s="40">
        <f t="shared" si="310"/>
        <v>448454.08121268288</v>
      </c>
      <c r="CI295" s="33">
        <f t="shared" si="311"/>
        <v>2.4963773318107855E-4</v>
      </c>
      <c r="CJ295" s="40">
        <f t="shared" si="312"/>
        <v>2849993.1170098772</v>
      </c>
      <c r="CK295" s="41">
        <f t="shared" si="313"/>
        <v>8.5714078707063983E-4</v>
      </c>
      <c r="CL295" s="40">
        <f t="shared" si="314"/>
        <v>982948.57440049702</v>
      </c>
      <c r="CM295" s="41">
        <f t="shared" si="315"/>
        <v>2.9562363139864573E-4</v>
      </c>
      <c r="CO295" s="70">
        <f t="shared" si="316"/>
        <v>0</v>
      </c>
      <c r="CP295" s="70">
        <f t="shared" si="317"/>
        <v>0</v>
      </c>
      <c r="CQ295" s="70">
        <f t="shared" si="318"/>
        <v>0</v>
      </c>
      <c r="CR295" s="70">
        <f t="shared" si="319"/>
        <v>0</v>
      </c>
      <c r="CS295" s="70">
        <f t="shared" si="320"/>
        <v>0</v>
      </c>
      <c r="CT295" s="70">
        <f t="shared" si="321"/>
        <v>0</v>
      </c>
      <c r="CU295" s="69">
        <f t="shared" si="322"/>
        <v>0</v>
      </c>
      <c r="CV295" s="69">
        <f t="shared" si="323"/>
        <v>0</v>
      </c>
      <c r="CW295" s="70">
        <f t="shared" si="324"/>
        <v>0</v>
      </c>
      <c r="CX295" s="69">
        <f t="shared" si="325"/>
        <v>0</v>
      </c>
      <c r="CY295" s="69">
        <f t="shared" si="326"/>
        <v>0</v>
      </c>
      <c r="CZ295" s="70">
        <f t="shared" si="327"/>
        <v>0</v>
      </c>
      <c r="DB295" s="70">
        <f t="shared" si="328"/>
        <v>2.5303466836073074</v>
      </c>
      <c r="DC295" s="70">
        <f t="shared" si="329"/>
        <v>9.593184538362042</v>
      </c>
      <c r="DD295" s="70">
        <f t="shared" si="330"/>
        <v>12.123531221969349</v>
      </c>
      <c r="DE295" s="70">
        <f t="shared" si="331"/>
        <v>4.7957068854908647</v>
      </c>
      <c r="DF295" s="70">
        <f t="shared" si="332"/>
        <v>7.6657506916579701</v>
      </c>
      <c r="DG295" s="70">
        <f t="shared" si="333"/>
        <v>12.461457577148835</v>
      </c>
      <c r="DH295" s="69">
        <f t="shared" si="334"/>
        <v>12.849840901889593</v>
      </c>
      <c r="DI295" s="69">
        <f t="shared" si="335"/>
        <v>48.716998290796347</v>
      </c>
      <c r="DJ295" s="70">
        <f t="shared" si="336"/>
        <v>61.56683919268594</v>
      </c>
      <c r="DK295" s="69">
        <f t="shared" si="337"/>
        <v>10.511518221862882</v>
      </c>
      <c r="DL295" s="69">
        <f t="shared" si="338"/>
        <v>16.802252515350116</v>
      </c>
      <c r="DM295" s="70">
        <f t="shared" si="339"/>
        <v>27.313770737212998</v>
      </c>
    </row>
    <row r="296" spans="1:117">
      <c r="A296" t="s">
        <v>532</v>
      </c>
      <c r="B296">
        <v>108301</v>
      </c>
      <c r="C296">
        <v>65773</v>
      </c>
      <c r="D296" s="51">
        <v>33550.58</v>
      </c>
      <c r="E296" s="32">
        <f t="shared" si="272"/>
        <v>2206722298.3400002</v>
      </c>
      <c r="F296">
        <v>3203</v>
      </c>
      <c r="G296" s="37">
        <f t="shared" si="273"/>
        <v>2.9574980840435455E-2</v>
      </c>
      <c r="H296">
        <v>0</v>
      </c>
      <c r="I296" s="3">
        <f t="shared" si="340"/>
        <v>0</v>
      </c>
      <c r="J296" s="11">
        <f>+'Seat capacity elasticities'!K326</f>
        <v>0</v>
      </c>
      <c r="K296" s="11">
        <f>+'Seat capacity elasticities'!L326</f>
        <v>0</v>
      </c>
      <c r="L296" s="11">
        <f>+'Seat capacity elasticities'!M326</f>
        <v>0</v>
      </c>
      <c r="M296" s="11">
        <f>+'Seat capacity elasticities'!N326</f>
        <v>0</v>
      </c>
      <c r="N296" s="32">
        <f t="shared" si="284"/>
        <v>0</v>
      </c>
      <c r="O296" s="33">
        <f t="shared" si="285"/>
        <v>0</v>
      </c>
      <c r="P296" s="40">
        <f t="shared" si="286"/>
        <v>0</v>
      </c>
      <c r="Q296" s="33">
        <f t="shared" si="287"/>
        <v>0</v>
      </c>
      <c r="R296" s="40">
        <f t="shared" si="288"/>
        <v>0</v>
      </c>
      <c r="S296" s="41">
        <f t="shared" si="289"/>
        <v>0</v>
      </c>
      <c r="T296" s="40">
        <f t="shared" si="290"/>
        <v>0</v>
      </c>
      <c r="U296" s="41">
        <f t="shared" si="291"/>
        <v>0</v>
      </c>
      <c r="X296" t="s">
        <v>532</v>
      </c>
      <c r="Y296">
        <v>108301</v>
      </c>
      <c r="Z296">
        <v>65773</v>
      </c>
      <c r="AA296" s="51">
        <v>33550.58</v>
      </c>
      <c r="AB296" s="32">
        <f t="shared" si="275"/>
        <v>2206722298.3400002</v>
      </c>
      <c r="AC296">
        <v>3203</v>
      </c>
      <c r="AD296" s="37">
        <f t="shared" si="276"/>
        <v>2.9574980840435455E-2</v>
      </c>
      <c r="AE296">
        <v>1.1289799999999999E-2</v>
      </c>
      <c r="AF296" s="3">
        <f t="shared" si="341"/>
        <v>1.1289799999999999E-4</v>
      </c>
      <c r="AG296" s="11">
        <f>+'Seat capacity elasticities'!R326</f>
        <v>2.5031458106975414E-2</v>
      </c>
      <c r="AH296" s="11">
        <f>+'Seat capacity elasticities'!S326</f>
        <v>4.7441537072841697E-2</v>
      </c>
      <c r="AI296" s="11">
        <f>+'Seat capacity elasticities'!T326</f>
        <v>6.8678368813362145E-2</v>
      </c>
      <c r="AJ296" s="11">
        <f>+'Seat capacity elasticities'!U326</f>
        <v>5.6180767586259901E-2</v>
      </c>
      <c r="AK296" s="32">
        <f t="shared" si="292"/>
        <v>552374.76764626219</v>
      </c>
      <c r="AL296" s="33">
        <f t="shared" si="293"/>
        <v>2.5031458106975418E-4</v>
      </c>
      <c r="AM296" s="40">
        <f t="shared" si="294"/>
        <v>1046902.9772616356</v>
      </c>
      <c r="AN296" s="33">
        <f t="shared" si="295"/>
        <v>4.7441537072841699E-4</v>
      </c>
      <c r="AO296" s="40">
        <f t="shared" si="296"/>
        <v>2199768.1530919895</v>
      </c>
      <c r="AP296" s="41">
        <f t="shared" si="297"/>
        <v>6.8678368813362143E-4</v>
      </c>
      <c r="AQ296" s="40">
        <f t="shared" si="298"/>
        <v>1799469.9857879048</v>
      </c>
      <c r="AR296" s="41">
        <f t="shared" si="299"/>
        <v>5.6180767586259917E-4</v>
      </c>
      <c r="AV296" t="s">
        <v>532</v>
      </c>
      <c r="AW296">
        <v>108301</v>
      </c>
      <c r="AX296">
        <v>65773</v>
      </c>
      <c r="AY296" s="51">
        <v>33550.58</v>
      </c>
      <c r="AZ296" s="32">
        <f t="shared" si="278"/>
        <v>2206722298.3400002</v>
      </c>
      <c r="BA296">
        <v>3203</v>
      </c>
      <c r="BB296" s="37">
        <f t="shared" si="279"/>
        <v>2.9574980840435455E-2</v>
      </c>
      <c r="BC296">
        <v>0</v>
      </c>
      <c r="BD296" s="3">
        <f t="shared" si="342"/>
        <v>0</v>
      </c>
      <c r="BE296" s="11">
        <f>+'Seat capacity elasticities'!Y326</f>
        <v>0</v>
      </c>
      <c r="BF296" s="11">
        <f>+'Seat capacity elasticities'!Z326</f>
        <v>0</v>
      </c>
      <c r="BG296" s="11">
        <f>+'Seat capacity elasticities'!AA326</f>
        <v>0</v>
      </c>
      <c r="BH296" s="11">
        <f>+'Seat capacity elasticities'!AB326</f>
        <v>0</v>
      </c>
      <c r="BI296" s="32">
        <f t="shared" si="300"/>
        <v>0</v>
      </c>
      <c r="BJ296" s="33">
        <f t="shared" si="301"/>
        <v>0</v>
      </c>
      <c r="BK296" s="40">
        <f t="shared" si="302"/>
        <v>0</v>
      </c>
      <c r="BL296" s="33">
        <f t="shared" si="303"/>
        <v>0</v>
      </c>
      <c r="BM296" s="40">
        <f t="shared" si="304"/>
        <v>0</v>
      </c>
      <c r="BN296" s="41">
        <f t="shared" si="305"/>
        <v>0</v>
      </c>
      <c r="BO296" s="40">
        <f t="shared" si="306"/>
        <v>0</v>
      </c>
      <c r="BP296" s="41">
        <f t="shared" si="307"/>
        <v>0</v>
      </c>
      <c r="BQ296" s="52"/>
      <c r="BR296" s="52"/>
      <c r="BS296" t="s">
        <v>532</v>
      </c>
      <c r="BT296">
        <v>108301</v>
      </c>
      <c r="BU296">
        <v>65773</v>
      </c>
      <c r="BV296" s="51">
        <v>33550.58</v>
      </c>
      <c r="BW296" s="32">
        <f t="shared" si="281"/>
        <v>2206722298.3400002</v>
      </c>
      <c r="BX296">
        <v>3203</v>
      </c>
      <c r="BY296" s="37">
        <f t="shared" si="282"/>
        <v>2.9574980840435455E-2</v>
      </c>
      <c r="BZ296">
        <v>1.1289799999999999E-2</v>
      </c>
      <c r="CA296" s="3">
        <f t="shared" si="343"/>
        <v>1.1289799999999999E-4</v>
      </c>
      <c r="CB296" s="11">
        <f>+'Seat capacity elasticities'!AF326</f>
        <v>0.22130940937029694</v>
      </c>
      <c r="CC296" s="11">
        <f>+'Seat capacity elasticities'!AG326</f>
        <v>0.17684458702599237</v>
      </c>
      <c r="CD296" s="11">
        <f>+'Seat capacity elasticities'!AH326</f>
        <v>0.60720271162969564</v>
      </c>
      <c r="CE296" s="11">
        <f>+'Seat capacity elasticities'!AI326</f>
        <v>0.20942122147814887</v>
      </c>
      <c r="CF296" s="32">
        <f t="shared" si="308"/>
        <v>4883684.0848988965</v>
      </c>
      <c r="CG296" s="33">
        <f t="shared" si="309"/>
        <v>2.2130940937029695E-3</v>
      </c>
      <c r="CH296" s="40">
        <f t="shared" si="310"/>
        <v>3902468.9353098609</v>
      </c>
      <c r="CI296" s="33">
        <f t="shared" si="311"/>
        <v>1.7684458702599238E-3</v>
      </c>
      <c r="CJ296" s="40">
        <f t="shared" si="312"/>
        <v>19448702.853499152</v>
      </c>
      <c r="CK296" s="41">
        <f t="shared" si="313"/>
        <v>6.0720271162969562E-3</v>
      </c>
      <c r="CL296" s="40">
        <f t="shared" si="314"/>
        <v>6707761.7239451082</v>
      </c>
      <c r="CM296" s="41">
        <f t="shared" si="315"/>
        <v>2.0942122147814884E-3</v>
      </c>
      <c r="CO296" s="70">
        <f t="shared" si="316"/>
        <v>0</v>
      </c>
      <c r="CP296" s="70">
        <f t="shared" si="317"/>
        <v>0</v>
      </c>
      <c r="CQ296" s="70">
        <f t="shared" si="318"/>
        <v>0</v>
      </c>
      <c r="CR296" s="70">
        <f t="shared" si="319"/>
        <v>0</v>
      </c>
      <c r="CS296" s="70">
        <f t="shared" si="320"/>
        <v>0</v>
      </c>
      <c r="CT296" s="70">
        <f t="shared" si="321"/>
        <v>0</v>
      </c>
      <c r="CU296" s="69">
        <f t="shared" si="322"/>
        <v>0</v>
      </c>
      <c r="CV296" s="69">
        <f t="shared" si="323"/>
        <v>0</v>
      </c>
      <c r="CW296" s="70">
        <f t="shared" si="324"/>
        <v>0</v>
      </c>
      <c r="CX296" s="69">
        <f t="shared" si="325"/>
        <v>0</v>
      </c>
      <c r="CY296" s="69">
        <f t="shared" si="326"/>
        <v>0</v>
      </c>
      <c r="CZ296" s="70">
        <f t="shared" si="327"/>
        <v>0</v>
      </c>
      <c r="DB296" s="70">
        <f t="shared" si="328"/>
        <v>8.3981993773472734</v>
      </c>
      <c r="DC296" s="70">
        <f t="shared" si="329"/>
        <v>74.250590438308976</v>
      </c>
      <c r="DD296" s="70">
        <f t="shared" si="330"/>
        <v>82.648789815656244</v>
      </c>
      <c r="DE296" s="70">
        <f t="shared" si="331"/>
        <v>15.916910848853414</v>
      </c>
      <c r="DF296" s="70">
        <f t="shared" si="332"/>
        <v>59.332384645825201</v>
      </c>
      <c r="DG296" s="70">
        <f t="shared" si="333"/>
        <v>75.24929549467862</v>
      </c>
      <c r="DH296" s="69">
        <f t="shared" si="334"/>
        <v>33.444850517567836</v>
      </c>
      <c r="DI296" s="69">
        <f t="shared" si="335"/>
        <v>295.69432523222525</v>
      </c>
      <c r="DJ296" s="70">
        <f t="shared" si="336"/>
        <v>329.13917574979308</v>
      </c>
      <c r="DK296" s="69">
        <f t="shared" si="337"/>
        <v>27.358794426100449</v>
      </c>
      <c r="DL296" s="69">
        <f t="shared" si="338"/>
        <v>101.98351487609062</v>
      </c>
      <c r="DM296" s="70">
        <f t="shared" si="339"/>
        <v>129.34230930219107</v>
      </c>
    </row>
    <row r="297" spans="1:117">
      <c r="A297" t="s">
        <v>533</v>
      </c>
      <c r="B297">
        <v>144986</v>
      </c>
      <c r="C297">
        <v>84367</v>
      </c>
      <c r="D297" s="51">
        <v>29806.62</v>
      </c>
      <c r="E297" s="32">
        <f t="shared" si="272"/>
        <v>2514695109.54</v>
      </c>
      <c r="F297">
        <v>4389</v>
      </c>
      <c r="G297" s="37">
        <f t="shared" si="273"/>
        <v>3.027188832025161E-2</v>
      </c>
      <c r="H297">
        <v>0</v>
      </c>
      <c r="I297" s="3">
        <f t="shared" si="340"/>
        <v>0</v>
      </c>
      <c r="J297" s="11">
        <f>+'Seat capacity elasticities'!K327</f>
        <v>0</v>
      </c>
      <c r="K297" s="11">
        <f>+'Seat capacity elasticities'!L327</f>
        <v>0</v>
      </c>
      <c r="L297" s="11">
        <f>+'Seat capacity elasticities'!M327</f>
        <v>0</v>
      </c>
      <c r="M297" s="11">
        <f>+'Seat capacity elasticities'!N327</f>
        <v>0</v>
      </c>
      <c r="N297" s="32">
        <f t="shared" si="284"/>
        <v>0</v>
      </c>
      <c r="O297" s="33">
        <f t="shared" si="285"/>
        <v>0</v>
      </c>
      <c r="P297" s="40">
        <f t="shared" si="286"/>
        <v>0</v>
      </c>
      <c r="Q297" s="33">
        <f t="shared" si="287"/>
        <v>0</v>
      </c>
      <c r="R297" s="40">
        <f t="shared" si="288"/>
        <v>0</v>
      </c>
      <c r="S297" s="41">
        <f t="shared" si="289"/>
        <v>0</v>
      </c>
      <c r="T297" s="40">
        <f t="shared" si="290"/>
        <v>0</v>
      </c>
      <c r="U297" s="41">
        <f t="shared" si="291"/>
        <v>0</v>
      </c>
      <c r="X297" t="s">
        <v>533</v>
      </c>
      <c r="Y297">
        <v>144986</v>
      </c>
      <c r="Z297">
        <v>84367</v>
      </c>
      <c r="AA297" s="51">
        <v>29806.62</v>
      </c>
      <c r="AB297" s="32">
        <f t="shared" si="275"/>
        <v>2514695109.54</v>
      </c>
      <c r="AC297">
        <v>4389</v>
      </c>
      <c r="AD297" s="37">
        <f t="shared" si="276"/>
        <v>3.027188832025161E-2</v>
      </c>
      <c r="AE297">
        <v>3.7066E-3</v>
      </c>
      <c r="AF297" s="3">
        <f t="shared" si="341"/>
        <v>3.7066000000000001E-5</v>
      </c>
      <c r="AG297" s="11">
        <f>+'Seat capacity elasticities'!R327</f>
        <v>6.9686804022969654E-3</v>
      </c>
      <c r="AH297" s="11">
        <f>+'Seat capacity elasticities'!S327</f>
        <v>1.3207576971404174E-2</v>
      </c>
      <c r="AI297" s="11">
        <f>+'Seat capacity elasticities'!T327</f>
        <v>1.9119845147096366E-2</v>
      </c>
      <c r="AJ297" s="11">
        <f>+'Seat capacity elasticities'!U327</f>
        <v>1.5640551676662839E-2</v>
      </c>
      <c r="AK297" s="32">
        <f t="shared" si="292"/>
        <v>175241.06527603421</v>
      </c>
      <c r="AL297" s="33">
        <f t="shared" si="293"/>
        <v>6.9686804022969659E-5</v>
      </c>
      <c r="AM297" s="40">
        <f t="shared" si="294"/>
        <v>332130.29218863207</v>
      </c>
      <c r="AN297" s="33">
        <f t="shared" si="295"/>
        <v>1.3207576971404177E-4</v>
      </c>
      <c r="AO297" s="40">
        <f t="shared" si="296"/>
        <v>839170.00350605953</v>
      </c>
      <c r="AP297" s="41">
        <f t="shared" si="297"/>
        <v>1.9119845147096368E-4</v>
      </c>
      <c r="AQ297" s="40">
        <f t="shared" si="298"/>
        <v>686463.81308873207</v>
      </c>
      <c r="AR297" s="41">
        <f t="shared" si="299"/>
        <v>1.5640551676662841E-4</v>
      </c>
      <c r="AV297" t="s">
        <v>533</v>
      </c>
      <c r="AW297">
        <v>144986</v>
      </c>
      <c r="AX297">
        <v>84367</v>
      </c>
      <c r="AY297" s="51">
        <v>29806.62</v>
      </c>
      <c r="AZ297" s="32">
        <f t="shared" si="278"/>
        <v>2514695109.54</v>
      </c>
      <c r="BA297">
        <v>4389</v>
      </c>
      <c r="BB297" s="37">
        <f t="shared" si="279"/>
        <v>3.027188832025161E-2</v>
      </c>
      <c r="BC297">
        <v>0</v>
      </c>
      <c r="BD297" s="3">
        <f t="shared" si="342"/>
        <v>0</v>
      </c>
      <c r="BE297" s="11">
        <f>+'Seat capacity elasticities'!Y327</f>
        <v>0</v>
      </c>
      <c r="BF297" s="11">
        <f>+'Seat capacity elasticities'!Z327</f>
        <v>0</v>
      </c>
      <c r="BG297" s="11">
        <f>+'Seat capacity elasticities'!AA327</f>
        <v>0</v>
      </c>
      <c r="BH297" s="11">
        <f>+'Seat capacity elasticities'!AB327</f>
        <v>0</v>
      </c>
      <c r="BI297" s="32">
        <f t="shared" si="300"/>
        <v>0</v>
      </c>
      <c r="BJ297" s="33">
        <f t="shared" si="301"/>
        <v>0</v>
      </c>
      <c r="BK297" s="40">
        <f t="shared" si="302"/>
        <v>0</v>
      </c>
      <c r="BL297" s="33">
        <f t="shared" si="303"/>
        <v>0</v>
      </c>
      <c r="BM297" s="40">
        <f t="shared" si="304"/>
        <v>0</v>
      </c>
      <c r="BN297" s="41">
        <f t="shared" si="305"/>
        <v>0</v>
      </c>
      <c r="BO297" s="40">
        <f t="shared" si="306"/>
        <v>0</v>
      </c>
      <c r="BP297" s="41">
        <f t="shared" si="307"/>
        <v>0</v>
      </c>
      <c r="BQ297" s="52"/>
      <c r="BR297" s="52"/>
      <c r="BS297" t="s">
        <v>533</v>
      </c>
      <c r="BT297">
        <v>144986</v>
      </c>
      <c r="BU297">
        <v>84367</v>
      </c>
      <c r="BV297" s="51">
        <v>29806.62</v>
      </c>
      <c r="BW297" s="32">
        <f t="shared" si="281"/>
        <v>2514695109.54</v>
      </c>
      <c r="BX297">
        <v>4389</v>
      </c>
      <c r="BY297" s="37">
        <f t="shared" si="282"/>
        <v>3.027188832025161E-2</v>
      </c>
      <c r="BZ297">
        <v>3.7066E-3</v>
      </c>
      <c r="CA297" s="3">
        <f t="shared" si="343"/>
        <v>3.7066000000000001E-5</v>
      </c>
      <c r="CB297" s="11">
        <f>+'Seat capacity elasticities'!AF327</f>
        <v>5.4274489910492808E-2</v>
      </c>
      <c r="CC297" s="11">
        <f>+'Seat capacity elasticities'!AG327</f>
        <v>4.3369822284455052E-2</v>
      </c>
      <c r="CD297" s="11">
        <f>+'Seat capacity elasticities'!AH327</f>
        <v>0.14891195787716438</v>
      </c>
      <c r="CE297" s="11">
        <f>+'Seat capacity elasticities'!AI327</f>
        <v>5.135900007369678E-2</v>
      </c>
      <c r="CF297" s="32">
        <f t="shared" si="308"/>
        <v>1364837.9435069435</v>
      </c>
      <c r="CG297" s="33">
        <f t="shared" si="309"/>
        <v>5.4274489910492816E-4</v>
      </c>
      <c r="CH297" s="40">
        <f t="shared" si="310"/>
        <v>1090618.8000033803</v>
      </c>
      <c r="CI297" s="33">
        <f t="shared" si="311"/>
        <v>4.3369822284455053E-4</v>
      </c>
      <c r="CJ297" s="40">
        <f t="shared" si="312"/>
        <v>6535745.8312287452</v>
      </c>
      <c r="CK297" s="41">
        <f t="shared" si="313"/>
        <v>1.489119578771644E-3</v>
      </c>
      <c r="CL297" s="40">
        <f t="shared" si="314"/>
        <v>2254146.5132345515</v>
      </c>
      <c r="CM297" s="41">
        <f t="shared" si="315"/>
        <v>5.1359000073696775E-4</v>
      </c>
      <c r="CO297" s="70">
        <f t="shared" si="316"/>
        <v>0</v>
      </c>
      <c r="CP297" s="70">
        <f t="shared" si="317"/>
        <v>0</v>
      </c>
      <c r="CQ297" s="70">
        <f t="shared" si="318"/>
        <v>0</v>
      </c>
      <c r="CR297" s="70">
        <f t="shared" si="319"/>
        <v>0</v>
      </c>
      <c r="CS297" s="70">
        <f t="shared" si="320"/>
        <v>0</v>
      </c>
      <c r="CT297" s="70">
        <f t="shared" si="321"/>
        <v>0</v>
      </c>
      <c r="CU297" s="69">
        <f t="shared" si="322"/>
        <v>0</v>
      </c>
      <c r="CV297" s="69">
        <f t="shared" si="323"/>
        <v>0</v>
      </c>
      <c r="CW297" s="70">
        <f t="shared" si="324"/>
        <v>0</v>
      </c>
      <c r="CX297" s="69">
        <f t="shared" si="325"/>
        <v>0</v>
      </c>
      <c r="CY297" s="69">
        <f t="shared" si="326"/>
        <v>0</v>
      </c>
      <c r="CZ297" s="70">
        <f t="shared" si="327"/>
        <v>0</v>
      </c>
      <c r="DB297" s="70">
        <f t="shared" si="328"/>
        <v>2.0771280865271278</v>
      </c>
      <c r="DC297" s="70">
        <f t="shared" si="329"/>
        <v>16.177390964558935</v>
      </c>
      <c r="DD297" s="70">
        <f t="shared" si="330"/>
        <v>18.254519051086064</v>
      </c>
      <c r="DE297" s="70">
        <f t="shared" si="331"/>
        <v>3.9367322790739516</v>
      </c>
      <c r="DF297" s="70">
        <f t="shared" si="332"/>
        <v>12.927078123002836</v>
      </c>
      <c r="DG297" s="70">
        <f t="shared" si="333"/>
        <v>16.863810402076787</v>
      </c>
      <c r="DH297" s="69">
        <f t="shared" si="334"/>
        <v>9.9466616509542778</v>
      </c>
      <c r="DI297" s="69">
        <f t="shared" si="335"/>
        <v>77.46803645061155</v>
      </c>
      <c r="DJ297" s="70">
        <f t="shared" si="336"/>
        <v>87.414698101565833</v>
      </c>
      <c r="DK297" s="69">
        <f t="shared" si="337"/>
        <v>8.1366388882943816</v>
      </c>
      <c r="DL297" s="69">
        <f t="shared" si="338"/>
        <v>26.718343822045959</v>
      </c>
      <c r="DM297" s="70">
        <f t="shared" si="339"/>
        <v>34.854982710340337</v>
      </c>
    </row>
    <row r="298" spans="1:117">
      <c r="A298" t="s">
        <v>1010</v>
      </c>
      <c r="B298">
        <v>147607</v>
      </c>
      <c r="C298">
        <v>93043</v>
      </c>
      <c r="D298" s="51">
        <v>30806.79</v>
      </c>
      <c r="E298" s="32">
        <f t="shared" si="272"/>
        <v>2866356161.9700003</v>
      </c>
      <c r="F298">
        <v>4692</v>
      </c>
      <c r="G298" s="37">
        <f t="shared" si="273"/>
        <v>3.1787110367394497E-2</v>
      </c>
      <c r="H298">
        <v>0</v>
      </c>
      <c r="I298" s="3">
        <f t="shared" si="340"/>
        <v>0</v>
      </c>
      <c r="J298" s="11">
        <f>+'Seat capacity elasticities'!K328</f>
        <v>0</v>
      </c>
      <c r="K298" s="11">
        <f>+'Seat capacity elasticities'!L328</f>
        <v>0</v>
      </c>
      <c r="L298" s="11">
        <f>+'Seat capacity elasticities'!M328</f>
        <v>0</v>
      </c>
      <c r="M298" s="11">
        <f>+'Seat capacity elasticities'!N328</f>
        <v>0</v>
      </c>
      <c r="N298" s="32">
        <f t="shared" si="284"/>
        <v>0</v>
      </c>
      <c r="O298" s="33">
        <f t="shared" si="285"/>
        <v>0</v>
      </c>
      <c r="P298" s="40">
        <f t="shared" si="286"/>
        <v>0</v>
      </c>
      <c r="Q298" s="33">
        <f t="shared" si="287"/>
        <v>0</v>
      </c>
      <c r="R298" s="40">
        <f t="shared" si="288"/>
        <v>0</v>
      </c>
      <c r="S298" s="41">
        <f t="shared" si="289"/>
        <v>0</v>
      </c>
      <c r="T298" s="40">
        <f t="shared" si="290"/>
        <v>0</v>
      </c>
      <c r="U298" s="41">
        <f t="shared" si="291"/>
        <v>0</v>
      </c>
      <c r="X298" t="s">
        <v>1010</v>
      </c>
      <c r="Y298">
        <v>147607</v>
      </c>
      <c r="Z298">
        <v>93043</v>
      </c>
      <c r="AA298" s="51">
        <v>30806.79</v>
      </c>
      <c r="AB298" s="32">
        <f t="shared" si="275"/>
        <v>2866356161.9700003</v>
      </c>
      <c r="AC298">
        <v>4692</v>
      </c>
      <c r="AD298" s="37">
        <f t="shared" si="276"/>
        <v>3.1787110367394497E-2</v>
      </c>
      <c r="AE298">
        <v>2.2801000000000002E-3</v>
      </c>
      <c r="AF298" s="3">
        <f t="shared" si="341"/>
        <v>2.2801000000000001E-5</v>
      </c>
      <c r="AG298" s="11">
        <f>+'Seat capacity elasticities'!R328</f>
        <v>9.5823370805177711E-3</v>
      </c>
      <c r="AH298" s="11">
        <f>+'Seat capacity elasticities'!S328</f>
        <v>1.8161179341093511E-2</v>
      </c>
      <c r="AI298" s="11">
        <f>+'Seat capacity elasticities'!T328</f>
        <v>2.629088874077078E-2</v>
      </c>
      <c r="AJ298" s="11">
        <f>+'Seat capacity elasticities'!U328</f>
        <v>2.1506659746031789E-2</v>
      </c>
      <c r="AK298" s="32">
        <f t="shared" si="292"/>
        <v>274663.90936815739</v>
      </c>
      <c r="AL298" s="33">
        <f t="shared" si="293"/>
        <v>9.5823370805177722E-5</v>
      </c>
      <c r="AM298" s="40">
        <f t="shared" si="294"/>
        <v>520564.08312985656</v>
      </c>
      <c r="AN298" s="33">
        <f t="shared" si="295"/>
        <v>1.816117934109351E-4</v>
      </c>
      <c r="AO298" s="40">
        <f t="shared" si="296"/>
        <v>1233568.499716965</v>
      </c>
      <c r="AP298" s="41">
        <f t="shared" si="297"/>
        <v>2.6290888740770782E-4</v>
      </c>
      <c r="AQ298" s="40">
        <f t="shared" si="298"/>
        <v>1009092.4752838116</v>
      </c>
      <c r="AR298" s="41">
        <f t="shared" si="299"/>
        <v>2.150665974603179E-4</v>
      </c>
      <c r="AV298" t="s">
        <v>1010</v>
      </c>
      <c r="AW298">
        <v>147607</v>
      </c>
      <c r="AX298">
        <v>93043</v>
      </c>
      <c r="AY298" s="51">
        <v>30806.79</v>
      </c>
      <c r="AZ298" s="32">
        <f t="shared" si="278"/>
        <v>2866356161.9700003</v>
      </c>
      <c r="BA298">
        <v>4692</v>
      </c>
      <c r="BB298" s="37">
        <f t="shared" si="279"/>
        <v>3.1787110367394497E-2</v>
      </c>
      <c r="BC298">
        <v>0</v>
      </c>
      <c r="BD298" s="3">
        <f t="shared" si="342"/>
        <v>0</v>
      </c>
      <c r="BE298" s="11">
        <f>+'Seat capacity elasticities'!Y328</f>
        <v>0</v>
      </c>
      <c r="BF298" s="11">
        <f>+'Seat capacity elasticities'!Z328</f>
        <v>0</v>
      </c>
      <c r="BG298" s="11">
        <f>+'Seat capacity elasticities'!AA328</f>
        <v>0</v>
      </c>
      <c r="BH298" s="11">
        <f>+'Seat capacity elasticities'!AB328</f>
        <v>0</v>
      </c>
      <c r="BI298" s="32">
        <f t="shared" si="300"/>
        <v>0</v>
      </c>
      <c r="BJ298" s="33">
        <f t="shared" si="301"/>
        <v>0</v>
      </c>
      <c r="BK298" s="40">
        <f t="shared" si="302"/>
        <v>0</v>
      </c>
      <c r="BL298" s="33">
        <f t="shared" si="303"/>
        <v>0</v>
      </c>
      <c r="BM298" s="40">
        <f t="shared" si="304"/>
        <v>0</v>
      </c>
      <c r="BN298" s="41">
        <f t="shared" si="305"/>
        <v>0</v>
      </c>
      <c r="BO298" s="40">
        <f t="shared" si="306"/>
        <v>0</v>
      </c>
      <c r="BP298" s="41">
        <f t="shared" si="307"/>
        <v>0</v>
      </c>
      <c r="BQ298" s="52"/>
      <c r="BR298" s="52"/>
      <c r="BS298" t="s">
        <v>1010</v>
      </c>
      <c r="BT298">
        <v>147607</v>
      </c>
      <c r="BU298">
        <v>93043</v>
      </c>
      <c r="BV298" s="51">
        <v>30806.79</v>
      </c>
      <c r="BW298" s="32">
        <f t="shared" si="281"/>
        <v>2866356161.9700003</v>
      </c>
      <c r="BX298">
        <v>4692</v>
      </c>
      <c r="BY298" s="37">
        <f t="shared" si="282"/>
        <v>3.1787110367394497E-2</v>
      </c>
      <c r="BZ298">
        <v>2.2801000000000002E-3</v>
      </c>
      <c r="CA298" s="3">
        <f t="shared" si="343"/>
        <v>2.2801000000000001E-5</v>
      </c>
      <c r="CB298" s="11">
        <f>+'Seat capacity elasticities'!AF328</f>
        <v>3.2793897763010775E-2</v>
      </c>
      <c r="CC298" s="11">
        <f>+'Seat capacity elasticities'!AG328</f>
        <v>2.6205046244412531E-2</v>
      </c>
      <c r="CD298" s="11">
        <f>+'Seat capacity elasticities'!AH328</f>
        <v>8.9976037183711874E-2</v>
      </c>
      <c r="CE298" s="11">
        <f>+'Seat capacity elasticities'!AI328</f>
        <v>3.1032291605225366E-2</v>
      </c>
      <c r="CF298" s="32">
        <f t="shared" si="308"/>
        <v>939989.90928020142</v>
      </c>
      <c r="CG298" s="33">
        <f t="shared" si="309"/>
        <v>3.2793897763010773E-4</v>
      </c>
      <c r="CH298" s="40">
        <f t="shared" si="310"/>
        <v>751129.95777380676</v>
      </c>
      <c r="CI298" s="33">
        <f t="shared" si="311"/>
        <v>2.6205046244412531E-4</v>
      </c>
      <c r="CJ298" s="40">
        <f t="shared" si="312"/>
        <v>4221675.66465976</v>
      </c>
      <c r="CK298" s="41">
        <f t="shared" si="313"/>
        <v>8.9976037183711849E-4</v>
      </c>
      <c r="CL298" s="40">
        <f t="shared" si="314"/>
        <v>1456035.1221171741</v>
      </c>
      <c r="CM298" s="41">
        <f t="shared" si="315"/>
        <v>3.1032291605225361E-4</v>
      </c>
      <c r="CO298" s="70">
        <f t="shared" si="316"/>
        <v>0</v>
      </c>
      <c r="CP298" s="70">
        <f t="shared" si="317"/>
        <v>0</v>
      </c>
      <c r="CQ298" s="70">
        <f t="shared" si="318"/>
        <v>0</v>
      </c>
      <c r="CR298" s="70">
        <f t="shared" si="319"/>
        <v>0</v>
      </c>
      <c r="CS298" s="70">
        <f t="shared" si="320"/>
        <v>0</v>
      </c>
      <c r="CT298" s="70">
        <f t="shared" si="321"/>
        <v>0</v>
      </c>
      <c r="CU298" s="69">
        <f t="shared" si="322"/>
        <v>0</v>
      </c>
      <c r="CV298" s="69">
        <f t="shared" si="323"/>
        <v>0</v>
      </c>
      <c r="CW298" s="70">
        <f t="shared" si="324"/>
        <v>0</v>
      </c>
      <c r="CX298" s="69">
        <f t="shared" si="325"/>
        <v>0</v>
      </c>
      <c r="CY298" s="69">
        <f t="shared" si="326"/>
        <v>0</v>
      </c>
      <c r="CZ298" s="70">
        <f t="shared" si="327"/>
        <v>0</v>
      </c>
      <c r="DB298" s="70">
        <f t="shared" si="328"/>
        <v>2.9520104614872413</v>
      </c>
      <c r="DC298" s="70">
        <f t="shared" si="329"/>
        <v>10.102747216665428</v>
      </c>
      <c r="DD298" s="70">
        <f t="shared" si="330"/>
        <v>13.054757678152669</v>
      </c>
      <c r="DE298" s="70">
        <f t="shared" si="331"/>
        <v>5.5948763811340623</v>
      </c>
      <c r="DF298" s="70">
        <f t="shared" si="332"/>
        <v>8.0729335659190564</v>
      </c>
      <c r="DG298" s="70">
        <f t="shared" si="333"/>
        <v>13.667809947053119</v>
      </c>
      <c r="DH298" s="69">
        <f t="shared" si="334"/>
        <v>13.258047351407038</v>
      </c>
      <c r="DI298" s="69">
        <f t="shared" si="335"/>
        <v>45.373382894573048</v>
      </c>
      <c r="DJ298" s="70">
        <f t="shared" si="336"/>
        <v>58.631430245980084</v>
      </c>
      <c r="DK298" s="69">
        <f t="shared" si="337"/>
        <v>10.845442164201623</v>
      </c>
      <c r="DL298" s="69">
        <f t="shared" si="338"/>
        <v>15.649056050612879</v>
      </c>
      <c r="DM298" s="70">
        <f t="shared" si="339"/>
        <v>26.494498214814502</v>
      </c>
    </row>
    <row r="299" spans="1:117">
      <c r="A299" t="s">
        <v>534</v>
      </c>
      <c r="B299">
        <v>603205</v>
      </c>
      <c r="C299">
        <v>397647</v>
      </c>
      <c r="D299" s="51">
        <v>39363.57</v>
      </c>
      <c r="E299" s="32">
        <f t="shared" si="272"/>
        <v>15652805519.789999</v>
      </c>
      <c r="F299">
        <v>25799</v>
      </c>
      <c r="G299" s="37">
        <f t="shared" si="273"/>
        <v>4.2769870939398713E-2</v>
      </c>
      <c r="H299">
        <v>0</v>
      </c>
      <c r="I299" s="3">
        <f t="shared" si="340"/>
        <v>0</v>
      </c>
      <c r="J299" s="11">
        <f>+'Seat capacity elasticities'!K329</f>
        <v>0</v>
      </c>
      <c r="K299" s="11">
        <f>+'Seat capacity elasticities'!L329</f>
        <v>0</v>
      </c>
      <c r="L299" s="11">
        <f>+'Seat capacity elasticities'!M329</f>
        <v>0</v>
      </c>
      <c r="M299" s="11">
        <f>+'Seat capacity elasticities'!N329</f>
        <v>0</v>
      </c>
      <c r="N299" s="32">
        <f t="shared" si="284"/>
        <v>0</v>
      </c>
      <c r="O299" s="33">
        <f t="shared" si="285"/>
        <v>0</v>
      </c>
      <c r="P299" s="40">
        <f t="shared" si="286"/>
        <v>0</v>
      </c>
      <c r="Q299" s="33">
        <f t="shared" si="287"/>
        <v>0</v>
      </c>
      <c r="R299" s="40">
        <f t="shared" si="288"/>
        <v>0</v>
      </c>
      <c r="S299" s="41">
        <f t="shared" si="289"/>
        <v>0</v>
      </c>
      <c r="T299" s="40">
        <f t="shared" si="290"/>
        <v>0</v>
      </c>
      <c r="U299" s="41">
        <f t="shared" si="291"/>
        <v>0</v>
      </c>
      <c r="X299" t="s">
        <v>534</v>
      </c>
      <c r="Y299">
        <v>603205</v>
      </c>
      <c r="Z299">
        <v>397647</v>
      </c>
      <c r="AA299" s="51">
        <v>39363.57</v>
      </c>
      <c r="AB299" s="32">
        <f t="shared" si="275"/>
        <v>15652805519.789999</v>
      </c>
      <c r="AC299">
        <v>25799</v>
      </c>
      <c r="AD299" s="37">
        <f t="shared" si="276"/>
        <v>4.2769870939398713E-2</v>
      </c>
      <c r="AE299">
        <v>2.9496000000000001E-3</v>
      </c>
      <c r="AF299" s="3">
        <f t="shared" si="341"/>
        <v>2.9496000000000004E-5</v>
      </c>
      <c r="AG299" s="11">
        <f>+'Seat capacity elasticities'!R329</f>
        <v>7.3366188585000094E-3</v>
      </c>
      <c r="AH299" s="11">
        <f>+'Seat capacity elasticities'!S329</f>
        <v>1.3904922121490203E-2</v>
      </c>
      <c r="AI299" s="11">
        <f>+'Seat capacity elasticities'!T329</f>
        <v>2.0129351380722048E-2</v>
      </c>
      <c r="AJ299" s="11">
        <f>+'Seat capacity elasticities'!U329</f>
        <v>1.6466355143869977E-2</v>
      </c>
      <c r="AK299" s="32">
        <f t="shared" si="292"/>
        <v>1148386.6816492435</v>
      </c>
      <c r="AL299" s="33">
        <f t="shared" si="293"/>
        <v>7.3366188585000089E-5</v>
      </c>
      <c r="AM299" s="40">
        <f t="shared" si="294"/>
        <v>2176510.4173551193</v>
      </c>
      <c r="AN299" s="33">
        <f t="shared" si="295"/>
        <v>1.3904922121490203E-4</v>
      </c>
      <c r="AO299" s="40">
        <f t="shared" si="296"/>
        <v>5193171.3627124811</v>
      </c>
      <c r="AP299" s="41">
        <f t="shared" si="297"/>
        <v>2.0129351380722047E-4</v>
      </c>
      <c r="AQ299" s="40">
        <f t="shared" si="298"/>
        <v>4248154.9635670157</v>
      </c>
      <c r="AR299" s="41">
        <f t="shared" si="299"/>
        <v>1.6466355143869978E-4</v>
      </c>
      <c r="AV299" t="s">
        <v>534</v>
      </c>
      <c r="AW299">
        <v>603205</v>
      </c>
      <c r="AX299">
        <v>397647</v>
      </c>
      <c r="AY299" s="51">
        <v>39363.57</v>
      </c>
      <c r="AZ299" s="32">
        <f t="shared" si="278"/>
        <v>15652805519.789999</v>
      </c>
      <c r="BA299">
        <v>25799</v>
      </c>
      <c r="BB299" s="37">
        <f t="shared" si="279"/>
        <v>4.2769870939398713E-2</v>
      </c>
      <c r="BC299">
        <v>0</v>
      </c>
      <c r="BD299" s="3">
        <f t="shared" si="342"/>
        <v>0</v>
      </c>
      <c r="BE299" s="11">
        <f>+'Seat capacity elasticities'!Y329</f>
        <v>0</v>
      </c>
      <c r="BF299" s="11">
        <f>+'Seat capacity elasticities'!Z329</f>
        <v>0</v>
      </c>
      <c r="BG299" s="11">
        <f>+'Seat capacity elasticities'!AA329</f>
        <v>0</v>
      </c>
      <c r="BH299" s="11">
        <f>+'Seat capacity elasticities'!AB329</f>
        <v>0</v>
      </c>
      <c r="BI299" s="32">
        <f t="shared" si="300"/>
        <v>0</v>
      </c>
      <c r="BJ299" s="33">
        <f t="shared" si="301"/>
        <v>0</v>
      </c>
      <c r="BK299" s="40">
        <f t="shared" si="302"/>
        <v>0</v>
      </c>
      <c r="BL299" s="33">
        <f t="shared" si="303"/>
        <v>0</v>
      </c>
      <c r="BM299" s="40">
        <f t="shared" si="304"/>
        <v>0</v>
      </c>
      <c r="BN299" s="41">
        <f t="shared" si="305"/>
        <v>0</v>
      </c>
      <c r="BO299" s="40">
        <f t="shared" si="306"/>
        <v>0</v>
      </c>
      <c r="BP299" s="41">
        <f t="shared" si="307"/>
        <v>0</v>
      </c>
      <c r="BQ299" s="52"/>
      <c r="BR299" s="52"/>
      <c r="BS299" t="s">
        <v>534</v>
      </c>
      <c r="BT299">
        <v>603205</v>
      </c>
      <c r="BU299">
        <v>397647</v>
      </c>
      <c r="BV299" s="51">
        <v>39363.57</v>
      </c>
      <c r="BW299" s="32">
        <f t="shared" si="281"/>
        <v>15652805519.789999</v>
      </c>
      <c r="BX299">
        <v>25799</v>
      </c>
      <c r="BY299" s="37">
        <f t="shared" si="282"/>
        <v>4.2769870939398713E-2</v>
      </c>
      <c r="BZ299">
        <v>2.9496000000000001E-3</v>
      </c>
      <c r="CA299" s="3">
        <f t="shared" si="343"/>
        <v>2.9496000000000004E-5</v>
      </c>
      <c r="CB299" s="11">
        <f>+'Seat capacity elasticities'!AF329</f>
        <v>1.0381121864065238E-2</v>
      </c>
      <c r="CC299" s="11">
        <f>+'Seat capacity elasticities'!AG329</f>
        <v>8.2953780146119496E-3</v>
      </c>
      <c r="CD299" s="11">
        <f>+'Seat capacity elasticities'!AH329</f>
        <v>2.8482500421262023E-2</v>
      </c>
      <c r="CE299" s="11">
        <f>+'Seat capacity elasticities'!AI329</f>
        <v>9.8234739646720463E-3</v>
      </c>
      <c r="CF299" s="32">
        <f t="shared" si="308"/>
        <v>1624936.81615453</v>
      </c>
      <c r="CG299" s="33">
        <f t="shared" si="309"/>
        <v>1.0381121864065238E-4</v>
      </c>
      <c r="CH299" s="40">
        <f t="shared" si="310"/>
        <v>1298459.3877586254</v>
      </c>
      <c r="CI299" s="33">
        <f t="shared" si="311"/>
        <v>8.2953780146119503E-5</v>
      </c>
      <c r="CJ299" s="40">
        <f t="shared" si="312"/>
        <v>7348200.2836813899</v>
      </c>
      <c r="CK299" s="41">
        <f t="shared" si="313"/>
        <v>2.8482500421262021E-4</v>
      </c>
      <c r="CL299" s="40">
        <f t="shared" si="314"/>
        <v>2534358.0481457412</v>
      </c>
      <c r="CM299" s="41">
        <f t="shared" si="315"/>
        <v>9.8234739646720453E-5</v>
      </c>
      <c r="CO299" s="70">
        <f t="shared" si="316"/>
        <v>0</v>
      </c>
      <c r="CP299" s="70">
        <f t="shared" si="317"/>
        <v>0</v>
      </c>
      <c r="CQ299" s="70">
        <f t="shared" si="318"/>
        <v>0</v>
      </c>
      <c r="CR299" s="70">
        <f t="shared" si="319"/>
        <v>0</v>
      </c>
      <c r="CS299" s="70">
        <f t="shared" si="320"/>
        <v>0</v>
      </c>
      <c r="CT299" s="70">
        <f t="shared" si="321"/>
        <v>0</v>
      </c>
      <c r="CU299" s="69">
        <f t="shared" si="322"/>
        <v>0</v>
      </c>
      <c r="CV299" s="69">
        <f t="shared" si="323"/>
        <v>0</v>
      </c>
      <c r="CW299" s="70">
        <f t="shared" si="324"/>
        <v>0</v>
      </c>
      <c r="CX299" s="69">
        <f t="shared" si="325"/>
        <v>0</v>
      </c>
      <c r="CY299" s="69">
        <f t="shared" si="326"/>
        <v>0</v>
      </c>
      <c r="CZ299" s="70">
        <f t="shared" si="327"/>
        <v>0</v>
      </c>
      <c r="DB299" s="70">
        <f t="shared" si="328"/>
        <v>2.8879550999988517</v>
      </c>
      <c r="DC299" s="70">
        <f t="shared" si="329"/>
        <v>4.086380171746625</v>
      </c>
      <c r="DD299" s="70">
        <f t="shared" si="330"/>
        <v>6.9743352717454767</v>
      </c>
      <c r="DE299" s="70">
        <f t="shared" si="331"/>
        <v>5.4734737527382809</v>
      </c>
      <c r="DF299" s="70">
        <f t="shared" si="332"/>
        <v>3.2653569315463851</v>
      </c>
      <c r="DG299" s="70">
        <f t="shared" si="333"/>
        <v>8.7388306842846664</v>
      </c>
      <c r="DH299" s="69">
        <f t="shared" si="334"/>
        <v>13.059752400275825</v>
      </c>
      <c r="DI299" s="69">
        <f t="shared" si="335"/>
        <v>18.479204630442052</v>
      </c>
      <c r="DJ299" s="70">
        <f t="shared" si="336"/>
        <v>31.538957030717874</v>
      </c>
      <c r="DK299" s="69">
        <f t="shared" si="337"/>
        <v>10.683231518324082</v>
      </c>
      <c r="DL299" s="69">
        <f t="shared" si="338"/>
        <v>6.3733865668438119</v>
      </c>
      <c r="DM299" s="70">
        <f t="shared" si="339"/>
        <v>17.056618085167894</v>
      </c>
    </row>
    <row r="300" spans="1:117">
      <c r="A300" t="s">
        <v>535</v>
      </c>
      <c r="B300">
        <v>116666</v>
      </c>
      <c r="C300">
        <v>69086</v>
      </c>
      <c r="D300" s="51">
        <v>29545.02</v>
      </c>
      <c r="E300" s="32">
        <f t="shared" si="272"/>
        <v>2041147251.72</v>
      </c>
      <c r="F300">
        <v>3241</v>
      </c>
      <c r="G300" s="37">
        <f t="shared" si="273"/>
        <v>2.7780158743764251E-2</v>
      </c>
      <c r="H300">
        <v>0</v>
      </c>
      <c r="I300" s="3">
        <f t="shared" si="340"/>
        <v>0</v>
      </c>
      <c r="J300" s="11">
        <f>+'Seat capacity elasticities'!K330</f>
        <v>0</v>
      </c>
      <c r="K300" s="11">
        <f>+'Seat capacity elasticities'!L330</f>
        <v>0</v>
      </c>
      <c r="L300" s="11">
        <f>+'Seat capacity elasticities'!M330</f>
        <v>0</v>
      </c>
      <c r="M300" s="11">
        <f>+'Seat capacity elasticities'!N330</f>
        <v>0</v>
      </c>
      <c r="N300" s="32">
        <f t="shared" si="284"/>
        <v>0</v>
      </c>
      <c r="O300" s="33">
        <f t="shared" si="285"/>
        <v>0</v>
      </c>
      <c r="P300" s="40">
        <f t="shared" si="286"/>
        <v>0</v>
      </c>
      <c r="Q300" s="33">
        <f t="shared" si="287"/>
        <v>0</v>
      </c>
      <c r="R300" s="40">
        <f t="shared" si="288"/>
        <v>0</v>
      </c>
      <c r="S300" s="41">
        <f t="shared" si="289"/>
        <v>0</v>
      </c>
      <c r="T300" s="40">
        <f t="shared" si="290"/>
        <v>0</v>
      </c>
      <c r="U300" s="41">
        <f t="shared" si="291"/>
        <v>0</v>
      </c>
      <c r="X300" t="s">
        <v>535</v>
      </c>
      <c r="Y300">
        <v>116666</v>
      </c>
      <c r="Z300">
        <v>69086</v>
      </c>
      <c r="AA300" s="51">
        <v>29545.02</v>
      </c>
      <c r="AB300" s="32">
        <f t="shared" si="275"/>
        <v>2041147251.72</v>
      </c>
      <c r="AC300">
        <v>3241</v>
      </c>
      <c r="AD300" s="37">
        <f t="shared" si="276"/>
        <v>2.7780158743764251E-2</v>
      </c>
      <c r="AE300">
        <v>8.7215000000000001E-3</v>
      </c>
      <c r="AF300" s="3">
        <f t="shared" si="341"/>
        <v>8.7214999999999998E-5</v>
      </c>
      <c r="AG300" s="11">
        <f>+'Seat capacity elasticities'!R330</f>
        <v>1.2751512668212681E-2</v>
      </c>
      <c r="AH300" s="11">
        <f>+'Seat capacity elasticities'!S330</f>
        <v>2.4167643706510374E-2</v>
      </c>
      <c r="AI300" s="11">
        <f>+'Seat capacity elasticities'!T330</f>
        <v>3.4986099739500502E-2</v>
      </c>
      <c r="AJ300" s="11">
        <f>+'Seat capacity elasticities'!U330</f>
        <v>2.861957807349913E-2</v>
      </c>
      <c r="AK300" s="32">
        <f t="shared" si="292"/>
        <v>260277.15037995079</v>
      </c>
      <c r="AL300" s="33">
        <f t="shared" si="293"/>
        <v>1.2751512668212681E-4</v>
      </c>
      <c r="AM300" s="40">
        <f t="shared" si="294"/>
        <v>493297.19532091805</v>
      </c>
      <c r="AN300" s="33">
        <f t="shared" si="295"/>
        <v>2.4167643706510375E-4</v>
      </c>
      <c r="AO300" s="40">
        <f t="shared" si="296"/>
        <v>1133899.4925572113</v>
      </c>
      <c r="AP300" s="41">
        <f t="shared" si="297"/>
        <v>3.4986099739500503E-4</v>
      </c>
      <c r="AQ300" s="40">
        <f t="shared" si="298"/>
        <v>927560.52536210686</v>
      </c>
      <c r="AR300" s="41">
        <f t="shared" si="299"/>
        <v>2.8619578073499135E-4</v>
      </c>
      <c r="AV300" t="s">
        <v>535</v>
      </c>
      <c r="AW300">
        <v>116666</v>
      </c>
      <c r="AX300">
        <v>69086</v>
      </c>
      <c r="AY300" s="51">
        <v>29545.02</v>
      </c>
      <c r="AZ300" s="32">
        <f t="shared" si="278"/>
        <v>2041147251.72</v>
      </c>
      <c r="BA300">
        <v>3241</v>
      </c>
      <c r="BB300" s="37">
        <f t="shared" si="279"/>
        <v>2.7780158743764251E-2</v>
      </c>
      <c r="BC300">
        <v>0</v>
      </c>
      <c r="BD300" s="3">
        <f t="shared" si="342"/>
        <v>0</v>
      </c>
      <c r="BE300" s="11">
        <f>+'Seat capacity elasticities'!Y330</f>
        <v>0</v>
      </c>
      <c r="BF300" s="11">
        <f>+'Seat capacity elasticities'!Z330</f>
        <v>0</v>
      </c>
      <c r="BG300" s="11">
        <f>+'Seat capacity elasticities'!AA330</f>
        <v>0</v>
      </c>
      <c r="BH300" s="11">
        <f>+'Seat capacity elasticities'!AB330</f>
        <v>0</v>
      </c>
      <c r="BI300" s="32">
        <f t="shared" si="300"/>
        <v>0</v>
      </c>
      <c r="BJ300" s="33">
        <f t="shared" si="301"/>
        <v>0</v>
      </c>
      <c r="BK300" s="40">
        <f t="shared" si="302"/>
        <v>0</v>
      </c>
      <c r="BL300" s="33">
        <f t="shared" si="303"/>
        <v>0</v>
      </c>
      <c r="BM300" s="40">
        <f t="shared" si="304"/>
        <v>0</v>
      </c>
      <c r="BN300" s="41">
        <f t="shared" si="305"/>
        <v>0</v>
      </c>
      <c r="BO300" s="40">
        <f t="shared" si="306"/>
        <v>0</v>
      </c>
      <c r="BP300" s="41">
        <f t="shared" si="307"/>
        <v>0</v>
      </c>
      <c r="BQ300" s="52"/>
      <c r="BR300" s="52"/>
      <c r="BS300" t="s">
        <v>535</v>
      </c>
      <c r="BT300">
        <v>116666</v>
      </c>
      <c r="BU300">
        <v>69086</v>
      </c>
      <c r="BV300" s="51">
        <v>29545.02</v>
      </c>
      <c r="BW300" s="32">
        <f t="shared" si="281"/>
        <v>2041147251.72</v>
      </c>
      <c r="BX300">
        <v>3241</v>
      </c>
      <c r="BY300" s="37">
        <f t="shared" si="282"/>
        <v>2.7780158743764251E-2</v>
      </c>
      <c r="BZ300">
        <v>8.7215000000000001E-3</v>
      </c>
      <c r="CA300" s="3">
        <f t="shared" si="343"/>
        <v>8.7214999999999998E-5</v>
      </c>
      <c r="CB300" s="11">
        <f>+'Seat capacity elasticities'!AF330</f>
        <v>0.15870586432154507</v>
      </c>
      <c r="CC300" s="11">
        <f>+'Seat capacity elasticities'!AG330</f>
        <v>0.12681915836477639</v>
      </c>
      <c r="CD300" s="11">
        <f>+'Seat capacity elasticities'!AH330</f>
        <v>0.43543847250676626</v>
      </c>
      <c r="CE300" s="11">
        <f>+'Seat capacity elasticities'!AI330</f>
        <v>0.15018058227407732</v>
      </c>
      <c r="CF300" s="32">
        <f t="shared" si="308"/>
        <v>3239420.3879176895</v>
      </c>
      <c r="CG300" s="33">
        <f t="shared" si="309"/>
        <v>1.5870586432154509E-3</v>
      </c>
      <c r="CH300" s="40">
        <f t="shared" si="310"/>
        <v>2588565.7656170679</v>
      </c>
      <c r="CI300" s="33">
        <f t="shared" si="311"/>
        <v>1.2681915836477639E-3</v>
      </c>
      <c r="CJ300" s="40">
        <f t="shared" si="312"/>
        <v>14112560.893944295</v>
      </c>
      <c r="CK300" s="41">
        <f t="shared" si="313"/>
        <v>4.3543847250676624E-3</v>
      </c>
      <c r="CL300" s="40">
        <f t="shared" si="314"/>
        <v>4867352.6715028454</v>
      </c>
      <c r="CM300" s="41">
        <f t="shared" si="315"/>
        <v>1.501805822740773E-3</v>
      </c>
      <c r="CO300" s="70">
        <f t="shared" si="316"/>
        <v>0</v>
      </c>
      <c r="CP300" s="70">
        <f t="shared" si="317"/>
        <v>0</v>
      </c>
      <c r="CQ300" s="70">
        <f t="shared" si="318"/>
        <v>0</v>
      </c>
      <c r="CR300" s="70">
        <f t="shared" si="319"/>
        <v>0</v>
      </c>
      <c r="CS300" s="70">
        <f t="shared" si="320"/>
        <v>0</v>
      </c>
      <c r="CT300" s="70">
        <f t="shared" si="321"/>
        <v>0</v>
      </c>
      <c r="CU300" s="69">
        <f t="shared" si="322"/>
        <v>0</v>
      </c>
      <c r="CV300" s="69">
        <f t="shared" si="323"/>
        <v>0</v>
      </c>
      <c r="CW300" s="70">
        <f t="shared" si="324"/>
        <v>0</v>
      </c>
      <c r="CX300" s="69">
        <f t="shared" si="325"/>
        <v>0</v>
      </c>
      <c r="CY300" s="69">
        <f t="shared" si="326"/>
        <v>0</v>
      </c>
      <c r="CZ300" s="70">
        <f t="shared" si="327"/>
        <v>0</v>
      </c>
      <c r="DB300" s="70">
        <f t="shared" si="328"/>
        <v>3.7674369681259705</v>
      </c>
      <c r="DC300" s="70">
        <f t="shared" si="329"/>
        <v>46.88967935497336</v>
      </c>
      <c r="DD300" s="70">
        <f t="shared" si="330"/>
        <v>50.657116323099331</v>
      </c>
      <c r="DE300" s="70">
        <f t="shared" si="331"/>
        <v>7.1403351666172314</v>
      </c>
      <c r="DF300" s="70">
        <f t="shared" si="332"/>
        <v>37.468745702704858</v>
      </c>
      <c r="DG300" s="70">
        <f t="shared" si="333"/>
        <v>44.609080869322092</v>
      </c>
      <c r="DH300" s="69">
        <f t="shared" si="334"/>
        <v>16.41286935930885</v>
      </c>
      <c r="DI300" s="69">
        <f t="shared" si="335"/>
        <v>204.27526407585177</v>
      </c>
      <c r="DJ300" s="70">
        <f t="shared" si="336"/>
        <v>220.68813343516061</v>
      </c>
      <c r="DK300" s="69">
        <f t="shared" si="337"/>
        <v>13.426172095100409</v>
      </c>
      <c r="DL300" s="69">
        <f t="shared" si="338"/>
        <v>70.453531417405046</v>
      </c>
      <c r="DM300" s="70">
        <f t="shared" si="339"/>
        <v>83.879703512505458</v>
      </c>
    </row>
    <row r="301" spans="1:117">
      <c r="A301" t="s">
        <v>1011</v>
      </c>
      <c r="B301">
        <v>122620</v>
      </c>
      <c r="C301">
        <v>74699</v>
      </c>
      <c r="D301" s="51">
        <v>35383.17</v>
      </c>
      <c r="E301" s="32">
        <f t="shared" si="272"/>
        <v>2643087415.8299999</v>
      </c>
      <c r="F301">
        <v>4223</v>
      </c>
      <c r="G301" s="37">
        <f t="shared" si="273"/>
        <v>3.4439732506931983E-2</v>
      </c>
      <c r="H301">
        <v>0</v>
      </c>
      <c r="I301" s="3">
        <f t="shared" si="340"/>
        <v>0</v>
      </c>
      <c r="J301" s="11">
        <f>+'Seat capacity elasticities'!K331</f>
        <v>0</v>
      </c>
      <c r="K301" s="11">
        <f>+'Seat capacity elasticities'!L331</f>
        <v>0</v>
      </c>
      <c r="L301" s="11">
        <f>+'Seat capacity elasticities'!M331</f>
        <v>0</v>
      </c>
      <c r="M301" s="11">
        <f>+'Seat capacity elasticities'!N331</f>
        <v>0</v>
      </c>
      <c r="N301" s="32">
        <f t="shared" si="284"/>
        <v>0</v>
      </c>
      <c r="O301" s="33">
        <f t="shared" si="285"/>
        <v>0</v>
      </c>
      <c r="P301" s="40">
        <f t="shared" si="286"/>
        <v>0</v>
      </c>
      <c r="Q301" s="33">
        <f t="shared" si="287"/>
        <v>0</v>
      </c>
      <c r="R301" s="40">
        <f t="shared" si="288"/>
        <v>0</v>
      </c>
      <c r="S301" s="41">
        <f t="shared" si="289"/>
        <v>0</v>
      </c>
      <c r="T301" s="40">
        <f t="shared" si="290"/>
        <v>0</v>
      </c>
      <c r="U301" s="41">
        <f t="shared" si="291"/>
        <v>0</v>
      </c>
      <c r="X301" t="s">
        <v>1011</v>
      </c>
      <c r="Y301">
        <v>122620</v>
      </c>
      <c r="Z301">
        <v>74699</v>
      </c>
      <c r="AA301" s="51">
        <v>35383.17</v>
      </c>
      <c r="AB301" s="32">
        <f t="shared" si="275"/>
        <v>2643087415.8299999</v>
      </c>
      <c r="AC301">
        <v>4223</v>
      </c>
      <c r="AD301" s="37">
        <f t="shared" si="276"/>
        <v>3.4439732506931983E-2</v>
      </c>
      <c r="AE301">
        <v>8.3101000000000008E-3</v>
      </c>
      <c r="AF301" s="3">
        <f t="shared" si="341"/>
        <v>8.3101000000000016E-5</v>
      </c>
      <c r="AG301" s="11">
        <f>+'Seat capacity elasticities'!R331</f>
        <v>1.0372541678954196E-2</v>
      </c>
      <c r="AH301" s="11">
        <f>+'Seat capacity elasticities'!S331</f>
        <v>1.9658835633892716E-2</v>
      </c>
      <c r="AI301" s="11">
        <f>+'Seat capacity elasticities'!T331</f>
        <v>2.8458959119152305E-2</v>
      </c>
      <c r="AJ301" s="11">
        <f>+'Seat capacity elasticities'!U331</f>
        <v>2.328020009276769E-2</v>
      </c>
      <c r="AK301" s="32">
        <f t="shared" si="292"/>
        <v>274155.34381816018</v>
      </c>
      <c r="AL301" s="33">
        <f t="shared" si="293"/>
        <v>1.0372541678954197E-4</v>
      </c>
      <c r="AM301" s="40">
        <f t="shared" si="294"/>
        <v>519600.21073812217</v>
      </c>
      <c r="AN301" s="33">
        <f t="shared" si="295"/>
        <v>1.9658835633892715E-4</v>
      </c>
      <c r="AO301" s="40">
        <f t="shared" si="296"/>
        <v>1201821.8436018017</v>
      </c>
      <c r="AP301" s="41">
        <f t="shared" si="297"/>
        <v>2.84589591191523E-4</v>
      </c>
      <c r="AQ301" s="40">
        <f t="shared" si="298"/>
        <v>983122.84991757944</v>
      </c>
      <c r="AR301" s="41">
        <f t="shared" si="299"/>
        <v>2.3280200092767688E-4</v>
      </c>
      <c r="AV301" t="s">
        <v>1011</v>
      </c>
      <c r="AW301">
        <v>122620</v>
      </c>
      <c r="AX301">
        <v>74699</v>
      </c>
      <c r="AY301" s="51">
        <v>35383.17</v>
      </c>
      <c r="AZ301" s="32">
        <f t="shared" si="278"/>
        <v>2643087415.8299999</v>
      </c>
      <c r="BA301">
        <v>4223</v>
      </c>
      <c r="BB301" s="37">
        <f t="shared" si="279"/>
        <v>3.4439732506931983E-2</v>
      </c>
      <c r="BC301">
        <v>0</v>
      </c>
      <c r="BD301" s="3">
        <f t="shared" si="342"/>
        <v>0</v>
      </c>
      <c r="BE301" s="11">
        <f>+'Seat capacity elasticities'!Y331</f>
        <v>0</v>
      </c>
      <c r="BF301" s="11">
        <f>+'Seat capacity elasticities'!Z331</f>
        <v>0</v>
      </c>
      <c r="BG301" s="11">
        <f>+'Seat capacity elasticities'!AA331</f>
        <v>0</v>
      </c>
      <c r="BH301" s="11">
        <f>+'Seat capacity elasticities'!AB331</f>
        <v>0</v>
      </c>
      <c r="BI301" s="32">
        <f t="shared" si="300"/>
        <v>0</v>
      </c>
      <c r="BJ301" s="33">
        <f t="shared" si="301"/>
        <v>0</v>
      </c>
      <c r="BK301" s="40">
        <f t="shared" si="302"/>
        <v>0</v>
      </c>
      <c r="BL301" s="33">
        <f t="shared" si="303"/>
        <v>0</v>
      </c>
      <c r="BM301" s="40">
        <f t="shared" si="304"/>
        <v>0</v>
      </c>
      <c r="BN301" s="41">
        <f t="shared" si="305"/>
        <v>0</v>
      </c>
      <c r="BO301" s="40">
        <f t="shared" si="306"/>
        <v>0</v>
      </c>
      <c r="BP301" s="41">
        <f t="shared" si="307"/>
        <v>0</v>
      </c>
      <c r="BQ301" s="52"/>
      <c r="BR301" s="52"/>
      <c r="BS301" t="s">
        <v>1011</v>
      </c>
      <c r="BT301">
        <v>122620</v>
      </c>
      <c r="BU301">
        <v>74699</v>
      </c>
      <c r="BV301" s="51">
        <v>35383.17</v>
      </c>
      <c r="BW301" s="32">
        <f t="shared" si="281"/>
        <v>2643087415.8299999</v>
      </c>
      <c r="BX301">
        <v>4223</v>
      </c>
      <c r="BY301" s="37">
        <f t="shared" si="282"/>
        <v>3.4439732506931983E-2</v>
      </c>
      <c r="BZ301">
        <v>8.3101000000000008E-3</v>
      </c>
      <c r="CA301" s="3">
        <f t="shared" si="343"/>
        <v>8.3101000000000016E-5</v>
      </c>
      <c r="CB301" s="11">
        <f>+'Seat capacity elasticities'!AF331</f>
        <v>0.1438768879755695</v>
      </c>
      <c r="CC301" s="11">
        <f>+'Seat capacity elasticities'!AG331</f>
        <v>0.11496957544200784</v>
      </c>
      <c r="CD301" s="11">
        <f>+'Seat capacity elasticities'!AH331</f>
        <v>0.39475247242394523</v>
      </c>
      <c r="CE301" s="11">
        <f>+'Seat capacity elasticities'!AI331</f>
        <v>0.13614818144448299</v>
      </c>
      <c r="CF301" s="32">
        <f t="shared" si="308"/>
        <v>3802791.9203701038</v>
      </c>
      <c r="CG301" s="33">
        <f t="shared" si="309"/>
        <v>1.4387688797556949E-3</v>
      </c>
      <c r="CH301" s="40">
        <f t="shared" si="310"/>
        <v>3038746.3805408874</v>
      </c>
      <c r="CI301" s="33">
        <f t="shared" si="311"/>
        <v>1.1496957544200785E-3</v>
      </c>
      <c r="CJ301" s="40">
        <f t="shared" si="312"/>
        <v>16670396.910463206</v>
      </c>
      <c r="CK301" s="41">
        <f t="shared" si="313"/>
        <v>3.9475247242394523E-3</v>
      </c>
      <c r="CL301" s="40">
        <f t="shared" si="314"/>
        <v>5749537.7024005158</v>
      </c>
      <c r="CM301" s="41">
        <f t="shared" si="315"/>
        <v>1.3614818144448298E-3</v>
      </c>
      <c r="CO301" s="70">
        <f t="shared" si="316"/>
        <v>0</v>
      </c>
      <c r="CP301" s="70">
        <f t="shared" si="317"/>
        <v>0</v>
      </c>
      <c r="CQ301" s="70">
        <f t="shared" si="318"/>
        <v>0</v>
      </c>
      <c r="CR301" s="70">
        <f t="shared" si="319"/>
        <v>0</v>
      </c>
      <c r="CS301" s="70">
        <f t="shared" si="320"/>
        <v>0</v>
      </c>
      <c r="CT301" s="70">
        <f t="shared" si="321"/>
        <v>0</v>
      </c>
      <c r="CU301" s="69">
        <f t="shared" si="322"/>
        <v>0</v>
      </c>
      <c r="CV301" s="69">
        <f t="shared" si="323"/>
        <v>0</v>
      </c>
      <c r="CW301" s="70">
        <f t="shared" si="324"/>
        <v>0</v>
      </c>
      <c r="CX301" s="69">
        <f t="shared" si="325"/>
        <v>0</v>
      </c>
      <c r="CY301" s="69">
        <f t="shared" si="326"/>
        <v>0</v>
      </c>
      <c r="CZ301" s="70">
        <f t="shared" si="327"/>
        <v>0</v>
      </c>
      <c r="DB301" s="70">
        <f t="shared" si="328"/>
        <v>3.6701340555852178</v>
      </c>
      <c r="DC301" s="70">
        <f t="shared" si="329"/>
        <v>50.908203863105314</v>
      </c>
      <c r="DD301" s="70">
        <f t="shared" si="330"/>
        <v>54.578337918690529</v>
      </c>
      <c r="DE301" s="70">
        <f t="shared" si="331"/>
        <v>6.955919232360837</v>
      </c>
      <c r="DF301" s="70">
        <f t="shared" si="332"/>
        <v>40.679880326923886</v>
      </c>
      <c r="DG301" s="70">
        <f t="shared" si="333"/>
        <v>47.63579955928472</v>
      </c>
      <c r="DH301" s="69">
        <f t="shared" si="334"/>
        <v>16.088861211017573</v>
      </c>
      <c r="DI301" s="69">
        <f t="shared" si="335"/>
        <v>223.16760479341366</v>
      </c>
      <c r="DJ301" s="70">
        <f t="shared" si="336"/>
        <v>239.25646600443122</v>
      </c>
      <c r="DK301" s="69">
        <f t="shared" si="337"/>
        <v>13.161124645812922</v>
      </c>
      <c r="DL301" s="69">
        <f t="shared" si="338"/>
        <v>76.969406583763046</v>
      </c>
      <c r="DM301" s="70">
        <f t="shared" si="339"/>
        <v>90.130531229575965</v>
      </c>
    </row>
    <row r="302" spans="1:117">
      <c r="A302" t="s">
        <v>536</v>
      </c>
      <c r="B302">
        <v>234881</v>
      </c>
      <c r="C302">
        <v>123495</v>
      </c>
      <c r="D302" s="51">
        <v>32356.42</v>
      </c>
      <c r="E302" s="32">
        <f t="shared" si="272"/>
        <v>3995856087.8999996</v>
      </c>
      <c r="F302">
        <v>6407</v>
      </c>
      <c r="G302" s="37">
        <f t="shared" si="273"/>
        <v>2.7277642721207761E-2</v>
      </c>
      <c r="H302">
        <v>0</v>
      </c>
      <c r="I302" s="3">
        <f t="shared" si="340"/>
        <v>0</v>
      </c>
      <c r="J302" s="11">
        <f>+'Seat capacity elasticities'!K332</f>
        <v>0</v>
      </c>
      <c r="K302" s="11">
        <f>+'Seat capacity elasticities'!L332</f>
        <v>0</v>
      </c>
      <c r="L302" s="11">
        <f>+'Seat capacity elasticities'!M332</f>
        <v>0</v>
      </c>
      <c r="M302" s="11">
        <f>+'Seat capacity elasticities'!N332</f>
        <v>0</v>
      </c>
      <c r="N302" s="32">
        <f t="shared" si="284"/>
        <v>0</v>
      </c>
      <c r="O302" s="33">
        <f t="shared" si="285"/>
        <v>0</v>
      </c>
      <c r="P302" s="40">
        <f t="shared" si="286"/>
        <v>0</v>
      </c>
      <c r="Q302" s="33">
        <f t="shared" si="287"/>
        <v>0</v>
      </c>
      <c r="R302" s="40">
        <f t="shared" si="288"/>
        <v>0</v>
      </c>
      <c r="S302" s="41">
        <f t="shared" si="289"/>
        <v>0</v>
      </c>
      <c r="T302" s="40">
        <f t="shared" si="290"/>
        <v>0</v>
      </c>
      <c r="U302" s="41">
        <f t="shared" si="291"/>
        <v>0</v>
      </c>
      <c r="X302" t="s">
        <v>536</v>
      </c>
      <c r="Y302">
        <v>234881</v>
      </c>
      <c r="Z302">
        <v>123495</v>
      </c>
      <c r="AA302" s="51">
        <v>32356.42</v>
      </c>
      <c r="AB302" s="32">
        <f t="shared" si="275"/>
        <v>3995856087.8999996</v>
      </c>
      <c r="AC302">
        <v>6407</v>
      </c>
      <c r="AD302" s="37">
        <f t="shared" si="276"/>
        <v>2.7277642721207761E-2</v>
      </c>
      <c r="AE302">
        <v>3.7669000000000001E-3</v>
      </c>
      <c r="AF302" s="3">
        <f t="shared" si="341"/>
        <v>3.7669000000000001E-5</v>
      </c>
      <c r="AG302" s="11">
        <f>+'Seat capacity elasticities'!R332</f>
        <v>9.968676450255327E-3</v>
      </c>
      <c r="AH302" s="11">
        <f>+'Seat capacity elasticities'!S332</f>
        <v>1.8893399312210374E-2</v>
      </c>
      <c r="AI302" s="11">
        <f>+'Seat capacity elasticities'!T332</f>
        <v>2.7350881235357574E-2</v>
      </c>
      <c r="AJ302" s="11">
        <f>+'Seat capacity elasticities'!U332</f>
        <v>2.237376234340702E-2</v>
      </c>
      <c r="AK302" s="32">
        <f t="shared" si="292"/>
        <v>398333.96482058108</v>
      </c>
      <c r="AL302" s="33">
        <f t="shared" si="293"/>
        <v>9.9686764502553271E-5</v>
      </c>
      <c r="AM302" s="40">
        <f t="shared" si="294"/>
        <v>754953.046628215</v>
      </c>
      <c r="AN302" s="33">
        <f t="shared" si="295"/>
        <v>1.8893399312210378E-4</v>
      </c>
      <c r="AO302" s="40">
        <f t="shared" si="296"/>
        <v>1752370.9607493598</v>
      </c>
      <c r="AP302" s="41">
        <f t="shared" si="297"/>
        <v>2.7350881235357579E-4</v>
      </c>
      <c r="AQ302" s="40">
        <f t="shared" si="298"/>
        <v>1433486.9533420878</v>
      </c>
      <c r="AR302" s="41">
        <f t="shared" si="299"/>
        <v>2.2373762343407021E-4</v>
      </c>
      <c r="AV302" t="s">
        <v>536</v>
      </c>
      <c r="AW302">
        <v>234881</v>
      </c>
      <c r="AX302">
        <v>123495</v>
      </c>
      <c r="AY302" s="51">
        <v>32356.42</v>
      </c>
      <c r="AZ302" s="32">
        <f t="shared" si="278"/>
        <v>3995856087.8999996</v>
      </c>
      <c r="BA302">
        <v>6407</v>
      </c>
      <c r="BB302" s="37">
        <f t="shared" si="279"/>
        <v>2.7277642721207761E-2</v>
      </c>
      <c r="BC302">
        <v>0</v>
      </c>
      <c r="BD302" s="3">
        <f t="shared" si="342"/>
        <v>0</v>
      </c>
      <c r="BE302" s="11">
        <f>+'Seat capacity elasticities'!Y332</f>
        <v>0</v>
      </c>
      <c r="BF302" s="11">
        <f>+'Seat capacity elasticities'!Z332</f>
        <v>0</v>
      </c>
      <c r="BG302" s="11">
        <f>+'Seat capacity elasticities'!AA332</f>
        <v>0</v>
      </c>
      <c r="BH302" s="11">
        <f>+'Seat capacity elasticities'!AB332</f>
        <v>0</v>
      </c>
      <c r="BI302" s="32">
        <f t="shared" si="300"/>
        <v>0</v>
      </c>
      <c r="BJ302" s="33">
        <f t="shared" si="301"/>
        <v>0</v>
      </c>
      <c r="BK302" s="40">
        <f t="shared" si="302"/>
        <v>0</v>
      </c>
      <c r="BL302" s="33">
        <f t="shared" si="303"/>
        <v>0</v>
      </c>
      <c r="BM302" s="40">
        <f t="shared" si="304"/>
        <v>0</v>
      </c>
      <c r="BN302" s="41">
        <f t="shared" si="305"/>
        <v>0</v>
      </c>
      <c r="BO302" s="40">
        <f t="shared" si="306"/>
        <v>0</v>
      </c>
      <c r="BP302" s="41">
        <f t="shared" si="307"/>
        <v>0</v>
      </c>
      <c r="BQ302" s="52"/>
      <c r="BR302" s="52"/>
      <c r="BS302" t="s">
        <v>536</v>
      </c>
      <c r="BT302">
        <v>234881</v>
      </c>
      <c r="BU302">
        <v>123495</v>
      </c>
      <c r="BV302" s="51">
        <v>32356.42</v>
      </c>
      <c r="BW302" s="32">
        <f t="shared" si="281"/>
        <v>3995856087.8999996</v>
      </c>
      <c r="BX302">
        <v>6407</v>
      </c>
      <c r="BY302" s="37">
        <f t="shared" si="282"/>
        <v>2.7277642721207761E-2</v>
      </c>
      <c r="BZ302">
        <v>3.7669000000000001E-3</v>
      </c>
      <c r="CA302" s="3">
        <f t="shared" si="343"/>
        <v>3.7669000000000001E-5</v>
      </c>
      <c r="CB302" s="11">
        <f>+'Seat capacity elasticities'!AF332</f>
        <v>3.404727051369548E-2</v>
      </c>
      <c r="CC302" s="11">
        <f>+'Seat capacity elasticities'!AG332</f>
        <v>2.7206595103609912E-2</v>
      </c>
      <c r="CD302" s="11">
        <f>+'Seat capacity elasticities'!AH332</f>
        <v>9.3414893828189752E-2</v>
      </c>
      <c r="CE302" s="11">
        <f>+'Seat capacity elasticities'!AI332</f>
        <v>3.2218336306906473E-2</v>
      </c>
      <c r="CF302" s="32">
        <f t="shared" si="308"/>
        <v>1360479.9315852826</v>
      </c>
      <c r="CG302" s="33">
        <f t="shared" si="309"/>
        <v>3.4047270513695488E-4</v>
      </c>
      <c r="CH302" s="40">
        <f t="shared" si="310"/>
        <v>1087136.3867579</v>
      </c>
      <c r="CI302" s="33">
        <f t="shared" si="311"/>
        <v>2.7206595103609915E-4</v>
      </c>
      <c r="CJ302" s="40">
        <f t="shared" si="312"/>
        <v>5985092.2475721175</v>
      </c>
      <c r="CK302" s="41">
        <f t="shared" si="313"/>
        <v>9.3414893828189759E-4</v>
      </c>
      <c r="CL302" s="40">
        <f t="shared" si="314"/>
        <v>2064228.8071834978</v>
      </c>
      <c r="CM302" s="41">
        <f t="shared" si="315"/>
        <v>3.2218336306906475E-4</v>
      </c>
      <c r="CO302" s="70">
        <f t="shared" si="316"/>
        <v>0</v>
      </c>
      <c r="CP302" s="70">
        <f t="shared" si="317"/>
        <v>0</v>
      </c>
      <c r="CQ302" s="70">
        <f t="shared" si="318"/>
        <v>0</v>
      </c>
      <c r="CR302" s="70">
        <f t="shared" si="319"/>
        <v>0</v>
      </c>
      <c r="CS302" s="70">
        <f t="shared" si="320"/>
        <v>0</v>
      </c>
      <c r="CT302" s="70">
        <f t="shared" si="321"/>
        <v>0</v>
      </c>
      <c r="CU302" s="69">
        <f t="shared" si="322"/>
        <v>0</v>
      </c>
      <c r="CV302" s="69">
        <f t="shared" si="323"/>
        <v>0</v>
      </c>
      <c r="CW302" s="70">
        <f t="shared" si="324"/>
        <v>0</v>
      </c>
      <c r="CX302" s="69">
        <f t="shared" si="325"/>
        <v>0</v>
      </c>
      <c r="CY302" s="69">
        <f t="shared" si="326"/>
        <v>0</v>
      </c>
      <c r="CZ302" s="70">
        <f t="shared" si="327"/>
        <v>0</v>
      </c>
      <c r="DB302" s="70">
        <f t="shared" si="328"/>
        <v>3.2255068206857045</v>
      </c>
      <c r="DC302" s="70">
        <f t="shared" si="329"/>
        <v>11.016477845947469</v>
      </c>
      <c r="DD302" s="70">
        <f t="shared" si="330"/>
        <v>14.241984666633172</v>
      </c>
      <c r="DE302" s="70">
        <f t="shared" si="331"/>
        <v>6.1132276337359004</v>
      </c>
      <c r="DF302" s="70">
        <f t="shared" si="332"/>
        <v>8.8030801794234588</v>
      </c>
      <c r="DG302" s="70">
        <f t="shared" si="333"/>
        <v>14.91630781315936</v>
      </c>
      <c r="DH302" s="69">
        <f t="shared" si="334"/>
        <v>14.189813034935503</v>
      </c>
      <c r="DI302" s="69">
        <f t="shared" si="335"/>
        <v>48.464247520726488</v>
      </c>
      <c r="DJ302" s="70">
        <f t="shared" si="336"/>
        <v>62.654060555661992</v>
      </c>
      <c r="DK302" s="69">
        <f t="shared" si="337"/>
        <v>11.607651753853094</v>
      </c>
      <c r="DL302" s="69">
        <f t="shared" si="338"/>
        <v>16.715080020919856</v>
      </c>
      <c r="DM302" s="70">
        <f t="shared" si="339"/>
        <v>28.322731774772951</v>
      </c>
    </row>
    <row r="303" spans="1:117">
      <c r="A303" t="s">
        <v>537</v>
      </c>
      <c r="B303">
        <v>425766</v>
      </c>
      <c r="C303">
        <v>231178</v>
      </c>
      <c r="D303" s="51">
        <v>36090.04</v>
      </c>
      <c r="E303" s="32">
        <f t="shared" si="272"/>
        <v>8343223267.1199999</v>
      </c>
      <c r="F303">
        <v>13623</v>
      </c>
      <c r="G303" s="37">
        <f t="shared" si="273"/>
        <v>3.1996448753540678E-2</v>
      </c>
      <c r="H303">
        <v>0</v>
      </c>
      <c r="I303" s="3">
        <f t="shared" si="340"/>
        <v>0</v>
      </c>
      <c r="J303" s="11">
        <f>+'Seat capacity elasticities'!K333</f>
        <v>0</v>
      </c>
      <c r="K303" s="11">
        <f>+'Seat capacity elasticities'!L333</f>
        <v>0</v>
      </c>
      <c r="L303" s="11">
        <f>+'Seat capacity elasticities'!M333</f>
        <v>0</v>
      </c>
      <c r="M303" s="11">
        <f>+'Seat capacity elasticities'!N333</f>
        <v>0</v>
      </c>
      <c r="N303" s="32">
        <f t="shared" si="284"/>
        <v>0</v>
      </c>
      <c r="O303" s="33">
        <f t="shared" si="285"/>
        <v>0</v>
      </c>
      <c r="P303" s="40">
        <f t="shared" si="286"/>
        <v>0</v>
      </c>
      <c r="Q303" s="33">
        <f t="shared" si="287"/>
        <v>0</v>
      </c>
      <c r="R303" s="40">
        <f t="shared" si="288"/>
        <v>0</v>
      </c>
      <c r="S303" s="41">
        <f t="shared" si="289"/>
        <v>0</v>
      </c>
      <c r="T303" s="40">
        <f t="shared" si="290"/>
        <v>0</v>
      </c>
      <c r="U303" s="41">
        <f t="shared" si="291"/>
        <v>0</v>
      </c>
      <c r="X303" t="s">
        <v>537</v>
      </c>
      <c r="Y303">
        <v>425766</v>
      </c>
      <c r="Z303">
        <v>231178</v>
      </c>
      <c r="AA303" s="51">
        <v>36090.04</v>
      </c>
      <c r="AB303" s="32">
        <f t="shared" si="275"/>
        <v>8343223267.1199999</v>
      </c>
      <c r="AC303">
        <v>13623</v>
      </c>
      <c r="AD303" s="37">
        <f t="shared" si="276"/>
        <v>3.1996448753540678E-2</v>
      </c>
      <c r="AE303">
        <v>2.4431000000000001E-3</v>
      </c>
      <c r="AF303" s="3">
        <f t="shared" si="341"/>
        <v>2.4431E-5</v>
      </c>
      <c r="AG303" s="11">
        <f>+'Seat capacity elasticities'!R333</f>
        <v>2.0609234071841459E-3</v>
      </c>
      <c r="AH303" s="11">
        <f>+'Seat capacity elasticities'!S333</f>
        <v>3.9060199293371478E-3</v>
      </c>
      <c r="AI303" s="11">
        <f>+'Seat capacity elasticities'!T333</f>
        <v>5.6545190955232883E-3</v>
      </c>
      <c r="AJ303" s="11">
        <f>+'Seat capacity elasticities'!U333</f>
        <v>4.6255499163203066E-3</v>
      </c>
      <c r="AK303" s="32">
        <f t="shared" si="292"/>
        <v>171947.44122570992</v>
      </c>
      <c r="AL303" s="33">
        <f t="shared" si="293"/>
        <v>2.0609234071841461E-5</v>
      </c>
      <c r="AM303" s="40">
        <f t="shared" si="294"/>
        <v>325887.96356280113</v>
      </c>
      <c r="AN303" s="33">
        <f t="shared" si="295"/>
        <v>3.9060199293371481E-5</v>
      </c>
      <c r="AO303" s="40">
        <f t="shared" si="296"/>
        <v>770315.13638313755</v>
      </c>
      <c r="AP303" s="41">
        <f t="shared" si="297"/>
        <v>5.6545190955232883E-5</v>
      </c>
      <c r="AQ303" s="40">
        <f t="shared" si="298"/>
        <v>630138.66510031547</v>
      </c>
      <c r="AR303" s="41">
        <f t="shared" si="299"/>
        <v>4.6255499163203078E-5</v>
      </c>
      <c r="AV303" t="s">
        <v>537</v>
      </c>
      <c r="AW303">
        <v>425766</v>
      </c>
      <c r="AX303">
        <v>231178</v>
      </c>
      <c r="AY303" s="51">
        <v>36090.04</v>
      </c>
      <c r="AZ303" s="32">
        <f t="shared" si="278"/>
        <v>8343223267.1199999</v>
      </c>
      <c r="BA303">
        <v>13623</v>
      </c>
      <c r="BB303" s="37">
        <f t="shared" si="279"/>
        <v>3.1996448753540678E-2</v>
      </c>
      <c r="BC303">
        <v>0</v>
      </c>
      <c r="BD303" s="3">
        <f t="shared" si="342"/>
        <v>0</v>
      </c>
      <c r="BE303" s="11">
        <f>+'Seat capacity elasticities'!Y333</f>
        <v>0</v>
      </c>
      <c r="BF303" s="11">
        <f>+'Seat capacity elasticities'!Z333</f>
        <v>0</v>
      </c>
      <c r="BG303" s="11">
        <f>+'Seat capacity elasticities'!AA333</f>
        <v>0</v>
      </c>
      <c r="BH303" s="11">
        <f>+'Seat capacity elasticities'!AB333</f>
        <v>0</v>
      </c>
      <c r="BI303" s="32">
        <f t="shared" si="300"/>
        <v>0</v>
      </c>
      <c r="BJ303" s="33">
        <f t="shared" si="301"/>
        <v>0</v>
      </c>
      <c r="BK303" s="40">
        <f t="shared" si="302"/>
        <v>0</v>
      </c>
      <c r="BL303" s="33">
        <f t="shared" si="303"/>
        <v>0</v>
      </c>
      <c r="BM303" s="40">
        <f t="shared" si="304"/>
        <v>0</v>
      </c>
      <c r="BN303" s="41">
        <f t="shared" si="305"/>
        <v>0</v>
      </c>
      <c r="BO303" s="40">
        <f t="shared" si="306"/>
        <v>0</v>
      </c>
      <c r="BP303" s="41">
        <f t="shared" si="307"/>
        <v>0</v>
      </c>
      <c r="BQ303" s="52"/>
      <c r="BR303" s="52"/>
      <c r="BS303" t="s">
        <v>537</v>
      </c>
      <c r="BT303">
        <v>425766</v>
      </c>
      <c r="BU303">
        <v>231178</v>
      </c>
      <c r="BV303" s="51">
        <v>36090.04</v>
      </c>
      <c r="BW303" s="32">
        <f t="shared" si="281"/>
        <v>8343223267.1199999</v>
      </c>
      <c r="BX303">
        <v>13623</v>
      </c>
      <c r="BY303" s="37">
        <f t="shared" si="282"/>
        <v>3.1996448753540678E-2</v>
      </c>
      <c r="BZ303">
        <v>2.4431000000000001E-3</v>
      </c>
      <c r="CA303" s="3">
        <f t="shared" si="343"/>
        <v>2.4431E-5</v>
      </c>
      <c r="CB303" s="11">
        <f>+'Seat capacity elasticities'!AF333</f>
        <v>1.2181937407331473E-2</v>
      </c>
      <c r="CC303" s="11">
        <f>+'Seat capacity elasticities'!AG333</f>
        <v>9.734379103472331E-3</v>
      </c>
      <c r="CD303" s="11">
        <f>+'Seat capacity elasticities'!AH333</f>
        <v>3.3423366171739778E-2</v>
      </c>
      <c r="CE303" s="11">
        <f>+'Seat capacity elasticities'!AI333</f>
        <v>1.1527554201480392E-2</v>
      </c>
      <c r="CF303" s="32">
        <f t="shared" si="308"/>
        <v>1016366.2361544744</v>
      </c>
      <c r="CG303" s="33">
        <f t="shared" si="309"/>
        <v>1.2181937407331474E-4</v>
      </c>
      <c r="CH303" s="40">
        <f t="shared" si="310"/>
        <v>812160.98227057082</v>
      </c>
      <c r="CI303" s="33">
        <f t="shared" si="311"/>
        <v>9.7343791034723313E-5</v>
      </c>
      <c r="CJ303" s="40">
        <f t="shared" si="312"/>
        <v>4553265.17357611</v>
      </c>
      <c r="CK303" s="41">
        <f t="shared" si="313"/>
        <v>3.3423366171739781E-4</v>
      </c>
      <c r="CL303" s="40">
        <f t="shared" si="314"/>
        <v>1570398.7088676738</v>
      </c>
      <c r="CM303" s="41">
        <f t="shared" si="315"/>
        <v>1.1527554201480391E-4</v>
      </c>
      <c r="CO303" s="70">
        <f t="shared" si="316"/>
        <v>0</v>
      </c>
      <c r="CP303" s="70">
        <f t="shared" si="317"/>
        <v>0</v>
      </c>
      <c r="CQ303" s="70">
        <f t="shared" si="318"/>
        <v>0</v>
      </c>
      <c r="CR303" s="70">
        <f t="shared" si="319"/>
        <v>0</v>
      </c>
      <c r="CS303" s="70">
        <f t="shared" si="320"/>
        <v>0</v>
      </c>
      <c r="CT303" s="70">
        <f t="shared" si="321"/>
        <v>0</v>
      </c>
      <c r="CU303" s="69">
        <f t="shared" si="322"/>
        <v>0</v>
      </c>
      <c r="CV303" s="69">
        <f t="shared" si="323"/>
        <v>0</v>
      </c>
      <c r="CW303" s="70">
        <f t="shared" si="324"/>
        <v>0</v>
      </c>
      <c r="CX303" s="69">
        <f t="shared" si="325"/>
        <v>0</v>
      </c>
      <c r="CY303" s="69">
        <f t="shared" si="326"/>
        <v>0</v>
      </c>
      <c r="CZ303" s="70">
        <f t="shared" si="327"/>
        <v>0</v>
      </c>
      <c r="DB303" s="70">
        <f t="shared" si="328"/>
        <v>0.7437880820221211</v>
      </c>
      <c r="DC303" s="70">
        <f t="shared" si="329"/>
        <v>4.3964660830808917</v>
      </c>
      <c r="DD303" s="70">
        <f t="shared" si="330"/>
        <v>5.1402541651030127</v>
      </c>
      <c r="DE303" s="70">
        <f t="shared" si="331"/>
        <v>1.4096841549057486</v>
      </c>
      <c r="DF303" s="70">
        <f t="shared" si="332"/>
        <v>3.5131413121948056</v>
      </c>
      <c r="DG303" s="70">
        <f t="shared" si="333"/>
        <v>4.9228254671005542</v>
      </c>
      <c r="DH303" s="69">
        <f t="shared" si="334"/>
        <v>3.3321299448180084</v>
      </c>
      <c r="DI303" s="69">
        <f t="shared" si="335"/>
        <v>19.695927698899162</v>
      </c>
      <c r="DJ303" s="70">
        <f t="shared" si="336"/>
        <v>23.028057643717169</v>
      </c>
      <c r="DK303" s="69">
        <f t="shared" si="337"/>
        <v>2.7257726301824374</v>
      </c>
      <c r="DL303" s="69">
        <f t="shared" si="338"/>
        <v>6.7930283542018435</v>
      </c>
      <c r="DM303" s="70">
        <f t="shared" si="339"/>
        <v>9.5188009843842813</v>
      </c>
    </row>
    <row r="304" spans="1:117">
      <c r="A304" t="s">
        <v>538</v>
      </c>
      <c r="B304">
        <v>566425</v>
      </c>
      <c r="C304">
        <v>299345</v>
      </c>
      <c r="D304" s="51">
        <v>32130.92</v>
      </c>
      <c r="E304" s="32">
        <f t="shared" si="272"/>
        <v>9618230247.3999996</v>
      </c>
      <c r="F304">
        <v>15159</v>
      </c>
      <c r="G304" s="37">
        <f t="shared" si="273"/>
        <v>2.6762589928057554E-2</v>
      </c>
      <c r="H304">
        <v>0</v>
      </c>
      <c r="I304" s="3">
        <f t="shared" si="340"/>
        <v>0</v>
      </c>
      <c r="J304" s="11">
        <f>+'Seat capacity elasticities'!K334</f>
        <v>0</v>
      </c>
      <c r="K304" s="11">
        <f>+'Seat capacity elasticities'!L334</f>
        <v>0</v>
      </c>
      <c r="L304" s="11">
        <f>+'Seat capacity elasticities'!M334</f>
        <v>0</v>
      </c>
      <c r="M304" s="11">
        <f>+'Seat capacity elasticities'!N334</f>
        <v>0</v>
      </c>
      <c r="N304" s="32">
        <f t="shared" si="284"/>
        <v>0</v>
      </c>
      <c r="O304" s="33">
        <f t="shared" si="285"/>
        <v>0</v>
      </c>
      <c r="P304" s="40">
        <f t="shared" si="286"/>
        <v>0</v>
      </c>
      <c r="Q304" s="33">
        <f t="shared" si="287"/>
        <v>0</v>
      </c>
      <c r="R304" s="40">
        <f t="shared" si="288"/>
        <v>0</v>
      </c>
      <c r="S304" s="41">
        <f t="shared" si="289"/>
        <v>0</v>
      </c>
      <c r="T304" s="40">
        <f t="shared" si="290"/>
        <v>0</v>
      </c>
      <c r="U304" s="41">
        <f t="shared" si="291"/>
        <v>0</v>
      </c>
      <c r="X304" t="s">
        <v>538</v>
      </c>
      <c r="Y304">
        <v>566425</v>
      </c>
      <c r="Z304">
        <v>299345</v>
      </c>
      <c r="AA304" s="51">
        <v>32130.92</v>
      </c>
      <c r="AB304" s="32">
        <f t="shared" si="275"/>
        <v>9618230247.3999996</v>
      </c>
      <c r="AC304">
        <v>15159</v>
      </c>
      <c r="AD304" s="37">
        <f t="shared" si="276"/>
        <v>2.6762589928057554E-2</v>
      </c>
      <c r="AE304">
        <v>2.9905000000000001E-3</v>
      </c>
      <c r="AF304" s="3">
        <f t="shared" si="341"/>
        <v>2.9905000000000003E-5</v>
      </c>
      <c r="AG304" s="11">
        <f>+'Seat capacity elasticities'!R334</f>
        <v>9.258320293277663E-3</v>
      </c>
      <c r="AH304" s="11">
        <f>+'Seat capacity elasticities'!S334</f>
        <v>1.7547077902880008E-2</v>
      </c>
      <c r="AI304" s="11">
        <f>+'Seat capacity elasticities'!T334</f>
        <v>2.5401889613324995E-2</v>
      </c>
      <c r="AJ304" s="11">
        <f>+'Seat capacity elasticities'!U334</f>
        <v>2.0779434358673694E-2</v>
      </c>
      <c r="AK304" s="32">
        <f t="shared" si="292"/>
        <v>890486.56284920452</v>
      </c>
      <c r="AL304" s="33">
        <f t="shared" si="293"/>
        <v>9.2583202932776626E-5</v>
      </c>
      <c r="AM304" s="40">
        <f t="shared" si="294"/>
        <v>1687718.3543896463</v>
      </c>
      <c r="AN304" s="33">
        <f t="shared" si="295"/>
        <v>1.7547077902880007E-4</v>
      </c>
      <c r="AO304" s="40">
        <f t="shared" si="296"/>
        <v>3850672.4464839362</v>
      </c>
      <c r="AP304" s="41">
        <f t="shared" si="297"/>
        <v>2.5401889613324997E-4</v>
      </c>
      <c r="AQ304" s="40">
        <f t="shared" si="298"/>
        <v>3149954.4544313457</v>
      </c>
      <c r="AR304" s="41">
        <f t="shared" si="299"/>
        <v>2.0779434358673697E-4</v>
      </c>
      <c r="AV304" t="s">
        <v>538</v>
      </c>
      <c r="AW304">
        <v>566425</v>
      </c>
      <c r="AX304">
        <v>299345</v>
      </c>
      <c r="AY304" s="51">
        <v>32130.92</v>
      </c>
      <c r="AZ304" s="32">
        <f t="shared" si="278"/>
        <v>9618230247.3999996</v>
      </c>
      <c r="BA304">
        <v>15159</v>
      </c>
      <c r="BB304" s="37">
        <f t="shared" si="279"/>
        <v>2.6762589928057554E-2</v>
      </c>
      <c r="BC304">
        <v>0</v>
      </c>
      <c r="BD304" s="3">
        <f t="shared" si="342"/>
        <v>0</v>
      </c>
      <c r="BE304" s="11">
        <f>+'Seat capacity elasticities'!Y334</f>
        <v>0</v>
      </c>
      <c r="BF304" s="11">
        <f>+'Seat capacity elasticities'!Z334</f>
        <v>0</v>
      </c>
      <c r="BG304" s="11">
        <f>+'Seat capacity elasticities'!AA334</f>
        <v>0</v>
      </c>
      <c r="BH304" s="11">
        <f>+'Seat capacity elasticities'!AB334</f>
        <v>0</v>
      </c>
      <c r="BI304" s="32">
        <f t="shared" si="300"/>
        <v>0</v>
      </c>
      <c r="BJ304" s="33">
        <f t="shared" si="301"/>
        <v>0</v>
      </c>
      <c r="BK304" s="40">
        <f t="shared" si="302"/>
        <v>0</v>
      </c>
      <c r="BL304" s="33">
        <f t="shared" si="303"/>
        <v>0</v>
      </c>
      <c r="BM304" s="40">
        <f t="shared" si="304"/>
        <v>0</v>
      </c>
      <c r="BN304" s="41">
        <f t="shared" si="305"/>
        <v>0</v>
      </c>
      <c r="BO304" s="40">
        <f t="shared" si="306"/>
        <v>0</v>
      </c>
      <c r="BP304" s="41">
        <f t="shared" si="307"/>
        <v>0</v>
      </c>
      <c r="BQ304" s="52"/>
      <c r="BR304" s="52"/>
      <c r="BS304" t="s">
        <v>538</v>
      </c>
      <c r="BT304">
        <v>566425</v>
      </c>
      <c r="BU304">
        <v>299345</v>
      </c>
      <c r="BV304" s="51">
        <v>32130.92</v>
      </c>
      <c r="BW304" s="32">
        <f t="shared" si="281"/>
        <v>9618230247.3999996</v>
      </c>
      <c r="BX304">
        <v>15159</v>
      </c>
      <c r="BY304" s="37">
        <f t="shared" si="282"/>
        <v>2.6762589928057554E-2</v>
      </c>
      <c r="BZ304">
        <v>2.9905000000000001E-3</v>
      </c>
      <c r="CA304" s="3">
        <f t="shared" si="343"/>
        <v>2.9905000000000003E-5</v>
      </c>
      <c r="CB304" s="11">
        <f>+'Seat capacity elasticities'!AF334</f>
        <v>1.1208499863040048E-2</v>
      </c>
      <c r="CC304" s="11">
        <f>+'Seat capacity elasticities'!AG334</f>
        <v>8.9565217091318369E-3</v>
      </c>
      <c r="CD304" s="11">
        <f>+'Seat capacity elasticities'!AH334</f>
        <v>3.0752562801120709E-2</v>
      </c>
      <c r="CE304" s="11">
        <f>+'Seat capacity elasticities'!AI334</f>
        <v>1.0606407287129806E-2</v>
      </c>
      <c r="CF304" s="32">
        <f t="shared" si="308"/>
        <v>1078059.3241067054</v>
      </c>
      <c r="CG304" s="33">
        <f t="shared" si="309"/>
        <v>1.1208499863040048E-4</v>
      </c>
      <c r="CH304" s="40">
        <f t="shared" si="310"/>
        <v>861458.8801426657</v>
      </c>
      <c r="CI304" s="33">
        <f t="shared" si="311"/>
        <v>8.9565217091318365E-5</v>
      </c>
      <c r="CJ304" s="40">
        <f t="shared" si="312"/>
        <v>4661780.9950218881</v>
      </c>
      <c r="CK304" s="41">
        <f t="shared" si="313"/>
        <v>3.0752562801120706E-4</v>
      </c>
      <c r="CL304" s="40">
        <f t="shared" si="314"/>
        <v>1607825.2806560074</v>
      </c>
      <c r="CM304" s="41">
        <f t="shared" si="315"/>
        <v>1.0606407287129807E-4</v>
      </c>
      <c r="CO304" s="70">
        <f t="shared" si="316"/>
        <v>0</v>
      </c>
      <c r="CP304" s="70">
        <f t="shared" si="317"/>
        <v>0</v>
      </c>
      <c r="CQ304" s="70">
        <f t="shared" si="318"/>
        <v>0</v>
      </c>
      <c r="CR304" s="70">
        <f t="shared" si="319"/>
        <v>0</v>
      </c>
      <c r="CS304" s="70">
        <f t="shared" si="320"/>
        <v>0</v>
      </c>
      <c r="CT304" s="70">
        <f t="shared" si="321"/>
        <v>0</v>
      </c>
      <c r="CU304" s="69">
        <f t="shared" si="322"/>
        <v>0</v>
      </c>
      <c r="CV304" s="69">
        <f t="shared" si="323"/>
        <v>0</v>
      </c>
      <c r="CW304" s="70">
        <f t="shared" si="324"/>
        <v>0</v>
      </c>
      <c r="CX304" s="69">
        <f t="shared" si="325"/>
        <v>0</v>
      </c>
      <c r="CY304" s="69">
        <f t="shared" si="326"/>
        <v>0</v>
      </c>
      <c r="CZ304" s="70">
        <f t="shared" si="327"/>
        <v>0</v>
      </c>
      <c r="DB304" s="70">
        <f t="shared" si="328"/>
        <v>2.9747834867768113</v>
      </c>
      <c r="DC304" s="70">
        <f t="shared" si="329"/>
        <v>3.601394124193507</v>
      </c>
      <c r="DD304" s="70">
        <f t="shared" si="330"/>
        <v>6.5761776109703183</v>
      </c>
      <c r="DE304" s="70">
        <f t="shared" si="331"/>
        <v>5.6380375633120527</v>
      </c>
      <c r="DF304" s="70">
        <f t="shared" si="332"/>
        <v>2.8778128251437831</v>
      </c>
      <c r="DG304" s="70">
        <f t="shared" si="333"/>
        <v>8.515850388455835</v>
      </c>
      <c r="DH304" s="69">
        <f t="shared" si="334"/>
        <v>12.863660480328505</v>
      </c>
      <c r="DI304" s="69">
        <f t="shared" si="335"/>
        <v>15.573271626457393</v>
      </c>
      <c r="DJ304" s="70">
        <f t="shared" si="336"/>
        <v>28.436932106785896</v>
      </c>
      <c r="DK304" s="69">
        <f t="shared" si="337"/>
        <v>10.522823011679987</v>
      </c>
      <c r="DL304" s="69">
        <f t="shared" si="338"/>
        <v>5.3711446012327162</v>
      </c>
      <c r="DM304" s="70">
        <f t="shared" si="339"/>
        <v>15.893967612912704</v>
      </c>
    </row>
    <row r="305" spans="1:117">
      <c r="A305" t="s">
        <v>539</v>
      </c>
      <c r="B305">
        <v>164992</v>
      </c>
      <c r="C305">
        <v>71368</v>
      </c>
      <c r="D305" s="51">
        <v>32633.46</v>
      </c>
      <c r="E305" s="32">
        <f t="shared" si="272"/>
        <v>2328984773.2799997</v>
      </c>
      <c r="F305">
        <v>3212</v>
      </c>
      <c r="G305" s="37">
        <f t="shared" si="273"/>
        <v>1.9467610550814585E-2</v>
      </c>
      <c r="H305">
        <v>0</v>
      </c>
      <c r="I305" s="3">
        <f t="shared" si="340"/>
        <v>0</v>
      </c>
      <c r="J305" s="11">
        <f>+'Seat capacity elasticities'!K335</f>
        <v>0</v>
      </c>
      <c r="K305" s="11">
        <f>+'Seat capacity elasticities'!L335</f>
        <v>0</v>
      </c>
      <c r="L305" s="11">
        <f>+'Seat capacity elasticities'!M335</f>
        <v>0</v>
      </c>
      <c r="M305" s="11">
        <f>+'Seat capacity elasticities'!N335</f>
        <v>0</v>
      </c>
      <c r="N305" s="32">
        <f t="shared" si="284"/>
        <v>0</v>
      </c>
      <c r="O305" s="33">
        <f t="shared" si="285"/>
        <v>0</v>
      </c>
      <c r="P305" s="40">
        <f t="shared" si="286"/>
        <v>0</v>
      </c>
      <c r="Q305" s="33">
        <f t="shared" si="287"/>
        <v>0</v>
      </c>
      <c r="R305" s="40">
        <f t="shared" si="288"/>
        <v>0</v>
      </c>
      <c r="S305" s="41">
        <f t="shared" si="289"/>
        <v>0</v>
      </c>
      <c r="T305" s="40">
        <f t="shared" si="290"/>
        <v>0</v>
      </c>
      <c r="U305" s="41">
        <f t="shared" si="291"/>
        <v>0</v>
      </c>
      <c r="X305" t="s">
        <v>539</v>
      </c>
      <c r="Y305">
        <v>164992</v>
      </c>
      <c r="Z305">
        <v>71368</v>
      </c>
      <c r="AA305" s="51">
        <v>32633.46</v>
      </c>
      <c r="AB305" s="32">
        <f t="shared" si="275"/>
        <v>2328984773.2799997</v>
      </c>
      <c r="AC305">
        <v>3212</v>
      </c>
      <c r="AD305" s="37">
        <f t="shared" si="276"/>
        <v>1.9467610550814585E-2</v>
      </c>
      <c r="AE305">
        <v>6.7219999999999997E-3</v>
      </c>
      <c r="AF305" s="3">
        <f t="shared" si="341"/>
        <v>6.7219999999999997E-5</v>
      </c>
      <c r="AG305" s="11">
        <f>+'Seat capacity elasticities'!R335</f>
        <v>2.2368925533227321E-2</v>
      </c>
      <c r="AH305" s="11">
        <f>+'Seat capacity elasticities'!S335</f>
        <v>4.2395301361550099E-2</v>
      </c>
      <c r="AI305" s="11">
        <f>+'Seat capacity elasticities'!T335</f>
        <v>6.1373225289721174E-2</v>
      </c>
      <c r="AJ305" s="11">
        <f>+'Seat capacity elasticities'!U335</f>
        <v>5.0204962138677756E-2</v>
      </c>
      <c r="AK305" s="32">
        <f t="shared" si="292"/>
        <v>520968.86961520632</v>
      </c>
      <c r="AL305" s="33">
        <f t="shared" si="293"/>
        <v>2.2368925533227323E-4</v>
      </c>
      <c r="AM305" s="40">
        <f t="shared" si="294"/>
        <v>987380.11329667026</v>
      </c>
      <c r="AN305" s="33">
        <f t="shared" si="295"/>
        <v>4.23953013615501E-4</v>
      </c>
      <c r="AO305" s="40">
        <f t="shared" si="296"/>
        <v>1971307.996305844</v>
      </c>
      <c r="AP305" s="41">
        <f t="shared" si="297"/>
        <v>6.1373225289721172E-4</v>
      </c>
      <c r="AQ305" s="40">
        <f t="shared" si="298"/>
        <v>1612583.3838943294</v>
      </c>
      <c r="AR305" s="41">
        <f t="shared" si="299"/>
        <v>5.020496213867775E-4</v>
      </c>
      <c r="AV305" t="s">
        <v>539</v>
      </c>
      <c r="AW305">
        <v>164992</v>
      </c>
      <c r="AX305">
        <v>71368</v>
      </c>
      <c r="AY305" s="51">
        <v>32633.46</v>
      </c>
      <c r="AZ305" s="32">
        <f t="shared" si="278"/>
        <v>2328984773.2799997</v>
      </c>
      <c r="BA305">
        <v>3212</v>
      </c>
      <c r="BB305" s="37">
        <f t="shared" si="279"/>
        <v>1.9467610550814585E-2</v>
      </c>
      <c r="BC305">
        <v>0</v>
      </c>
      <c r="BD305" s="3">
        <f t="shared" si="342"/>
        <v>0</v>
      </c>
      <c r="BE305" s="11">
        <f>+'Seat capacity elasticities'!Y335</f>
        <v>0</v>
      </c>
      <c r="BF305" s="11">
        <f>+'Seat capacity elasticities'!Z335</f>
        <v>0</v>
      </c>
      <c r="BG305" s="11">
        <f>+'Seat capacity elasticities'!AA335</f>
        <v>0</v>
      </c>
      <c r="BH305" s="11">
        <f>+'Seat capacity elasticities'!AB335</f>
        <v>0</v>
      </c>
      <c r="BI305" s="32">
        <f t="shared" si="300"/>
        <v>0</v>
      </c>
      <c r="BJ305" s="33">
        <f t="shared" si="301"/>
        <v>0</v>
      </c>
      <c r="BK305" s="40">
        <f t="shared" si="302"/>
        <v>0</v>
      </c>
      <c r="BL305" s="33">
        <f t="shared" si="303"/>
        <v>0</v>
      </c>
      <c r="BM305" s="40">
        <f t="shared" si="304"/>
        <v>0</v>
      </c>
      <c r="BN305" s="41">
        <f t="shared" si="305"/>
        <v>0</v>
      </c>
      <c r="BO305" s="40">
        <f t="shared" si="306"/>
        <v>0</v>
      </c>
      <c r="BP305" s="41">
        <f t="shared" si="307"/>
        <v>0</v>
      </c>
      <c r="BQ305" s="52"/>
      <c r="BR305" s="52"/>
      <c r="BS305" t="s">
        <v>539</v>
      </c>
      <c r="BT305">
        <v>164992</v>
      </c>
      <c r="BU305">
        <v>71368</v>
      </c>
      <c r="BV305" s="51">
        <v>32633.46</v>
      </c>
      <c r="BW305" s="32">
        <f t="shared" si="281"/>
        <v>2328984773.2799997</v>
      </c>
      <c r="BX305">
        <v>3212</v>
      </c>
      <c r="BY305" s="37">
        <f t="shared" si="282"/>
        <v>1.9467610550814585E-2</v>
      </c>
      <c r="BZ305">
        <v>6.7219999999999997E-3</v>
      </c>
      <c r="CA305" s="3">
        <f t="shared" si="343"/>
        <v>6.7219999999999997E-5</v>
      </c>
      <c r="CB305" s="11">
        <f>+'Seat capacity elasticities'!AF335</f>
        <v>8.6493150908971569E-2</v>
      </c>
      <c r="CC305" s="11">
        <f>+'Seat capacity elasticities'!AG335</f>
        <v>6.9115206608684046E-2</v>
      </c>
      <c r="CD305" s="11">
        <f>+'Seat capacity elasticities'!AH335</f>
        <v>0.23730972812569817</v>
      </c>
      <c r="CE305" s="11">
        <f>+'Seat capacity elasticities'!AI335</f>
        <v>8.1846955194494281E-2</v>
      </c>
      <c r="CF305" s="32">
        <f t="shared" si="308"/>
        <v>2014412.3146000397</v>
      </c>
      <c r="CG305" s="33">
        <f t="shared" si="309"/>
        <v>8.6493150908971579E-4</v>
      </c>
      <c r="CH305" s="40">
        <f t="shared" si="310"/>
        <v>1609682.6379372636</v>
      </c>
      <c r="CI305" s="33">
        <f t="shared" si="311"/>
        <v>6.9115206608684053E-4</v>
      </c>
      <c r="CJ305" s="40">
        <f t="shared" si="312"/>
        <v>7622388.4673974253</v>
      </c>
      <c r="CK305" s="41">
        <f t="shared" si="313"/>
        <v>2.3730972812569815E-3</v>
      </c>
      <c r="CL305" s="40">
        <f t="shared" si="314"/>
        <v>2628924.2008471563</v>
      </c>
      <c r="CM305" s="41">
        <f t="shared" si="315"/>
        <v>8.1846955194494282E-4</v>
      </c>
      <c r="CO305" s="70">
        <f t="shared" si="316"/>
        <v>0</v>
      </c>
      <c r="CP305" s="70">
        <f t="shared" si="317"/>
        <v>0</v>
      </c>
      <c r="CQ305" s="70">
        <f t="shared" si="318"/>
        <v>0</v>
      </c>
      <c r="CR305" s="70">
        <f t="shared" si="319"/>
        <v>0</v>
      </c>
      <c r="CS305" s="70">
        <f t="shared" si="320"/>
        <v>0</v>
      </c>
      <c r="CT305" s="70">
        <f t="shared" si="321"/>
        <v>0</v>
      </c>
      <c r="CU305" s="69">
        <f t="shared" si="322"/>
        <v>0</v>
      </c>
      <c r="CV305" s="69">
        <f t="shared" si="323"/>
        <v>0</v>
      </c>
      <c r="CW305" s="70">
        <f t="shared" si="324"/>
        <v>0</v>
      </c>
      <c r="CX305" s="69">
        <f t="shared" si="325"/>
        <v>0</v>
      </c>
      <c r="CY305" s="69">
        <f t="shared" si="326"/>
        <v>0</v>
      </c>
      <c r="CZ305" s="70">
        <f t="shared" si="327"/>
        <v>0</v>
      </c>
      <c r="DB305" s="70">
        <f t="shared" si="328"/>
        <v>7.2997543663155238</v>
      </c>
      <c r="DC305" s="70">
        <f t="shared" si="329"/>
        <v>28.225707804618875</v>
      </c>
      <c r="DD305" s="70">
        <f t="shared" si="330"/>
        <v>35.525462170934397</v>
      </c>
      <c r="DE305" s="70">
        <f t="shared" si="331"/>
        <v>13.835053711700906</v>
      </c>
      <c r="DF305" s="70">
        <f t="shared" si="332"/>
        <v>22.554683302562264</v>
      </c>
      <c r="DG305" s="70">
        <f t="shared" si="333"/>
        <v>36.389737014263169</v>
      </c>
      <c r="DH305" s="69">
        <f t="shared" si="334"/>
        <v>27.621735179714214</v>
      </c>
      <c r="DI305" s="69">
        <f t="shared" si="335"/>
        <v>106.80400834263851</v>
      </c>
      <c r="DJ305" s="70">
        <f t="shared" si="336"/>
        <v>134.42574352235272</v>
      </c>
      <c r="DK305" s="69">
        <f t="shared" si="337"/>
        <v>22.595328212845104</v>
      </c>
      <c r="DL305" s="69">
        <f t="shared" si="338"/>
        <v>36.836175889014072</v>
      </c>
      <c r="DM305" s="70">
        <f t="shared" si="339"/>
        <v>59.431504101859176</v>
      </c>
    </row>
    <row r="306" spans="1:117">
      <c r="A306" t="s">
        <v>540</v>
      </c>
      <c r="B306">
        <v>193299</v>
      </c>
      <c r="C306">
        <v>82583</v>
      </c>
      <c r="D306" s="51">
        <v>28079.439999999999</v>
      </c>
      <c r="E306" s="32">
        <f t="shared" si="272"/>
        <v>2318884393.52</v>
      </c>
      <c r="F306">
        <v>3546</v>
      </c>
      <c r="G306" s="37">
        <f t="shared" si="273"/>
        <v>1.8344637064858071E-2</v>
      </c>
      <c r="H306">
        <v>0</v>
      </c>
      <c r="I306" s="3">
        <f t="shared" si="340"/>
        <v>0</v>
      </c>
      <c r="J306" s="11">
        <f>+'Seat capacity elasticities'!K336</f>
        <v>0</v>
      </c>
      <c r="K306" s="11">
        <f>+'Seat capacity elasticities'!L336</f>
        <v>0</v>
      </c>
      <c r="L306" s="11">
        <f>+'Seat capacity elasticities'!M336</f>
        <v>0</v>
      </c>
      <c r="M306" s="11">
        <f>+'Seat capacity elasticities'!N336</f>
        <v>0</v>
      </c>
      <c r="N306" s="32">
        <f t="shared" si="284"/>
        <v>0</v>
      </c>
      <c r="O306" s="33">
        <f t="shared" si="285"/>
        <v>0</v>
      </c>
      <c r="P306" s="40">
        <f t="shared" si="286"/>
        <v>0</v>
      </c>
      <c r="Q306" s="33">
        <f t="shared" si="287"/>
        <v>0</v>
      </c>
      <c r="R306" s="40">
        <f t="shared" si="288"/>
        <v>0</v>
      </c>
      <c r="S306" s="41">
        <f t="shared" si="289"/>
        <v>0</v>
      </c>
      <c r="T306" s="40">
        <f t="shared" si="290"/>
        <v>0</v>
      </c>
      <c r="U306" s="41">
        <f t="shared" si="291"/>
        <v>0</v>
      </c>
      <c r="X306" t="s">
        <v>540</v>
      </c>
      <c r="Y306">
        <v>193299</v>
      </c>
      <c r="Z306">
        <v>82583</v>
      </c>
      <c r="AA306" s="51">
        <v>28079.439999999999</v>
      </c>
      <c r="AB306" s="32">
        <f t="shared" si="275"/>
        <v>2318884393.52</v>
      </c>
      <c r="AC306">
        <v>3546</v>
      </c>
      <c r="AD306" s="37">
        <f t="shared" si="276"/>
        <v>1.8344637064858071E-2</v>
      </c>
      <c r="AE306">
        <v>1.8659E-3</v>
      </c>
      <c r="AF306" s="3">
        <f t="shared" si="341"/>
        <v>1.8658999999999999E-5</v>
      </c>
      <c r="AG306" s="11">
        <f>+'Seat capacity elasticities'!R336</f>
        <v>6.0526115351784262E-3</v>
      </c>
      <c r="AH306" s="11">
        <f>+'Seat capacity elasticities'!S336</f>
        <v>1.1471373074094276E-2</v>
      </c>
      <c r="AI306" s="11">
        <f>+'Seat capacity elasticities'!T336</f>
        <v>1.6606443201211567E-2</v>
      </c>
      <c r="AJ306" s="11">
        <f>+'Seat capacity elasticities'!U336</f>
        <v>1.3584520745637959E-2</v>
      </c>
      <c r="AK306" s="32">
        <f t="shared" si="292"/>
        <v>140353.06428964381</v>
      </c>
      <c r="AL306" s="33">
        <f t="shared" si="293"/>
        <v>6.0526115351784259E-5</v>
      </c>
      <c r="AM306" s="40">
        <f t="shared" si="294"/>
        <v>266007.87993762764</v>
      </c>
      <c r="AN306" s="33">
        <f t="shared" si="295"/>
        <v>1.1471373074094277E-4</v>
      </c>
      <c r="AO306" s="40">
        <f t="shared" si="296"/>
        <v>588864.47591496212</v>
      </c>
      <c r="AP306" s="41">
        <f t="shared" si="297"/>
        <v>1.6606443201211564E-4</v>
      </c>
      <c r="AQ306" s="40">
        <f t="shared" si="298"/>
        <v>481707.10564032203</v>
      </c>
      <c r="AR306" s="41">
        <f t="shared" si="299"/>
        <v>1.358452074563796E-4</v>
      </c>
      <c r="AV306" t="s">
        <v>540</v>
      </c>
      <c r="AW306">
        <v>193299</v>
      </c>
      <c r="AX306">
        <v>82583</v>
      </c>
      <c r="AY306" s="51">
        <v>28079.439999999999</v>
      </c>
      <c r="AZ306" s="32">
        <f t="shared" si="278"/>
        <v>2318884393.52</v>
      </c>
      <c r="BA306">
        <v>3546</v>
      </c>
      <c r="BB306" s="37">
        <f t="shared" si="279"/>
        <v>1.8344637064858071E-2</v>
      </c>
      <c r="BC306">
        <v>0</v>
      </c>
      <c r="BD306" s="3">
        <f t="shared" si="342"/>
        <v>0</v>
      </c>
      <c r="BE306" s="11">
        <f>+'Seat capacity elasticities'!Y336</f>
        <v>0</v>
      </c>
      <c r="BF306" s="11">
        <f>+'Seat capacity elasticities'!Z336</f>
        <v>0</v>
      </c>
      <c r="BG306" s="11">
        <f>+'Seat capacity elasticities'!AA336</f>
        <v>0</v>
      </c>
      <c r="BH306" s="11">
        <f>+'Seat capacity elasticities'!AB336</f>
        <v>0</v>
      </c>
      <c r="BI306" s="32">
        <f t="shared" si="300"/>
        <v>0</v>
      </c>
      <c r="BJ306" s="33">
        <f t="shared" si="301"/>
        <v>0</v>
      </c>
      <c r="BK306" s="40">
        <f t="shared" si="302"/>
        <v>0</v>
      </c>
      <c r="BL306" s="33">
        <f t="shared" si="303"/>
        <v>0</v>
      </c>
      <c r="BM306" s="40">
        <f t="shared" si="304"/>
        <v>0</v>
      </c>
      <c r="BN306" s="41">
        <f t="shared" si="305"/>
        <v>0</v>
      </c>
      <c r="BO306" s="40">
        <f t="shared" si="306"/>
        <v>0</v>
      </c>
      <c r="BP306" s="41">
        <f t="shared" si="307"/>
        <v>0</v>
      </c>
      <c r="BQ306" s="52"/>
      <c r="BR306" s="52"/>
      <c r="BS306" t="s">
        <v>540</v>
      </c>
      <c r="BT306">
        <v>193299</v>
      </c>
      <c r="BU306">
        <v>82583</v>
      </c>
      <c r="BV306" s="51">
        <v>28079.439999999999</v>
      </c>
      <c r="BW306" s="32">
        <f t="shared" si="281"/>
        <v>2318884393.52</v>
      </c>
      <c r="BX306">
        <v>3546</v>
      </c>
      <c r="BY306" s="37">
        <f t="shared" si="282"/>
        <v>1.8344637064858071E-2</v>
      </c>
      <c r="BZ306">
        <v>1.8659E-3</v>
      </c>
      <c r="CA306" s="3">
        <f t="shared" si="343"/>
        <v>1.8658999999999999E-5</v>
      </c>
      <c r="CB306" s="11">
        <f>+'Seat capacity elasticities'!AF336</f>
        <v>2.0492967667023566E-2</v>
      </c>
      <c r="CC306" s="11">
        <f>+'Seat capacity elasticities'!AG336</f>
        <v>1.6375582106172307E-2</v>
      </c>
      <c r="CD306" s="11">
        <f>+'Seat capacity elasticities'!AH336</f>
        <v>5.6226192877032163E-2</v>
      </c>
      <c r="CE306" s="11">
        <f>+'Seat capacity elasticities'!AI336</f>
        <v>1.939213670467773E-2</v>
      </c>
      <c r="CF306" s="32">
        <f t="shared" si="308"/>
        <v>475208.22899970913</v>
      </c>
      <c r="CG306" s="33">
        <f t="shared" si="309"/>
        <v>2.0492967667023568E-4</v>
      </c>
      <c r="CH306" s="40">
        <f t="shared" si="310"/>
        <v>379730.81780808337</v>
      </c>
      <c r="CI306" s="33">
        <f t="shared" si="311"/>
        <v>1.6375582106172308E-4</v>
      </c>
      <c r="CJ306" s="40">
        <f t="shared" si="312"/>
        <v>1993780.7994195605</v>
      </c>
      <c r="CK306" s="41">
        <f t="shared" si="313"/>
        <v>5.6226192877032171E-4</v>
      </c>
      <c r="CL306" s="40">
        <f t="shared" si="314"/>
        <v>687645.16754787241</v>
      </c>
      <c r="CM306" s="41">
        <f t="shared" si="315"/>
        <v>1.9392136704677733E-4</v>
      </c>
      <c r="CO306" s="70">
        <f t="shared" si="316"/>
        <v>0</v>
      </c>
      <c r="CP306" s="70">
        <f t="shared" si="317"/>
        <v>0</v>
      </c>
      <c r="CQ306" s="70">
        <f t="shared" si="318"/>
        <v>0</v>
      </c>
      <c r="CR306" s="70">
        <f t="shared" si="319"/>
        <v>0</v>
      </c>
      <c r="CS306" s="70">
        <f t="shared" si="320"/>
        <v>0</v>
      </c>
      <c r="CT306" s="70">
        <f t="shared" si="321"/>
        <v>0</v>
      </c>
      <c r="CU306" s="69">
        <f t="shared" si="322"/>
        <v>0</v>
      </c>
      <c r="CV306" s="69">
        <f t="shared" si="323"/>
        <v>0</v>
      </c>
      <c r="CW306" s="70">
        <f t="shared" si="324"/>
        <v>0</v>
      </c>
      <c r="CX306" s="69">
        <f t="shared" si="325"/>
        <v>0</v>
      </c>
      <c r="CY306" s="69">
        <f t="shared" si="326"/>
        <v>0</v>
      </c>
      <c r="CZ306" s="70">
        <f t="shared" si="327"/>
        <v>0</v>
      </c>
      <c r="DB306" s="70">
        <f t="shared" si="328"/>
        <v>1.6995394244535051</v>
      </c>
      <c r="DC306" s="70">
        <f t="shared" si="329"/>
        <v>5.7543105602812821</v>
      </c>
      <c r="DD306" s="70">
        <f t="shared" si="330"/>
        <v>7.453849984734787</v>
      </c>
      <c r="DE306" s="70">
        <f t="shared" si="331"/>
        <v>3.2210973195164581</v>
      </c>
      <c r="DF306" s="70">
        <f t="shared" si="332"/>
        <v>4.59817175215339</v>
      </c>
      <c r="DG306" s="70">
        <f t="shared" si="333"/>
        <v>7.8192690716698481</v>
      </c>
      <c r="DH306" s="69">
        <f t="shared" si="334"/>
        <v>7.1305774301607121</v>
      </c>
      <c r="DI306" s="69">
        <f t="shared" si="335"/>
        <v>24.14275092233947</v>
      </c>
      <c r="DJ306" s="70">
        <f t="shared" si="336"/>
        <v>31.273328352500183</v>
      </c>
      <c r="DK306" s="69">
        <f t="shared" si="337"/>
        <v>5.8330056505615202</v>
      </c>
      <c r="DL306" s="69">
        <f t="shared" si="338"/>
        <v>8.3267157592709449</v>
      </c>
      <c r="DM306" s="70">
        <f t="shared" si="339"/>
        <v>14.159721409832464</v>
      </c>
    </row>
  </sheetData>
  <mergeCells count="8">
    <mergeCell ref="CO2:CT2"/>
    <mergeCell ref="CU2:CZ2"/>
    <mergeCell ref="DB2:DG2"/>
    <mergeCell ref="DH2:DM2"/>
    <mergeCell ref="J2:M2"/>
    <mergeCell ref="AG2:AJ2"/>
    <mergeCell ref="BE2:BH2"/>
    <mergeCell ref="CB2:CE2"/>
  </mergeCells>
  <pageMargins left="0.7" right="0.7" top="0.75" bottom="0.75" header="0.3" footer="0.3"/>
  <pageSetup orientation="portrait" horizontalDpi="0" verticalDpi="0" r:id="rId1"/>
</worksheet>
</file>

<file path=xl/worksheets/sheet22.xml><?xml version="1.0" encoding="utf-8"?>
<worksheet xmlns="http://schemas.openxmlformats.org/spreadsheetml/2006/main" xmlns:r="http://schemas.openxmlformats.org/officeDocument/2006/relationships">
  <dimension ref="A1:R46"/>
  <sheetViews>
    <sheetView topLeftCell="B1" workbookViewId="0"/>
  </sheetViews>
  <sheetFormatPr defaultRowHeight="15"/>
  <cols>
    <col min="1" max="1" width="17.28515625" customWidth="1"/>
    <col min="2" max="2" width="13.85546875" style="63" customWidth="1"/>
    <col min="3" max="3" width="13.85546875" customWidth="1"/>
    <col min="4" max="4" width="13.85546875" style="63" customWidth="1"/>
    <col min="5" max="5" width="13.85546875" customWidth="1"/>
    <col min="10" max="10" width="15.28515625" customWidth="1"/>
    <col min="11" max="18" width="11.140625" customWidth="1"/>
  </cols>
  <sheetData>
    <row r="1" spans="1:18">
      <c r="A1" s="30" t="s">
        <v>1046</v>
      </c>
      <c r="B1" s="64" t="s">
        <v>1037</v>
      </c>
      <c r="D1" s="64" t="s">
        <v>1038</v>
      </c>
      <c r="J1" s="30" t="s">
        <v>1109</v>
      </c>
    </row>
    <row r="2" spans="1:18">
      <c r="B2" s="64" t="s">
        <v>1039</v>
      </c>
      <c r="K2" t="s">
        <v>1039</v>
      </c>
    </row>
    <row r="3" spans="1:18">
      <c r="B3" s="64"/>
    </row>
    <row r="4" spans="1:18">
      <c r="B4" s="64"/>
      <c r="J4" t="s">
        <v>4</v>
      </c>
      <c r="K4" t="s">
        <v>754</v>
      </c>
      <c r="L4" t="s">
        <v>755</v>
      </c>
      <c r="M4" t="s">
        <v>756</v>
      </c>
      <c r="N4" t="s">
        <v>757</v>
      </c>
      <c r="O4" t="s">
        <v>116</v>
      </c>
      <c r="P4" t="s">
        <v>117</v>
      </c>
      <c r="Q4" t="s">
        <v>118</v>
      </c>
      <c r="R4" t="s">
        <v>119</v>
      </c>
    </row>
    <row r="5" spans="1:18" s="30" customFormat="1">
      <c r="A5" s="30" t="s">
        <v>1040</v>
      </c>
      <c r="B5" s="64" t="s">
        <v>1041</v>
      </c>
      <c r="C5" s="30" t="s">
        <v>1041</v>
      </c>
      <c r="D5" s="64" t="s">
        <v>1041</v>
      </c>
      <c r="E5" s="30" t="s">
        <v>1041</v>
      </c>
      <c r="J5" s="30" t="s">
        <v>4</v>
      </c>
      <c r="K5" s="30" t="s">
        <v>1041</v>
      </c>
      <c r="L5" s="30" t="s">
        <v>1041</v>
      </c>
      <c r="M5" s="30" t="s">
        <v>1041</v>
      </c>
      <c r="N5" s="30" t="s">
        <v>1041</v>
      </c>
      <c r="O5" s="30" t="s">
        <v>1057</v>
      </c>
      <c r="P5" s="30" t="s">
        <v>1057</v>
      </c>
      <c r="Q5" s="30" t="s">
        <v>1057</v>
      </c>
      <c r="R5" s="30" t="s">
        <v>1057</v>
      </c>
    </row>
    <row r="6" spans="1:18" s="30" customFormat="1">
      <c r="B6" s="65" t="s">
        <v>1042</v>
      </c>
      <c r="C6" s="66"/>
      <c r="D6" s="65"/>
      <c r="E6" s="66"/>
      <c r="K6" s="30" t="s">
        <v>2</v>
      </c>
      <c r="L6" s="30" t="s">
        <v>2</v>
      </c>
      <c r="M6" s="30" t="s">
        <v>2</v>
      </c>
      <c r="N6" s="30" t="s">
        <v>2</v>
      </c>
      <c r="O6" s="30" t="s">
        <v>2</v>
      </c>
      <c r="P6" s="30" t="s">
        <v>2</v>
      </c>
      <c r="Q6" s="30" t="s">
        <v>2</v>
      </c>
      <c r="R6" s="30" t="s">
        <v>2</v>
      </c>
    </row>
    <row r="7" spans="1:18">
      <c r="A7" t="s">
        <v>4</v>
      </c>
      <c r="B7" s="63" t="s">
        <v>116</v>
      </c>
      <c r="C7" t="s">
        <v>117</v>
      </c>
      <c r="D7" s="63" t="s">
        <v>118</v>
      </c>
      <c r="E7" t="s">
        <v>119</v>
      </c>
      <c r="J7" t="s">
        <v>1051</v>
      </c>
      <c r="K7" t="s">
        <v>1110</v>
      </c>
      <c r="L7" t="s">
        <v>4</v>
      </c>
      <c r="M7" t="s">
        <v>4</v>
      </c>
      <c r="N7" t="s">
        <v>4</v>
      </c>
      <c r="O7">
        <v>7242.5</v>
      </c>
      <c r="P7" t="s">
        <v>4</v>
      </c>
      <c r="Q7" t="s">
        <v>4</v>
      </c>
      <c r="R7" t="s">
        <v>4</v>
      </c>
    </row>
    <row r="8" spans="1:18">
      <c r="A8" t="s">
        <v>4</v>
      </c>
      <c r="B8" s="63" t="s">
        <v>1047</v>
      </c>
      <c r="C8" t="s">
        <v>1048</v>
      </c>
      <c r="D8" s="63" t="s">
        <v>1049</v>
      </c>
      <c r="E8" t="s">
        <v>1050</v>
      </c>
      <c r="J8" t="s">
        <v>4</v>
      </c>
      <c r="K8" t="s">
        <v>1111</v>
      </c>
      <c r="L8" t="s">
        <v>4</v>
      </c>
      <c r="M8" t="s">
        <v>4</v>
      </c>
      <c r="N8" t="s">
        <v>4</v>
      </c>
      <c r="O8" t="s">
        <v>1112</v>
      </c>
      <c r="P8" t="s">
        <v>4</v>
      </c>
      <c r="Q8" t="s">
        <v>4</v>
      </c>
      <c r="R8" t="s">
        <v>4</v>
      </c>
    </row>
    <row r="10" spans="1:18">
      <c r="A10" t="s">
        <v>1051</v>
      </c>
      <c r="B10" s="63" t="s">
        <v>1052</v>
      </c>
      <c r="C10" t="s">
        <v>4</v>
      </c>
      <c r="D10" s="63" t="s">
        <v>4</v>
      </c>
      <c r="E10" t="s">
        <v>4</v>
      </c>
      <c r="J10" t="s">
        <v>1054</v>
      </c>
      <c r="K10" t="s">
        <v>1113</v>
      </c>
      <c r="L10" t="s">
        <v>4</v>
      </c>
      <c r="M10" t="s">
        <v>4</v>
      </c>
      <c r="N10" t="s">
        <v>4</v>
      </c>
      <c r="O10" t="s">
        <v>1114</v>
      </c>
      <c r="P10" t="s">
        <v>4</v>
      </c>
      <c r="Q10" t="s">
        <v>4</v>
      </c>
      <c r="R10" t="s">
        <v>4</v>
      </c>
    </row>
    <row r="11" spans="1:18">
      <c r="A11" t="s">
        <v>4</v>
      </c>
      <c r="B11" s="63" t="s">
        <v>1053</v>
      </c>
      <c r="C11" t="s">
        <v>4</v>
      </c>
      <c r="D11" s="63" t="s">
        <v>4</v>
      </c>
      <c r="E11" t="s">
        <v>4</v>
      </c>
      <c r="J11" t="s">
        <v>4</v>
      </c>
      <c r="K11" t="s">
        <v>1115</v>
      </c>
      <c r="L11" t="s">
        <v>4</v>
      </c>
      <c r="M11" t="s">
        <v>4</v>
      </c>
      <c r="N11" t="s">
        <v>4</v>
      </c>
      <c r="O11" t="s">
        <v>1116</v>
      </c>
      <c r="P11" t="s">
        <v>4</v>
      </c>
      <c r="Q11" t="s">
        <v>4</v>
      </c>
      <c r="R11" t="s">
        <v>4</v>
      </c>
    </row>
    <row r="13" spans="1:18">
      <c r="A13" t="s">
        <v>1054</v>
      </c>
      <c r="B13" s="63" t="s">
        <v>1055</v>
      </c>
      <c r="C13" t="s">
        <v>4</v>
      </c>
      <c r="D13" s="63" t="s">
        <v>4</v>
      </c>
      <c r="E13" t="s">
        <v>4</v>
      </c>
      <c r="J13" t="s">
        <v>1057</v>
      </c>
      <c r="K13" t="s">
        <v>1117</v>
      </c>
      <c r="L13" t="s">
        <v>1118</v>
      </c>
      <c r="M13" t="s">
        <v>1119</v>
      </c>
      <c r="N13" t="s">
        <v>1120</v>
      </c>
      <c r="O13" t="s">
        <v>4</v>
      </c>
      <c r="P13" t="s">
        <v>4</v>
      </c>
      <c r="Q13" t="s">
        <v>4</v>
      </c>
      <c r="R13" t="s">
        <v>4</v>
      </c>
    </row>
    <row r="14" spans="1:18">
      <c r="A14" t="s">
        <v>4</v>
      </c>
      <c r="B14" s="63" t="s">
        <v>1056</v>
      </c>
      <c r="C14" t="s">
        <v>4</v>
      </c>
      <c r="D14" s="63" t="s">
        <v>4</v>
      </c>
      <c r="E14" t="s">
        <v>4</v>
      </c>
      <c r="J14" t="s">
        <v>4</v>
      </c>
      <c r="K14" t="s">
        <v>1121</v>
      </c>
      <c r="L14" t="s">
        <v>1122</v>
      </c>
      <c r="M14" t="s">
        <v>1123</v>
      </c>
      <c r="N14" t="s">
        <v>1124</v>
      </c>
      <c r="O14" t="s">
        <v>4</v>
      </c>
      <c r="P14" t="s">
        <v>4</v>
      </c>
      <c r="Q14" t="s">
        <v>4</v>
      </c>
      <c r="R14" t="s">
        <v>4</v>
      </c>
    </row>
    <row r="16" spans="1:18">
      <c r="A16" t="s">
        <v>1057</v>
      </c>
      <c r="B16" s="63" t="s">
        <v>158</v>
      </c>
      <c r="C16" t="s">
        <v>1058</v>
      </c>
      <c r="D16" s="63" t="s">
        <v>1059</v>
      </c>
      <c r="E16" t="s">
        <v>1060</v>
      </c>
      <c r="J16" t="s">
        <v>1065</v>
      </c>
      <c r="K16" t="s">
        <v>4</v>
      </c>
      <c r="L16" t="s">
        <v>1125</v>
      </c>
      <c r="M16" t="s">
        <v>4</v>
      </c>
      <c r="N16" t="s">
        <v>4</v>
      </c>
      <c r="O16" t="s">
        <v>4</v>
      </c>
      <c r="P16" t="s">
        <v>1126</v>
      </c>
      <c r="Q16" t="s">
        <v>4</v>
      </c>
      <c r="R16" t="s">
        <v>4</v>
      </c>
    </row>
    <row r="17" spans="1:18">
      <c r="A17" t="s">
        <v>4</v>
      </c>
      <c r="B17" s="63" t="s">
        <v>1061</v>
      </c>
      <c r="C17" t="s">
        <v>1062</v>
      </c>
      <c r="D17" s="63" t="s">
        <v>1063</v>
      </c>
      <c r="E17" t="s">
        <v>1064</v>
      </c>
      <c r="J17" t="s">
        <v>4</v>
      </c>
      <c r="K17" t="s">
        <v>4</v>
      </c>
      <c r="L17" t="s">
        <v>1127</v>
      </c>
      <c r="M17" t="s">
        <v>4</v>
      </c>
      <c r="N17" t="s">
        <v>4</v>
      </c>
      <c r="O17" t="s">
        <v>4</v>
      </c>
      <c r="P17" t="s">
        <v>1128</v>
      </c>
      <c r="Q17" t="s">
        <v>4</v>
      </c>
      <c r="R17" t="s">
        <v>4</v>
      </c>
    </row>
    <row r="19" spans="1:18">
      <c r="A19" t="s">
        <v>1065</v>
      </c>
      <c r="B19" s="63" t="s">
        <v>4</v>
      </c>
      <c r="C19" t="s">
        <v>1066</v>
      </c>
      <c r="D19" s="63" t="s">
        <v>4</v>
      </c>
      <c r="E19" t="s">
        <v>4</v>
      </c>
      <c r="J19" t="s">
        <v>1068</v>
      </c>
      <c r="K19" t="s">
        <v>4</v>
      </c>
      <c r="L19" t="s">
        <v>1129</v>
      </c>
      <c r="M19" t="s">
        <v>4</v>
      </c>
      <c r="N19" t="s">
        <v>4</v>
      </c>
      <c r="O19" t="s">
        <v>4</v>
      </c>
      <c r="P19" t="s">
        <v>1130</v>
      </c>
      <c r="Q19" t="s">
        <v>4</v>
      </c>
      <c r="R19" t="s">
        <v>4</v>
      </c>
    </row>
    <row r="20" spans="1:18">
      <c r="A20" t="s">
        <v>4</v>
      </c>
      <c r="B20" s="63" t="s">
        <v>4</v>
      </c>
      <c r="C20" t="s">
        <v>1067</v>
      </c>
      <c r="D20" s="63" t="s">
        <v>4</v>
      </c>
      <c r="E20" t="s">
        <v>4</v>
      </c>
      <c r="J20" t="s">
        <v>4</v>
      </c>
      <c r="K20" t="s">
        <v>4</v>
      </c>
      <c r="L20" t="s">
        <v>633</v>
      </c>
      <c r="M20" t="s">
        <v>4</v>
      </c>
      <c r="N20" t="s">
        <v>4</v>
      </c>
      <c r="O20" t="s">
        <v>4</v>
      </c>
      <c r="P20" t="s">
        <v>1131</v>
      </c>
      <c r="Q20" t="s">
        <v>4</v>
      </c>
      <c r="R20" t="s">
        <v>4</v>
      </c>
    </row>
    <row r="22" spans="1:18">
      <c r="A22" t="s">
        <v>1068</v>
      </c>
      <c r="B22" s="63" t="s">
        <v>4</v>
      </c>
      <c r="C22" t="s">
        <v>1069</v>
      </c>
      <c r="D22" s="63" t="s">
        <v>4</v>
      </c>
      <c r="E22" t="s">
        <v>4</v>
      </c>
      <c r="J22" t="s">
        <v>1071</v>
      </c>
      <c r="K22" t="s">
        <v>4</v>
      </c>
      <c r="L22" t="s">
        <v>4</v>
      </c>
      <c r="M22" t="s">
        <v>1132</v>
      </c>
      <c r="N22" t="s">
        <v>4</v>
      </c>
      <c r="O22" t="s">
        <v>4</v>
      </c>
      <c r="P22" t="s">
        <v>4</v>
      </c>
      <c r="Q22" t="s">
        <v>1133</v>
      </c>
      <c r="R22" t="s">
        <v>4</v>
      </c>
    </row>
    <row r="23" spans="1:18">
      <c r="A23" t="s">
        <v>4</v>
      </c>
      <c r="B23" s="63" t="s">
        <v>4</v>
      </c>
      <c r="C23" t="s">
        <v>1070</v>
      </c>
      <c r="D23" s="63" t="s">
        <v>4</v>
      </c>
      <c r="E23" t="s">
        <v>4</v>
      </c>
      <c r="J23" t="s">
        <v>4</v>
      </c>
      <c r="K23" t="s">
        <v>4</v>
      </c>
      <c r="L23" t="s">
        <v>4</v>
      </c>
      <c r="M23" t="s">
        <v>1134</v>
      </c>
      <c r="N23" t="s">
        <v>4</v>
      </c>
      <c r="O23" t="s">
        <v>4</v>
      </c>
      <c r="P23" t="s">
        <v>4</v>
      </c>
      <c r="Q23" t="s">
        <v>1135</v>
      </c>
      <c r="R23" t="s">
        <v>4</v>
      </c>
    </row>
    <row r="25" spans="1:18">
      <c r="A25" t="s">
        <v>1071</v>
      </c>
      <c r="B25" s="63" t="s">
        <v>4</v>
      </c>
      <c r="C25" t="s">
        <v>4</v>
      </c>
      <c r="D25" s="63" t="s">
        <v>1072</v>
      </c>
      <c r="E25" t="s">
        <v>4</v>
      </c>
      <c r="J25" t="s">
        <v>1074</v>
      </c>
      <c r="K25" t="s">
        <v>4</v>
      </c>
      <c r="L25" t="s">
        <v>4</v>
      </c>
      <c r="M25" t="s">
        <v>1136</v>
      </c>
      <c r="N25" t="s">
        <v>4</v>
      </c>
      <c r="O25" t="s">
        <v>4</v>
      </c>
      <c r="P25" t="s">
        <v>4</v>
      </c>
      <c r="Q25" t="s">
        <v>1137</v>
      </c>
      <c r="R25" t="s">
        <v>4</v>
      </c>
    </row>
    <row r="26" spans="1:18">
      <c r="A26" t="s">
        <v>4</v>
      </c>
      <c r="B26" s="63" t="s">
        <v>4</v>
      </c>
      <c r="C26" t="s">
        <v>4</v>
      </c>
      <c r="D26" s="63" t="s">
        <v>1073</v>
      </c>
      <c r="E26" t="s">
        <v>4</v>
      </c>
      <c r="J26" t="s">
        <v>4</v>
      </c>
      <c r="K26" t="s">
        <v>4</v>
      </c>
      <c r="L26" t="s">
        <v>4</v>
      </c>
      <c r="M26" t="s">
        <v>1138</v>
      </c>
      <c r="N26" t="s">
        <v>4</v>
      </c>
      <c r="O26" t="s">
        <v>4</v>
      </c>
      <c r="P26" t="s">
        <v>4</v>
      </c>
      <c r="Q26" t="s">
        <v>1139</v>
      </c>
      <c r="R26" t="s">
        <v>4</v>
      </c>
    </row>
    <row r="28" spans="1:18">
      <c r="A28" t="s">
        <v>1074</v>
      </c>
      <c r="B28" s="63" t="s">
        <v>4</v>
      </c>
      <c r="C28" t="s">
        <v>4</v>
      </c>
      <c r="D28" s="63" t="s">
        <v>1075</v>
      </c>
      <c r="E28" t="s">
        <v>4</v>
      </c>
      <c r="J28" t="s">
        <v>1077</v>
      </c>
      <c r="K28" t="s">
        <v>4</v>
      </c>
      <c r="L28" t="s">
        <v>4</v>
      </c>
      <c r="M28" t="s">
        <v>4</v>
      </c>
      <c r="N28" t="s">
        <v>1140</v>
      </c>
      <c r="O28" t="s">
        <v>4</v>
      </c>
      <c r="P28" t="s">
        <v>4</v>
      </c>
      <c r="Q28" t="s">
        <v>4</v>
      </c>
      <c r="R28" t="s">
        <v>1141</v>
      </c>
    </row>
    <row r="29" spans="1:18">
      <c r="A29" t="s">
        <v>4</v>
      </c>
      <c r="B29" s="63" t="s">
        <v>4</v>
      </c>
      <c r="C29" t="s">
        <v>4</v>
      </c>
      <c r="D29" s="63" t="s">
        <v>1076</v>
      </c>
      <c r="E29" t="s">
        <v>4</v>
      </c>
      <c r="J29" t="s">
        <v>4</v>
      </c>
      <c r="K29" t="s">
        <v>4</v>
      </c>
      <c r="L29" t="s">
        <v>4</v>
      </c>
      <c r="M29" t="s">
        <v>4</v>
      </c>
      <c r="N29" t="s">
        <v>1142</v>
      </c>
      <c r="O29" t="s">
        <v>4</v>
      </c>
      <c r="P29" t="s">
        <v>4</v>
      </c>
      <c r="Q29" t="s">
        <v>4</v>
      </c>
      <c r="R29" t="s">
        <v>1143</v>
      </c>
    </row>
    <row r="31" spans="1:18">
      <c r="A31" t="s">
        <v>1077</v>
      </c>
      <c r="B31" s="63" t="s">
        <v>4</v>
      </c>
      <c r="C31" t="s">
        <v>4</v>
      </c>
      <c r="D31" s="63" t="s">
        <v>4</v>
      </c>
      <c r="E31" t="s">
        <v>1078</v>
      </c>
      <c r="J31" t="s">
        <v>1080</v>
      </c>
      <c r="K31" t="s">
        <v>4</v>
      </c>
      <c r="L31" t="s">
        <v>4</v>
      </c>
      <c r="M31" t="s">
        <v>4</v>
      </c>
      <c r="N31" t="s">
        <v>1144</v>
      </c>
      <c r="O31" t="s">
        <v>4</v>
      </c>
      <c r="P31" t="s">
        <v>4</v>
      </c>
      <c r="Q31" t="s">
        <v>4</v>
      </c>
      <c r="R31" t="s">
        <v>1145</v>
      </c>
    </row>
    <row r="32" spans="1:18">
      <c r="A32" t="s">
        <v>4</v>
      </c>
      <c r="B32" s="63" t="s">
        <v>4</v>
      </c>
      <c r="C32" t="s">
        <v>4</v>
      </c>
      <c r="D32" s="63" t="s">
        <v>4</v>
      </c>
      <c r="E32" t="s">
        <v>1079</v>
      </c>
      <c r="J32" t="s">
        <v>4</v>
      </c>
      <c r="K32" t="s">
        <v>4</v>
      </c>
      <c r="L32" t="s">
        <v>4</v>
      </c>
      <c r="M32" t="s">
        <v>4</v>
      </c>
      <c r="N32" t="s">
        <v>1146</v>
      </c>
      <c r="O32" t="s">
        <v>4</v>
      </c>
      <c r="P32" t="s">
        <v>4</v>
      </c>
      <c r="Q32" t="s">
        <v>4</v>
      </c>
      <c r="R32" t="s">
        <v>229</v>
      </c>
    </row>
    <row r="34" spans="1:18">
      <c r="A34" t="s">
        <v>1080</v>
      </c>
      <c r="B34" s="63" t="s">
        <v>4</v>
      </c>
      <c r="C34" t="s">
        <v>4</v>
      </c>
      <c r="D34" s="63" t="s">
        <v>4</v>
      </c>
      <c r="E34" t="s">
        <v>1081</v>
      </c>
      <c r="J34" t="s">
        <v>131</v>
      </c>
      <c r="K34" t="s">
        <v>1147</v>
      </c>
      <c r="L34" t="s">
        <v>1148</v>
      </c>
      <c r="M34" t="s">
        <v>1149</v>
      </c>
      <c r="N34" t="s">
        <v>1150</v>
      </c>
      <c r="O34" t="s">
        <v>1151</v>
      </c>
      <c r="P34" t="s">
        <v>1152</v>
      </c>
      <c r="Q34" t="s">
        <v>1153</v>
      </c>
      <c r="R34" t="s">
        <v>1154</v>
      </c>
    </row>
    <row r="35" spans="1:18">
      <c r="A35" t="s">
        <v>4</v>
      </c>
      <c r="B35" s="63" t="s">
        <v>4</v>
      </c>
      <c r="C35" t="s">
        <v>4</v>
      </c>
      <c r="D35" s="63" t="s">
        <v>4</v>
      </c>
      <c r="E35" t="s">
        <v>1082</v>
      </c>
      <c r="J35" t="s">
        <v>4</v>
      </c>
      <c r="K35" t="s">
        <v>1155</v>
      </c>
      <c r="L35" t="s">
        <v>1156</v>
      </c>
      <c r="M35" t="s">
        <v>1157</v>
      </c>
      <c r="N35" t="s">
        <v>1158</v>
      </c>
      <c r="O35" t="s">
        <v>1159</v>
      </c>
      <c r="P35" t="s">
        <v>1160</v>
      </c>
      <c r="Q35" t="s">
        <v>1161</v>
      </c>
      <c r="R35" t="s">
        <v>1162</v>
      </c>
    </row>
    <row r="37" spans="1:18">
      <c r="A37" t="s">
        <v>131</v>
      </c>
      <c r="B37" s="63" t="s">
        <v>1083</v>
      </c>
      <c r="C37" t="s">
        <v>1084</v>
      </c>
      <c r="D37" s="63" t="s">
        <v>1085</v>
      </c>
      <c r="E37" t="s">
        <v>1086</v>
      </c>
      <c r="J37" t="s">
        <v>132</v>
      </c>
      <c r="K37" t="s">
        <v>1163</v>
      </c>
      <c r="L37" t="s">
        <v>1163</v>
      </c>
      <c r="M37" t="s">
        <v>1163</v>
      </c>
      <c r="N37" t="s">
        <v>1164</v>
      </c>
      <c r="O37" t="s">
        <v>705</v>
      </c>
      <c r="P37" t="s">
        <v>705</v>
      </c>
      <c r="Q37" t="s">
        <v>705</v>
      </c>
      <c r="R37" t="s">
        <v>1165</v>
      </c>
    </row>
    <row r="38" spans="1:18">
      <c r="A38" t="s">
        <v>4</v>
      </c>
      <c r="B38" s="63" t="s">
        <v>1087</v>
      </c>
      <c r="C38" t="s">
        <v>1088</v>
      </c>
      <c r="D38" s="63" t="s">
        <v>1089</v>
      </c>
      <c r="E38" t="s">
        <v>1090</v>
      </c>
      <c r="J38" t="s">
        <v>136</v>
      </c>
      <c r="K38" t="s">
        <v>1166</v>
      </c>
      <c r="L38" t="s">
        <v>1167</v>
      </c>
      <c r="M38" t="s">
        <v>1168</v>
      </c>
      <c r="N38" t="s">
        <v>1169</v>
      </c>
      <c r="O38" t="s">
        <v>1170</v>
      </c>
      <c r="P38" t="s">
        <v>1171</v>
      </c>
      <c r="Q38" t="s">
        <v>1172</v>
      </c>
      <c r="R38" t="s">
        <v>1173</v>
      </c>
    </row>
    <row r="39" spans="1:18">
      <c r="J39" t="s">
        <v>137</v>
      </c>
      <c r="K39" t="s">
        <v>1174</v>
      </c>
      <c r="L39" t="s">
        <v>1175</v>
      </c>
      <c r="M39" t="s">
        <v>1176</v>
      </c>
      <c r="N39" t="s">
        <v>1177</v>
      </c>
      <c r="O39" t="s">
        <v>1178</v>
      </c>
      <c r="P39" t="s">
        <v>1179</v>
      </c>
      <c r="Q39" t="s">
        <v>1180</v>
      </c>
      <c r="R39" t="s">
        <v>1181</v>
      </c>
    </row>
    <row r="40" spans="1:18">
      <c r="A40" t="s">
        <v>132</v>
      </c>
      <c r="B40" s="63" t="s">
        <v>1091</v>
      </c>
      <c r="C40" t="s">
        <v>1091</v>
      </c>
      <c r="D40" s="63" t="s">
        <v>1091</v>
      </c>
      <c r="E40" t="s">
        <v>1092</v>
      </c>
      <c r="J40" t="s">
        <v>138</v>
      </c>
      <c r="K40" t="s">
        <v>1182</v>
      </c>
      <c r="L40" t="s">
        <v>1183</v>
      </c>
      <c r="M40" t="s">
        <v>1184</v>
      </c>
      <c r="N40" t="s">
        <v>1185</v>
      </c>
      <c r="O40" t="s">
        <v>1186</v>
      </c>
      <c r="P40" t="s">
        <v>1187</v>
      </c>
      <c r="Q40" t="s">
        <v>1188</v>
      </c>
      <c r="R40" t="s">
        <v>1189</v>
      </c>
    </row>
    <row r="41" spans="1:18">
      <c r="A41" t="s">
        <v>137</v>
      </c>
      <c r="B41" s="63" t="s">
        <v>1093</v>
      </c>
      <c r="C41" t="s">
        <v>1094</v>
      </c>
      <c r="D41" s="63" t="s">
        <v>1095</v>
      </c>
      <c r="E41" t="s">
        <v>1096</v>
      </c>
      <c r="J41" t="s">
        <v>139</v>
      </c>
      <c r="K41" t="s">
        <v>1190</v>
      </c>
      <c r="L41" t="s">
        <v>1191</v>
      </c>
      <c r="M41" t="s">
        <v>1192</v>
      </c>
      <c r="N41" t="s">
        <v>1193</v>
      </c>
      <c r="O41" t="s">
        <v>266</v>
      </c>
      <c r="P41" t="s">
        <v>176</v>
      </c>
      <c r="Q41" t="s">
        <v>1194</v>
      </c>
      <c r="R41" t="s">
        <v>1195</v>
      </c>
    </row>
    <row r="42" spans="1:18">
      <c r="A42" t="s">
        <v>138</v>
      </c>
      <c r="B42" s="63" t="s">
        <v>1097</v>
      </c>
      <c r="C42" t="s">
        <v>1098</v>
      </c>
      <c r="D42" s="63" t="s">
        <v>1099</v>
      </c>
      <c r="E42" t="s">
        <v>1100</v>
      </c>
    </row>
    <row r="43" spans="1:18">
      <c r="A43" t="s">
        <v>139</v>
      </c>
      <c r="B43" s="63" t="s">
        <v>1101</v>
      </c>
      <c r="C43" t="s">
        <v>1102</v>
      </c>
      <c r="D43" s="63" t="s">
        <v>1103</v>
      </c>
      <c r="E43" t="s">
        <v>1104</v>
      </c>
      <c r="J43" t="s">
        <v>140</v>
      </c>
    </row>
    <row r="44" spans="1:18">
      <c r="J44" t="s">
        <v>1043</v>
      </c>
      <c r="K44" t="s">
        <v>1044</v>
      </c>
      <c r="L44" t="s">
        <v>1045</v>
      </c>
    </row>
    <row r="45" spans="1:18">
      <c r="A45" t="s">
        <v>140</v>
      </c>
    </row>
    <row r="46" spans="1:18">
      <c r="A46" t="s">
        <v>1043</v>
      </c>
    </row>
  </sheetData>
  <pageMargins left="0.7" right="0.7" top="0.75" bottom="0.75" header="0.3" footer="0.3"/>
  <pageSetup orientation="portrait" verticalDpi="0" r:id="rId1"/>
  <legacyDrawing r:id="rId2"/>
</worksheet>
</file>

<file path=xl/worksheets/sheet23.xml><?xml version="1.0" encoding="utf-8"?>
<worksheet xmlns="http://schemas.openxmlformats.org/spreadsheetml/2006/main" xmlns:r="http://schemas.openxmlformats.org/officeDocument/2006/relationships">
  <dimension ref="A1:AA65"/>
  <sheetViews>
    <sheetView topLeftCell="A27" workbookViewId="0"/>
  </sheetViews>
  <sheetFormatPr defaultRowHeight="15"/>
  <cols>
    <col min="1" max="1" width="40.7109375" customWidth="1"/>
    <col min="2" max="2" width="13.7109375" customWidth="1"/>
    <col min="3" max="14" width="14.7109375" customWidth="1"/>
    <col min="15" max="15" width="17.42578125" customWidth="1"/>
    <col min="16" max="16" width="13.7109375" customWidth="1"/>
    <col min="17" max="17" width="12.42578125" customWidth="1"/>
    <col min="18" max="18" width="13.42578125" customWidth="1"/>
    <col min="19" max="19" width="15" customWidth="1"/>
    <col min="20" max="20" width="12.5703125" customWidth="1"/>
    <col min="21" max="21" width="14.85546875" customWidth="1"/>
    <col min="22" max="22" width="15.85546875" customWidth="1"/>
    <col min="23" max="23" width="19.28515625" customWidth="1"/>
    <col min="24" max="24" width="19" customWidth="1"/>
    <col min="25" max="25" width="16.42578125" customWidth="1"/>
    <col min="26" max="26" width="18.42578125" customWidth="1"/>
    <col min="27" max="27" width="16.7109375" customWidth="1"/>
  </cols>
  <sheetData>
    <row r="1" spans="1:25">
      <c r="A1" s="27" t="s">
        <v>562</v>
      </c>
      <c r="B1" s="28"/>
      <c r="C1" s="28"/>
      <c r="D1" s="3"/>
      <c r="E1" s="3"/>
      <c r="F1" s="3"/>
      <c r="G1" s="3"/>
      <c r="H1" s="3"/>
      <c r="I1" s="3"/>
      <c r="J1" s="3"/>
      <c r="K1" s="3"/>
      <c r="L1" s="3"/>
      <c r="M1" s="3"/>
      <c r="N1" s="3"/>
      <c r="O1" s="3"/>
      <c r="P1" s="3"/>
      <c r="Q1" s="3"/>
      <c r="R1" s="3"/>
      <c r="S1" s="3"/>
      <c r="T1" s="3"/>
      <c r="U1" s="3"/>
      <c r="V1" s="3"/>
      <c r="W1" s="3"/>
      <c r="X1" s="3"/>
      <c r="Y1" s="3"/>
    </row>
    <row r="2" spans="1:25">
      <c r="A2" s="15"/>
      <c r="B2" s="3"/>
      <c r="C2" s="4"/>
      <c r="D2" s="3"/>
      <c r="E2" s="3"/>
      <c r="F2" s="3"/>
      <c r="G2" s="3"/>
      <c r="H2" s="3"/>
      <c r="I2" s="3"/>
      <c r="J2" s="3"/>
      <c r="K2" s="3"/>
      <c r="L2" s="3"/>
      <c r="M2" s="3"/>
      <c r="N2" s="3"/>
      <c r="O2" s="3"/>
      <c r="P2" s="3"/>
      <c r="Q2" s="3"/>
      <c r="R2" s="3"/>
      <c r="S2" s="3"/>
      <c r="T2" s="3"/>
      <c r="U2" s="3"/>
      <c r="V2" s="3"/>
      <c r="W2" s="3"/>
      <c r="X2" s="3"/>
      <c r="Y2" s="3"/>
    </row>
    <row r="3" spans="1:25">
      <c r="A3" s="15" t="s">
        <v>542</v>
      </c>
      <c r="B3" s="3"/>
      <c r="C3" s="4"/>
      <c r="D3" s="3"/>
      <c r="E3" s="3"/>
      <c r="F3" s="3"/>
      <c r="G3" s="3"/>
      <c r="H3" s="3"/>
      <c r="I3" s="3"/>
      <c r="J3" s="3"/>
      <c r="K3" s="3"/>
      <c r="L3" s="3"/>
      <c r="M3" s="3"/>
      <c r="N3" s="3"/>
      <c r="O3" s="3"/>
      <c r="P3" s="3"/>
      <c r="Q3" s="3"/>
      <c r="R3" s="3"/>
      <c r="S3" s="3"/>
      <c r="T3" s="3"/>
      <c r="U3" s="3"/>
      <c r="V3" s="3"/>
      <c r="W3" s="3"/>
      <c r="X3" s="3"/>
      <c r="Y3" s="3"/>
    </row>
    <row r="4" spans="1:25">
      <c r="A4" s="6" t="s">
        <v>268</v>
      </c>
      <c r="B4" s="3">
        <v>1698.6</v>
      </c>
      <c r="D4" s="3"/>
      <c r="E4" s="3"/>
      <c r="F4" s="3"/>
      <c r="G4" s="3"/>
      <c r="H4" s="3"/>
      <c r="I4" s="3"/>
      <c r="J4" s="3"/>
      <c r="K4" s="3"/>
      <c r="L4" s="3"/>
      <c r="M4" s="3"/>
      <c r="N4" s="3"/>
      <c r="O4" s="3"/>
      <c r="P4" s="3"/>
      <c r="Q4" s="3"/>
      <c r="R4" s="3"/>
      <c r="S4" s="3"/>
      <c r="T4" s="3"/>
      <c r="U4" s="3"/>
      <c r="V4" s="3"/>
      <c r="W4" s="3"/>
      <c r="X4" s="3"/>
      <c r="Y4" s="3"/>
    </row>
    <row r="5" spans="1:25">
      <c r="A5" s="3" t="s">
        <v>269</v>
      </c>
      <c r="B5" s="3">
        <v>13.23</v>
      </c>
      <c r="D5" s="3"/>
      <c r="E5" s="3"/>
      <c r="F5" s="3"/>
      <c r="G5" s="3"/>
      <c r="H5" s="3"/>
      <c r="I5" s="3"/>
      <c r="J5" s="3"/>
      <c r="K5" s="3"/>
      <c r="L5" s="3"/>
      <c r="M5" s="3"/>
      <c r="N5" s="3"/>
      <c r="O5" s="3"/>
      <c r="P5" s="3"/>
      <c r="Q5" s="3"/>
      <c r="R5" s="3"/>
      <c r="S5" s="3"/>
      <c r="T5" s="3"/>
      <c r="U5" s="3"/>
      <c r="V5" s="3"/>
      <c r="W5" s="3"/>
      <c r="X5" s="3"/>
      <c r="Y5" s="3"/>
    </row>
    <row r="6" spans="1:25">
      <c r="A6" s="3" t="s">
        <v>270</v>
      </c>
      <c r="B6" s="3">
        <v>2.99E-3</v>
      </c>
      <c r="D6" s="3"/>
      <c r="E6" s="3"/>
      <c r="F6" s="3"/>
      <c r="G6" s="3"/>
      <c r="H6" s="3"/>
      <c r="I6" s="3"/>
      <c r="J6" s="3"/>
      <c r="K6" s="3"/>
      <c r="L6" s="3"/>
      <c r="M6" s="3"/>
      <c r="N6" s="3"/>
      <c r="O6" s="3"/>
      <c r="P6" s="3"/>
      <c r="Q6" s="3"/>
      <c r="R6" s="3"/>
      <c r="S6" s="3"/>
      <c r="T6" s="3"/>
      <c r="U6" s="3"/>
      <c r="V6" s="3"/>
      <c r="W6" s="3"/>
      <c r="X6" s="3"/>
      <c r="Y6" s="3"/>
    </row>
    <row r="7" spans="1:25">
      <c r="A7" s="3" t="s">
        <v>271</v>
      </c>
      <c r="B7" s="3">
        <v>894629.7</v>
      </c>
      <c r="D7" s="3"/>
      <c r="E7" s="3"/>
      <c r="F7" s="3"/>
      <c r="G7" s="3"/>
      <c r="H7" s="3"/>
      <c r="I7" s="3"/>
      <c r="J7" s="3"/>
      <c r="K7" s="3"/>
      <c r="L7" s="3"/>
      <c r="M7" s="3"/>
      <c r="N7" s="3"/>
      <c r="O7" s="3"/>
      <c r="P7" s="3"/>
      <c r="Q7" s="3"/>
      <c r="R7" s="3"/>
      <c r="S7" s="3"/>
      <c r="T7" s="3"/>
      <c r="U7" s="3"/>
      <c r="V7" s="3"/>
      <c r="W7" s="3"/>
      <c r="X7" s="3"/>
      <c r="Y7" s="3"/>
    </row>
    <row r="8" spans="1:25">
      <c r="A8" s="3" t="s">
        <v>272</v>
      </c>
      <c r="B8" s="3">
        <v>8081743</v>
      </c>
      <c r="D8" s="3"/>
      <c r="E8" s="3"/>
      <c r="F8" s="3"/>
      <c r="G8" s="3"/>
      <c r="H8" s="3"/>
      <c r="I8" s="3"/>
      <c r="J8" s="3"/>
      <c r="K8" s="3"/>
      <c r="L8" s="3"/>
      <c r="M8" s="3"/>
      <c r="N8" s="3"/>
      <c r="O8" s="3"/>
      <c r="P8" s="3"/>
      <c r="Q8" s="3"/>
      <c r="R8" s="3"/>
      <c r="S8" s="3"/>
      <c r="T8" s="3"/>
      <c r="U8" s="3"/>
      <c r="V8" s="3"/>
      <c r="W8" s="3"/>
      <c r="X8" s="3"/>
      <c r="Y8" s="3"/>
    </row>
    <row r="9" spans="1:25">
      <c r="A9" s="3"/>
      <c r="B9" s="3"/>
      <c r="D9" s="3"/>
      <c r="E9" s="3"/>
      <c r="F9" s="3"/>
      <c r="G9" s="3"/>
      <c r="H9" s="3"/>
      <c r="I9" s="3"/>
      <c r="J9" s="3"/>
      <c r="K9" s="3"/>
      <c r="L9" s="3"/>
      <c r="M9" s="3"/>
      <c r="N9" s="3"/>
      <c r="O9" s="3"/>
      <c r="P9" s="3"/>
      <c r="Q9" s="3"/>
      <c r="R9" s="3"/>
      <c r="S9" s="3"/>
      <c r="T9" s="3"/>
      <c r="U9" s="3"/>
      <c r="V9" s="3"/>
      <c r="W9" s="3"/>
      <c r="X9" s="3"/>
      <c r="Y9" s="3"/>
    </row>
    <row r="10" spans="1:25">
      <c r="B10" t="str">
        <f>"lnwage"</f>
        <v>lnwage</v>
      </c>
      <c r="C10" t="str">
        <f>"lngdppc00"</f>
        <v>lngdppc00</v>
      </c>
      <c r="D10" t="str">
        <f>"lnwage"</f>
        <v>lnwage</v>
      </c>
      <c r="E10" t="str">
        <f>"lngdppc00"</f>
        <v>lngdppc00</v>
      </c>
      <c r="O10" s="3"/>
      <c r="P10" s="3"/>
      <c r="Q10" s="3"/>
      <c r="R10" s="3"/>
      <c r="S10" s="3"/>
      <c r="T10" s="3"/>
      <c r="U10" s="3"/>
      <c r="V10" s="3"/>
      <c r="W10" s="3"/>
      <c r="X10" s="3"/>
      <c r="Y10" s="3"/>
    </row>
    <row r="11" spans="1:25">
      <c r="A11" s="5" t="s">
        <v>267</v>
      </c>
      <c r="B11" t="s">
        <v>1</v>
      </c>
      <c r="C11" t="s">
        <v>1</v>
      </c>
      <c r="D11" t="s">
        <v>2</v>
      </c>
      <c r="E11" t="s">
        <v>2</v>
      </c>
      <c r="O11" s="3"/>
      <c r="P11" s="3"/>
      <c r="Q11" s="3"/>
      <c r="R11" s="3"/>
      <c r="S11" s="3"/>
      <c r="T11" s="3"/>
      <c r="U11" s="3"/>
      <c r="V11" s="3"/>
      <c r="W11" s="3"/>
      <c r="X11" s="3"/>
      <c r="Y11" s="3"/>
    </row>
    <row r="12" spans="1:25">
      <c r="A12" t="s">
        <v>541</v>
      </c>
      <c r="B12" s="20" t="str">
        <f>+'Productivity model estimates'!B9</f>
        <v>0.0554</v>
      </c>
      <c r="C12" s="20" t="str">
        <f>+'Productivity model estimates'!D9</f>
        <v>0.152</v>
      </c>
      <c r="D12" s="20" t="str">
        <f>+'Productivity model estimates'!F9</f>
        <v>0.114</v>
      </c>
      <c r="E12" s="20" t="str">
        <f>+'Productivity model estimates'!H9</f>
        <v>0.135</v>
      </c>
      <c r="F12" s="3"/>
      <c r="G12" s="3"/>
      <c r="H12" s="3"/>
      <c r="I12" s="3"/>
      <c r="J12" s="3"/>
      <c r="K12" s="3"/>
      <c r="L12" s="3"/>
      <c r="M12" s="3"/>
      <c r="N12" s="3"/>
      <c r="O12" s="3"/>
      <c r="P12" s="7"/>
      <c r="Q12" s="7"/>
      <c r="R12" s="7"/>
      <c r="S12" s="7"/>
      <c r="T12" s="7"/>
      <c r="U12" s="7"/>
      <c r="V12" s="3"/>
      <c r="W12" s="3"/>
      <c r="X12" s="3"/>
      <c r="Y12" s="3"/>
    </row>
    <row r="13" spans="1:25">
      <c r="A13" s="3"/>
      <c r="B13" s="3"/>
      <c r="C13" s="3"/>
      <c r="D13" s="3"/>
      <c r="E13" s="3"/>
      <c r="F13" s="3"/>
      <c r="G13" s="3"/>
      <c r="H13" s="3"/>
      <c r="I13" s="3"/>
      <c r="J13" s="3"/>
      <c r="K13" s="3"/>
      <c r="L13" s="3"/>
      <c r="M13" s="3"/>
      <c r="N13" s="3"/>
      <c r="O13" s="3"/>
      <c r="P13" s="8"/>
      <c r="Q13" s="9"/>
      <c r="S13" s="9"/>
      <c r="U13" s="7"/>
      <c r="V13" s="3"/>
      <c r="W13" s="3"/>
      <c r="X13" s="3"/>
      <c r="Y13" s="3"/>
    </row>
    <row r="14" spans="1:25">
      <c r="A14" s="3"/>
      <c r="C14" t="s">
        <v>1106</v>
      </c>
      <c r="G14" s="3"/>
      <c r="H14" s="3"/>
      <c r="I14" s="3"/>
      <c r="J14" s="3"/>
      <c r="K14" s="3"/>
      <c r="L14" s="3"/>
      <c r="M14" s="3"/>
      <c r="N14" s="3"/>
      <c r="O14" s="3"/>
      <c r="P14" s="8"/>
      <c r="Q14" s="9"/>
      <c r="S14" s="9"/>
      <c r="U14" s="7"/>
      <c r="V14" s="3"/>
      <c r="W14" s="3"/>
      <c r="X14" s="3"/>
      <c r="Y14" s="3"/>
    </row>
    <row r="15" spans="1:25">
      <c r="A15" s="5" t="s">
        <v>547</v>
      </c>
      <c r="C15" t="s">
        <v>2</v>
      </c>
      <c r="G15" s="3"/>
      <c r="H15" s="3"/>
      <c r="I15" s="3"/>
      <c r="J15" s="3"/>
      <c r="K15" s="3"/>
      <c r="L15" s="3"/>
      <c r="M15" s="3"/>
      <c r="N15" s="3"/>
      <c r="O15" s="3"/>
      <c r="P15" s="7"/>
      <c r="Q15" s="7"/>
      <c r="R15" s="7"/>
      <c r="S15" s="7"/>
      <c r="T15" s="7"/>
      <c r="U15" s="7"/>
      <c r="V15" s="3"/>
      <c r="W15" s="3"/>
      <c r="X15" s="3"/>
      <c r="Y15" s="3"/>
    </row>
    <row r="16" spans="1:25">
      <c r="A16" s="3" t="s">
        <v>1105</v>
      </c>
      <c r="B16" s="18"/>
      <c r="C16" s="18" t="str">
        <f>+'Change regressions'!B10</f>
        <v>4.399</v>
      </c>
      <c r="D16" s="20"/>
      <c r="E16" s="20"/>
      <c r="F16" s="3"/>
      <c r="G16" s="3"/>
      <c r="H16" s="3"/>
      <c r="I16" s="3"/>
      <c r="J16" s="3"/>
      <c r="K16" s="3"/>
      <c r="L16" s="3"/>
      <c r="M16" s="3"/>
      <c r="N16" s="3"/>
      <c r="O16" s="3"/>
      <c r="P16" s="7"/>
      <c r="Q16" s="7"/>
      <c r="R16" s="7"/>
      <c r="S16" s="7"/>
      <c r="T16" s="7"/>
      <c r="U16" s="7"/>
      <c r="V16" s="3"/>
      <c r="W16" s="3"/>
      <c r="X16" s="3"/>
      <c r="Y16" s="3"/>
    </row>
    <row r="17" spans="1:27">
      <c r="A17" s="3" t="s">
        <v>548</v>
      </c>
      <c r="B17" s="21"/>
      <c r="C17" s="21">
        <f>+$B$5/$B$4*C16</f>
        <v>3.4262787001059697E-2</v>
      </c>
      <c r="D17" s="21"/>
      <c r="E17" s="21"/>
      <c r="F17" s="16"/>
      <c r="G17" s="3"/>
      <c r="H17" s="3"/>
      <c r="I17" s="3"/>
      <c r="J17" s="3"/>
      <c r="K17" s="3"/>
      <c r="L17" s="3"/>
      <c r="M17" s="3"/>
      <c r="N17" s="3"/>
      <c r="O17" s="3"/>
      <c r="P17" s="7"/>
      <c r="Q17" s="7"/>
      <c r="R17" s="7"/>
      <c r="S17" s="7"/>
      <c r="T17" s="7"/>
      <c r="U17" s="7"/>
      <c r="V17" s="3"/>
      <c r="W17" s="3"/>
      <c r="X17" s="3"/>
      <c r="Y17" s="3"/>
    </row>
    <row r="18" spans="1:27">
      <c r="A18" s="3" t="s">
        <v>549</v>
      </c>
      <c r="B18" s="22"/>
      <c r="C18" s="22">
        <f>+C17*E12</f>
        <v>4.6254762451430594E-3</v>
      </c>
      <c r="D18" s="22"/>
      <c r="E18" s="22"/>
      <c r="G18" s="3"/>
      <c r="H18" s="3"/>
      <c r="I18" s="3"/>
      <c r="J18" s="3"/>
      <c r="K18" s="3"/>
      <c r="L18" s="3"/>
      <c r="M18" s="3"/>
      <c r="N18" s="3"/>
      <c r="O18" s="3"/>
      <c r="P18" s="7"/>
      <c r="Q18" s="7"/>
      <c r="R18" s="7"/>
      <c r="S18" s="7"/>
      <c r="T18" s="7"/>
      <c r="U18" s="7"/>
      <c r="V18" s="3"/>
      <c r="W18" s="3"/>
      <c r="X18" s="3"/>
      <c r="Y18" s="3"/>
    </row>
    <row r="19" spans="1:27">
      <c r="A19" s="3" t="s">
        <v>550</v>
      </c>
      <c r="B19" s="22"/>
      <c r="C19" s="22">
        <f>+C17*F12</f>
        <v>0</v>
      </c>
      <c r="D19" s="22"/>
      <c r="E19" s="22"/>
      <c r="G19" s="3"/>
      <c r="H19" s="3"/>
      <c r="I19" s="3"/>
      <c r="J19" s="3"/>
      <c r="K19" s="3"/>
      <c r="L19" s="3"/>
      <c r="M19" s="3"/>
      <c r="N19" s="3"/>
      <c r="O19" s="3"/>
      <c r="Q19" s="3"/>
      <c r="R19" s="3"/>
      <c r="S19" s="3"/>
      <c r="T19" s="3"/>
      <c r="U19" s="3"/>
      <c r="V19" s="3"/>
      <c r="W19" s="3"/>
      <c r="Z19" s="3" t="s">
        <v>273</v>
      </c>
    </row>
    <row r="20" spans="1:27">
      <c r="A20" s="3"/>
      <c r="B20" s="3"/>
      <c r="C20" s="3"/>
      <c r="D20" s="3"/>
      <c r="E20" s="3"/>
      <c r="F20" s="3"/>
      <c r="G20" s="3"/>
      <c r="H20" s="3"/>
      <c r="I20" s="3"/>
      <c r="J20" s="3"/>
      <c r="K20" s="3"/>
      <c r="L20" s="3"/>
      <c r="M20" s="3"/>
      <c r="N20" s="3"/>
      <c r="O20" s="3"/>
      <c r="Q20" s="3"/>
      <c r="R20" s="3"/>
      <c r="S20" s="3"/>
      <c r="T20" s="3"/>
      <c r="U20" s="3"/>
      <c r="V20" s="3"/>
      <c r="W20" s="3"/>
      <c r="Z20" s="3"/>
    </row>
    <row r="21" spans="1:27">
      <c r="C21" t="s">
        <v>1106</v>
      </c>
      <c r="F21" s="3"/>
      <c r="G21" s="3"/>
      <c r="H21" s="3"/>
      <c r="I21" s="3"/>
      <c r="J21" s="3"/>
      <c r="K21" s="3"/>
      <c r="L21" s="3"/>
      <c r="M21" s="3"/>
      <c r="N21" s="3"/>
      <c r="O21" s="3"/>
      <c r="Q21" s="3"/>
      <c r="R21" s="3"/>
      <c r="S21" s="3"/>
      <c r="T21" s="3"/>
      <c r="U21" s="3"/>
      <c r="V21" s="3"/>
      <c r="W21" s="3"/>
      <c r="Z21" s="3"/>
    </row>
    <row r="22" spans="1:27">
      <c r="A22" s="5" t="s">
        <v>556</v>
      </c>
      <c r="C22" t="s">
        <v>2</v>
      </c>
      <c r="F22" s="3"/>
      <c r="G22" s="3"/>
      <c r="H22" s="3"/>
      <c r="I22" s="3"/>
      <c r="J22" s="3"/>
      <c r="K22" s="3"/>
      <c r="L22" s="3"/>
      <c r="M22" s="3"/>
      <c r="N22" s="3"/>
      <c r="O22" s="3"/>
      <c r="Q22" s="3"/>
      <c r="R22" s="3"/>
      <c r="S22" s="3"/>
      <c r="T22" s="3"/>
      <c r="U22" s="3"/>
      <c r="V22" s="3"/>
      <c r="W22" s="3"/>
      <c r="Z22" s="3"/>
    </row>
    <row r="23" spans="1:27">
      <c r="A23" s="3" t="s">
        <v>1105</v>
      </c>
      <c r="B23" s="20"/>
      <c r="C23" s="20" t="str">
        <f>+'Change regressions'!D25</f>
        <v>32021.9</v>
      </c>
      <c r="D23" s="3"/>
      <c r="E23" s="3"/>
      <c r="F23" s="3"/>
      <c r="G23" s="3"/>
      <c r="H23" s="3"/>
      <c r="I23" s="3"/>
      <c r="J23" s="3"/>
      <c r="K23" s="3"/>
      <c r="L23" s="3"/>
      <c r="M23" s="3"/>
      <c r="N23" s="3"/>
      <c r="O23" s="3"/>
      <c r="Q23" s="3"/>
      <c r="R23" s="3"/>
      <c r="S23" s="3"/>
      <c r="T23" s="3"/>
      <c r="U23" s="3"/>
      <c r="V23" s="3"/>
      <c r="W23" s="3"/>
      <c r="Z23" s="3"/>
    </row>
    <row r="24" spans="1:27" ht="17.25" customHeight="1">
      <c r="A24" s="3" t="s">
        <v>557</v>
      </c>
      <c r="B24" s="21"/>
      <c r="C24" s="21">
        <f>+$B$6/$B$4*C23</f>
        <v>5.6367291298716593E-2</v>
      </c>
      <c r="D24" s="3"/>
      <c r="E24" s="3"/>
      <c r="F24" s="3"/>
      <c r="G24" s="3"/>
      <c r="H24" s="3"/>
      <c r="I24" s="3"/>
      <c r="J24" s="3"/>
      <c r="K24" s="3"/>
      <c r="L24" s="3"/>
      <c r="M24" s="3"/>
      <c r="N24" s="3"/>
      <c r="O24" s="3"/>
      <c r="Q24" s="3"/>
      <c r="R24" s="3"/>
      <c r="S24" s="3"/>
      <c r="T24" s="3"/>
      <c r="U24" s="3"/>
      <c r="V24" s="3"/>
      <c r="W24" s="3"/>
      <c r="Z24" s="3"/>
    </row>
    <row r="25" spans="1:27" ht="16.5" customHeight="1">
      <c r="A25" s="3" t="s">
        <v>549</v>
      </c>
      <c r="B25" s="23"/>
      <c r="C25" s="23">
        <f>+C24*E12</f>
        <v>7.6095843253267403E-3</v>
      </c>
      <c r="D25" s="3"/>
      <c r="G25" s="3"/>
      <c r="H25" s="3"/>
      <c r="I25" s="3"/>
      <c r="J25" s="3"/>
      <c r="K25" s="3"/>
      <c r="M25" s="3"/>
      <c r="N25" s="3"/>
      <c r="O25" s="3"/>
      <c r="P25" s="3"/>
      <c r="R25" s="8"/>
      <c r="S25" s="3"/>
      <c r="T25" s="8"/>
      <c r="U25" s="3"/>
      <c r="V25" s="8"/>
      <c r="W25" s="3"/>
      <c r="X25" s="3"/>
      <c r="AA25" s="8"/>
    </row>
    <row r="26" spans="1:27" ht="15.75" customHeight="1">
      <c r="A26" s="3" t="s">
        <v>550</v>
      </c>
      <c r="B26" s="23"/>
      <c r="C26" s="23">
        <f>+C24*F12</f>
        <v>0</v>
      </c>
      <c r="D26" s="3"/>
      <c r="G26" s="3"/>
      <c r="H26" s="3"/>
      <c r="I26" s="3"/>
      <c r="J26" s="3"/>
      <c r="K26" s="3"/>
      <c r="M26" s="3"/>
      <c r="N26" s="3"/>
      <c r="O26" s="3"/>
      <c r="P26" s="3"/>
      <c r="R26" s="11"/>
      <c r="S26" s="3"/>
      <c r="T26" s="11"/>
      <c r="U26" s="11"/>
      <c r="V26" s="11"/>
      <c r="W26" s="3"/>
      <c r="X26" s="3"/>
      <c r="AA26" s="12"/>
    </row>
    <row r="27" spans="1:27" ht="15.75" customHeight="1">
      <c r="B27" s="26" t="s">
        <v>551</v>
      </c>
      <c r="C27" s="23"/>
      <c r="D27" s="3"/>
      <c r="G27" s="3"/>
      <c r="H27" s="3"/>
      <c r="I27" s="3"/>
      <c r="J27" s="3"/>
      <c r="K27" s="3"/>
      <c r="M27" s="3"/>
      <c r="N27" s="3"/>
      <c r="O27" s="3"/>
      <c r="P27" s="3"/>
      <c r="R27" s="11"/>
      <c r="S27" s="3"/>
      <c r="T27" s="11"/>
      <c r="U27" s="11"/>
      <c r="V27" s="11"/>
      <c r="W27" s="3"/>
      <c r="X27" s="3"/>
      <c r="AA27" s="12"/>
    </row>
    <row r="28" spans="1:27" ht="15.75" customHeight="1">
      <c r="B28" s="26" t="s">
        <v>561</v>
      </c>
      <c r="C28" s="23"/>
      <c r="D28" s="3"/>
      <c r="G28" s="3"/>
      <c r="H28" s="3"/>
      <c r="I28" s="3"/>
      <c r="J28" s="3"/>
      <c r="K28" s="3"/>
      <c r="M28" s="3"/>
      <c r="N28" s="3"/>
      <c r="O28" s="3"/>
      <c r="P28" s="3"/>
      <c r="R28" s="11"/>
      <c r="S28" s="3"/>
      <c r="T28" s="11"/>
      <c r="U28" s="11"/>
      <c r="V28" s="11"/>
      <c r="W28" s="3"/>
      <c r="X28" s="3"/>
      <c r="AA28" s="12"/>
    </row>
    <row r="29" spans="1:27" ht="33" customHeight="1">
      <c r="A29" s="3"/>
      <c r="B29" s="3"/>
      <c r="C29" s="3"/>
      <c r="D29" s="3"/>
      <c r="F29" s="258" t="s">
        <v>552</v>
      </c>
      <c r="G29" s="259"/>
      <c r="H29" s="259"/>
      <c r="I29" s="259"/>
      <c r="J29" s="55"/>
      <c r="K29" s="3"/>
      <c r="L29" s="3"/>
      <c r="N29" s="258" t="s">
        <v>552</v>
      </c>
      <c r="O29" s="259"/>
      <c r="P29" s="259"/>
      <c r="Q29" s="259"/>
      <c r="R29" s="13"/>
      <c r="S29" s="13"/>
      <c r="T29" s="13"/>
      <c r="U29" s="13"/>
      <c r="V29" s="13"/>
      <c r="W29" s="13"/>
    </row>
    <row r="30" spans="1:27" ht="30">
      <c r="A30" s="3" t="s">
        <v>274</v>
      </c>
      <c r="B30" s="10" t="s">
        <v>275</v>
      </c>
      <c r="C30" s="10" t="s">
        <v>276</v>
      </c>
      <c r="D30" s="260" t="s">
        <v>558</v>
      </c>
      <c r="E30" s="261"/>
      <c r="F30" s="260" t="s">
        <v>559</v>
      </c>
      <c r="G30" s="261"/>
      <c r="H30" s="262" t="s">
        <v>560</v>
      </c>
      <c r="I30" s="262"/>
      <c r="J30" s="54"/>
      <c r="K30" s="54"/>
      <c r="L30" s="260" t="s">
        <v>553</v>
      </c>
      <c r="M30" s="261"/>
      <c r="N30" s="260" t="s">
        <v>554</v>
      </c>
      <c r="O30" s="261"/>
      <c r="P30" s="262" t="s">
        <v>555</v>
      </c>
      <c r="Q30" s="262"/>
      <c r="R30" s="13"/>
      <c r="S30" s="13"/>
      <c r="T30" s="13"/>
      <c r="U30" s="13"/>
      <c r="V30" s="13"/>
      <c r="W30" s="13"/>
    </row>
    <row r="31" spans="1:27" ht="45">
      <c r="A31" s="3"/>
      <c r="B31" s="10"/>
      <c r="C31" s="10"/>
      <c r="D31" s="17" t="s">
        <v>1</v>
      </c>
      <c r="E31" s="18" t="s">
        <v>2</v>
      </c>
      <c r="F31" s="17"/>
      <c r="G31" s="18" t="s">
        <v>2</v>
      </c>
      <c r="H31" s="17"/>
      <c r="I31" s="18" t="s">
        <v>2</v>
      </c>
      <c r="J31" s="18"/>
      <c r="K31" s="10" t="s">
        <v>277</v>
      </c>
      <c r="L31" s="17"/>
      <c r="M31" s="18" t="s">
        <v>2</v>
      </c>
      <c r="N31" s="17"/>
      <c r="O31" s="18" t="s">
        <v>2</v>
      </c>
      <c r="P31" s="17"/>
      <c r="Q31" s="18" t="s">
        <v>2</v>
      </c>
      <c r="R31" s="13"/>
      <c r="S31" s="13"/>
      <c r="T31" s="13"/>
      <c r="U31" s="13"/>
      <c r="V31" s="13"/>
      <c r="W31" s="13"/>
    </row>
    <row r="32" spans="1:27">
      <c r="A32" s="3" t="s">
        <v>278</v>
      </c>
      <c r="B32" s="3">
        <v>2119.08</v>
      </c>
      <c r="C32" s="3">
        <v>42</v>
      </c>
      <c r="D32" s="13"/>
      <c r="E32" s="13">
        <f>+C32/B32*$C$16</f>
        <v>8.7187836230817148E-2</v>
      </c>
      <c r="F32" s="11"/>
      <c r="G32" s="11">
        <f>+E32*$D$12</f>
        <v>9.9394133303131547E-3</v>
      </c>
      <c r="H32" s="11"/>
      <c r="I32" s="11">
        <f>+E32*$E$12</f>
        <v>1.1770357891160316E-2</v>
      </c>
      <c r="J32" s="3"/>
      <c r="K32" s="3">
        <v>4.5221000000000003E-3</v>
      </c>
      <c r="L32" s="11"/>
      <c r="M32" s="11">
        <f>+K32/B32*$C$23</f>
        <v>6.8334481940275971E-2</v>
      </c>
      <c r="N32" s="25"/>
      <c r="O32" s="11">
        <f>+M32*$D$12</f>
        <v>7.7901309411914609E-3</v>
      </c>
      <c r="P32" s="11"/>
      <c r="Q32" s="11">
        <f>+M32*$E$12</f>
        <v>9.2251550619372562E-3</v>
      </c>
      <c r="R32" s="13"/>
      <c r="S32" s="13"/>
      <c r="T32" s="13"/>
      <c r="U32" s="13"/>
      <c r="V32" s="13"/>
      <c r="W32" s="13"/>
    </row>
    <row r="33" spans="1:23">
      <c r="A33" s="3" t="s">
        <v>280</v>
      </c>
      <c r="B33" s="3">
        <v>2583.3389999999999</v>
      </c>
      <c r="C33" s="3">
        <v>49.5</v>
      </c>
      <c r="D33" s="13"/>
      <c r="E33" s="13">
        <f t="shared" ref="E33:E63" si="0">+C33/B33*$C$16</f>
        <v>8.4290331234112142E-2</v>
      </c>
      <c r="F33" s="11"/>
      <c r="G33" s="11">
        <f t="shared" ref="G33:G63" si="1">+E33*$D$12</f>
        <v>9.609097760688785E-3</v>
      </c>
      <c r="H33" s="11"/>
      <c r="I33" s="11">
        <f t="shared" ref="I33:I63" si="2">+E33*$E$12</f>
        <v>1.137919471660514E-2</v>
      </c>
      <c r="J33" s="11"/>
      <c r="K33" s="3">
        <v>5.9094000000000004E-3</v>
      </c>
      <c r="L33" s="11"/>
      <c r="M33" s="11">
        <f t="shared" ref="M33:M63" si="3">+K33/B33*$C$23</f>
        <v>7.3250245461397065E-2</v>
      </c>
      <c r="N33" s="25"/>
      <c r="O33" s="11">
        <f t="shared" ref="O33:O63" si="4">+M33*$D$12</f>
        <v>8.3505279825992658E-3</v>
      </c>
      <c r="P33" s="11"/>
      <c r="Q33" s="11">
        <f t="shared" ref="Q33:Q63" si="5">+M33*$E$12</f>
        <v>9.888783137288604E-3</v>
      </c>
      <c r="R33" s="13"/>
      <c r="S33" s="13"/>
      <c r="T33" s="13"/>
      <c r="U33" s="13"/>
      <c r="V33" s="13"/>
      <c r="W33" s="13"/>
    </row>
    <row r="34" spans="1:23">
      <c r="A34" s="3" t="s">
        <v>282</v>
      </c>
      <c r="B34" s="3">
        <v>3706.4470000000001</v>
      </c>
      <c r="C34" s="3">
        <v>107</v>
      </c>
      <c r="D34" s="13"/>
      <c r="E34" s="13">
        <f t="shared" si="0"/>
        <v>0.1269930475196327</v>
      </c>
      <c r="F34" s="11"/>
      <c r="G34" s="11">
        <f t="shared" si="1"/>
        <v>1.4477207417238128E-2</v>
      </c>
      <c r="H34" s="11"/>
      <c r="I34" s="11">
        <f t="shared" si="2"/>
        <v>1.7144061415150416E-2</v>
      </c>
      <c r="J34" s="11"/>
      <c r="K34" s="3">
        <v>4.1011100000000002E-2</v>
      </c>
      <c r="L34" s="11"/>
      <c r="M34" s="11">
        <f t="shared" si="3"/>
        <v>0.35431596434267104</v>
      </c>
      <c r="N34" s="25"/>
      <c r="O34" s="11">
        <f t="shared" si="4"/>
        <v>4.0392019935064499E-2</v>
      </c>
      <c r="P34" s="11"/>
      <c r="Q34" s="11">
        <f t="shared" si="5"/>
        <v>4.7832655186260592E-2</v>
      </c>
      <c r="R34" s="13"/>
      <c r="S34" s="13"/>
      <c r="T34" s="13"/>
      <c r="U34" s="13"/>
      <c r="V34" s="13"/>
      <c r="W34" s="13"/>
    </row>
    <row r="35" spans="1:23">
      <c r="A35" s="3" t="s">
        <v>284</v>
      </c>
      <c r="B35" s="3">
        <v>2161.3150000000001</v>
      </c>
      <c r="C35" s="3">
        <v>6.4</v>
      </c>
      <c r="D35" s="13"/>
      <c r="E35" s="13">
        <f t="shared" si="0"/>
        <v>1.3026143805969977E-2</v>
      </c>
      <c r="F35" s="11"/>
      <c r="G35" s="11">
        <f t="shared" si="1"/>
        <v>1.4849803938805774E-3</v>
      </c>
      <c r="H35" s="11"/>
      <c r="I35" s="11">
        <f t="shared" si="2"/>
        <v>1.758529413805947E-3</v>
      </c>
      <c r="J35" s="11"/>
      <c r="K35" s="3">
        <v>4.0838000000000003E-3</v>
      </c>
      <c r="L35" s="11"/>
      <c r="M35" s="11">
        <f t="shared" si="3"/>
        <v>6.0505310526230566E-2</v>
      </c>
      <c r="N35" s="25"/>
      <c r="O35" s="11">
        <f t="shared" si="4"/>
        <v>6.897605399990285E-3</v>
      </c>
      <c r="P35" s="11"/>
      <c r="Q35" s="11">
        <f t="shared" si="5"/>
        <v>8.1682169210411278E-3</v>
      </c>
      <c r="R35" s="13"/>
      <c r="S35" s="13"/>
      <c r="T35" s="13"/>
      <c r="U35" s="13"/>
      <c r="V35" s="13"/>
      <c r="W35" s="13"/>
    </row>
    <row r="36" spans="1:23">
      <c r="A36" s="3" t="s">
        <v>285</v>
      </c>
      <c r="B36" s="3">
        <v>693.90279999999996</v>
      </c>
      <c r="C36" s="3">
        <v>9.6</v>
      </c>
      <c r="D36" s="13"/>
      <c r="E36" s="13">
        <f t="shared" si="0"/>
        <v>6.0859244263029348E-2</v>
      </c>
      <c r="F36" s="11"/>
      <c r="G36" s="11">
        <f t="shared" si="1"/>
        <v>6.9379538459853462E-3</v>
      </c>
      <c r="H36" s="11"/>
      <c r="I36" s="11">
        <f t="shared" si="2"/>
        <v>8.2159979755089627E-3</v>
      </c>
      <c r="J36" s="11"/>
      <c r="K36" s="3">
        <v>3.0985000000000001E-3</v>
      </c>
      <c r="L36" s="11"/>
      <c r="M36" s="11">
        <f t="shared" si="3"/>
        <v>0.14298812045433454</v>
      </c>
      <c r="N36" s="25"/>
      <c r="O36" s="11">
        <f t="shared" si="4"/>
        <v>1.6300645731794138E-2</v>
      </c>
      <c r="P36" s="11"/>
      <c r="Q36" s="11">
        <f t="shared" si="5"/>
        <v>1.9303396261335162E-2</v>
      </c>
      <c r="R36" s="13"/>
      <c r="S36" s="13"/>
      <c r="T36" s="13"/>
      <c r="U36" s="13"/>
      <c r="V36" s="13"/>
      <c r="W36" s="13"/>
    </row>
    <row r="37" spans="1:23">
      <c r="A37" s="3" t="s">
        <v>287</v>
      </c>
      <c r="B37" s="3">
        <v>3391.5</v>
      </c>
      <c r="C37" s="3">
        <v>691.3</v>
      </c>
      <c r="D37" s="13"/>
      <c r="E37" s="13">
        <f t="shared" si="0"/>
        <v>0.89666186053368713</v>
      </c>
      <c r="F37" s="11"/>
      <c r="G37" s="11">
        <f t="shared" si="1"/>
        <v>0.10221945210084034</v>
      </c>
      <c r="H37" s="11"/>
      <c r="I37" s="11">
        <f t="shared" si="2"/>
        <v>0.12104935117204776</v>
      </c>
      <c r="J37" s="11"/>
      <c r="K37" s="3">
        <v>9.5853999999999995E-2</v>
      </c>
      <c r="L37" s="11"/>
      <c r="M37" s="11">
        <f t="shared" si="3"/>
        <v>0.90503529488426948</v>
      </c>
      <c r="N37" s="25"/>
      <c r="O37" s="11">
        <f t="shared" si="4"/>
        <v>0.10317402361680672</v>
      </c>
      <c r="P37" s="11"/>
      <c r="Q37" s="11">
        <f t="shared" si="5"/>
        <v>0.12217976480937638</v>
      </c>
      <c r="R37" s="13"/>
      <c r="S37" s="13"/>
      <c r="T37" s="13"/>
      <c r="U37" s="13"/>
      <c r="V37" s="13"/>
      <c r="W37" s="13"/>
    </row>
    <row r="38" spans="1:23">
      <c r="A38" s="3" t="s">
        <v>289</v>
      </c>
      <c r="B38" s="3">
        <v>2385.5729999999999</v>
      </c>
      <c r="C38" s="3">
        <v>34.5</v>
      </c>
      <c r="D38" s="13"/>
      <c r="E38" s="13">
        <f t="shared" si="0"/>
        <v>6.3618048997033425E-2</v>
      </c>
      <c r="F38" s="11"/>
      <c r="G38" s="11">
        <f t="shared" si="1"/>
        <v>7.2524575856618111E-3</v>
      </c>
      <c r="H38" s="11"/>
      <c r="I38" s="11">
        <f t="shared" si="2"/>
        <v>8.5884366145995133E-3</v>
      </c>
      <c r="J38" s="11"/>
      <c r="K38" s="3">
        <v>1.7212100000000001E-2</v>
      </c>
      <c r="L38" s="11"/>
      <c r="M38" s="11">
        <f t="shared" si="3"/>
        <v>0.23104056970379866</v>
      </c>
      <c r="N38" s="25"/>
      <c r="O38" s="11">
        <f t="shared" si="4"/>
        <v>2.6338624946233048E-2</v>
      </c>
      <c r="P38" s="11"/>
      <c r="Q38" s="11">
        <f t="shared" si="5"/>
        <v>3.119047691001282E-2</v>
      </c>
      <c r="R38" s="13"/>
      <c r="S38" s="13"/>
      <c r="T38" s="13"/>
      <c r="U38" s="13"/>
      <c r="V38" s="13"/>
      <c r="W38" s="13"/>
    </row>
    <row r="39" spans="1:23">
      <c r="A39" s="3" t="s">
        <v>291</v>
      </c>
      <c r="B39" s="3">
        <v>1869.365</v>
      </c>
      <c r="C39" s="3">
        <v>84.600009999999997</v>
      </c>
      <c r="D39" s="13"/>
      <c r="E39" s="13">
        <f t="shared" si="0"/>
        <v>0.19908120885434358</v>
      </c>
      <c r="F39" s="11"/>
      <c r="G39" s="11">
        <f t="shared" si="1"/>
        <v>2.2695257809395169E-2</v>
      </c>
      <c r="H39" s="11"/>
      <c r="I39" s="11">
        <f t="shared" si="2"/>
        <v>2.6875963195336385E-2</v>
      </c>
      <c r="J39" s="11"/>
      <c r="K39" s="3">
        <v>9.4108999999999998E-3</v>
      </c>
      <c r="L39" s="11"/>
      <c r="M39" s="11">
        <f t="shared" si="3"/>
        <v>0.16120709369759251</v>
      </c>
      <c r="N39" s="25"/>
      <c r="O39" s="11">
        <f t="shared" si="4"/>
        <v>1.8377608681525548E-2</v>
      </c>
      <c r="P39" s="11"/>
      <c r="Q39" s="11">
        <f t="shared" si="5"/>
        <v>2.1762957649174991E-2</v>
      </c>
      <c r="R39" s="13"/>
      <c r="S39" s="13"/>
      <c r="T39" s="13"/>
      <c r="U39" s="13"/>
      <c r="V39" s="13"/>
      <c r="W39" s="13"/>
    </row>
    <row r="40" spans="1:23">
      <c r="A40" s="3" t="s">
        <v>293</v>
      </c>
      <c r="B40" s="3">
        <v>2612.3159999999998</v>
      </c>
      <c r="C40" s="3">
        <v>34.6</v>
      </c>
      <c r="D40" s="13"/>
      <c r="E40" s="13">
        <f t="shared" si="0"/>
        <v>5.8264543799448468E-2</v>
      </c>
      <c r="F40" s="11"/>
      <c r="G40" s="11">
        <f t="shared" si="1"/>
        <v>6.6421579931371256E-3</v>
      </c>
      <c r="H40" s="11"/>
      <c r="I40" s="11">
        <f t="shared" si="2"/>
        <v>7.8657134129255443E-3</v>
      </c>
      <c r="J40" s="11"/>
      <c r="K40" s="3">
        <v>4.1399999999999996E-3</v>
      </c>
      <c r="L40" s="11"/>
      <c r="M40" s="11">
        <f t="shared" si="3"/>
        <v>5.0748326772105674E-2</v>
      </c>
      <c r="N40" s="25"/>
      <c r="O40" s="11">
        <f t="shared" si="4"/>
        <v>5.785309252020047E-3</v>
      </c>
      <c r="P40" s="11"/>
      <c r="Q40" s="11">
        <f t="shared" si="5"/>
        <v>6.8510241142342668E-3</v>
      </c>
      <c r="R40" s="13"/>
      <c r="S40" s="13"/>
      <c r="T40" s="13"/>
      <c r="U40" s="13"/>
      <c r="V40" s="13"/>
      <c r="W40" s="13"/>
    </row>
    <row r="41" spans="1:23">
      <c r="A41" s="3" t="s">
        <v>295</v>
      </c>
      <c r="B41" s="3">
        <v>2433.1990000000001</v>
      </c>
      <c r="C41" s="3">
        <v>14.3</v>
      </c>
      <c r="D41" s="13"/>
      <c r="E41" s="13">
        <f t="shared" si="0"/>
        <v>2.5853084766186408E-2</v>
      </c>
      <c r="F41" s="11"/>
      <c r="G41" s="11">
        <f t="shared" si="1"/>
        <v>2.9472516633452508E-3</v>
      </c>
      <c r="H41" s="11"/>
      <c r="I41" s="11">
        <f t="shared" si="2"/>
        <v>3.4901664434351652E-3</v>
      </c>
      <c r="J41" s="11"/>
      <c r="K41" s="3">
        <v>1.6017E-3</v>
      </c>
      <c r="L41" s="11"/>
      <c r="M41" s="11">
        <f t="shared" si="3"/>
        <v>2.1079031032809073E-2</v>
      </c>
      <c r="N41" s="25"/>
      <c r="O41" s="11">
        <f t="shared" si="4"/>
        <v>2.4030095377402345E-3</v>
      </c>
      <c r="P41" s="11"/>
      <c r="Q41" s="11">
        <f t="shared" si="5"/>
        <v>2.8456691894292252E-3</v>
      </c>
      <c r="R41" s="13"/>
      <c r="S41" s="13"/>
      <c r="T41" s="13"/>
      <c r="U41" s="13"/>
      <c r="V41" s="13"/>
      <c r="W41" s="13"/>
    </row>
    <row r="42" spans="1:23">
      <c r="A42" s="3" t="s">
        <v>297</v>
      </c>
      <c r="B42" s="3">
        <v>1561.5360000000001</v>
      </c>
      <c r="C42" s="3">
        <v>3.4</v>
      </c>
      <c r="D42" s="13"/>
      <c r="E42" s="13">
        <f t="shared" si="0"/>
        <v>9.5781333251362746E-3</v>
      </c>
      <c r="F42" s="11"/>
      <c r="G42" s="11">
        <f t="shared" si="1"/>
        <v>1.0919071990655354E-3</v>
      </c>
      <c r="H42" s="11"/>
      <c r="I42" s="11">
        <f t="shared" si="2"/>
        <v>1.2930479988933971E-3</v>
      </c>
      <c r="J42" s="11"/>
      <c r="K42" s="3">
        <v>8.3120000000000004E-4</v>
      </c>
      <c r="L42" s="11"/>
      <c r="M42" s="11">
        <f t="shared" si="3"/>
        <v>1.7045142270175007E-2</v>
      </c>
      <c r="N42" s="25"/>
      <c r="O42" s="11">
        <f t="shared" si="4"/>
        <v>1.9431462187999508E-3</v>
      </c>
      <c r="P42" s="11"/>
      <c r="Q42" s="11">
        <f t="shared" si="5"/>
        <v>2.301094206473626E-3</v>
      </c>
      <c r="R42" s="13"/>
      <c r="S42" s="13"/>
      <c r="T42" s="13"/>
      <c r="U42" s="13"/>
      <c r="V42" s="13"/>
      <c r="W42" s="13"/>
    </row>
    <row r="43" spans="1:23">
      <c r="A43" s="3" t="s">
        <v>299</v>
      </c>
      <c r="B43" s="3">
        <v>3572.0419999999999</v>
      </c>
      <c r="C43" s="3">
        <v>481.3</v>
      </c>
      <c r="D43" s="13"/>
      <c r="E43" s="13">
        <f t="shared" si="0"/>
        <v>0.5927250295489247</v>
      </c>
      <c r="F43" s="11"/>
      <c r="G43" s="11">
        <f t="shared" si="1"/>
        <v>6.7570653368577413E-2</v>
      </c>
      <c r="H43" s="11"/>
      <c r="I43" s="11">
        <f t="shared" si="2"/>
        <v>8.001787898910484E-2</v>
      </c>
      <c r="J43" s="11"/>
      <c r="K43" s="3">
        <v>9.92315E-2</v>
      </c>
      <c r="L43" s="11"/>
      <c r="M43" s="11">
        <f t="shared" si="3"/>
        <v>0.88956993502596005</v>
      </c>
      <c r="N43" s="25"/>
      <c r="O43" s="11">
        <f t="shared" si="4"/>
        <v>0.10141097259295945</v>
      </c>
      <c r="P43" s="11"/>
      <c r="Q43" s="11">
        <f t="shared" si="5"/>
        <v>0.12009194122850461</v>
      </c>
      <c r="R43" s="13"/>
      <c r="S43" s="13"/>
      <c r="T43" s="13"/>
      <c r="U43" s="13"/>
      <c r="V43" s="13"/>
      <c r="W43" s="13"/>
    </row>
    <row r="44" spans="1:23">
      <c r="A44" s="3" t="s">
        <v>301</v>
      </c>
      <c r="B44" s="3">
        <v>1540.3879999999999</v>
      </c>
      <c r="C44" s="3">
        <v>7</v>
      </c>
      <c r="D44" s="13"/>
      <c r="E44" s="13">
        <f t="shared" si="0"/>
        <v>1.9990417998582175E-2</v>
      </c>
      <c r="F44" s="11"/>
      <c r="G44" s="11">
        <f t="shared" si="1"/>
        <v>2.2789076518383682E-3</v>
      </c>
      <c r="H44" s="11"/>
      <c r="I44" s="11">
        <f t="shared" si="2"/>
        <v>2.698706429808594E-3</v>
      </c>
      <c r="J44" s="11"/>
      <c r="K44" s="3">
        <v>1.531E-3</v>
      </c>
      <c r="L44" s="11"/>
      <c r="M44" s="11">
        <f t="shared" si="3"/>
        <v>3.1826740340745327E-2</v>
      </c>
      <c r="N44" s="25"/>
      <c r="O44" s="11">
        <f t="shared" si="4"/>
        <v>3.6282483988449676E-3</v>
      </c>
      <c r="P44" s="11"/>
      <c r="Q44" s="11">
        <f t="shared" si="5"/>
        <v>4.2966099460006197E-3</v>
      </c>
      <c r="R44" s="13"/>
      <c r="S44" s="13"/>
      <c r="T44" s="13"/>
      <c r="U44" s="13"/>
      <c r="V44" s="13"/>
      <c r="W44" s="13"/>
    </row>
    <row r="45" spans="1:23">
      <c r="A45" s="3" t="s">
        <v>303</v>
      </c>
      <c r="B45" s="3">
        <v>3174.2339999999999</v>
      </c>
      <c r="C45" s="3">
        <v>95.8</v>
      </c>
      <c r="D45" s="13"/>
      <c r="E45" s="13">
        <f t="shared" si="0"/>
        <v>0.13276406213278541</v>
      </c>
      <c r="F45" s="11"/>
      <c r="G45" s="11">
        <f t="shared" si="1"/>
        <v>1.5135103083137537E-2</v>
      </c>
      <c r="H45" s="11"/>
      <c r="I45" s="11">
        <f t="shared" si="2"/>
        <v>1.7923148387926031E-2</v>
      </c>
      <c r="J45" s="11"/>
      <c r="K45" s="3">
        <v>1.8690600000000002E-2</v>
      </c>
      <c r="L45" s="11"/>
      <c r="M45" s="11">
        <f t="shared" si="3"/>
        <v>0.18855211182918463</v>
      </c>
      <c r="N45" s="25"/>
      <c r="O45" s="11">
        <f t="shared" si="4"/>
        <v>2.149494074852705E-2</v>
      </c>
      <c r="P45" s="11"/>
      <c r="Q45" s="11">
        <f t="shared" si="5"/>
        <v>2.5454535096939929E-2</v>
      </c>
      <c r="R45" s="13"/>
      <c r="S45" s="13"/>
      <c r="T45" s="13"/>
      <c r="U45" s="13"/>
      <c r="V45" s="13"/>
      <c r="W45" s="13"/>
    </row>
    <row r="46" spans="1:23">
      <c r="A46" s="3" t="s">
        <v>305</v>
      </c>
      <c r="B46" s="3">
        <v>2774.518</v>
      </c>
      <c r="C46" s="3">
        <v>12.1</v>
      </c>
      <c r="D46" s="13"/>
      <c r="E46" s="13">
        <f t="shared" si="0"/>
        <v>1.9184557461872653E-2</v>
      </c>
      <c r="F46" s="11"/>
      <c r="G46" s="11">
        <f t="shared" si="1"/>
        <v>2.1870395506534824E-3</v>
      </c>
      <c r="H46" s="11"/>
      <c r="I46" s="11">
        <f t="shared" si="2"/>
        <v>2.5899152573528083E-3</v>
      </c>
      <c r="J46" s="11"/>
      <c r="K46" s="3">
        <v>1.9957E-3</v>
      </c>
      <c r="L46" s="11"/>
      <c r="M46" s="11">
        <f t="shared" si="3"/>
        <v>2.3033228052584266E-2</v>
      </c>
      <c r="N46" s="25"/>
      <c r="O46" s="11">
        <f t="shared" si="4"/>
        <v>2.6257879979946063E-3</v>
      </c>
      <c r="P46" s="11"/>
      <c r="Q46" s="11">
        <f t="shared" si="5"/>
        <v>3.109485787098876E-3</v>
      </c>
      <c r="R46" s="13"/>
      <c r="S46" s="13"/>
      <c r="T46" s="13"/>
      <c r="U46" s="13"/>
      <c r="V46" s="13"/>
      <c r="W46" s="13"/>
    </row>
    <row r="47" spans="1:23">
      <c r="A47" s="3" t="s">
        <v>306</v>
      </c>
      <c r="B47" s="3">
        <v>1446.223</v>
      </c>
      <c r="C47" s="3">
        <v>32</v>
      </c>
      <c r="D47" s="13"/>
      <c r="E47" s="13">
        <f t="shared" si="0"/>
        <v>9.7334919995049174E-2</v>
      </c>
      <c r="F47" s="11"/>
      <c r="G47" s="11">
        <f t="shared" si="1"/>
        <v>1.1096180879435607E-2</v>
      </c>
      <c r="H47" s="11"/>
      <c r="I47" s="11">
        <f t="shared" si="2"/>
        <v>1.3140214199331639E-2</v>
      </c>
      <c r="J47" s="11"/>
      <c r="K47" s="3">
        <v>5.6271999999999997E-3</v>
      </c>
      <c r="L47" s="11"/>
      <c r="M47" s="11">
        <f t="shared" si="3"/>
        <v>0.12459602404331836</v>
      </c>
      <c r="N47" s="25"/>
      <c r="O47" s="11">
        <f t="shared" si="4"/>
        <v>1.4203946740938294E-2</v>
      </c>
      <c r="P47" s="11"/>
      <c r="Q47" s="11">
        <f t="shared" si="5"/>
        <v>1.6820463245847982E-2</v>
      </c>
      <c r="R47" s="13"/>
      <c r="S47" s="13"/>
      <c r="T47" s="13"/>
      <c r="U47" s="13"/>
      <c r="V47" s="13"/>
      <c r="W47" s="13"/>
    </row>
    <row r="48" spans="1:23">
      <c r="A48" s="3" t="s">
        <v>308</v>
      </c>
      <c r="B48" s="3">
        <v>2097.4870000000001</v>
      </c>
      <c r="C48" s="3">
        <v>12.9</v>
      </c>
      <c r="D48" s="13"/>
      <c r="E48" s="13">
        <f t="shared" si="0"/>
        <v>2.7054804153732539E-2</v>
      </c>
      <c r="F48" s="11"/>
      <c r="G48" s="11">
        <f t="shared" si="1"/>
        <v>3.0842476735255097E-3</v>
      </c>
      <c r="H48" s="11"/>
      <c r="I48" s="11">
        <f t="shared" si="2"/>
        <v>3.6523985607538928E-3</v>
      </c>
      <c r="J48" s="11"/>
      <c r="K48" s="3">
        <v>4.0908999999999997E-3</v>
      </c>
      <c r="L48" s="11"/>
      <c r="M48" s="11">
        <f t="shared" si="3"/>
        <v>6.2454923777835097E-2</v>
      </c>
      <c r="N48" s="25"/>
      <c r="O48" s="11">
        <f t="shared" si="4"/>
        <v>7.1198613106732015E-3</v>
      </c>
      <c r="P48" s="11"/>
      <c r="Q48" s="11">
        <f t="shared" si="5"/>
        <v>8.4314147100077383E-3</v>
      </c>
      <c r="R48" s="13"/>
      <c r="S48" s="13"/>
      <c r="T48" s="13"/>
      <c r="U48" s="13"/>
      <c r="V48" s="13"/>
      <c r="W48" s="13"/>
    </row>
    <row r="49" spans="1:23">
      <c r="A49" s="3" t="s">
        <v>310</v>
      </c>
      <c r="B49" s="3">
        <v>8813.7450000000008</v>
      </c>
      <c r="C49" s="3">
        <v>1243.2</v>
      </c>
      <c r="D49" s="13"/>
      <c r="E49" s="13">
        <f t="shared" si="0"/>
        <v>0.62048956487849383</v>
      </c>
      <c r="F49" s="11"/>
      <c r="G49" s="11">
        <f t="shared" si="1"/>
        <v>7.0735810396148305E-2</v>
      </c>
      <c r="H49" s="11"/>
      <c r="I49" s="11">
        <f t="shared" si="2"/>
        <v>8.3766091258596673E-2</v>
      </c>
      <c r="J49" s="11"/>
      <c r="K49" s="3">
        <v>0.184839</v>
      </c>
      <c r="L49" s="11"/>
      <c r="M49" s="11">
        <f t="shared" si="3"/>
        <v>0.6715528954037131</v>
      </c>
      <c r="N49" s="25"/>
      <c r="O49" s="11">
        <f t="shared" si="4"/>
        <v>7.6557030076023297E-2</v>
      </c>
      <c r="P49" s="11"/>
      <c r="Q49" s="11">
        <f t="shared" si="5"/>
        <v>9.0659640879501277E-2</v>
      </c>
      <c r="R49" s="13"/>
      <c r="S49" s="13"/>
      <c r="T49" s="13"/>
      <c r="U49" s="13"/>
      <c r="V49" s="13"/>
      <c r="W49" s="13"/>
    </row>
    <row r="50" spans="1:23">
      <c r="A50" s="3" t="s">
        <v>312</v>
      </c>
      <c r="B50" s="3">
        <v>4244.8509999999997</v>
      </c>
      <c r="C50" s="3">
        <v>336.2</v>
      </c>
      <c r="D50" s="13"/>
      <c r="E50" s="13">
        <f t="shared" si="0"/>
        <v>0.34840888408097243</v>
      </c>
      <c r="F50" s="11"/>
      <c r="G50" s="11">
        <f t="shared" si="1"/>
        <v>3.971861278523086E-2</v>
      </c>
      <c r="H50" s="11"/>
      <c r="I50" s="11">
        <f t="shared" si="2"/>
        <v>4.7035199350931284E-2</v>
      </c>
      <c r="J50" s="11"/>
      <c r="K50" s="3">
        <v>7.2619100000000006E-2</v>
      </c>
      <c r="L50" s="11"/>
      <c r="M50" s="11">
        <f t="shared" si="3"/>
        <v>0.54781700424584989</v>
      </c>
      <c r="N50" s="25"/>
      <c r="O50" s="11">
        <f t="shared" si="4"/>
        <v>6.2451138484026891E-2</v>
      </c>
      <c r="P50" s="11"/>
      <c r="Q50" s="11">
        <f t="shared" si="5"/>
        <v>7.3955295573189736E-2</v>
      </c>
      <c r="R50" s="13"/>
      <c r="S50" s="13"/>
      <c r="T50" s="13"/>
      <c r="U50" s="13"/>
      <c r="V50" s="13"/>
      <c r="W50" s="13"/>
    </row>
    <row r="51" spans="1:23">
      <c r="A51" s="3" t="s">
        <v>313</v>
      </c>
      <c r="B51" s="3">
        <v>4012.5479999999998</v>
      </c>
      <c r="C51" s="3">
        <v>22</v>
      </c>
      <c r="D51" s="13"/>
      <c r="E51" s="13">
        <f t="shared" si="0"/>
        <v>2.411883920142513E-2</v>
      </c>
      <c r="F51" s="11"/>
      <c r="G51" s="11">
        <f t="shared" si="1"/>
        <v>2.749547668962465E-3</v>
      </c>
      <c r="H51" s="11"/>
      <c r="I51" s="11">
        <f t="shared" si="2"/>
        <v>3.2560432921923928E-3</v>
      </c>
      <c r="J51" s="11"/>
      <c r="K51" s="3">
        <v>4.1669999999999997E-3</v>
      </c>
      <c r="L51" s="11"/>
      <c r="M51" s="11">
        <f t="shared" si="3"/>
        <v>3.3254494974265733E-2</v>
      </c>
      <c r="N51" s="25"/>
      <c r="O51" s="11">
        <f t="shared" si="4"/>
        <v>3.7910124270662936E-3</v>
      </c>
      <c r="P51" s="11"/>
      <c r="Q51" s="11">
        <f t="shared" si="5"/>
        <v>4.4893568215258741E-3</v>
      </c>
      <c r="R51" s="13"/>
      <c r="S51" s="13"/>
      <c r="T51" s="13"/>
      <c r="U51" s="13"/>
      <c r="V51" s="13"/>
      <c r="W51" s="13"/>
    </row>
    <row r="52" spans="1:23">
      <c r="A52" s="3" t="s">
        <v>315</v>
      </c>
      <c r="B52" s="3">
        <v>2596.1419999999998</v>
      </c>
      <c r="C52" s="3">
        <v>48.4</v>
      </c>
      <c r="D52" s="13"/>
      <c r="E52" s="13">
        <f t="shared" si="0"/>
        <v>8.2010768286172334E-2</v>
      </c>
      <c r="F52" s="11"/>
      <c r="G52" s="11">
        <f t="shared" si="1"/>
        <v>9.3492275846236463E-3</v>
      </c>
      <c r="H52" s="11"/>
      <c r="I52" s="11">
        <f t="shared" si="2"/>
        <v>1.1071453718633266E-2</v>
      </c>
      <c r="J52" s="11"/>
      <c r="K52" s="3">
        <v>7.2411000000000003E-3</v>
      </c>
      <c r="L52" s="11"/>
      <c r="M52" s="11">
        <f t="shared" si="3"/>
        <v>8.9314752463463112E-2</v>
      </c>
      <c r="N52" s="25"/>
      <c r="O52" s="11">
        <f t="shared" si="4"/>
        <v>1.0181881780834795E-2</v>
      </c>
      <c r="P52" s="11"/>
      <c r="Q52" s="11">
        <f t="shared" si="5"/>
        <v>1.205749158256752E-2</v>
      </c>
      <c r="R52" s="13"/>
      <c r="S52" s="13"/>
      <c r="T52" s="13"/>
      <c r="U52" s="13"/>
      <c r="V52" s="13"/>
      <c r="W52" s="13"/>
    </row>
    <row r="53" spans="1:23">
      <c r="A53" s="3" t="s">
        <v>317</v>
      </c>
      <c r="B53" s="3">
        <v>2469.1010000000001</v>
      </c>
      <c r="C53" s="3">
        <v>6.8</v>
      </c>
      <c r="D53" s="13"/>
      <c r="E53" s="13">
        <f t="shared" si="0"/>
        <v>1.2115016761161246E-2</v>
      </c>
      <c r="F53" s="11"/>
      <c r="G53" s="11">
        <f t="shared" si="1"/>
        <v>1.3811119107723822E-3</v>
      </c>
      <c r="H53" s="11"/>
      <c r="I53" s="11">
        <f t="shared" si="2"/>
        <v>1.6355272627567683E-3</v>
      </c>
      <c r="J53" s="11"/>
      <c r="K53" s="3">
        <v>4.2475000000000004E-3</v>
      </c>
      <c r="L53" s="11"/>
      <c r="M53" s="11">
        <f t="shared" si="3"/>
        <v>5.5086049639119665E-2</v>
      </c>
      <c r="N53" s="25"/>
      <c r="O53" s="11">
        <f t="shared" si="4"/>
        <v>6.2798096588596421E-3</v>
      </c>
      <c r="P53" s="11"/>
      <c r="Q53" s="11">
        <f t="shared" si="5"/>
        <v>7.4366167012811556E-3</v>
      </c>
      <c r="R53" s="13"/>
      <c r="S53" s="13"/>
      <c r="T53" s="13"/>
      <c r="U53" s="13"/>
      <c r="V53" s="13"/>
      <c r="W53" s="13"/>
    </row>
    <row r="54" spans="1:23">
      <c r="A54" s="3" t="s">
        <v>319</v>
      </c>
      <c r="B54" s="3">
        <v>2124.5520000000001</v>
      </c>
      <c r="C54" s="3">
        <v>36.9</v>
      </c>
      <c r="D54" s="13"/>
      <c r="E54" s="13">
        <f t="shared" si="0"/>
        <v>7.6403448821210307E-2</v>
      </c>
      <c r="F54" s="11"/>
      <c r="G54" s="11">
        <f t="shared" si="1"/>
        <v>8.7099931656179751E-3</v>
      </c>
      <c r="H54" s="11"/>
      <c r="I54" s="11">
        <f t="shared" si="2"/>
        <v>1.0314465590863391E-2</v>
      </c>
      <c r="J54" s="11"/>
      <c r="K54" s="3">
        <v>7.2436000000000002E-3</v>
      </c>
      <c r="L54" s="11"/>
      <c r="M54" s="11">
        <f t="shared" si="3"/>
        <v>0.10917776304839798</v>
      </c>
      <c r="N54" s="25"/>
      <c r="O54" s="11">
        <f t="shared" si="4"/>
        <v>1.244626498751737E-2</v>
      </c>
      <c r="P54" s="11"/>
      <c r="Q54" s="11">
        <f t="shared" si="5"/>
        <v>1.4738998011533729E-2</v>
      </c>
      <c r="R54" s="13"/>
      <c r="S54" s="13"/>
      <c r="T54" s="13"/>
      <c r="U54" s="13"/>
      <c r="V54" s="13"/>
      <c r="W54" s="13"/>
    </row>
    <row r="55" spans="1:23">
      <c r="A55" s="3" t="s">
        <v>321</v>
      </c>
      <c r="B55" s="3">
        <v>2932.011</v>
      </c>
      <c r="C55" s="3">
        <v>45.9</v>
      </c>
      <c r="D55" s="13"/>
      <c r="E55" s="13">
        <f t="shared" si="0"/>
        <v>6.8865396480436117E-2</v>
      </c>
      <c r="F55" s="11"/>
      <c r="G55" s="11">
        <f t="shared" si="1"/>
        <v>7.8506551987697175E-3</v>
      </c>
      <c r="H55" s="11"/>
      <c r="I55" s="11">
        <f t="shared" si="2"/>
        <v>9.2968285248588769E-3</v>
      </c>
      <c r="J55" s="11"/>
      <c r="K55" s="3">
        <v>5.3068000000000004E-3</v>
      </c>
      <c r="L55" s="11"/>
      <c r="M55" s="11">
        <f t="shared" si="3"/>
        <v>5.7958110975709166E-2</v>
      </c>
      <c r="N55" s="25"/>
      <c r="O55" s="11">
        <f t="shared" si="4"/>
        <v>6.6072246512308454E-3</v>
      </c>
      <c r="P55" s="11"/>
      <c r="Q55" s="11">
        <f t="shared" si="5"/>
        <v>7.8243449817207381E-3</v>
      </c>
      <c r="R55" s="13"/>
      <c r="S55" s="13"/>
      <c r="T55" s="13"/>
      <c r="U55" s="13"/>
      <c r="V55" s="13"/>
      <c r="W55" s="13"/>
    </row>
    <row r="56" spans="1:23">
      <c r="A56" s="3" t="s">
        <v>323</v>
      </c>
      <c r="B56" s="3">
        <v>3390.0940000000001</v>
      </c>
      <c r="C56" s="3">
        <v>19</v>
      </c>
      <c r="D56" s="13"/>
      <c r="E56" s="13">
        <f t="shared" si="0"/>
        <v>2.465447860737785E-2</v>
      </c>
      <c r="F56" s="11"/>
      <c r="G56" s="11">
        <f t="shared" si="1"/>
        <v>2.8106105612410752E-3</v>
      </c>
      <c r="H56" s="11"/>
      <c r="I56" s="11">
        <f t="shared" si="2"/>
        <v>3.3283546119960098E-3</v>
      </c>
      <c r="J56" s="11"/>
      <c r="K56" s="3">
        <v>1.9919E-3</v>
      </c>
      <c r="L56" s="11"/>
      <c r="M56" s="11">
        <f t="shared" si="3"/>
        <v>1.8814942184494001E-2</v>
      </c>
      <c r="N56" s="25"/>
      <c r="O56" s="11">
        <f t="shared" si="4"/>
        <v>2.1449034090323164E-3</v>
      </c>
      <c r="P56" s="11"/>
      <c r="Q56" s="11">
        <f t="shared" si="5"/>
        <v>2.5400171949066905E-3</v>
      </c>
      <c r="R56" s="13"/>
      <c r="S56" s="13"/>
      <c r="T56" s="13"/>
      <c r="U56" s="13"/>
      <c r="V56" s="13"/>
      <c r="W56" s="13"/>
    </row>
    <row r="57" spans="1:23">
      <c r="A57" s="3" t="s">
        <v>325</v>
      </c>
      <c r="B57" s="3">
        <v>2396.4549999999999</v>
      </c>
      <c r="C57" s="3">
        <v>92.899990000000003</v>
      </c>
      <c r="D57" s="13"/>
      <c r="E57" s="13">
        <f t="shared" si="0"/>
        <v>0.17052982676912357</v>
      </c>
      <c r="F57" s="11"/>
      <c r="G57" s="11">
        <f t="shared" si="1"/>
        <v>1.9440400251680087E-2</v>
      </c>
      <c r="H57" s="11"/>
      <c r="I57" s="11">
        <f t="shared" si="2"/>
        <v>2.3021526613831684E-2</v>
      </c>
      <c r="J57" s="11"/>
      <c r="K57" s="3">
        <v>2.21196E-2</v>
      </c>
      <c r="L57" s="11"/>
      <c r="M57" s="11">
        <f t="shared" si="3"/>
        <v>0.29556641757929947</v>
      </c>
      <c r="N57" s="25"/>
      <c r="O57" s="11">
        <f t="shared" si="4"/>
        <v>3.3694571604040144E-2</v>
      </c>
      <c r="P57" s="11"/>
      <c r="Q57" s="11">
        <f t="shared" si="5"/>
        <v>3.9901466373205428E-2</v>
      </c>
      <c r="R57" s="13"/>
      <c r="S57" s="13"/>
      <c r="T57" s="13"/>
      <c r="U57" s="13"/>
      <c r="V57" s="13"/>
      <c r="W57" s="13"/>
    </row>
    <row r="58" spans="1:23">
      <c r="A58" s="3" t="s">
        <v>327</v>
      </c>
      <c r="B58" s="3">
        <v>4110.7539999999999</v>
      </c>
      <c r="C58" s="3">
        <v>186.5</v>
      </c>
      <c r="D58" s="13"/>
      <c r="E58" s="13">
        <f t="shared" si="0"/>
        <v>0.19957737680240656</v>
      </c>
      <c r="F58" s="11"/>
      <c r="G58" s="11">
        <f t="shared" si="1"/>
        <v>2.2751820955474348E-2</v>
      </c>
      <c r="H58" s="11"/>
      <c r="I58" s="11">
        <f t="shared" si="2"/>
        <v>2.6942945868324887E-2</v>
      </c>
      <c r="J58" s="11"/>
      <c r="K58" s="3">
        <v>7.5412000000000007E-2</v>
      </c>
      <c r="L58" s="11"/>
      <c r="M58" s="11">
        <f t="shared" si="3"/>
        <v>0.58744345266099607</v>
      </c>
      <c r="N58" s="25"/>
      <c r="O58" s="11">
        <f t="shared" si="4"/>
        <v>6.6968553603353548E-2</v>
      </c>
      <c r="P58" s="11"/>
      <c r="Q58" s="11">
        <f t="shared" si="5"/>
        <v>7.930486610923447E-2</v>
      </c>
      <c r="R58" s="13"/>
      <c r="S58" s="13"/>
      <c r="T58" s="13"/>
      <c r="U58" s="13"/>
      <c r="V58" s="13"/>
      <c r="W58" s="13"/>
    </row>
    <row r="59" spans="1:23">
      <c r="A59" s="3" t="s">
        <v>329</v>
      </c>
      <c r="B59" s="3">
        <v>3030.3789999999999</v>
      </c>
      <c r="C59" s="3">
        <v>158.4</v>
      </c>
      <c r="D59" s="13"/>
      <c r="E59" s="13">
        <f t="shared" si="0"/>
        <v>0.2299387634352007</v>
      </c>
      <c r="F59" s="11"/>
      <c r="G59" s="11">
        <f t="shared" si="1"/>
        <v>2.621301903161288E-2</v>
      </c>
      <c r="H59" s="11"/>
      <c r="I59" s="11">
        <f t="shared" si="2"/>
        <v>3.1041733063752096E-2</v>
      </c>
      <c r="J59" s="11"/>
      <c r="K59" s="3">
        <v>5.9110099999999999E-2</v>
      </c>
      <c r="L59" s="11"/>
      <c r="M59" s="11">
        <f t="shared" si="3"/>
        <v>0.62461418561506665</v>
      </c>
      <c r="N59" s="25"/>
      <c r="O59" s="11">
        <f t="shared" si="4"/>
        <v>7.1206017160117596E-2</v>
      </c>
      <c r="P59" s="11"/>
      <c r="Q59" s="11">
        <f t="shared" si="5"/>
        <v>8.4322915058034006E-2</v>
      </c>
      <c r="R59" s="13"/>
      <c r="S59" s="13"/>
      <c r="T59" s="13"/>
      <c r="U59" s="13"/>
      <c r="V59" s="13"/>
      <c r="W59" s="13"/>
    </row>
    <row r="60" spans="1:23">
      <c r="A60" s="3" t="s">
        <v>331</v>
      </c>
      <c r="B60" s="3">
        <v>3449.1709999999998</v>
      </c>
      <c r="C60" s="3">
        <v>86.8</v>
      </c>
      <c r="D60" s="13"/>
      <c r="E60" s="13">
        <f t="shared" si="0"/>
        <v>0.11070289063661964</v>
      </c>
      <c r="F60" s="11"/>
      <c r="G60" s="11">
        <f t="shared" si="1"/>
        <v>1.262012953257464E-2</v>
      </c>
      <c r="H60" s="11"/>
      <c r="I60" s="11">
        <f t="shared" si="2"/>
        <v>1.4944890235943652E-2</v>
      </c>
      <c r="J60" s="11"/>
      <c r="K60" s="3">
        <v>1.47268E-2</v>
      </c>
      <c r="L60" s="11"/>
      <c r="M60" s="11">
        <f t="shared" si="3"/>
        <v>0.13672274205019119</v>
      </c>
      <c r="N60" s="25"/>
      <c r="O60" s="11">
        <f t="shared" si="4"/>
        <v>1.5586392593721797E-2</v>
      </c>
      <c r="P60" s="11"/>
      <c r="Q60" s="11">
        <f t="shared" si="5"/>
        <v>1.8457570176775812E-2</v>
      </c>
      <c r="R60" s="13"/>
      <c r="S60" s="13"/>
      <c r="T60" s="13"/>
      <c r="U60" s="13"/>
      <c r="V60" s="13"/>
      <c r="W60" s="13"/>
    </row>
    <row r="61" spans="1:23">
      <c r="A61" s="3" t="s">
        <v>333</v>
      </c>
      <c r="B61" s="3">
        <v>2468.732</v>
      </c>
      <c r="C61" s="3">
        <v>2.4</v>
      </c>
      <c r="D61" s="13"/>
      <c r="E61" s="13">
        <f t="shared" si="0"/>
        <v>4.2765273832882627E-3</v>
      </c>
      <c r="F61" s="11"/>
      <c r="G61" s="11">
        <f t="shared" si="1"/>
        <v>4.8752412169486195E-4</v>
      </c>
      <c r="H61" s="11"/>
      <c r="I61" s="11">
        <f t="shared" si="2"/>
        <v>5.7733119674391548E-4</v>
      </c>
      <c r="J61" s="11"/>
      <c r="K61" s="3">
        <v>9.3970000000000002E-4</v>
      </c>
      <c r="L61" s="11"/>
      <c r="M61" s="11">
        <f t="shared" si="3"/>
        <v>1.2188840032048842E-2</v>
      </c>
      <c r="N61" s="25"/>
      <c r="O61" s="11">
        <f t="shared" si="4"/>
        <v>1.3895277636535681E-3</v>
      </c>
      <c r="P61" s="11"/>
      <c r="Q61" s="11">
        <f t="shared" si="5"/>
        <v>1.6454934043265937E-3</v>
      </c>
      <c r="R61" s="13"/>
      <c r="S61" s="13"/>
      <c r="T61" s="13"/>
      <c r="U61" s="13"/>
      <c r="V61" s="13"/>
      <c r="W61" s="13"/>
    </row>
    <row r="62" spans="1:23">
      <c r="A62" s="3" t="s">
        <v>335</v>
      </c>
      <c r="B62" s="3">
        <v>2814.5590000000002</v>
      </c>
      <c r="C62" s="3">
        <v>6.9</v>
      </c>
      <c r="D62" s="13"/>
      <c r="E62" s="13">
        <f t="shared" si="0"/>
        <v>1.078431825376551E-2</v>
      </c>
      <c r="F62" s="11"/>
      <c r="G62" s="11">
        <f t="shared" si="1"/>
        <v>1.2294122809292682E-3</v>
      </c>
      <c r="H62" s="11"/>
      <c r="I62" s="11">
        <f t="shared" si="2"/>
        <v>1.4558829642583439E-3</v>
      </c>
      <c r="J62" s="11"/>
      <c r="K62">
        <v>3.0540600000000001E-2</v>
      </c>
      <c r="L62" s="11"/>
      <c r="M62" s="11">
        <f t="shared" si="3"/>
        <v>0.34746759230842206</v>
      </c>
      <c r="N62" s="25"/>
      <c r="O62" s="11">
        <f t="shared" si="4"/>
        <v>3.9611305523160119E-2</v>
      </c>
      <c r="P62" s="11"/>
      <c r="Q62" s="11">
        <f t="shared" si="5"/>
        <v>4.6908124961636981E-2</v>
      </c>
      <c r="R62" s="3"/>
      <c r="S62" s="3"/>
      <c r="T62" s="3"/>
      <c r="U62" s="3"/>
      <c r="V62" s="3"/>
      <c r="W62" s="3"/>
    </row>
    <row r="63" spans="1:23">
      <c r="A63" s="3" t="s">
        <v>337</v>
      </c>
      <c r="B63" s="3">
        <v>5237.415</v>
      </c>
      <c r="C63" s="3">
        <v>327</v>
      </c>
      <c r="D63" s="13"/>
      <c r="E63" s="13">
        <f t="shared" si="0"/>
        <v>0.27465324019578358</v>
      </c>
      <c r="F63" s="11"/>
      <c r="G63" s="11">
        <f t="shared" si="1"/>
        <v>3.1310469382319329E-2</v>
      </c>
      <c r="H63" s="11"/>
      <c r="I63" s="11">
        <f t="shared" si="2"/>
        <v>3.7078187426430785E-2</v>
      </c>
      <c r="J63" s="11"/>
      <c r="K63">
        <v>7.3282200000000006E-2</v>
      </c>
      <c r="L63" s="11"/>
      <c r="M63" s="11">
        <f t="shared" si="3"/>
        <v>0.44805219372152111</v>
      </c>
      <c r="N63" s="25"/>
      <c r="O63" s="11">
        <f t="shared" si="4"/>
        <v>5.1077950084253407E-2</v>
      </c>
      <c r="P63" s="11"/>
      <c r="Q63" s="11">
        <f t="shared" si="5"/>
        <v>6.0487046152405355E-2</v>
      </c>
    </row>
    <row r="64" spans="1:23">
      <c r="A64" s="3"/>
      <c r="B64" s="3"/>
      <c r="C64" s="3"/>
      <c r="D64" s="3"/>
      <c r="G64" s="3"/>
      <c r="H64" s="3"/>
      <c r="I64" s="3"/>
      <c r="J64" s="3"/>
      <c r="K64" s="3"/>
      <c r="L64" s="3"/>
      <c r="M64" s="3"/>
      <c r="N64" s="3"/>
    </row>
    <row r="65" spans="4:17">
      <c r="D65" s="13"/>
      <c r="E65" s="13">
        <f>AVERAGE(E32:E63)</f>
        <v>0.14912489422543068</v>
      </c>
      <c r="F65" s="13"/>
      <c r="G65" s="13">
        <f t="shared" ref="G65:I65" si="6">AVERAGE(G32:G63)</f>
        <v>1.7000237941699092E-2</v>
      </c>
      <c r="H65" s="13"/>
      <c r="I65" s="13">
        <f t="shared" si="6"/>
        <v>2.0131860720433142E-2</v>
      </c>
      <c r="J65" s="13"/>
      <c r="K65" s="13"/>
      <c r="L65" s="13"/>
      <c r="M65" s="13">
        <f t="shared" ref="M65:Q65" si="7">AVERAGE(M32:M63)</f>
        <v>0.23251918690805762</v>
      </c>
      <c r="N65" s="13"/>
      <c r="O65" s="13">
        <f t="shared" si="7"/>
        <v>2.6507187307518568E-2</v>
      </c>
      <c r="P65" s="13"/>
      <c r="Q65" s="13">
        <f t="shared" si="7"/>
        <v>3.1390090232587785E-2</v>
      </c>
    </row>
  </sheetData>
  <mergeCells count="8">
    <mergeCell ref="F29:I29"/>
    <mergeCell ref="N29:Q29"/>
    <mergeCell ref="D30:E30"/>
    <mergeCell ref="F30:G30"/>
    <mergeCell ref="H30:I30"/>
    <mergeCell ref="L30:M30"/>
    <mergeCell ref="N30:O30"/>
    <mergeCell ref="P30:Q30"/>
  </mergeCells>
  <pageMargins left="0.7" right="0.7" top="0.75" bottom="0.75" header="0.3" footer="0.3"/>
  <pageSetup orientation="portrait" verticalDpi="0" r:id="rId1"/>
</worksheet>
</file>

<file path=xl/worksheets/sheet24.xml><?xml version="1.0" encoding="utf-8"?>
<worksheet xmlns="http://schemas.openxmlformats.org/spreadsheetml/2006/main" xmlns:r="http://schemas.openxmlformats.org/officeDocument/2006/relationships">
  <dimension ref="A1:BH35"/>
  <sheetViews>
    <sheetView topLeftCell="A10" workbookViewId="0"/>
  </sheetViews>
  <sheetFormatPr defaultRowHeight="15"/>
  <cols>
    <col min="1" max="1" width="46" customWidth="1"/>
    <col min="2" max="2" width="13.85546875" customWidth="1"/>
    <col min="3" max="3" width="13.5703125" customWidth="1"/>
    <col min="4" max="4" width="13.85546875" customWidth="1"/>
    <col min="5" max="7" width="18" customWidth="1"/>
    <col min="8" max="8" width="11.85546875" customWidth="1"/>
    <col min="9" max="9" width="13.5703125" customWidth="1"/>
    <col min="10" max="10" width="11" customWidth="1"/>
    <col min="11" max="11" width="10.85546875" customWidth="1"/>
    <col min="12" max="12" width="10.140625" customWidth="1"/>
    <col min="13" max="13" width="10.42578125" customWidth="1"/>
    <col min="14" max="14" width="20.28515625" customWidth="1"/>
    <col min="15" max="15" width="17.140625" customWidth="1"/>
    <col min="16" max="16" width="19" customWidth="1"/>
    <col min="17" max="17" width="17.140625" customWidth="1"/>
    <col min="18" max="18" width="19" customWidth="1"/>
    <col min="19" max="21" width="18.140625" customWidth="1"/>
    <col min="27" max="27" width="18.42578125" customWidth="1"/>
    <col min="28" max="28" width="13.5703125" customWidth="1"/>
    <col min="29" max="29" width="19" customWidth="1"/>
    <col min="30" max="30" width="16" customWidth="1"/>
    <col min="31" max="34" width="16.85546875" customWidth="1"/>
    <col min="36" max="36" width="9.85546875" customWidth="1"/>
    <col min="40" max="47" width="17.85546875" customWidth="1"/>
    <col min="53" max="60" width="18.7109375" customWidth="1"/>
  </cols>
  <sheetData>
    <row r="1" spans="1:60">
      <c r="B1" t="s">
        <v>572</v>
      </c>
      <c r="C1" s="29">
        <v>0.01</v>
      </c>
      <c r="AJ1" s="30" t="s">
        <v>746</v>
      </c>
    </row>
    <row r="2" spans="1:60" ht="60">
      <c r="J2" s="30" t="s">
        <v>1107</v>
      </c>
      <c r="N2" s="39" t="s">
        <v>568</v>
      </c>
      <c r="O2" s="39" t="s">
        <v>569</v>
      </c>
      <c r="P2" s="39" t="s">
        <v>568</v>
      </c>
      <c r="Q2" s="39" t="s">
        <v>569</v>
      </c>
      <c r="R2" s="39" t="s">
        <v>585</v>
      </c>
      <c r="S2" s="39" t="s">
        <v>580</v>
      </c>
      <c r="T2" s="39" t="s">
        <v>579</v>
      </c>
      <c r="U2" s="39" t="s">
        <v>580</v>
      </c>
      <c r="W2" s="263" t="s">
        <v>1108</v>
      </c>
      <c r="X2" s="261"/>
      <c r="Y2" s="261"/>
      <c r="Z2" s="261"/>
      <c r="AA2" s="39" t="s">
        <v>570</v>
      </c>
      <c r="AB2" s="39" t="s">
        <v>569</v>
      </c>
      <c r="AC2" s="39" t="s">
        <v>570</v>
      </c>
      <c r="AD2" s="39" t="s">
        <v>569</v>
      </c>
      <c r="AE2" s="39" t="s">
        <v>587</v>
      </c>
      <c r="AF2" s="39" t="s">
        <v>580</v>
      </c>
      <c r="AG2" s="39" t="s">
        <v>587</v>
      </c>
      <c r="AH2" s="39" t="s">
        <v>580</v>
      </c>
      <c r="AJ2" s="264" t="s">
        <v>747</v>
      </c>
      <c r="AK2" s="261"/>
      <c r="AL2" s="261"/>
      <c r="AM2" s="261"/>
      <c r="AN2" s="39" t="s">
        <v>751</v>
      </c>
      <c r="AO2" s="39" t="s">
        <v>569</v>
      </c>
      <c r="AP2" s="39" t="s">
        <v>751</v>
      </c>
      <c r="AQ2" s="39" t="s">
        <v>569</v>
      </c>
      <c r="AR2" s="39" t="s">
        <v>752</v>
      </c>
      <c r="AS2" s="39" t="s">
        <v>580</v>
      </c>
      <c r="AT2" s="39" t="s">
        <v>752</v>
      </c>
      <c r="AU2" s="39" t="s">
        <v>580</v>
      </c>
      <c r="AW2" s="264" t="s">
        <v>750</v>
      </c>
      <c r="AX2" s="261"/>
      <c r="AY2" s="261"/>
      <c r="AZ2" s="261"/>
      <c r="BA2" s="39" t="s">
        <v>748</v>
      </c>
      <c r="BB2" s="39" t="s">
        <v>569</v>
      </c>
      <c r="BC2" s="39" t="s">
        <v>748</v>
      </c>
      <c r="BD2" s="39" t="s">
        <v>569</v>
      </c>
      <c r="BE2" s="39" t="s">
        <v>749</v>
      </c>
      <c r="BF2" s="39" t="s">
        <v>580</v>
      </c>
      <c r="BG2" s="39" t="s">
        <v>749</v>
      </c>
      <c r="BH2" s="39" t="s">
        <v>580</v>
      </c>
    </row>
    <row r="3" spans="1:60" ht="59.25" customHeight="1">
      <c r="A3" t="s">
        <v>571</v>
      </c>
      <c r="B3" s="3" t="s">
        <v>130</v>
      </c>
      <c r="C3" s="10" t="s">
        <v>563</v>
      </c>
      <c r="D3" s="10" t="s">
        <v>564</v>
      </c>
      <c r="E3" s="10" t="s">
        <v>565</v>
      </c>
      <c r="F3" s="10" t="s">
        <v>583</v>
      </c>
      <c r="G3" s="10" t="s">
        <v>584</v>
      </c>
      <c r="H3" s="3" t="s">
        <v>566</v>
      </c>
      <c r="I3" s="10" t="s">
        <v>567</v>
      </c>
      <c r="J3" s="56" t="s">
        <v>573</v>
      </c>
      <c r="K3" s="56" t="s">
        <v>574</v>
      </c>
      <c r="L3" s="56" t="s">
        <v>575</v>
      </c>
      <c r="M3" s="56" t="s">
        <v>576</v>
      </c>
      <c r="N3" s="56" t="s">
        <v>578</v>
      </c>
      <c r="P3" s="56" t="s">
        <v>574</v>
      </c>
      <c r="R3" s="56" t="s">
        <v>581</v>
      </c>
      <c r="T3" s="56" t="s">
        <v>582</v>
      </c>
      <c r="U3" s="56"/>
      <c r="V3" s="30"/>
      <c r="W3" s="56" t="s">
        <v>573</v>
      </c>
      <c r="X3" s="56" t="s">
        <v>574</v>
      </c>
      <c r="Y3" s="56" t="s">
        <v>575</v>
      </c>
      <c r="Z3" s="56" t="s">
        <v>576</v>
      </c>
      <c r="AA3" s="56" t="s">
        <v>573</v>
      </c>
      <c r="AC3" s="56" t="s">
        <v>574</v>
      </c>
      <c r="AE3" s="56" t="s">
        <v>575</v>
      </c>
      <c r="AG3" s="56" t="s">
        <v>576</v>
      </c>
      <c r="AJ3" s="56" t="s">
        <v>573</v>
      </c>
      <c r="AK3" s="56" t="s">
        <v>574</v>
      </c>
      <c r="AL3" s="56" t="s">
        <v>575</v>
      </c>
      <c r="AM3" s="56" t="s">
        <v>576</v>
      </c>
      <c r="AN3" s="56" t="s">
        <v>573</v>
      </c>
      <c r="AP3" s="56" t="s">
        <v>574</v>
      </c>
      <c r="AR3" s="56" t="s">
        <v>575</v>
      </c>
      <c r="AT3" s="56" t="s">
        <v>576</v>
      </c>
      <c r="AW3" s="56" t="s">
        <v>573</v>
      </c>
      <c r="AX3" s="56" t="s">
        <v>574</v>
      </c>
      <c r="AY3" s="56" t="s">
        <v>575</v>
      </c>
      <c r="AZ3" s="56" t="s">
        <v>576</v>
      </c>
      <c r="BA3" s="56" t="s">
        <v>573</v>
      </c>
      <c r="BC3" s="56" t="s">
        <v>574</v>
      </c>
      <c r="BE3" s="56" t="s">
        <v>575</v>
      </c>
      <c r="BG3" s="56" t="s">
        <v>576</v>
      </c>
    </row>
    <row r="4" spans="1:60">
      <c r="A4" s="3" t="s">
        <v>278</v>
      </c>
      <c r="B4" s="3">
        <v>846582</v>
      </c>
      <c r="C4" s="3">
        <v>512994</v>
      </c>
      <c r="D4" s="34">
        <v>35760.019999999997</v>
      </c>
      <c r="E4" s="32">
        <f>C4*D4</f>
        <v>18344675699.879997</v>
      </c>
      <c r="F4" s="32">
        <v>28740</v>
      </c>
      <c r="G4" s="37">
        <f>+F4/B4</f>
        <v>3.394827671743552E-2</v>
      </c>
      <c r="H4" s="3">
        <v>42</v>
      </c>
      <c r="I4" s="3">
        <f>+H4*$C$1</f>
        <v>0.42</v>
      </c>
      <c r="J4" s="16"/>
      <c r="K4" s="16">
        <f>+'Elasticity from change reg'!G32</f>
        <v>9.9394133303131547E-3</v>
      </c>
      <c r="L4" s="16"/>
      <c r="M4" s="16">
        <f>+'Elasticity from change reg'!I32</f>
        <v>1.1770357891160316E-2</v>
      </c>
      <c r="N4" s="32"/>
      <c r="O4" s="35"/>
      <c r="P4" s="36">
        <f t="shared" ref="P4:P35" si="0">+K4*$C$1*E4</f>
        <v>1823353.1419165905</v>
      </c>
      <c r="Q4" s="35">
        <f t="shared" ref="Q4:Q35" si="1">P4/E4</f>
        <v>9.9394133303131545E-5</v>
      </c>
      <c r="R4" s="36"/>
      <c r="S4" s="33"/>
      <c r="T4" s="36">
        <f>+M4*$C$1*G4*1000000*B4</f>
        <v>3382800.8579194746</v>
      </c>
      <c r="U4" s="33">
        <f>+T4/F4/1000000</f>
        <v>1.1770357891160317E-4</v>
      </c>
      <c r="V4" s="13"/>
      <c r="W4" s="11"/>
      <c r="X4" s="11">
        <f>+'Elasticity from change reg'!O32</f>
        <v>7.7901309411914609E-3</v>
      </c>
      <c r="Y4" s="11"/>
      <c r="Z4" s="11">
        <f>+'Elasticity from change reg'!Q32</f>
        <v>9.2251550619372562E-3</v>
      </c>
      <c r="AA4" s="32"/>
      <c r="AB4" s="33"/>
      <c r="AC4" s="40">
        <f>+E4*$C$1*X4</f>
        <v>1429074.2577575829</v>
      </c>
      <c r="AD4" s="33">
        <f>AC4/E4</f>
        <v>7.7901309411914613E-5</v>
      </c>
      <c r="AE4" s="40"/>
      <c r="AF4" s="41"/>
      <c r="AG4" s="40">
        <f>+Z4*G4*B4*$C$1*1000000</f>
        <v>2651309.5648007672</v>
      </c>
      <c r="AH4" s="41">
        <f>+AG4/F4/1000000</f>
        <v>9.2251550619372547E-5</v>
      </c>
      <c r="AJ4" s="11">
        <f>+'Track mile pop elasticities'!H33</f>
        <v>0.19599002287832915</v>
      </c>
      <c r="AK4" s="11">
        <f>+'Track mile pop elasticities'!I33</f>
        <v>0.35264396118866997</v>
      </c>
      <c r="AL4" s="11">
        <f>+'Track mile pop elasticities'!J33</f>
        <v>0.28465217608519228</v>
      </c>
      <c r="AM4" s="11">
        <f>+'Track mile pop elasticities'!K33</f>
        <v>0.64890589369891882</v>
      </c>
      <c r="AN4" s="32">
        <f>E4*$C$1*AJ4</f>
        <v>35953734.101150095</v>
      </c>
      <c r="AO4" s="33">
        <f>AN4/E4</f>
        <v>1.9599002287832915E-3</v>
      </c>
      <c r="AP4" s="40">
        <f>+E4*$C$1*AK4</f>
        <v>64691391.055272192</v>
      </c>
      <c r="AQ4" s="33">
        <f>AP4/E4</f>
        <v>3.5264396118866999E-3</v>
      </c>
      <c r="AR4" s="40">
        <f>+AL4*$C$1*G4*B4*1000000</f>
        <v>81809035.406884268</v>
      </c>
      <c r="AS4" s="41">
        <f>+AR4/F4/1000000</f>
        <v>2.846521760851923E-3</v>
      </c>
      <c r="AT4" s="40">
        <f>+AM4*G4*B4*$C$1*1000000</f>
        <v>186495553.84906927</v>
      </c>
      <c r="AU4" s="41">
        <f>+AT4/F4/1000000</f>
        <v>6.4890589369891874E-3</v>
      </c>
      <c r="AW4" s="11">
        <f>+'Track mile pop elasticities'!P33</f>
        <v>0.18330581364005763</v>
      </c>
      <c r="AX4" s="11">
        <f>+'Track mile pop elasticities'!Q33</f>
        <v>0.28078251092487638</v>
      </c>
      <c r="AY4" s="11">
        <f>+'Track mile pop elasticities'!R33</f>
        <v>0.26622987219151223</v>
      </c>
      <c r="AZ4" s="11">
        <f>+'Track mile pop elasticities'!S33</f>
        <v>0.51667246923094989</v>
      </c>
      <c r="BA4" s="32">
        <f>E4*$C$1*AW4</f>
        <v>33626857.051294968</v>
      </c>
      <c r="BB4" s="33">
        <f>BA4/E4</f>
        <v>1.8330581364005764E-3</v>
      </c>
      <c r="BC4" s="40">
        <f>+E4*$C$1*AX4</f>
        <v>51508641.051148698</v>
      </c>
      <c r="BD4" s="33">
        <f>BC4/E4</f>
        <v>2.807825109248764E-3</v>
      </c>
      <c r="BE4" s="40">
        <f>+AY4*$C$1*G4*B4*1000000</f>
        <v>76514465.267840609</v>
      </c>
      <c r="BF4" s="41">
        <f>+BE4/F4/1000000</f>
        <v>2.6622987219151223E-3</v>
      </c>
      <c r="BG4" s="40">
        <f>+AZ4*G4*B4*$C$1*1000000</f>
        <v>148491667.65697497</v>
      </c>
      <c r="BH4" s="41">
        <f>+BG4/F4/1000000</f>
        <v>5.1667246923094981E-3</v>
      </c>
    </row>
    <row r="5" spans="1:60">
      <c r="A5" s="3" t="s">
        <v>280</v>
      </c>
      <c r="B5" s="3">
        <v>5385586</v>
      </c>
      <c r="C5" s="3">
        <v>3235326</v>
      </c>
      <c r="D5" s="34">
        <v>44729.85</v>
      </c>
      <c r="E5" s="32">
        <f t="shared" ref="E5:E35" si="2">C5*D5</f>
        <v>144715646681.10001</v>
      </c>
      <c r="F5" s="32">
        <v>244325</v>
      </c>
      <c r="G5" s="37">
        <f t="shared" ref="G5:G35" si="3">+F5/B5</f>
        <v>4.5366465227739378E-2</v>
      </c>
      <c r="H5" s="3">
        <v>49.5</v>
      </c>
      <c r="I5" s="3">
        <f t="shared" ref="I5:I35" si="4">+H5*$C$1</f>
        <v>0.495</v>
      </c>
      <c r="J5" s="16"/>
      <c r="K5" s="16">
        <f>+'Elasticity from change reg'!G33</f>
        <v>9.609097760688785E-3</v>
      </c>
      <c r="L5" s="16"/>
      <c r="M5" s="16">
        <f>+'Elasticity from change reg'!I33</f>
        <v>1.137919471660514E-2</v>
      </c>
      <c r="N5" s="32"/>
      <c r="O5" s="35"/>
      <c r="P5" s="36">
        <f t="shared" si="0"/>
        <v>13905867.964599876</v>
      </c>
      <c r="Q5" s="35">
        <f t="shared" si="1"/>
        <v>9.6090977606887854E-5</v>
      </c>
      <c r="R5" s="36"/>
      <c r="S5" s="33"/>
      <c r="T5" s="36">
        <f t="shared" ref="T5:T35" si="5">+M5*$C$1*G5*1000000*B5</f>
        <v>27802217.49134551</v>
      </c>
      <c r="U5" s="33">
        <f t="shared" ref="U5:U35" si="6">+T5/F5/1000000</f>
        <v>1.137919471660514E-4</v>
      </c>
      <c r="V5" s="13"/>
      <c r="W5" s="11"/>
      <c r="X5" s="11">
        <f>+'Elasticity from change reg'!O33</f>
        <v>8.3505279825992658E-3</v>
      </c>
      <c r="Y5" s="11"/>
      <c r="Z5" s="11">
        <f>+'Elasticity from change reg'!Q33</f>
        <v>9.888783137288604E-3</v>
      </c>
      <c r="AA5" s="32"/>
      <c r="AB5" s="33"/>
      <c r="AC5" s="40">
        <f t="shared" ref="AC5:AC35" si="7">+E5*$C$1*X5</f>
        <v>12084520.571304742</v>
      </c>
      <c r="AD5" s="33">
        <f t="shared" ref="AD5:AD35" si="8">AC5/E5</f>
        <v>8.3505279825992667E-5</v>
      </c>
      <c r="AE5" s="40"/>
      <c r="AF5" s="41"/>
      <c r="AG5" s="40">
        <f t="shared" ref="AG5:AG35" si="9">+Z5*G5*B5*$C$1*1000000</f>
        <v>24160769.400180381</v>
      </c>
      <c r="AH5" s="41">
        <f t="shared" ref="AH5:AH35" si="10">+AG5/F5/1000000</f>
        <v>9.8887831372886038E-5</v>
      </c>
      <c r="AJ5" s="11">
        <f>+'Track mile pop elasticities'!H34</f>
        <v>5.7077113519174473E-3</v>
      </c>
      <c r="AK5" s="11">
        <f>+'Track mile pop elasticities'!I34</f>
        <v>1.0269859204574155E-2</v>
      </c>
      <c r="AL5" s="11">
        <f>+'Track mile pop elasticities'!J34</f>
        <v>8.2897712492134342E-3</v>
      </c>
      <c r="AM5" s="11">
        <f>+'Track mile pop elasticities'!K34</f>
        <v>1.8897735106091395E-2</v>
      </c>
      <c r="AN5" s="32">
        <f t="shared" ref="AN5:AN35" si="11">E5*$C$1*AJ5</f>
        <v>8259951.3936178898</v>
      </c>
      <c r="AO5" s="33">
        <f t="shared" ref="AO5:AO35" si="12">AN5/E5</f>
        <v>5.7077113519174478E-5</v>
      </c>
      <c r="AP5" s="40">
        <f t="shared" ref="AP5:AP35" si="13">+E5*$C$1*AK5</f>
        <v>14862093.161137963</v>
      </c>
      <c r="AQ5" s="33">
        <f t="shared" ref="AQ5:AQ35" si="14">AP5/E5</f>
        <v>1.0269859204574156E-4</v>
      </c>
      <c r="AR5" s="40">
        <f t="shared" ref="AR5:AR35" si="15">+AL5*$C$1*G5*B5*1000000</f>
        <v>20253983.604640726</v>
      </c>
      <c r="AS5" s="41">
        <f t="shared" ref="AS5:AS35" si="16">+AR5/F5/1000000</f>
        <v>8.2897712492134359E-5</v>
      </c>
      <c r="AT5" s="40">
        <f t="shared" ref="AT5:AT35" si="17">+AM5*G5*B5*$C$1*1000000</f>
        <v>46171891.2979578</v>
      </c>
      <c r="AU5" s="41">
        <f t="shared" ref="AU5:AU35" si="18">+AT5/F5/1000000</f>
        <v>1.8897735106091396E-4</v>
      </c>
      <c r="AW5" s="11">
        <f>+'Track mile pop elasticities'!P34</f>
        <v>4.4952507939357384E-3</v>
      </c>
      <c r="AX5" s="11">
        <f>+'Track mile pop elasticities'!Q34</f>
        <v>6.8856943492080075E-3</v>
      </c>
      <c r="AY5" s="11">
        <f>+'Track mile pop elasticities'!R34</f>
        <v>6.5288166292876201E-3</v>
      </c>
      <c r="AZ5" s="11">
        <f>+'Track mile pop elasticities'!S34</f>
        <v>1.2670478264676361E-2</v>
      </c>
      <c r="BA5" s="32">
        <f t="shared" ref="BA5:BA35" si="19">E5*$C$1*AW5</f>
        <v>6505331.256381386</v>
      </c>
      <c r="BB5" s="33">
        <f t="shared" ref="BB5:BB35" si="20">BA5/E5</f>
        <v>4.4952507939357383E-5</v>
      </c>
      <c r="BC5" s="40">
        <f t="shared" ref="BC5:BC35" si="21">+E5*$C$1*AX5</f>
        <v>9964677.1059403289</v>
      </c>
      <c r="BD5" s="33">
        <f t="shared" ref="BD5:BD35" si="22">BC5/E5</f>
        <v>6.8856943492080083E-5</v>
      </c>
      <c r="BE5" s="40">
        <f t="shared" ref="BE5:BE35" si="23">+AY5*$C$1*G5*B5*1000000</f>
        <v>15951531.229506977</v>
      </c>
      <c r="BF5" s="41">
        <f t="shared" ref="BF5:BF35" si="24">+BE5/F5/1000000</f>
        <v>6.52881662928762E-5</v>
      </c>
      <c r="BG5" s="40">
        <f t="shared" ref="BG5:BG35" si="25">+AZ5*G5*B5*$C$1*1000000</f>
        <v>30957146.020170517</v>
      </c>
      <c r="BH5" s="41">
        <f t="shared" ref="BH5:BH35" si="26">+BG5/F5/1000000</f>
        <v>1.2670478264676361E-4</v>
      </c>
    </row>
    <row r="6" spans="1:60">
      <c r="A6" s="3" t="s">
        <v>282</v>
      </c>
      <c r="B6" s="3">
        <v>2677712</v>
      </c>
      <c r="C6" s="3">
        <v>1711130</v>
      </c>
      <c r="D6" s="34">
        <v>44573.68</v>
      </c>
      <c r="E6" s="32">
        <f t="shared" si="2"/>
        <v>76271361058.399994</v>
      </c>
      <c r="F6" s="32">
        <v>108896</v>
      </c>
      <c r="G6" s="37">
        <f t="shared" si="3"/>
        <v>4.0667554987242838E-2</v>
      </c>
      <c r="H6" s="3">
        <v>107</v>
      </c>
      <c r="I6" s="3">
        <f t="shared" si="4"/>
        <v>1.07</v>
      </c>
      <c r="J6" s="16"/>
      <c r="K6" s="16">
        <f>+'Elasticity from change reg'!G34</f>
        <v>1.4477207417238128E-2</v>
      </c>
      <c r="L6" s="16"/>
      <c r="M6" s="16">
        <f>+'Elasticity from change reg'!I34</f>
        <v>1.7144061415150416E-2</v>
      </c>
      <c r="N6" s="32"/>
      <c r="O6" s="35"/>
      <c r="P6" s="36">
        <f t="shared" si="0"/>
        <v>11041963.140375158</v>
      </c>
      <c r="Q6" s="35">
        <f t="shared" si="1"/>
        <v>1.4477207417238128E-4</v>
      </c>
      <c r="R6" s="36"/>
      <c r="S6" s="33"/>
      <c r="T6" s="36">
        <f t="shared" si="5"/>
        <v>18669197.118642196</v>
      </c>
      <c r="U6" s="33">
        <f t="shared" si="6"/>
        <v>1.7144061415150415E-4</v>
      </c>
      <c r="V6" s="13"/>
      <c r="W6" s="11"/>
      <c r="X6" s="11">
        <f>+'Elasticity from change reg'!O34</f>
        <v>4.0392019935064499E-2</v>
      </c>
      <c r="Y6" s="11"/>
      <c r="Z6" s="11">
        <f>+'Elasticity from change reg'!Q34</f>
        <v>4.7832655186260592E-2</v>
      </c>
      <c r="AA6" s="32"/>
      <c r="AB6" s="33"/>
      <c r="AC6" s="40">
        <f t="shared" si="7"/>
        <v>30807543.363453951</v>
      </c>
      <c r="AD6" s="33">
        <f t="shared" si="8"/>
        <v>4.0392019935064504E-4</v>
      </c>
      <c r="AE6" s="40"/>
      <c r="AF6" s="41"/>
      <c r="AG6" s="40">
        <f t="shared" si="9"/>
        <v>52087848.191630334</v>
      </c>
      <c r="AH6" s="41">
        <f t="shared" si="10"/>
        <v>4.7832655186260591E-4</v>
      </c>
      <c r="AJ6" s="11">
        <f>+'Track mile pop elasticities'!H35</f>
        <v>4.9908990060768051E-2</v>
      </c>
      <c r="AK6" s="11">
        <f>+'Track mile pop elasticities'!I35</f>
        <v>8.9801019947231567E-2</v>
      </c>
      <c r="AL6" s="11">
        <f>+'Track mile pop elasticities'!J35</f>
        <v>7.2486866516829784E-2</v>
      </c>
      <c r="AM6" s="11">
        <f>+'Track mile pop elasticities'!K35</f>
        <v>0.1652443186819697</v>
      </c>
      <c r="AN6" s="32">
        <f t="shared" si="11"/>
        <v>38066266.00984937</v>
      </c>
      <c r="AO6" s="33">
        <f t="shared" si="12"/>
        <v>4.9908990060768053E-4</v>
      </c>
      <c r="AP6" s="40">
        <f t="shared" si="13"/>
        <v>68492460.15807879</v>
      </c>
      <c r="AQ6" s="33">
        <f t="shared" si="14"/>
        <v>8.980101994723157E-4</v>
      </c>
      <c r="AR6" s="40">
        <f t="shared" si="15"/>
        <v>78935298.162166953</v>
      </c>
      <c r="AS6" s="41">
        <f t="shared" si="16"/>
        <v>7.2486866516829776E-4</v>
      </c>
      <c r="AT6" s="40">
        <f t="shared" si="17"/>
        <v>179944453.2719177</v>
      </c>
      <c r="AU6" s="41">
        <f t="shared" si="18"/>
        <v>1.6524431868196968E-3</v>
      </c>
      <c r="AW6" s="11">
        <f>+'Track mile pop elasticities'!P35</f>
        <v>4.8368493380974834E-2</v>
      </c>
      <c r="AX6" s="11">
        <f>+'Track mile pop elasticities'!Q35</f>
        <v>7.4089450582463842E-2</v>
      </c>
      <c r="AY6" s="11">
        <f>+'Track mile pop elasticities'!R35</f>
        <v>7.0249478481892016E-2</v>
      </c>
      <c r="AZ6" s="11">
        <f>+'Track mile pop elasticities'!S35</f>
        <v>0.13633320412412678</v>
      </c>
      <c r="BA6" s="32">
        <f t="shared" si="19"/>
        <v>36891308.225111619</v>
      </c>
      <c r="BB6" s="33">
        <f t="shared" si="20"/>
        <v>4.8368493380974834E-4</v>
      </c>
      <c r="BC6" s="40">
        <f t="shared" si="21"/>
        <v>56509032.359935835</v>
      </c>
      <c r="BD6" s="33">
        <f t="shared" si="22"/>
        <v>7.4089450582463844E-4</v>
      </c>
      <c r="BE6" s="40">
        <f t="shared" si="23"/>
        <v>76498872.08764112</v>
      </c>
      <c r="BF6" s="41">
        <f t="shared" si="24"/>
        <v>7.0249478481892004E-4</v>
      </c>
      <c r="BG6" s="40">
        <f t="shared" si="25"/>
        <v>148461405.96300906</v>
      </c>
      <c r="BH6" s="41">
        <f t="shared" si="26"/>
        <v>1.3633320412412674E-3</v>
      </c>
    </row>
    <row r="7" spans="1:60">
      <c r="A7" s="3" t="s">
        <v>284</v>
      </c>
      <c r="B7" s="3">
        <v>1124055</v>
      </c>
      <c r="C7" s="3">
        <v>658725</v>
      </c>
      <c r="D7" s="34">
        <v>35849.879999999997</v>
      </c>
      <c r="E7" s="32">
        <f t="shared" si="2"/>
        <v>23615212203</v>
      </c>
      <c r="F7" s="32">
        <v>37554</v>
      </c>
      <c r="G7" s="37">
        <f t="shared" si="3"/>
        <v>3.340939722700402E-2</v>
      </c>
      <c r="H7" s="3">
        <v>6.4</v>
      </c>
      <c r="I7" s="3">
        <f t="shared" si="4"/>
        <v>6.4000000000000001E-2</v>
      </c>
      <c r="J7" s="16"/>
      <c r="K7" s="16">
        <f>+'Elasticity from change reg'!G35</f>
        <v>1.4849803938805774E-3</v>
      </c>
      <c r="L7" s="16"/>
      <c r="M7" s="16">
        <f>+'Elasticity from change reg'!I35</f>
        <v>1.758529413805947E-3</v>
      </c>
      <c r="N7" s="32"/>
      <c r="O7" s="35"/>
      <c r="P7" s="36">
        <f t="shared" si="0"/>
        <v>350681.27118784358</v>
      </c>
      <c r="Q7" s="35">
        <f t="shared" si="1"/>
        <v>1.4849803938805773E-5</v>
      </c>
      <c r="R7" s="36"/>
      <c r="S7" s="33"/>
      <c r="T7" s="36">
        <f t="shared" si="5"/>
        <v>660398.13606068539</v>
      </c>
      <c r="U7" s="33">
        <f t="shared" si="6"/>
        <v>1.7585294138059472E-5</v>
      </c>
      <c r="V7" s="13"/>
      <c r="W7" s="11"/>
      <c r="X7" s="11">
        <f>+'Elasticity from change reg'!O35</f>
        <v>6.897605399990285E-3</v>
      </c>
      <c r="Y7" s="11"/>
      <c r="Z7" s="11">
        <f>+'Elasticity from change reg'!Q35</f>
        <v>8.1682169210411278E-3</v>
      </c>
      <c r="AA7" s="32"/>
      <c r="AB7" s="33"/>
      <c r="AC7" s="40">
        <f t="shared" si="7"/>
        <v>1628884.1521332928</v>
      </c>
      <c r="AD7" s="33">
        <f t="shared" si="8"/>
        <v>6.8976053999902855E-5</v>
      </c>
      <c r="AE7" s="40"/>
      <c r="AF7" s="41"/>
      <c r="AG7" s="40">
        <f t="shared" si="9"/>
        <v>3067492.1825277857</v>
      </c>
      <c r="AH7" s="41">
        <f t="shared" si="10"/>
        <v>8.1682169210411289E-5</v>
      </c>
      <c r="AJ7" s="11">
        <f>+'Track mile pop elasticities'!H36</f>
        <v>1.6940553041039908E-2</v>
      </c>
      <c r="AK7" s="11">
        <f>+'Track mile pop elasticities'!I36</f>
        <v>3.0481060420242616E-2</v>
      </c>
      <c r="AL7" s="11">
        <f>+'Track mile pop elasticities'!J36</f>
        <v>2.4604136559605579E-2</v>
      </c>
      <c r="AM7" s="11">
        <f>+'Track mile pop elasticities'!K36</f>
        <v>5.6088695482597602E-2</v>
      </c>
      <c r="AN7" s="32">
        <f t="shared" si="11"/>
        <v>4000547.549003344</v>
      </c>
      <c r="AO7" s="33">
        <f t="shared" si="12"/>
        <v>1.6940553041039908E-4</v>
      </c>
      <c r="AP7" s="40">
        <f t="shared" si="13"/>
        <v>7198167.0999649372</v>
      </c>
      <c r="AQ7" s="33">
        <f t="shared" si="14"/>
        <v>3.0481060420242613E-4</v>
      </c>
      <c r="AR7" s="40">
        <f t="shared" si="15"/>
        <v>9239837.4435942788</v>
      </c>
      <c r="AS7" s="41">
        <f t="shared" si="16"/>
        <v>2.4604136559605577E-4</v>
      </c>
      <c r="AT7" s="40">
        <f t="shared" si="17"/>
        <v>21063548.701534707</v>
      </c>
      <c r="AU7" s="41">
        <f t="shared" si="18"/>
        <v>5.6088695482597612E-4</v>
      </c>
      <c r="AW7" s="11">
        <f>+'Track mile pop elasticities'!P36</f>
        <v>1.4940292765489411E-2</v>
      </c>
      <c r="AX7" s="11">
        <f>+'Track mile pop elasticities'!Q36</f>
        <v>2.288510567855857E-2</v>
      </c>
      <c r="AY7" s="11">
        <f>+'Track mile pop elasticities'!R36</f>
        <v>2.1698996635591761E-2</v>
      </c>
      <c r="AZ7" s="11">
        <f>+'Track mile pop elasticities'!S36</f>
        <v>4.2111255507347602E-2</v>
      </c>
      <c r="BA7" s="32">
        <f t="shared" si="19"/>
        <v>3528181.8403197816</v>
      </c>
      <c r="BB7" s="33">
        <f t="shared" si="20"/>
        <v>1.4940292765489412E-4</v>
      </c>
      <c r="BC7" s="40">
        <f t="shared" si="21"/>
        <v>5404366.2688724091</v>
      </c>
      <c r="BD7" s="33">
        <f t="shared" si="22"/>
        <v>2.288510567855857E-4</v>
      </c>
      <c r="BE7" s="40">
        <f t="shared" si="23"/>
        <v>8148841.1965301316</v>
      </c>
      <c r="BF7" s="41">
        <f t="shared" si="24"/>
        <v>2.1698996635591766E-4</v>
      </c>
      <c r="BG7" s="40">
        <f t="shared" si="25"/>
        <v>15814460.893229321</v>
      </c>
      <c r="BH7" s="41">
        <f t="shared" si="26"/>
        <v>4.2111255507347608E-4</v>
      </c>
    </row>
    <row r="8" spans="1:60">
      <c r="A8" s="3" t="s">
        <v>285</v>
      </c>
      <c r="B8" s="3">
        <v>1706469</v>
      </c>
      <c r="C8" s="3">
        <v>1111511</v>
      </c>
      <c r="D8" s="34">
        <v>44341.88</v>
      </c>
      <c r="E8" s="32">
        <f t="shared" si="2"/>
        <v>49286487380.68</v>
      </c>
      <c r="F8" s="32">
        <v>110738</v>
      </c>
      <c r="G8" s="37">
        <f t="shared" si="3"/>
        <v>6.4893062809813717E-2</v>
      </c>
      <c r="H8" s="3">
        <v>9.6</v>
      </c>
      <c r="I8" s="3">
        <f t="shared" si="4"/>
        <v>9.6000000000000002E-2</v>
      </c>
      <c r="J8" s="16"/>
      <c r="K8" s="16">
        <f>+'Elasticity from change reg'!G36</f>
        <v>6.9379538459853462E-3</v>
      </c>
      <c r="L8" s="16"/>
      <c r="M8" s="16">
        <f>+'Elasticity from change reg'!I36</f>
        <v>8.2159979755089627E-3</v>
      </c>
      <c r="N8" s="32"/>
      <c r="O8" s="35"/>
      <c r="P8" s="36">
        <f t="shared" si="0"/>
        <v>3419473.7467789706</v>
      </c>
      <c r="Q8" s="35">
        <f t="shared" si="1"/>
        <v>6.9379538459853461E-5</v>
      </c>
      <c r="R8" s="36"/>
      <c r="S8" s="33"/>
      <c r="T8" s="36">
        <f t="shared" si="5"/>
        <v>9098231.8381191157</v>
      </c>
      <c r="U8" s="33">
        <f t="shared" si="6"/>
        <v>8.2159979755089637E-5</v>
      </c>
      <c r="V8" s="13"/>
      <c r="W8" s="11"/>
      <c r="X8" s="11">
        <f>+'Elasticity from change reg'!O36</f>
        <v>1.6300645731794138E-2</v>
      </c>
      <c r="Y8" s="11"/>
      <c r="Z8" s="11">
        <f>+'Elasticity from change reg'!Q36</f>
        <v>1.9303396261335162E-2</v>
      </c>
      <c r="AA8" s="32"/>
      <c r="AB8" s="33"/>
      <c r="AC8" s="40">
        <f t="shared" si="7"/>
        <v>8034015.7015700713</v>
      </c>
      <c r="AD8" s="33">
        <f t="shared" si="8"/>
        <v>1.630064573179414E-4</v>
      </c>
      <c r="AE8" s="40"/>
      <c r="AF8" s="41"/>
      <c r="AG8" s="40">
        <f t="shared" si="9"/>
        <v>21376194.951877333</v>
      </c>
      <c r="AH8" s="41">
        <f t="shared" si="10"/>
        <v>1.9303396261335164E-4</v>
      </c>
      <c r="AJ8" s="11">
        <f>+'Track mile pop elasticities'!H37</f>
        <v>1.1025471230787972E-2</v>
      </c>
      <c r="AK8" s="11">
        <f>+'Track mile pop elasticities'!I37</f>
        <v>1.9838080488467049E-2</v>
      </c>
      <c r="AL8" s="11">
        <f>+'Track mile pop elasticities'!J37</f>
        <v>1.6013184406620626E-2</v>
      </c>
      <c r="AM8" s="11">
        <f>+'Track mile pop elasticities'!K37</f>
        <v>3.6504374852324536E-2</v>
      </c>
      <c r="AN8" s="32">
        <f t="shared" si="11"/>
        <v>5434067.4868228175</v>
      </c>
      <c r="AO8" s="33">
        <f t="shared" si="12"/>
        <v>1.1025471230787972E-4</v>
      </c>
      <c r="AP8" s="40">
        <f t="shared" si="13"/>
        <v>9777493.0365174543</v>
      </c>
      <c r="AQ8" s="33">
        <f t="shared" si="14"/>
        <v>1.983808048846705E-4</v>
      </c>
      <c r="AR8" s="40">
        <f t="shared" si="15"/>
        <v>17732680.148203548</v>
      </c>
      <c r="AS8" s="41">
        <f t="shared" si="16"/>
        <v>1.6013184406620624E-4</v>
      </c>
      <c r="AT8" s="40">
        <f t="shared" si="17"/>
        <v>40424214.623967141</v>
      </c>
      <c r="AU8" s="41">
        <f t="shared" si="18"/>
        <v>3.6504374852324529E-4</v>
      </c>
      <c r="AW8" s="11">
        <f>+'Track mile pop elasticities'!P37</f>
        <v>8.3240569564725399E-3</v>
      </c>
      <c r="AX8" s="11">
        <f>+'Track mile pop elasticities'!Q37</f>
        <v>1.2750548206340619E-2</v>
      </c>
      <c r="AY8" s="11">
        <f>+'Track mile pop elasticities'!R37</f>
        <v>1.2089701770114879E-2</v>
      </c>
      <c r="AZ8" s="11">
        <f>+'Track mile pop elasticities'!S37</f>
        <v>2.3462491321551194E-2</v>
      </c>
      <c r="BA8" s="32">
        <f t="shared" si="19"/>
        <v>4102635.2814124543</v>
      </c>
      <c r="BB8" s="33">
        <f t="shared" si="20"/>
        <v>8.3240569564725403E-5</v>
      </c>
      <c r="BC8" s="40">
        <f t="shared" si="21"/>
        <v>6284297.3326855889</v>
      </c>
      <c r="BD8" s="33">
        <f t="shared" si="22"/>
        <v>1.2750548206340618E-4</v>
      </c>
      <c r="BE8" s="40">
        <f t="shared" si="23"/>
        <v>13387893.946189817</v>
      </c>
      <c r="BF8" s="41">
        <f t="shared" si="24"/>
        <v>1.2089701770114881E-4</v>
      </c>
      <c r="BG8" s="40">
        <f t="shared" si="25"/>
        <v>25981893.639659364</v>
      </c>
      <c r="BH8" s="41">
        <f t="shared" si="26"/>
        <v>2.3462491321551195E-4</v>
      </c>
    </row>
    <row r="9" spans="1:60">
      <c r="A9" s="3" t="s">
        <v>287</v>
      </c>
      <c r="B9" s="3">
        <v>9515636</v>
      </c>
      <c r="C9" s="3">
        <v>5777274</v>
      </c>
      <c r="D9" s="34">
        <v>49692.34</v>
      </c>
      <c r="E9" s="32">
        <f t="shared" si="2"/>
        <v>287086263881.15997</v>
      </c>
      <c r="F9" s="32">
        <v>476895</v>
      </c>
      <c r="G9" s="37">
        <f t="shared" si="3"/>
        <v>5.0116986400068265E-2</v>
      </c>
      <c r="H9" s="3">
        <v>691.3</v>
      </c>
      <c r="I9" s="3">
        <f t="shared" si="4"/>
        <v>6.9129999999999994</v>
      </c>
      <c r="J9" s="16"/>
      <c r="K9" s="16">
        <f>+'Elasticity from change reg'!G37</f>
        <v>0.10221945210084034</v>
      </c>
      <c r="L9" s="16"/>
      <c r="M9" s="16">
        <f>+'Elasticity from change reg'!I37</f>
        <v>0.12104935117204776</v>
      </c>
      <c r="N9" s="32"/>
      <c r="O9" s="35"/>
      <c r="P9" s="36">
        <f t="shared" si="0"/>
        <v>293458005.99609441</v>
      </c>
      <c r="Q9" s="35">
        <f t="shared" si="1"/>
        <v>1.0221945210084034E-3</v>
      </c>
      <c r="R9" s="36"/>
      <c r="S9" s="33"/>
      <c r="T9" s="36">
        <f t="shared" si="5"/>
        <v>577278303.27193713</v>
      </c>
      <c r="U9" s="33">
        <f t="shared" si="6"/>
        <v>1.2104935117204774E-3</v>
      </c>
      <c r="V9" s="13"/>
      <c r="W9" s="11"/>
      <c r="X9" s="11">
        <f>+'Elasticity from change reg'!O37</f>
        <v>0.10317402361680672</v>
      </c>
      <c r="Y9" s="11"/>
      <c r="Z9" s="11">
        <f>+'Elasticity from change reg'!Q37</f>
        <v>0.12217976480937638</v>
      </c>
      <c r="AA9" s="32"/>
      <c r="AB9" s="33"/>
      <c r="AC9" s="40">
        <f t="shared" si="7"/>
        <v>296198449.69735605</v>
      </c>
      <c r="AD9" s="33">
        <f t="shared" si="8"/>
        <v>1.0317402361680673E-3</v>
      </c>
      <c r="AE9" s="40"/>
      <c r="AF9" s="41"/>
      <c r="AG9" s="40">
        <f t="shared" si="9"/>
        <v>582669189.38767552</v>
      </c>
      <c r="AH9" s="41">
        <f t="shared" si="10"/>
        <v>1.2217976480937639E-3</v>
      </c>
      <c r="AJ9" s="11">
        <f>+'Track mile pop elasticities'!H38</f>
        <v>2.5533693991158166E-2</v>
      </c>
      <c r="AK9" s="11">
        <f>+'Track mile pop elasticities'!I38</f>
        <v>4.5942660042502463E-2</v>
      </c>
      <c r="AL9" s="11">
        <f>+'Track mile pop elasticities'!J38</f>
        <v>3.7084650796682092E-2</v>
      </c>
      <c r="AM9" s="11">
        <f>+'Track mile pop elasticities'!K38</f>
        <v>8.4539836647976915E-2</v>
      </c>
      <c r="AN9" s="32">
        <f t="shared" si="11"/>
        <v>73303728.110064223</v>
      </c>
      <c r="AO9" s="33">
        <f t="shared" si="12"/>
        <v>2.5533693991158167E-4</v>
      </c>
      <c r="AP9" s="40">
        <f t="shared" si="13"/>
        <v>131895066.24364287</v>
      </c>
      <c r="AQ9" s="33">
        <f t="shared" si="14"/>
        <v>4.5942660042502462E-4</v>
      </c>
      <c r="AR9" s="40">
        <f t="shared" si="15"/>
        <v>176854845.41683707</v>
      </c>
      <c r="AS9" s="41">
        <f t="shared" si="16"/>
        <v>3.7084650796682093E-4</v>
      </c>
      <c r="AT9" s="40">
        <f t="shared" si="17"/>
        <v>403166253.98236954</v>
      </c>
      <c r="AU9" s="41">
        <f t="shared" si="18"/>
        <v>8.453983664797693E-4</v>
      </c>
      <c r="AW9" s="11">
        <f>+'Track mile pop elasticities'!P38</f>
        <v>3.1431201615405663E-2</v>
      </c>
      <c r="AX9" s="11">
        <f>+'Track mile pop elasticities'!Q38</f>
        <v>4.8145399950539493E-2</v>
      </c>
      <c r="AY9" s="11">
        <f>+'Track mile pop elasticities'!R38</f>
        <v>4.5650078536660595E-2</v>
      </c>
      <c r="AZ9" s="11">
        <f>+'Track mile pop elasticities'!S38</f>
        <v>8.8593134211312485E-2</v>
      </c>
      <c r="BA9" s="32">
        <f t="shared" si="19"/>
        <v>90234662.410622925</v>
      </c>
      <c r="BB9" s="33">
        <f t="shared" si="20"/>
        <v>3.1431201615405663E-4</v>
      </c>
      <c r="BC9" s="40">
        <f t="shared" si="21"/>
        <v>138218829.94864568</v>
      </c>
      <c r="BD9" s="33">
        <f t="shared" si="22"/>
        <v>4.8145399950539497E-4</v>
      </c>
      <c r="BE9" s="40">
        <f t="shared" si="23"/>
        <v>217702942.03740752</v>
      </c>
      <c r="BF9" s="41">
        <f t="shared" si="24"/>
        <v>4.5650078536660588E-4</v>
      </c>
      <c r="BG9" s="40">
        <f t="shared" si="25"/>
        <v>422496227.3970387</v>
      </c>
      <c r="BH9" s="41">
        <f t="shared" si="26"/>
        <v>8.859313421131249E-4</v>
      </c>
    </row>
    <row r="10" spans="1:60">
      <c r="A10" s="3" t="s">
        <v>289</v>
      </c>
      <c r="B10" s="3">
        <v>2094051</v>
      </c>
      <c r="C10" s="3">
        <v>1316713</v>
      </c>
      <c r="D10" s="34">
        <v>41348.39</v>
      </c>
      <c r="E10" s="32">
        <f t="shared" si="2"/>
        <v>54443962642.07</v>
      </c>
      <c r="F10" s="32">
        <v>93805</v>
      </c>
      <c r="G10" s="37">
        <f t="shared" si="3"/>
        <v>4.4795948140709085E-2</v>
      </c>
      <c r="H10" s="3">
        <v>34.5</v>
      </c>
      <c r="I10" s="3">
        <f t="shared" si="4"/>
        <v>0.34500000000000003</v>
      </c>
      <c r="J10" s="16"/>
      <c r="K10" s="16">
        <f>+'Elasticity from change reg'!G38</f>
        <v>7.2524575856618111E-3</v>
      </c>
      <c r="L10" s="16"/>
      <c r="M10" s="16">
        <f>+'Elasticity from change reg'!I38</f>
        <v>8.5884366145995133E-3</v>
      </c>
      <c r="N10" s="32"/>
      <c r="O10" s="35"/>
      <c r="P10" s="36">
        <f t="shared" si="0"/>
        <v>3948525.2985696886</v>
      </c>
      <c r="Q10" s="35">
        <f t="shared" si="1"/>
        <v>7.2524575856618113E-5</v>
      </c>
      <c r="R10" s="36"/>
      <c r="S10" s="33"/>
      <c r="T10" s="36">
        <f t="shared" si="5"/>
        <v>8056382.9663250744</v>
      </c>
      <c r="U10" s="33">
        <f t="shared" si="6"/>
        <v>8.5884366145995149E-5</v>
      </c>
      <c r="V10" s="13"/>
      <c r="W10" s="11"/>
      <c r="X10" s="11">
        <f>+'Elasticity from change reg'!O38</f>
        <v>2.6338624946233048E-2</v>
      </c>
      <c r="Y10" s="11"/>
      <c r="Z10" s="11">
        <f>+'Elasticity from change reg'!Q38</f>
        <v>3.119047691001282E-2</v>
      </c>
      <c r="AA10" s="32"/>
      <c r="AB10" s="33"/>
      <c r="AC10" s="40">
        <f t="shared" si="7"/>
        <v>14339791.126162048</v>
      </c>
      <c r="AD10" s="33">
        <f t="shared" si="8"/>
        <v>2.6338624946233046E-4</v>
      </c>
      <c r="AE10" s="40"/>
      <c r="AF10" s="41"/>
      <c r="AG10" s="40">
        <f t="shared" si="9"/>
        <v>29258226.86543753</v>
      </c>
      <c r="AH10" s="41">
        <f t="shared" si="10"/>
        <v>3.1190476910012826E-4</v>
      </c>
      <c r="AJ10" s="11">
        <f>+'Track mile pop elasticities'!H39</f>
        <v>2.6312815446218482E-2</v>
      </c>
      <c r="AK10" s="11">
        <f>+'Track mile pop elasticities'!I39</f>
        <v>4.734452975058509E-2</v>
      </c>
      <c r="AL10" s="11">
        <f>+'Track mile pop elasticities'!J39</f>
        <v>3.8216231957603028E-2</v>
      </c>
      <c r="AM10" s="11">
        <f>+'Track mile pop elasticities'!K39</f>
        <v>8.711943991895453E-2</v>
      </c>
      <c r="AN10" s="32">
        <f t="shared" si="11"/>
        <v>14325739.411616014</v>
      </c>
      <c r="AO10" s="33">
        <f t="shared" si="12"/>
        <v>2.631281544621848E-4</v>
      </c>
      <c r="AP10" s="40">
        <f t="shared" si="13"/>
        <v>25776238.090472262</v>
      </c>
      <c r="AQ10" s="33">
        <f t="shared" si="14"/>
        <v>4.7344529750585086E-4</v>
      </c>
      <c r="AR10" s="40">
        <f t="shared" si="15"/>
        <v>35848736.38782952</v>
      </c>
      <c r="AS10" s="41">
        <f t="shared" si="16"/>
        <v>3.8216231957603026E-4</v>
      </c>
      <c r="AT10" s="40">
        <f t="shared" si="17"/>
        <v>81722390.615975305</v>
      </c>
      <c r="AU10" s="41">
        <f t="shared" si="18"/>
        <v>8.711943991895454E-4</v>
      </c>
      <c r="AW10" s="11">
        <f>+'Track mile pop elasticities'!P39</f>
        <v>2.3825751755881187E-2</v>
      </c>
      <c r="AX10" s="11">
        <f>+'Track mile pop elasticities'!Q39</f>
        <v>3.6495593183014992E-2</v>
      </c>
      <c r="AY10" s="11">
        <f>+'Track mile pop elasticities'!R39</f>
        <v>3.4604068026398864E-2</v>
      </c>
      <c r="AZ10" s="11">
        <f>+'Track mile pop elasticities'!S39</f>
        <v>6.7156135130373509E-2</v>
      </c>
      <c r="BA10" s="32">
        <f t="shared" si="19"/>
        <v>12971683.385164289</v>
      </c>
      <c r="BB10" s="33">
        <f t="shared" si="20"/>
        <v>2.3825751755881183E-4</v>
      </c>
      <c r="BC10" s="40">
        <f t="shared" si="21"/>
        <v>19869647.118562527</v>
      </c>
      <c r="BD10" s="33">
        <f t="shared" si="22"/>
        <v>3.6495593183014991E-4</v>
      </c>
      <c r="BE10" s="40">
        <f t="shared" si="23"/>
        <v>32460346.012163449</v>
      </c>
      <c r="BF10" s="41">
        <f t="shared" si="24"/>
        <v>3.4604068026398857E-4</v>
      </c>
      <c r="BG10" s="40">
        <f t="shared" si="25"/>
        <v>62995812.559046872</v>
      </c>
      <c r="BH10" s="41">
        <f t="shared" si="26"/>
        <v>6.7156135130373512E-4</v>
      </c>
    </row>
    <row r="11" spans="1:60">
      <c r="A11" s="3" t="s">
        <v>291</v>
      </c>
      <c r="B11" s="3">
        <v>6301085</v>
      </c>
      <c r="C11" s="3">
        <v>4013361</v>
      </c>
      <c r="D11" s="34">
        <v>47180.46</v>
      </c>
      <c r="E11" s="32">
        <f t="shared" si="2"/>
        <v>189352218126.06</v>
      </c>
      <c r="F11" s="32">
        <v>352414</v>
      </c>
      <c r="G11" s="37">
        <f t="shared" si="3"/>
        <v>5.5929097925198595E-2</v>
      </c>
      <c r="H11" s="3">
        <v>84.600009999999997</v>
      </c>
      <c r="I11" s="3">
        <f t="shared" si="4"/>
        <v>0.84600010000000003</v>
      </c>
      <c r="J11" s="16"/>
      <c r="K11" s="16">
        <f>+'Elasticity from change reg'!G39</f>
        <v>2.2695257809395169E-2</v>
      </c>
      <c r="L11" s="16"/>
      <c r="M11" s="16">
        <f>+'Elasticity from change reg'!I39</f>
        <v>2.6875963195336385E-2</v>
      </c>
      <c r="N11" s="32"/>
      <c r="O11" s="35"/>
      <c r="P11" s="36">
        <f t="shared" si="0"/>
        <v>42973974.071517609</v>
      </c>
      <c r="Q11" s="35">
        <f t="shared" si="1"/>
        <v>2.2695257809395171E-4</v>
      </c>
      <c r="R11" s="36"/>
      <c r="S11" s="33"/>
      <c r="T11" s="36">
        <f t="shared" si="5"/>
        <v>94714656.935212776</v>
      </c>
      <c r="U11" s="33">
        <f t="shared" si="6"/>
        <v>2.6875963195336386E-4</v>
      </c>
      <c r="V11" s="13"/>
      <c r="W11" s="11"/>
      <c r="X11" s="11">
        <f>+'Elasticity from change reg'!O39</f>
        <v>1.8377608681525548E-2</v>
      </c>
      <c r="Y11" s="11"/>
      <c r="Z11" s="11">
        <f>+'Elasticity from change reg'!Q39</f>
        <v>2.1762957649174991E-2</v>
      </c>
      <c r="AA11" s="32"/>
      <c r="AB11" s="33"/>
      <c r="AC11" s="40">
        <f t="shared" si="7"/>
        <v>34798409.676996</v>
      </c>
      <c r="AD11" s="33">
        <f t="shared" si="8"/>
        <v>1.837760868152555E-4</v>
      </c>
      <c r="AE11" s="40"/>
      <c r="AF11" s="41"/>
      <c r="AG11" s="40">
        <f t="shared" si="9"/>
        <v>76695709.569763556</v>
      </c>
      <c r="AH11" s="41">
        <f t="shared" si="10"/>
        <v>2.1762957649174993E-4</v>
      </c>
      <c r="AJ11" s="11">
        <f>+'Track mile pop elasticities'!H40</f>
        <v>7.1262732641301854E-3</v>
      </c>
      <c r="AK11" s="11">
        <f>+'Track mile pop elasticities'!I40</f>
        <v>1.2822271233346805E-2</v>
      </c>
      <c r="AL11" s="11">
        <f>+'Track mile pop elasticities'!J40</f>
        <v>1.0350063550284316E-2</v>
      </c>
      <c r="AM11" s="11">
        <f>+'Track mile pop elasticities'!K40</f>
        <v>2.3594470031129439E-2</v>
      </c>
      <c r="AN11" s="32">
        <f t="shared" si="11"/>
        <v>13493756.495354885</v>
      </c>
      <c r="AO11" s="33">
        <f t="shared" si="12"/>
        <v>7.1262732641301857E-5</v>
      </c>
      <c r="AP11" s="40">
        <f t="shared" si="13"/>
        <v>24279254.994481888</v>
      </c>
      <c r="AQ11" s="33">
        <f t="shared" si="14"/>
        <v>1.2822271233346806E-4</v>
      </c>
      <c r="AR11" s="40">
        <f t="shared" si="15"/>
        <v>36475072.960098967</v>
      </c>
      <c r="AS11" s="41">
        <f t="shared" si="16"/>
        <v>1.0350063550284315E-4</v>
      </c>
      <c r="AT11" s="40">
        <f t="shared" si="17"/>
        <v>83150215.615504488</v>
      </c>
      <c r="AU11" s="41">
        <f t="shared" si="18"/>
        <v>2.3594470031129436E-4</v>
      </c>
      <c r="AW11" s="11">
        <f>+'Track mile pop elasticities'!P40</f>
        <v>8.2029660364047307E-3</v>
      </c>
      <c r="AX11" s="11">
        <f>+'Track mile pop elasticities'!Q40</f>
        <v>1.2565064658865106E-2</v>
      </c>
      <c r="AY11" s="11">
        <f>+'Track mile pop elasticities'!R40</f>
        <v>1.1913831624302108E-2</v>
      </c>
      <c r="AZ11" s="11">
        <f>+'Track mile pop elasticities'!S40</f>
        <v>2.3121180026341892E-2</v>
      </c>
      <c r="BA11" s="32">
        <f t="shared" si="19"/>
        <v>15532498.142059704</v>
      </c>
      <c r="BB11" s="33">
        <f t="shared" si="20"/>
        <v>8.2029660364047309E-5</v>
      </c>
      <c r="BC11" s="40">
        <f t="shared" si="21"/>
        <v>23792228.640534732</v>
      </c>
      <c r="BD11" s="33">
        <f t="shared" si="22"/>
        <v>1.2565064658865107E-4</v>
      </c>
      <c r="BE11" s="40">
        <f t="shared" si="23"/>
        <v>41986010.580468036</v>
      </c>
      <c r="BF11" s="41">
        <f t="shared" si="24"/>
        <v>1.1913831624302109E-4</v>
      </c>
      <c r="BG11" s="40">
        <f t="shared" si="25"/>
        <v>81482275.378032506</v>
      </c>
      <c r="BH11" s="41">
        <f t="shared" si="26"/>
        <v>2.3121180026341889E-4</v>
      </c>
    </row>
    <row r="12" spans="1:60">
      <c r="A12" s="3" t="s">
        <v>293</v>
      </c>
      <c r="B12" s="3">
        <v>2500384</v>
      </c>
      <c r="C12" s="3">
        <v>1701841</v>
      </c>
      <c r="D12" s="34">
        <v>47081.16</v>
      </c>
      <c r="E12" s="32">
        <f t="shared" si="2"/>
        <v>80124648415.560013</v>
      </c>
      <c r="F12" s="32">
        <v>136608</v>
      </c>
      <c r="G12" s="37">
        <f t="shared" si="3"/>
        <v>5.4634808093476844E-2</v>
      </c>
      <c r="H12" s="3">
        <v>34.6</v>
      </c>
      <c r="I12" s="3">
        <f t="shared" si="4"/>
        <v>0.34600000000000003</v>
      </c>
      <c r="J12" s="16"/>
      <c r="K12" s="16">
        <f>+'Elasticity from change reg'!G40</f>
        <v>6.6421579931371256E-3</v>
      </c>
      <c r="L12" s="16"/>
      <c r="M12" s="16">
        <f>+'Elasticity from change reg'!I40</f>
        <v>7.8657134129255443E-3</v>
      </c>
      <c r="N12" s="32"/>
      <c r="O12" s="35"/>
      <c r="P12" s="36">
        <f t="shared" si="0"/>
        <v>5322005.7392071383</v>
      </c>
      <c r="Q12" s="35">
        <f t="shared" si="1"/>
        <v>6.6421579931371256E-5</v>
      </c>
      <c r="R12" s="36"/>
      <c r="S12" s="33"/>
      <c r="T12" s="36">
        <f t="shared" si="5"/>
        <v>10745193.77912933</v>
      </c>
      <c r="U12" s="33">
        <f t="shared" si="6"/>
        <v>7.8657134129255462E-5</v>
      </c>
      <c r="V12" s="13"/>
      <c r="W12" s="11"/>
      <c r="X12" s="11">
        <f>+'Elasticity from change reg'!O40</f>
        <v>5.785309252020047E-3</v>
      </c>
      <c r="Y12" s="11"/>
      <c r="Z12" s="11">
        <f>+'Elasticity from change reg'!Q40</f>
        <v>6.8510241142342668E-3</v>
      </c>
      <c r="AA12" s="32"/>
      <c r="AB12" s="33"/>
      <c r="AC12" s="40">
        <f t="shared" si="7"/>
        <v>4635458.6979339281</v>
      </c>
      <c r="AD12" s="33">
        <f t="shared" si="8"/>
        <v>5.7853092520200482E-5</v>
      </c>
      <c r="AE12" s="40"/>
      <c r="AF12" s="41"/>
      <c r="AG12" s="40">
        <f t="shared" si="9"/>
        <v>9359047.021973148</v>
      </c>
      <c r="AH12" s="41">
        <f t="shared" si="10"/>
        <v>6.8510241142342673E-5</v>
      </c>
      <c r="AJ12" s="11">
        <f>+'Track mile pop elasticities'!H41</f>
        <v>1.8509104619176427E-2</v>
      </c>
      <c r="AK12" s="11">
        <f>+'Track mile pop elasticities'!I41</f>
        <v>3.3303348176115737E-2</v>
      </c>
      <c r="AL12" s="11">
        <f>+'Track mile pop elasticities'!J41</f>
        <v>2.6882270994518141E-2</v>
      </c>
      <c r="AM12" s="11">
        <f>+'Track mile pop elasticities'!K41</f>
        <v>6.1282033126399009E-2</v>
      </c>
      <c r="AN12" s="32">
        <f t="shared" si="11"/>
        <v>14830355.000983292</v>
      </c>
      <c r="AO12" s="33">
        <f t="shared" si="12"/>
        <v>1.850910461917643E-4</v>
      </c>
      <c r="AP12" s="40">
        <f t="shared" si="13"/>
        <v>26684190.636722554</v>
      </c>
      <c r="AQ12" s="33">
        <f t="shared" si="14"/>
        <v>3.3303348176115738E-4</v>
      </c>
      <c r="AR12" s="40">
        <f t="shared" si="15"/>
        <v>36723332.760191344</v>
      </c>
      <c r="AS12" s="41">
        <f t="shared" si="16"/>
        <v>2.6882270994518141E-4</v>
      </c>
      <c r="AT12" s="40">
        <f t="shared" si="17"/>
        <v>83716159.81331116</v>
      </c>
      <c r="AU12" s="41">
        <f t="shared" si="18"/>
        <v>6.1282033126399001E-4</v>
      </c>
      <c r="AW12" s="11">
        <f>+'Track mile pop elasticities'!P41</f>
        <v>2.6460825524731002E-2</v>
      </c>
      <c r="AX12" s="11">
        <f>+'Track mile pop elasticities'!Q41</f>
        <v>4.0531922498476709E-2</v>
      </c>
      <c r="AY12" s="11">
        <f>+'Track mile pop elasticities'!R41</f>
        <v>3.8431198976395027E-2</v>
      </c>
      <c r="AZ12" s="11">
        <f>+'Track mile pop elasticities'!S41</f>
        <v>7.4583450411441155E-2</v>
      </c>
      <c r="BA12" s="32">
        <f t="shared" si="19"/>
        <v>21201643.419545479</v>
      </c>
      <c r="BB12" s="33">
        <f t="shared" si="20"/>
        <v>2.6460825524731005E-4</v>
      </c>
      <c r="BC12" s="40">
        <f t="shared" si="21"/>
        <v>32476060.397971734</v>
      </c>
      <c r="BD12" s="33">
        <f t="shared" si="22"/>
        <v>4.0531922498476716E-4</v>
      </c>
      <c r="BE12" s="40">
        <f t="shared" si="23"/>
        <v>52500092.297673725</v>
      </c>
      <c r="BF12" s="41">
        <f t="shared" si="24"/>
        <v>3.843119897639503E-4</v>
      </c>
      <c r="BG12" s="40">
        <f t="shared" si="25"/>
        <v>101886959.93806154</v>
      </c>
      <c r="BH12" s="41">
        <f t="shared" si="26"/>
        <v>7.4583450411441147E-4</v>
      </c>
    </row>
    <row r="13" spans="1:60">
      <c r="A13" s="3" t="s">
        <v>295</v>
      </c>
      <c r="B13" s="3">
        <v>5726705</v>
      </c>
      <c r="C13" s="3">
        <v>3487033</v>
      </c>
      <c r="D13" s="34">
        <v>52427.95</v>
      </c>
      <c r="E13" s="32">
        <f t="shared" si="2"/>
        <v>182817991772.34998</v>
      </c>
      <c r="F13" s="32">
        <v>377223</v>
      </c>
      <c r="G13" s="37">
        <f t="shared" si="3"/>
        <v>6.5870862913315772E-2</v>
      </c>
      <c r="H13" s="3">
        <v>14.3</v>
      </c>
      <c r="I13" s="3">
        <f t="shared" si="4"/>
        <v>0.14300000000000002</v>
      </c>
      <c r="J13" s="16"/>
      <c r="K13" s="16">
        <f>+'Elasticity from change reg'!G41</f>
        <v>2.9472516633452508E-3</v>
      </c>
      <c r="L13" s="16"/>
      <c r="M13" s="16">
        <f>+'Elasticity from change reg'!I41</f>
        <v>3.4901664434351652E-3</v>
      </c>
      <c r="N13" s="32"/>
      <c r="O13" s="35"/>
      <c r="P13" s="36">
        <f t="shared" si="0"/>
        <v>5388106.3034049682</v>
      </c>
      <c r="Q13" s="35">
        <f t="shared" si="1"/>
        <v>2.9472516633452509E-5</v>
      </c>
      <c r="R13" s="36"/>
      <c r="S13" s="33"/>
      <c r="T13" s="36">
        <f t="shared" si="5"/>
        <v>13165710.562919432</v>
      </c>
      <c r="U13" s="33">
        <f t="shared" si="6"/>
        <v>3.4901664434351651E-5</v>
      </c>
      <c r="V13" s="13"/>
      <c r="W13" s="11"/>
      <c r="X13" s="11">
        <f>+'Elasticity from change reg'!O41</f>
        <v>2.4030095377402345E-3</v>
      </c>
      <c r="Y13" s="11"/>
      <c r="Z13" s="11">
        <f>+'Elasticity from change reg'!Q41</f>
        <v>2.8456691894292252E-3</v>
      </c>
      <c r="AA13" s="32"/>
      <c r="AB13" s="33"/>
      <c r="AC13" s="40">
        <f t="shared" si="7"/>
        <v>4393133.7789947269</v>
      </c>
      <c r="AD13" s="33">
        <f t="shared" si="8"/>
        <v>2.4030095377402345E-5</v>
      </c>
      <c r="AE13" s="40"/>
      <c r="AF13" s="41"/>
      <c r="AG13" s="40">
        <f t="shared" si="9"/>
        <v>10734518.686440608</v>
      </c>
      <c r="AH13" s="41">
        <f t="shared" si="10"/>
        <v>2.8456691894292256E-5</v>
      </c>
      <c r="AJ13" s="11">
        <f>+'Track mile pop elasticities'!H42</f>
        <v>1.4583076281404186E-3</v>
      </c>
      <c r="AK13" s="11">
        <f>+'Track mile pop elasticities'!I42</f>
        <v>2.6239263155673318E-3</v>
      </c>
      <c r="AL13" s="11">
        <f>+'Track mile pop elasticities'!J42</f>
        <v>2.1180182218229885E-3</v>
      </c>
      <c r="AM13" s="11">
        <f>+'Track mile pop elasticities'!K42</f>
        <v>4.8283295283550022E-3</v>
      </c>
      <c r="AN13" s="32">
        <f t="shared" si="11"/>
        <v>2666048.7196293026</v>
      </c>
      <c r="AO13" s="33">
        <f t="shared" si="12"/>
        <v>1.4583076281404186E-5</v>
      </c>
      <c r="AP13" s="40">
        <f t="shared" si="13"/>
        <v>4797009.3957064105</v>
      </c>
      <c r="AQ13" s="33">
        <f t="shared" si="14"/>
        <v>2.6239263155673319E-5</v>
      </c>
      <c r="AR13" s="40">
        <f t="shared" si="15"/>
        <v>7989651.8769073328</v>
      </c>
      <c r="AS13" s="41">
        <f t="shared" si="16"/>
        <v>2.1180182218229889E-5</v>
      </c>
      <c r="AT13" s="40">
        <f t="shared" si="17"/>
        <v>18213569.496746588</v>
      </c>
      <c r="AU13" s="41">
        <f t="shared" si="18"/>
        <v>4.8283295283550017E-5</v>
      </c>
      <c r="AW13" s="11">
        <f>+'Track mile pop elasticities'!P42</f>
        <v>1.6595566451073176E-3</v>
      </c>
      <c r="AX13" s="11">
        <f>+'Track mile pop elasticities'!Q42</f>
        <v>2.5420605739777135E-3</v>
      </c>
      <c r="AY13" s="11">
        <f>+'Track mile pop elasticities'!R42</f>
        <v>2.4103084607511038E-3</v>
      </c>
      <c r="AZ13" s="11">
        <f>+'Track mile pop elasticities'!S42</f>
        <v>4.6776870445578269E-3</v>
      </c>
      <c r="BA13" s="32">
        <f t="shared" si="19"/>
        <v>3033968.1309097833</v>
      </c>
      <c r="BB13" s="33">
        <f t="shared" si="20"/>
        <v>1.6595566451073177E-5</v>
      </c>
      <c r="BC13" s="40">
        <f t="shared" si="21"/>
        <v>4647344.0909827286</v>
      </c>
      <c r="BD13" s="33">
        <f t="shared" si="22"/>
        <v>2.5420605739777135E-5</v>
      </c>
      <c r="BE13" s="40">
        <f t="shared" si="23"/>
        <v>9092237.8848991375</v>
      </c>
      <c r="BF13" s="41">
        <f t="shared" si="24"/>
        <v>2.410308460751104E-5</v>
      </c>
      <c r="BG13" s="40">
        <f t="shared" si="25"/>
        <v>17645311.400092371</v>
      </c>
      <c r="BH13" s="41">
        <f t="shared" si="26"/>
        <v>4.6776870445578267E-5</v>
      </c>
    </row>
    <row r="14" spans="1:60">
      <c r="A14" s="3" t="s">
        <v>297</v>
      </c>
      <c r="B14" s="3">
        <v>675921</v>
      </c>
      <c r="C14" s="3">
        <v>436103</v>
      </c>
      <c r="D14" s="34">
        <v>36943.61</v>
      </c>
      <c r="E14" s="32">
        <f t="shared" si="2"/>
        <v>16111219151.83</v>
      </c>
      <c r="F14" s="32">
        <v>25560</v>
      </c>
      <c r="G14" s="37">
        <f t="shared" si="3"/>
        <v>3.7815070104346517E-2</v>
      </c>
      <c r="H14" s="3">
        <v>3.4</v>
      </c>
      <c r="I14" s="3">
        <f t="shared" si="4"/>
        <v>3.4000000000000002E-2</v>
      </c>
      <c r="J14" s="16"/>
      <c r="K14" s="16">
        <f>+'Elasticity from change reg'!G42</f>
        <v>1.0919071990655354E-3</v>
      </c>
      <c r="L14" s="16"/>
      <c r="M14" s="16">
        <f>+'Elasticity from change reg'!I42</f>
        <v>1.2930479988933971E-3</v>
      </c>
      <c r="N14" s="32"/>
      <c r="O14" s="35"/>
      <c r="P14" s="36">
        <f t="shared" si="0"/>
        <v>175919.56177605706</v>
      </c>
      <c r="Q14" s="35">
        <f t="shared" si="1"/>
        <v>1.0919071990655353E-5</v>
      </c>
      <c r="R14" s="36"/>
      <c r="S14" s="33"/>
      <c r="T14" s="36">
        <f t="shared" si="5"/>
        <v>330503.06851715239</v>
      </c>
      <c r="U14" s="33">
        <f t="shared" si="6"/>
        <v>1.2930479988933975E-5</v>
      </c>
      <c r="V14" s="13"/>
      <c r="W14" s="11"/>
      <c r="X14" s="11">
        <f>+'Elasticity from change reg'!O42</f>
        <v>1.9431462187999508E-3</v>
      </c>
      <c r="Y14" s="11"/>
      <c r="Z14" s="11">
        <f>+'Elasticity from change reg'!Q42</f>
        <v>2.301094206473626E-3</v>
      </c>
      <c r="AA14" s="32"/>
      <c r="AB14" s="33"/>
      <c r="AC14" s="40">
        <f t="shared" si="7"/>
        <v>313064.54575135815</v>
      </c>
      <c r="AD14" s="33">
        <f t="shared" si="8"/>
        <v>1.9431462187999509E-5</v>
      </c>
      <c r="AE14" s="40"/>
      <c r="AF14" s="41"/>
      <c r="AG14" s="40">
        <f t="shared" si="9"/>
        <v>588159.67917465896</v>
      </c>
      <c r="AH14" s="41">
        <f t="shared" si="10"/>
        <v>2.3010942064736267E-5</v>
      </c>
      <c r="AJ14" s="11">
        <f>+'Track mile pop elasticities'!H43</f>
        <v>2.4889133178117473E-2</v>
      </c>
      <c r="AK14" s="11">
        <f>+'Track mile pop elasticities'!I43</f>
        <v>4.4782904688635453E-2</v>
      </c>
      <c r="AL14" s="11">
        <f>+'Track mile pop elasticities'!J43</f>
        <v>3.6148502949170609E-2</v>
      </c>
      <c r="AM14" s="11">
        <f>+'Track mile pop elasticities'!K43</f>
        <v>8.2405751941587904E-2</v>
      </c>
      <c r="AN14" s="32">
        <f t="shared" si="11"/>
        <v>4009942.7913173372</v>
      </c>
      <c r="AO14" s="33">
        <f t="shared" si="12"/>
        <v>2.4889133178117474E-4</v>
      </c>
      <c r="AP14" s="40">
        <f t="shared" si="13"/>
        <v>7215071.9169412097</v>
      </c>
      <c r="AQ14" s="33">
        <f t="shared" si="14"/>
        <v>4.4782904688635451E-4</v>
      </c>
      <c r="AR14" s="40">
        <f t="shared" si="15"/>
        <v>9239557.3538080081</v>
      </c>
      <c r="AS14" s="41">
        <f t="shared" si="16"/>
        <v>3.614850294917061E-4</v>
      </c>
      <c r="AT14" s="40">
        <f t="shared" si="17"/>
        <v>21062910.19626987</v>
      </c>
      <c r="AU14" s="41">
        <f t="shared" si="18"/>
        <v>8.2405751941587912E-4</v>
      </c>
      <c r="AW14" s="11">
        <f>+'Track mile pop elasticities'!P43</f>
        <v>2.1147264905086754E-2</v>
      </c>
      <c r="AX14" s="11">
        <f>+'Track mile pop elasticities'!Q43</f>
        <v>3.2392764972000859E-2</v>
      </c>
      <c r="AY14" s="11">
        <f>+'Track mile pop elasticities'!R43</f>
        <v>3.0713884743102188E-2</v>
      </c>
      <c r="AZ14" s="11">
        <f>+'Track mile pop elasticities'!S43</f>
        <v>5.9606454149059719E-2</v>
      </c>
      <c r="BA14" s="32">
        <f t="shared" si="19"/>
        <v>3407082.1934765615</v>
      </c>
      <c r="BB14" s="33">
        <f t="shared" si="20"/>
        <v>2.1147264905086753E-4</v>
      </c>
      <c r="BC14" s="40">
        <f t="shared" si="21"/>
        <v>5218869.3539762823</v>
      </c>
      <c r="BD14" s="33">
        <f t="shared" si="22"/>
        <v>3.2392764972000859E-4</v>
      </c>
      <c r="BE14" s="40">
        <f t="shared" si="23"/>
        <v>7850468.9403369194</v>
      </c>
      <c r="BF14" s="41">
        <f t="shared" si="24"/>
        <v>3.0713884743102188E-4</v>
      </c>
      <c r="BG14" s="40">
        <f t="shared" si="25"/>
        <v>15235409.680499665</v>
      </c>
      <c r="BH14" s="41">
        <f t="shared" si="26"/>
        <v>5.9606454149059725E-4</v>
      </c>
    </row>
    <row r="15" spans="1:60">
      <c r="A15" s="3" t="s">
        <v>299</v>
      </c>
      <c r="B15" s="3">
        <v>12768395</v>
      </c>
      <c r="C15" s="3">
        <v>7823094</v>
      </c>
      <c r="D15" s="34">
        <v>47279</v>
      </c>
      <c r="E15" s="32">
        <f t="shared" si="2"/>
        <v>369868061226</v>
      </c>
      <c r="F15" s="32">
        <v>655355</v>
      </c>
      <c r="G15" s="37">
        <f t="shared" si="3"/>
        <v>5.1326341329509306E-2</v>
      </c>
      <c r="H15" s="3">
        <v>481.3</v>
      </c>
      <c r="I15" s="3">
        <f t="shared" si="4"/>
        <v>4.8130000000000006</v>
      </c>
      <c r="J15" s="16"/>
      <c r="K15" s="16">
        <f>+'Elasticity from change reg'!G43</f>
        <v>6.7570653368577413E-2</v>
      </c>
      <c r="L15" s="16"/>
      <c r="M15" s="16">
        <f>+'Elasticity from change reg'!I43</f>
        <v>8.001787898910484E-2</v>
      </c>
      <c r="N15" s="32"/>
      <c r="O15" s="35"/>
      <c r="P15" s="36">
        <f t="shared" si="0"/>
        <v>249922265.57209814</v>
      </c>
      <c r="Q15" s="35">
        <f t="shared" si="1"/>
        <v>6.7570653368577416E-4</v>
      </c>
      <c r="R15" s="36"/>
      <c r="S15" s="33"/>
      <c r="T15" s="36">
        <f t="shared" si="5"/>
        <v>524401170.84904802</v>
      </c>
      <c r="U15" s="33">
        <f t="shared" si="6"/>
        <v>8.0017878989104842E-4</v>
      </c>
      <c r="V15" s="13"/>
      <c r="W15" s="11"/>
      <c r="X15" s="11">
        <f>+'Elasticity from change reg'!O43</f>
        <v>0.10141097259295945</v>
      </c>
      <c r="Y15" s="11"/>
      <c r="Z15" s="11">
        <f>+'Elasticity from change reg'!Q43</f>
        <v>0.12009194122850461</v>
      </c>
      <c r="AA15" s="32"/>
      <c r="AB15" s="33"/>
      <c r="AC15" s="40">
        <f t="shared" si="7"/>
        <v>375086798.20000935</v>
      </c>
      <c r="AD15" s="33">
        <f t="shared" si="8"/>
        <v>1.0141097259295944E-3</v>
      </c>
      <c r="AE15" s="40"/>
      <c r="AF15" s="41"/>
      <c r="AG15" s="40">
        <f t="shared" si="9"/>
        <v>787028541.43806636</v>
      </c>
      <c r="AH15" s="41">
        <f t="shared" si="10"/>
        <v>1.2009194122850461E-3</v>
      </c>
      <c r="AJ15" s="11">
        <f>+'Track mile pop elasticities'!H44</f>
        <v>9.8733828278811785E-3</v>
      </c>
      <c r="AK15" s="11">
        <f>+'Track mile pop elasticities'!I44</f>
        <v>1.7765133039030819E-2</v>
      </c>
      <c r="AL15" s="11">
        <f>+'Track mile pop elasticities'!J44</f>
        <v>1.4339913154779806E-2</v>
      </c>
      <c r="AM15" s="11">
        <f>+'Track mile pop elasticities'!K44</f>
        <v>3.2689910504960777E-2</v>
      </c>
      <c r="AN15" s="32">
        <f t="shared" si="11"/>
        <v>36518489.64290493</v>
      </c>
      <c r="AO15" s="33">
        <f t="shared" si="12"/>
        <v>9.8733828278811794E-5</v>
      </c>
      <c r="AP15" s="40">
        <f t="shared" si="13"/>
        <v>65707553.145682871</v>
      </c>
      <c r="AQ15" s="33">
        <f t="shared" si="14"/>
        <v>1.7765133039030821E-4</v>
      </c>
      <c r="AR15" s="40">
        <f t="shared" si="15"/>
        <v>93977337.855507195</v>
      </c>
      <c r="AS15" s="41">
        <f t="shared" si="16"/>
        <v>1.4339913154779805E-4</v>
      </c>
      <c r="AT15" s="40">
        <f t="shared" si="17"/>
        <v>214234962.98978567</v>
      </c>
      <c r="AU15" s="41">
        <f t="shared" si="18"/>
        <v>3.268991050496077E-4</v>
      </c>
      <c r="AW15" s="11">
        <f>+'Track mile pop elasticities'!P44</f>
        <v>2.1102698559371812E-2</v>
      </c>
      <c r="AX15" s="11">
        <f>+'Track mile pop elasticities'!Q44</f>
        <v>3.2324499540566383E-2</v>
      </c>
      <c r="AY15" s="11">
        <f>+'Track mile pop elasticities'!R44</f>
        <v>3.0649157431468583E-2</v>
      </c>
      <c r="AZ15" s="11">
        <f>+'Track mile pop elasticities'!S44</f>
        <v>5.9480837817379416E-2</v>
      </c>
      <c r="BA15" s="32">
        <f t="shared" si="19"/>
        <v>78052142.027915567</v>
      </c>
      <c r="BB15" s="33">
        <f t="shared" si="20"/>
        <v>2.1102698559371817E-4</v>
      </c>
      <c r="BC15" s="40">
        <f t="shared" si="21"/>
        <v>119557999.75170016</v>
      </c>
      <c r="BD15" s="33">
        <f t="shared" si="22"/>
        <v>3.2324499540566386E-4</v>
      </c>
      <c r="BE15" s="40">
        <f t="shared" si="23"/>
        <v>200860785.68500093</v>
      </c>
      <c r="BF15" s="41">
        <f t="shared" si="24"/>
        <v>3.064915743146858E-4</v>
      </c>
      <c r="BG15" s="40">
        <f t="shared" si="25"/>
        <v>389810644.67808694</v>
      </c>
      <c r="BH15" s="41">
        <f t="shared" si="26"/>
        <v>5.9480837817379431E-4</v>
      </c>
    </row>
    <row r="16" spans="1:60">
      <c r="A16" s="3" t="s">
        <v>301</v>
      </c>
      <c r="B16" s="3">
        <v>1298529</v>
      </c>
      <c r="C16" s="3">
        <v>819373</v>
      </c>
      <c r="D16" s="34">
        <v>39486.449999999997</v>
      </c>
      <c r="E16" s="32">
        <f t="shared" si="2"/>
        <v>32354130995.849998</v>
      </c>
      <c r="F16" s="32">
        <v>56599</v>
      </c>
      <c r="G16" s="37">
        <f t="shared" si="3"/>
        <v>4.3587012688973449E-2</v>
      </c>
      <c r="H16" s="3">
        <v>7</v>
      </c>
      <c r="I16" s="3">
        <f t="shared" si="4"/>
        <v>7.0000000000000007E-2</v>
      </c>
      <c r="J16" s="16"/>
      <c r="K16" s="16">
        <f>+'Elasticity from change reg'!G44</f>
        <v>2.2789076518383682E-3</v>
      </c>
      <c r="L16" s="16"/>
      <c r="M16" s="16">
        <f>+'Elasticity from change reg'!I44</f>
        <v>2.698706429808594E-3</v>
      </c>
      <c r="N16" s="32"/>
      <c r="O16" s="35"/>
      <c r="P16" s="36">
        <f t="shared" si="0"/>
        <v>737320.76695023489</v>
      </c>
      <c r="Q16" s="35">
        <f t="shared" si="1"/>
        <v>2.2789076518383682E-5</v>
      </c>
      <c r="R16" s="36"/>
      <c r="S16" s="33"/>
      <c r="T16" s="36">
        <f t="shared" si="5"/>
        <v>1527440.8522073661</v>
      </c>
      <c r="U16" s="33">
        <f t="shared" si="6"/>
        <v>2.698706429808594E-5</v>
      </c>
      <c r="V16" s="13"/>
      <c r="W16" s="11"/>
      <c r="X16" s="11">
        <f>+'Elasticity from change reg'!O44</f>
        <v>3.6282483988449676E-3</v>
      </c>
      <c r="Y16" s="11"/>
      <c r="Z16" s="11">
        <f>+'Elasticity from change reg'!Q44</f>
        <v>4.2966099460006197E-3</v>
      </c>
      <c r="AA16" s="32"/>
      <c r="AB16" s="33"/>
      <c r="AC16" s="40">
        <f t="shared" si="7"/>
        <v>1173888.2398171308</v>
      </c>
      <c r="AD16" s="33">
        <f t="shared" si="8"/>
        <v>3.6282483988449676E-5</v>
      </c>
      <c r="AE16" s="40"/>
      <c r="AF16" s="41"/>
      <c r="AG16" s="40">
        <f t="shared" si="9"/>
        <v>2431838.2633368908</v>
      </c>
      <c r="AH16" s="41">
        <f t="shared" si="10"/>
        <v>4.2966099460006198E-5</v>
      </c>
      <c r="AJ16" s="11">
        <f>+'Track mile pop elasticities'!H45</f>
        <v>1.3884091510903042E-2</v>
      </c>
      <c r="AK16" s="11">
        <f>+'Track mile pop elasticities'!I45</f>
        <v>2.498158302144985E-2</v>
      </c>
      <c r="AL16" s="11">
        <f>+'Track mile pop elasticities'!J45</f>
        <v>2.0164990051549654E-2</v>
      </c>
      <c r="AM16" s="11">
        <f>+'Track mile pop elasticities'!K45</f>
        <v>4.5969017594702774E-2</v>
      </c>
      <c r="AN16" s="32">
        <f t="shared" si="11"/>
        <v>4492077.1550212596</v>
      </c>
      <c r="AO16" s="33">
        <f t="shared" si="12"/>
        <v>1.3884091510903043E-4</v>
      </c>
      <c r="AP16" s="40">
        <f t="shared" si="13"/>
        <v>8082574.0955969058</v>
      </c>
      <c r="AQ16" s="33">
        <f t="shared" si="14"/>
        <v>2.4981583021449846E-4</v>
      </c>
      <c r="AR16" s="40">
        <f t="shared" si="15"/>
        <v>11413182.71927659</v>
      </c>
      <c r="AS16" s="41">
        <f t="shared" si="16"/>
        <v>2.0164990051549657E-4</v>
      </c>
      <c r="AT16" s="40">
        <f t="shared" si="17"/>
        <v>26018004.268425826</v>
      </c>
      <c r="AU16" s="41">
        <f t="shared" si="18"/>
        <v>4.5969017594702779E-4</v>
      </c>
      <c r="AW16" s="11">
        <f>+'Track mile pop elasticities'!P45</f>
        <v>1.284467447362323E-2</v>
      </c>
      <c r="AX16" s="11">
        <f>+'Track mile pop elasticities'!Q45</f>
        <v>1.967509856396861E-2</v>
      </c>
      <c r="AY16" s="11">
        <f>+'Track mile pop elasticities'!R45</f>
        <v>1.8655360545024213E-2</v>
      </c>
      <c r="AZ16" s="11">
        <f>+'Track mile pop elasticities'!S45</f>
        <v>3.6204469159860843E-2</v>
      </c>
      <c r="BA16" s="32">
        <f t="shared" si="19"/>
        <v>4155782.805186566</v>
      </c>
      <c r="BB16" s="33">
        <f t="shared" si="20"/>
        <v>1.2844674473623229E-4</v>
      </c>
      <c r="BC16" s="40">
        <f t="shared" si="21"/>
        <v>6365707.1629490061</v>
      </c>
      <c r="BD16" s="33">
        <f t="shared" si="22"/>
        <v>1.9675098563968609E-4</v>
      </c>
      <c r="BE16" s="40">
        <f t="shared" si="23"/>
        <v>10558747.514878254</v>
      </c>
      <c r="BF16" s="41">
        <f t="shared" si="24"/>
        <v>1.8655360545024213E-4</v>
      </c>
      <c r="BG16" s="40">
        <f t="shared" si="25"/>
        <v>20491367.49978964</v>
      </c>
      <c r="BH16" s="41">
        <f t="shared" si="26"/>
        <v>3.6204469159860841E-4</v>
      </c>
    </row>
    <row r="17" spans="1:60">
      <c r="A17" s="3" t="s">
        <v>303</v>
      </c>
      <c r="B17" s="3">
        <v>5501752</v>
      </c>
      <c r="C17" s="3">
        <v>3273236</v>
      </c>
      <c r="D17" s="34">
        <v>40292.35</v>
      </c>
      <c r="E17" s="32">
        <f t="shared" si="2"/>
        <v>131886370544.59999</v>
      </c>
      <c r="F17" s="32">
        <v>233919</v>
      </c>
      <c r="G17" s="37">
        <f t="shared" si="3"/>
        <v>4.2517183617145959E-2</v>
      </c>
      <c r="H17" s="3">
        <v>95.8</v>
      </c>
      <c r="I17" s="3">
        <f t="shared" si="4"/>
        <v>0.95799999999999996</v>
      </c>
      <c r="J17" s="16"/>
      <c r="K17" s="16">
        <f>+'Elasticity from change reg'!G45</f>
        <v>1.5135103083137537E-2</v>
      </c>
      <c r="L17" s="16"/>
      <c r="M17" s="16">
        <f>+'Elasticity from change reg'!I45</f>
        <v>1.7923148387926031E-2</v>
      </c>
      <c r="N17" s="32"/>
      <c r="O17" s="35"/>
      <c r="P17" s="36">
        <f t="shared" si="0"/>
        <v>19961138.134533953</v>
      </c>
      <c r="Q17" s="35">
        <f t="shared" si="1"/>
        <v>1.5135103083137538E-4</v>
      </c>
      <c r="R17" s="36"/>
      <c r="S17" s="33"/>
      <c r="T17" s="36">
        <f t="shared" si="5"/>
        <v>41925649.477552697</v>
      </c>
      <c r="U17" s="33">
        <f t="shared" si="6"/>
        <v>1.7923148387926033E-4</v>
      </c>
      <c r="V17" s="13"/>
      <c r="W17" s="11"/>
      <c r="X17" s="11">
        <f>+'Elasticity from change reg'!O45</f>
        <v>2.149494074852705E-2</v>
      </c>
      <c r="Y17" s="11"/>
      <c r="Z17" s="11">
        <f>+'Elasticity from change reg'!Q45</f>
        <v>2.5454535096939929E-2</v>
      </c>
      <c r="AA17" s="32"/>
      <c r="AB17" s="33"/>
      <c r="AC17" s="40">
        <f t="shared" si="7"/>
        <v>28348897.203944597</v>
      </c>
      <c r="AD17" s="33">
        <f t="shared" si="8"/>
        <v>2.1494940748527049E-4</v>
      </c>
      <c r="AE17" s="40"/>
      <c r="AF17" s="41"/>
      <c r="AG17" s="40">
        <f t="shared" si="9"/>
        <v>59542993.953410931</v>
      </c>
      <c r="AH17" s="41">
        <f t="shared" si="10"/>
        <v>2.5454535096939939E-4</v>
      </c>
      <c r="AJ17" s="11">
        <f>+'Track mile pop elasticities'!H46</f>
        <v>1.058488692260743E-2</v>
      </c>
      <c r="AK17" s="11">
        <f>+'Track mile pop elasticities'!I46</f>
        <v>1.9045339136674822E-2</v>
      </c>
      <c r="AL17" s="11">
        <f>+'Track mile pop elasticities'!J46</f>
        <v>1.5373288149501266E-2</v>
      </c>
      <c r="AM17" s="11">
        <f>+'Track mile pop elasticities'!K46</f>
        <v>3.5045638585799885E-2</v>
      </c>
      <c r="AN17" s="32">
        <f t="shared" si="11"/>
        <v>13960023.188476941</v>
      </c>
      <c r="AO17" s="33">
        <f t="shared" si="12"/>
        <v>1.0584886922607429E-4</v>
      </c>
      <c r="AP17" s="40">
        <f t="shared" si="13"/>
        <v>25118206.545270678</v>
      </c>
      <c r="AQ17" s="33">
        <f t="shared" si="14"/>
        <v>1.9045339136674824E-4</v>
      </c>
      <c r="AR17" s="40">
        <f t="shared" si="15"/>
        <v>35961041.906431869</v>
      </c>
      <c r="AS17" s="41">
        <f t="shared" si="16"/>
        <v>1.5373288149501266E-4</v>
      </c>
      <c r="AT17" s="40">
        <f t="shared" si="17"/>
        <v>81978407.323517248</v>
      </c>
      <c r="AU17" s="41">
        <f t="shared" si="18"/>
        <v>3.5045638585799889E-4</v>
      </c>
      <c r="AW17" s="11">
        <f>+'Track mile pop elasticities'!P46</f>
        <v>1.5873387587621735E-2</v>
      </c>
      <c r="AX17" s="11">
        <f>+'Track mile pop elasticities'!Q46</f>
        <v>2.4314393172973649E-2</v>
      </c>
      <c r="AY17" s="11">
        <f>+'Track mile pop elasticities'!R46</f>
        <v>2.3054205782022039E-2</v>
      </c>
      <c r="AZ17" s="11">
        <f>+'Track mile pop elasticities'!S46</f>
        <v>4.4741310693291625E-2</v>
      </c>
      <c r="BA17" s="32">
        <f t="shared" si="19"/>
        <v>20934834.771791343</v>
      </c>
      <c r="BB17" s="33">
        <f t="shared" si="20"/>
        <v>1.5873387587621735E-4</v>
      </c>
      <c r="BC17" s="40">
        <f t="shared" si="21"/>
        <v>32067370.675778948</v>
      </c>
      <c r="BD17" s="33">
        <f t="shared" si="22"/>
        <v>2.4314393172973647E-4</v>
      </c>
      <c r="BE17" s="40">
        <f t="shared" si="23"/>
        <v>53928167.623248138</v>
      </c>
      <c r="BF17" s="41">
        <f t="shared" si="24"/>
        <v>2.305420578202204E-4</v>
      </c>
      <c r="BG17" s="40">
        <f t="shared" si="25"/>
        <v>104658426.56064083</v>
      </c>
      <c r="BH17" s="41">
        <f t="shared" si="26"/>
        <v>4.4741310693291621E-4</v>
      </c>
    </row>
    <row r="18" spans="1:60">
      <c r="A18" s="3" t="s">
        <v>305</v>
      </c>
      <c r="B18" s="3">
        <v>3237612</v>
      </c>
      <c r="C18" s="3">
        <v>2285862</v>
      </c>
      <c r="D18" s="34">
        <v>48866.68</v>
      </c>
      <c r="E18" s="32">
        <f t="shared" si="2"/>
        <v>111702486878.16</v>
      </c>
      <c r="F18" s="32">
        <v>175976</v>
      </c>
      <c r="G18" s="37">
        <f t="shared" si="3"/>
        <v>5.4353640893349792E-2</v>
      </c>
      <c r="H18" s="3">
        <v>12.1</v>
      </c>
      <c r="I18" s="3">
        <f t="shared" si="4"/>
        <v>0.121</v>
      </c>
      <c r="J18" s="16"/>
      <c r="K18" s="16">
        <f>+'Elasticity from change reg'!G46</f>
        <v>2.1870395506534824E-3</v>
      </c>
      <c r="L18" s="16"/>
      <c r="M18" s="16">
        <f>+'Elasticity from change reg'!I46</f>
        <v>2.5899152573528083E-3</v>
      </c>
      <c r="N18" s="32"/>
      <c r="O18" s="35"/>
      <c r="P18" s="36">
        <f t="shared" si="0"/>
        <v>2442977.5670888759</v>
      </c>
      <c r="Q18" s="35">
        <f t="shared" si="1"/>
        <v>2.1870395506534826E-5</v>
      </c>
      <c r="R18" s="36"/>
      <c r="S18" s="33"/>
      <c r="T18" s="36">
        <f t="shared" si="5"/>
        <v>4557629.273279177</v>
      </c>
      <c r="U18" s="33">
        <f t="shared" si="6"/>
        <v>2.5899152573528078E-5</v>
      </c>
      <c r="V18" s="13"/>
      <c r="W18" s="11"/>
      <c r="X18" s="11">
        <f>+'Elasticity from change reg'!O46</f>
        <v>2.6257879979946063E-3</v>
      </c>
      <c r="Y18" s="11"/>
      <c r="Z18" s="11">
        <f>+'Elasticity from change reg'!Q46</f>
        <v>3.109485787098876E-3</v>
      </c>
      <c r="AA18" s="32"/>
      <c r="AB18" s="33"/>
      <c r="AC18" s="40">
        <f t="shared" si="7"/>
        <v>2933070.4939082251</v>
      </c>
      <c r="AD18" s="33">
        <f t="shared" si="8"/>
        <v>2.6257879979946061E-5</v>
      </c>
      <c r="AE18" s="40"/>
      <c r="AF18" s="41"/>
      <c r="AG18" s="40">
        <f t="shared" si="9"/>
        <v>5471948.7087051189</v>
      </c>
      <c r="AH18" s="41">
        <f t="shared" si="10"/>
        <v>3.1094857870988762E-5</v>
      </c>
      <c r="AJ18" s="11">
        <f>+'Track mile pop elasticities'!H47</f>
        <v>3.8606328516870704E-3</v>
      </c>
      <c r="AK18" s="11">
        <f>+'Track mile pop elasticities'!I47</f>
        <v>6.9464192182844761E-3</v>
      </c>
      <c r="AL18" s="11">
        <f>+'Track mile pop elasticities'!J47</f>
        <v>5.607109617926459E-3</v>
      </c>
      <c r="AM18" s="11">
        <f>+'Track mile pop elasticities'!K47</f>
        <v>1.2782219084808352E-2</v>
      </c>
      <c r="AN18" s="32">
        <f t="shared" si="11"/>
        <v>4312422.9045696836</v>
      </c>
      <c r="AO18" s="33">
        <f t="shared" si="12"/>
        <v>3.8606328516870699E-5</v>
      </c>
      <c r="AP18" s="40">
        <f t="shared" si="13"/>
        <v>7759323.0158062009</v>
      </c>
      <c r="AQ18" s="33">
        <f t="shared" si="14"/>
        <v>6.946419218284475E-5</v>
      </c>
      <c r="AR18" s="40">
        <f t="shared" si="15"/>
        <v>9867167.2212422658</v>
      </c>
      <c r="AS18" s="41">
        <f t="shared" si="16"/>
        <v>5.6071096179264591E-5</v>
      </c>
      <c r="AT18" s="40">
        <f t="shared" si="17"/>
        <v>22493637.856682349</v>
      </c>
      <c r="AU18" s="41">
        <f t="shared" si="18"/>
        <v>1.2782219084808355E-4</v>
      </c>
      <c r="AW18" s="11">
        <f>+'Track mile pop elasticities'!P47</f>
        <v>3.7992073429181697E-3</v>
      </c>
      <c r="AX18" s="11">
        <f>+'Track mile pop elasticities'!Q47</f>
        <v>5.8195152466003165E-3</v>
      </c>
      <c r="AY18" s="11">
        <f>+'Track mile pop elasticities'!R47</f>
        <v>5.517896379000198E-3</v>
      </c>
      <c r="AZ18" s="11">
        <f>+'Track mile pop elasticities'!S47</f>
        <v>1.0708584741563954E-2</v>
      </c>
      <c r="BA18" s="32">
        <f t="shared" si="19"/>
        <v>4243809.0836972594</v>
      </c>
      <c r="BB18" s="33">
        <f t="shared" si="20"/>
        <v>3.7992073429181692E-5</v>
      </c>
      <c r="BC18" s="40">
        <f t="shared" si="21"/>
        <v>6500543.2547062393</v>
      </c>
      <c r="BD18" s="33">
        <f t="shared" si="22"/>
        <v>5.8195152466003162E-5</v>
      </c>
      <c r="BE18" s="40">
        <f t="shared" si="23"/>
        <v>9710173.3319093883</v>
      </c>
      <c r="BF18" s="41">
        <f t="shared" si="24"/>
        <v>5.5178963790001982E-5</v>
      </c>
      <c r="BG18" s="40">
        <f t="shared" si="25"/>
        <v>18844539.084814589</v>
      </c>
      <c r="BH18" s="41">
        <f t="shared" si="26"/>
        <v>1.0708584741563958E-4</v>
      </c>
    </row>
    <row r="19" spans="1:60">
      <c r="A19" s="3" t="s">
        <v>306</v>
      </c>
      <c r="B19" s="3">
        <v>1556368</v>
      </c>
      <c r="C19" s="3">
        <v>1038536</v>
      </c>
      <c r="D19" s="34">
        <v>40648.57</v>
      </c>
      <c r="E19" s="32">
        <f t="shared" si="2"/>
        <v>42215003293.519997</v>
      </c>
      <c r="F19" s="32">
        <v>71966</v>
      </c>
      <c r="G19" s="37">
        <f t="shared" si="3"/>
        <v>4.6239706804560361E-2</v>
      </c>
      <c r="H19" s="3">
        <v>32</v>
      </c>
      <c r="I19" s="3">
        <f t="shared" si="4"/>
        <v>0.32</v>
      </c>
      <c r="J19" s="16"/>
      <c r="K19" s="16">
        <f>+'Elasticity from change reg'!G47</f>
        <v>1.1096180879435607E-2</v>
      </c>
      <c r="L19" s="16"/>
      <c r="M19" s="16">
        <f>+'Elasticity from change reg'!I47</f>
        <v>1.3140214199331639E-2</v>
      </c>
      <c r="N19" s="32"/>
      <c r="O19" s="35"/>
      <c r="P19" s="36">
        <f t="shared" si="0"/>
        <v>4684253.1237086775</v>
      </c>
      <c r="Q19" s="35">
        <f t="shared" si="1"/>
        <v>1.1096180879435607E-4</v>
      </c>
      <c r="R19" s="36"/>
      <c r="S19" s="33"/>
      <c r="T19" s="36">
        <f t="shared" si="5"/>
        <v>9456486.5506910067</v>
      </c>
      <c r="U19" s="33">
        <f t="shared" si="6"/>
        <v>1.3140214199331638E-4</v>
      </c>
      <c r="V19" s="13"/>
      <c r="W19" s="11"/>
      <c r="X19" s="11">
        <f>+'Elasticity from change reg'!O47</f>
        <v>1.4203946740938294E-2</v>
      </c>
      <c r="Y19" s="11"/>
      <c r="Z19" s="11">
        <f>+'Elasticity from change reg'!Q47</f>
        <v>1.6820463245847982E-2</v>
      </c>
      <c r="AA19" s="32"/>
      <c r="AB19" s="33"/>
      <c r="AC19" s="40">
        <f t="shared" si="7"/>
        <v>5996196.5844969274</v>
      </c>
      <c r="AD19" s="33">
        <f t="shared" si="8"/>
        <v>1.4203946740938295E-4</v>
      </c>
      <c r="AE19" s="40"/>
      <c r="AF19" s="41"/>
      <c r="AG19" s="40">
        <f t="shared" si="9"/>
        <v>12105014.579506958</v>
      </c>
      <c r="AH19" s="41">
        <f t="shared" si="10"/>
        <v>1.682046324584798E-4</v>
      </c>
      <c r="AJ19" s="11">
        <f>+'Track mile pop elasticities'!H48</f>
        <v>4.418228028593145E-2</v>
      </c>
      <c r="AK19" s="11">
        <f>+'Track mile pop elasticities'!I48</f>
        <v>7.9496976966278624E-2</v>
      </c>
      <c r="AL19" s="11">
        <f>+'Track mile pop elasticities'!J48</f>
        <v>6.4169502320043301E-2</v>
      </c>
      <c r="AM19" s="11">
        <f>+'Track mile pop elasticities'!K48</f>
        <v>0.1462836814524836</v>
      </c>
      <c r="AN19" s="32">
        <f t="shared" si="11"/>
        <v>18651551.077858198</v>
      </c>
      <c r="AO19" s="33">
        <f t="shared" si="12"/>
        <v>4.4182280285931454E-4</v>
      </c>
      <c r="AP19" s="40">
        <f t="shared" si="13"/>
        <v>33559651.444563352</v>
      </c>
      <c r="AQ19" s="33">
        <f t="shared" si="14"/>
        <v>7.9496976966278617E-4</v>
      </c>
      <c r="AR19" s="40">
        <f t="shared" si="15"/>
        <v>46180224.039642371</v>
      </c>
      <c r="AS19" s="41">
        <f t="shared" si="16"/>
        <v>6.4169502320043318E-4</v>
      </c>
      <c r="AT19" s="40">
        <f t="shared" si="17"/>
        <v>105274514.19409434</v>
      </c>
      <c r="AU19" s="41">
        <f t="shared" si="18"/>
        <v>1.4628368145248359E-3</v>
      </c>
      <c r="AW19" s="11">
        <f>+'Track mile pop elasticities'!P48</f>
        <v>3.624077549018484E-2</v>
      </c>
      <c r="AX19" s="11">
        <f>+'Track mile pop elasticities'!Q48</f>
        <v>5.5512565247822103E-2</v>
      </c>
      <c r="AY19" s="11">
        <f>+'Track mile pop elasticities'!R48</f>
        <v>5.2635412021458931E-2</v>
      </c>
      <c r="AZ19" s="11">
        <f>+'Track mile pop elasticities'!S48</f>
        <v>0.10214957500544009</v>
      </c>
      <c r="BA19" s="32">
        <f t="shared" si="19"/>
        <v>15299044.566778718</v>
      </c>
      <c r="BB19" s="33">
        <f t="shared" si="20"/>
        <v>3.6240775490184842E-4</v>
      </c>
      <c r="BC19" s="40">
        <f t="shared" si="21"/>
        <v>23434631.247685537</v>
      </c>
      <c r="BD19" s="33">
        <f t="shared" si="22"/>
        <v>5.5512565247822104E-4</v>
      </c>
      <c r="BE19" s="40">
        <f t="shared" si="23"/>
        <v>37879600.615363136</v>
      </c>
      <c r="BF19" s="41">
        <f t="shared" si="24"/>
        <v>5.263541202145893E-4</v>
      </c>
      <c r="BG19" s="40">
        <f t="shared" si="25"/>
        <v>73512963.148415014</v>
      </c>
      <c r="BH19" s="41">
        <f t="shared" si="26"/>
        <v>1.0214957500544008E-3</v>
      </c>
    </row>
    <row r="20" spans="1:60">
      <c r="A20" s="3" t="s">
        <v>308</v>
      </c>
      <c r="B20" s="3">
        <v>1168547</v>
      </c>
      <c r="C20" s="3">
        <v>710250</v>
      </c>
      <c r="D20" s="34">
        <v>41724.58</v>
      </c>
      <c r="E20" s="32">
        <f t="shared" si="2"/>
        <v>29634882945</v>
      </c>
      <c r="F20" s="32">
        <v>65881</v>
      </c>
      <c r="G20" s="37">
        <f t="shared" si="3"/>
        <v>5.6378562436940921E-2</v>
      </c>
      <c r="H20" s="3">
        <v>12.9</v>
      </c>
      <c r="I20" s="3">
        <f t="shared" si="4"/>
        <v>0.129</v>
      </c>
      <c r="J20" s="16"/>
      <c r="K20" s="16">
        <f>+'Elasticity from change reg'!G48</f>
        <v>3.0842476735255097E-3</v>
      </c>
      <c r="L20" s="16"/>
      <c r="M20" s="16">
        <f>+'Elasticity from change reg'!I48</f>
        <v>3.6523985607538928E-3</v>
      </c>
      <c r="N20" s="32"/>
      <c r="O20" s="35"/>
      <c r="P20" s="36">
        <f t="shared" si="0"/>
        <v>914013.18778317072</v>
      </c>
      <c r="Q20" s="35">
        <f t="shared" si="1"/>
        <v>3.0842476735255101E-5</v>
      </c>
      <c r="R20" s="36"/>
      <c r="S20" s="33"/>
      <c r="T20" s="36">
        <f t="shared" si="5"/>
        <v>2406236.6958102719</v>
      </c>
      <c r="U20" s="33">
        <f t="shared" si="6"/>
        <v>3.6523985607538925E-5</v>
      </c>
      <c r="V20" s="13"/>
      <c r="W20" s="11"/>
      <c r="X20" s="11">
        <f>+'Elasticity from change reg'!O48</f>
        <v>7.1198613106732015E-3</v>
      </c>
      <c r="Y20" s="11"/>
      <c r="Z20" s="11">
        <f>+'Elasticity from change reg'!Q48</f>
        <v>8.4314147100077383E-3</v>
      </c>
      <c r="AA20" s="32"/>
      <c r="AB20" s="33"/>
      <c r="AC20" s="40">
        <f t="shared" si="7"/>
        <v>2109962.5652643461</v>
      </c>
      <c r="AD20" s="33">
        <f t="shared" si="8"/>
        <v>7.1198613106732015E-5</v>
      </c>
      <c r="AE20" s="40"/>
      <c r="AF20" s="41"/>
      <c r="AG20" s="40">
        <f t="shared" si="9"/>
        <v>5554700.3251001975</v>
      </c>
      <c r="AH20" s="41">
        <f t="shared" si="10"/>
        <v>8.4314147100077378E-5</v>
      </c>
      <c r="AJ20" s="11">
        <f>+'Track mile pop elasticities'!H49</f>
        <v>3.1595124751366367E-2</v>
      </c>
      <c r="AK20" s="11">
        <f>+'Track mile pop elasticities'!I49</f>
        <v>5.6848964977614651E-2</v>
      </c>
      <c r="AL20" s="11">
        <f>+'Track mile pop elasticities'!J49</f>
        <v>4.5888157376984477E-2</v>
      </c>
      <c r="AM20" s="11">
        <f>+'Track mile pop elasticities'!K49</f>
        <v>0.10460870590357578</v>
      </c>
      <c r="AN20" s="32">
        <f t="shared" si="11"/>
        <v>9363178.2363941446</v>
      </c>
      <c r="AO20" s="33">
        <f t="shared" si="12"/>
        <v>3.1595124751366367E-4</v>
      </c>
      <c r="AP20" s="40">
        <f t="shared" si="13"/>
        <v>16847124.226560146</v>
      </c>
      <c r="AQ20" s="33">
        <f t="shared" si="14"/>
        <v>5.6848964977614645E-4</v>
      </c>
      <c r="AR20" s="40">
        <f t="shared" si="15"/>
        <v>30231576.961531147</v>
      </c>
      <c r="AS20" s="41">
        <f t="shared" si="16"/>
        <v>4.588815737698448E-4</v>
      </c>
      <c r="AT20" s="40">
        <f t="shared" si="17"/>
        <v>68917261.536334768</v>
      </c>
      <c r="AU20" s="41">
        <f t="shared" si="18"/>
        <v>1.0460870590357579E-3</v>
      </c>
      <c r="AW20" s="11">
        <f>+'Track mile pop elasticities'!P49</f>
        <v>3.2393717772661722E-2</v>
      </c>
      <c r="AX20" s="11">
        <f>+'Track mile pop elasticities'!Q49</f>
        <v>4.9619754189902596E-2</v>
      </c>
      <c r="AY20" s="11">
        <f>+'Track mile pop elasticities'!R49</f>
        <v>4.7048018669818212E-2</v>
      </c>
      <c r="AZ20" s="11">
        <f>+'Track mile pop elasticities'!S49</f>
        <v>9.1306117448280058E-2</v>
      </c>
      <c r="BA20" s="32">
        <f t="shared" si="19"/>
        <v>9599840.3434619624</v>
      </c>
      <c r="BB20" s="33">
        <f t="shared" si="20"/>
        <v>3.2393717772661722E-4</v>
      </c>
      <c r="BC20" s="40">
        <f t="shared" si="21"/>
        <v>14704756.071774367</v>
      </c>
      <c r="BD20" s="33">
        <f t="shared" si="22"/>
        <v>4.9619754189902596E-4</v>
      </c>
      <c r="BE20" s="40">
        <f t="shared" si="23"/>
        <v>30995705.179862939</v>
      </c>
      <c r="BF20" s="41">
        <f t="shared" si="24"/>
        <v>4.7048018669818215E-4</v>
      </c>
      <c r="BG20" s="40">
        <f t="shared" si="25"/>
        <v>60153383.236101381</v>
      </c>
      <c r="BH20" s="41">
        <f t="shared" si="26"/>
        <v>9.1306117448280055E-4</v>
      </c>
    </row>
    <row r="21" spans="1:60">
      <c r="A21" s="3" t="s">
        <v>310</v>
      </c>
      <c r="B21" s="3">
        <v>18968501</v>
      </c>
      <c r="C21" s="3">
        <v>11166752</v>
      </c>
      <c r="D21" s="34">
        <v>63346.31</v>
      </c>
      <c r="E21" s="32">
        <f t="shared" si="2"/>
        <v>707372533885.12</v>
      </c>
      <c r="F21" s="32">
        <v>1157843</v>
      </c>
      <c r="G21" s="37">
        <f t="shared" si="3"/>
        <v>6.1040300443350792E-2</v>
      </c>
      <c r="H21" s="3">
        <v>1243.2</v>
      </c>
      <c r="I21" s="3">
        <f t="shared" si="4"/>
        <v>12.432</v>
      </c>
      <c r="J21" s="16"/>
      <c r="K21" s="16">
        <f>+'Elasticity from change reg'!G49</f>
        <v>7.0735810396148305E-2</v>
      </c>
      <c r="L21" s="16"/>
      <c r="M21" s="16">
        <f>+'Elasticity from change reg'!I49</f>
        <v>8.3766091258596673E-2</v>
      </c>
      <c r="N21" s="32"/>
      <c r="O21" s="35"/>
      <c r="P21" s="36">
        <f t="shared" si="0"/>
        <v>500365694.36340839</v>
      </c>
      <c r="Q21" s="35">
        <f t="shared" si="1"/>
        <v>7.0735810396148303E-4</v>
      </c>
      <c r="R21" s="36"/>
      <c r="S21" s="33"/>
      <c r="T21" s="36">
        <f t="shared" si="5"/>
        <v>969879824.01127338</v>
      </c>
      <c r="U21" s="33">
        <f t="shared" si="6"/>
        <v>8.376609125859667E-4</v>
      </c>
      <c r="V21" s="13"/>
      <c r="W21" s="11"/>
      <c r="X21" s="11">
        <f>+'Elasticity from change reg'!O49</f>
        <v>7.6557030076023297E-2</v>
      </c>
      <c r="Y21" s="11"/>
      <c r="Z21" s="11">
        <f>+'Elasticity from change reg'!Q49</f>
        <v>9.0659640879501277E-2</v>
      </c>
      <c r="AA21" s="32"/>
      <c r="AB21" s="33"/>
      <c r="AC21" s="40">
        <f t="shared" si="7"/>
        <v>541543403.51595938</v>
      </c>
      <c r="AD21" s="33">
        <f t="shared" si="8"/>
        <v>7.6557030076023294E-4</v>
      </c>
      <c r="AE21" s="40"/>
      <c r="AF21" s="41"/>
      <c r="AG21" s="40">
        <f t="shared" si="9"/>
        <v>1049696305.7484438</v>
      </c>
      <c r="AH21" s="41">
        <f t="shared" si="10"/>
        <v>9.0659640879501267E-4</v>
      </c>
      <c r="AJ21" s="11">
        <f>+'Track mile pop elasticities'!H50</f>
        <v>1.1555738664736651E-2</v>
      </c>
      <c r="AK21" s="11">
        <f>+'Track mile pop elasticities'!I50</f>
        <v>2.0792188282582166E-2</v>
      </c>
      <c r="AL21" s="11">
        <f>+'Track mile pop elasticities'!J50</f>
        <v>1.678333472735561E-2</v>
      </c>
      <c r="AM21" s="11">
        <f>+'Track mile pop elasticities'!K50</f>
        <v>3.8260044136263112E-2</v>
      </c>
      <c r="AN21" s="32">
        <f t="shared" si="11"/>
        <v>81742121.401890174</v>
      </c>
      <c r="AO21" s="33">
        <f t="shared" si="12"/>
        <v>1.155573866473665E-4</v>
      </c>
      <c r="AP21" s="40">
        <f t="shared" si="13"/>
        <v>147078229.10466647</v>
      </c>
      <c r="AQ21" s="33">
        <f t="shared" si="14"/>
        <v>2.0792188282582163E-4</v>
      </c>
      <c r="AR21" s="40">
        <f t="shared" si="15"/>
        <v>194324666.30725598</v>
      </c>
      <c r="AS21" s="41">
        <f t="shared" si="16"/>
        <v>1.6783334727355609E-4</v>
      </c>
      <c r="AT21" s="40">
        <f t="shared" si="17"/>
        <v>442991242.82863289</v>
      </c>
      <c r="AU21" s="41">
        <f t="shared" si="18"/>
        <v>3.826004413626311E-4</v>
      </c>
      <c r="AW21" s="11">
        <f>+'Track mile pop elasticities'!P50</f>
        <v>1.9765718187657353E-2</v>
      </c>
      <c r="AX21" s="11">
        <f>+'Track mile pop elasticities'!Q50</f>
        <v>3.0276551914833118E-2</v>
      </c>
      <c r="AY21" s="11">
        <f>+'Track mile pop elasticities'!R50</f>
        <v>2.8707352605883297E-2</v>
      </c>
      <c r="AZ21" s="11">
        <f>+'Track mile pop elasticities'!S50</f>
        <v>5.5712376052585354E-2</v>
      </c>
      <c r="BA21" s="32">
        <f t="shared" si="19"/>
        <v>139817261.58462384</v>
      </c>
      <c r="BB21" s="33">
        <f t="shared" si="20"/>
        <v>1.9765718187657354E-4</v>
      </c>
      <c r="BC21" s="40">
        <f t="shared" si="21"/>
        <v>214168012.45299885</v>
      </c>
      <c r="BD21" s="33">
        <f t="shared" si="22"/>
        <v>3.0276551914833118E-4</v>
      </c>
      <c r="BE21" s="40">
        <f t="shared" si="23"/>
        <v>332386072.63253736</v>
      </c>
      <c r="BF21" s="41">
        <f t="shared" si="24"/>
        <v>2.8707352605883299E-4</v>
      </c>
      <c r="BG21" s="40">
        <f t="shared" si="25"/>
        <v>645061846.25853586</v>
      </c>
      <c r="BH21" s="41">
        <f t="shared" si="26"/>
        <v>5.5712376052585353E-4</v>
      </c>
    </row>
    <row r="22" spans="1:60">
      <c r="A22" s="3" t="s">
        <v>312</v>
      </c>
      <c r="B22" s="3">
        <v>5940496</v>
      </c>
      <c r="C22" s="3">
        <v>3532815</v>
      </c>
      <c r="D22" s="34">
        <v>48715.18</v>
      </c>
      <c r="E22" s="32">
        <f t="shared" si="2"/>
        <v>172101718631.70001</v>
      </c>
      <c r="F22" s="32">
        <v>303279</v>
      </c>
      <c r="G22" s="37">
        <f t="shared" si="3"/>
        <v>5.1052807711679297E-2</v>
      </c>
      <c r="H22" s="3">
        <v>336.2</v>
      </c>
      <c r="I22" s="3">
        <f t="shared" si="4"/>
        <v>3.3620000000000001</v>
      </c>
      <c r="J22" s="16"/>
      <c r="K22" s="16">
        <f>+'Elasticity from change reg'!G50</f>
        <v>3.971861278523086E-2</v>
      </c>
      <c r="L22" s="16"/>
      <c r="M22" s="16">
        <f>+'Elasticity from change reg'!I50</f>
        <v>4.7035199350931284E-2</v>
      </c>
      <c r="N22" s="32"/>
      <c r="O22" s="35"/>
      <c r="P22" s="36">
        <f t="shared" si="0"/>
        <v>68356415.220052436</v>
      </c>
      <c r="Q22" s="35">
        <f t="shared" si="1"/>
        <v>3.9718612785230855E-4</v>
      </c>
      <c r="R22" s="36"/>
      <c r="S22" s="33"/>
      <c r="T22" s="36">
        <f t="shared" si="5"/>
        <v>142647882.23951089</v>
      </c>
      <c r="U22" s="33">
        <f t="shared" si="6"/>
        <v>4.7035199350931289E-4</v>
      </c>
      <c r="V22" s="13"/>
      <c r="W22" s="11"/>
      <c r="X22" s="11">
        <f>+'Elasticity from change reg'!O50</f>
        <v>6.2451138484026891E-2</v>
      </c>
      <c r="Y22" s="11"/>
      <c r="Z22" s="11">
        <f>+'Elasticity from change reg'!Q50</f>
        <v>7.3955295573189736E-2</v>
      </c>
      <c r="AA22" s="32"/>
      <c r="AB22" s="33"/>
      <c r="AC22" s="40">
        <f t="shared" si="7"/>
        <v>107479482.63607329</v>
      </c>
      <c r="AD22" s="33">
        <f t="shared" si="8"/>
        <v>6.2451138484026893E-4</v>
      </c>
      <c r="AE22" s="40"/>
      <c r="AF22" s="41"/>
      <c r="AG22" s="40">
        <f t="shared" si="9"/>
        <v>224290880.8614141</v>
      </c>
      <c r="AH22" s="41">
        <f t="shared" si="10"/>
        <v>7.3955295573189736E-4</v>
      </c>
      <c r="AJ22" s="11">
        <f>+'Track mile pop elasticities'!H51</f>
        <v>3.1862146290674062E-2</v>
      </c>
      <c r="AK22" s="11">
        <f>+'Track mile pop elasticities'!I51</f>
        <v>5.732941562485306E-2</v>
      </c>
      <c r="AL22" s="11">
        <f>+'Track mile pop elasticities'!J51</f>
        <v>4.6275974374550423E-2</v>
      </c>
      <c r="AM22" s="11">
        <f>+'Track mile pop elasticities'!K51</f>
        <v>0.10549279096084879</v>
      </c>
      <c r="AN22" s="32">
        <f t="shared" si="11"/>
        <v>54835301.359196514</v>
      </c>
      <c r="AO22" s="33">
        <f t="shared" si="12"/>
        <v>3.1862146290674061E-4</v>
      </c>
      <c r="AP22" s="40">
        <f t="shared" si="13"/>
        <v>98664909.571882471</v>
      </c>
      <c r="AQ22" s="33">
        <f t="shared" si="14"/>
        <v>5.7329415624853052E-4</v>
      </c>
      <c r="AR22" s="40">
        <f t="shared" si="15"/>
        <v>140345312.32339278</v>
      </c>
      <c r="AS22" s="41">
        <f t="shared" si="16"/>
        <v>4.6275974374550424E-4</v>
      </c>
      <c r="AT22" s="40">
        <f t="shared" si="17"/>
        <v>319937481.49815261</v>
      </c>
      <c r="AU22" s="41">
        <f t="shared" si="18"/>
        <v>1.0549279096084879E-3</v>
      </c>
      <c r="AW22" s="11">
        <f>+'Track mile pop elasticities'!P51</f>
        <v>3.0203966683617699E-2</v>
      </c>
      <c r="AX22" s="11">
        <f>+'Track mile pop elasticities'!Q51</f>
        <v>4.6265557195967741E-2</v>
      </c>
      <c r="AY22" s="11">
        <f>+'Track mile pop elasticities'!R51</f>
        <v>4.386766589763523E-2</v>
      </c>
      <c r="AZ22" s="11">
        <f>+'Track mile pop elasticities'!S51</f>
        <v>8.5134004956533657E-2</v>
      </c>
      <c r="BA22" s="32">
        <f t="shared" si="19"/>
        <v>51981545.757452145</v>
      </c>
      <c r="BB22" s="33">
        <f t="shared" si="20"/>
        <v>3.0203966683617697E-4</v>
      </c>
      <c r="BC22" s="40">
        <f t="shared" si="21"/>
        <v>79623819.068792641</v>
      </c>
      <c r="BD22" s="33">
        <f t="shared" si="22"/>
        <v>4.626555719596774E-4</v>
      </c>
      <c r="BE22" s="40">
        <f t="shared" si="23"/>
        <v>133041418.45768917</v>
      </c>
      <c r="BF22" s="41">
        <f t="shared" si="24"/>
        <v>4.3867665897635237E-4</v>
      </c>
      <c r="BG22" s="40">
        <f t="shared" si="25"/>
        <v>258193558.89212579</v>
      </c>
      <c r="BH22" s="41">
        <f t="shared" si="26"/>
        <v>8.5134004956533677E-4</v>
      </c>
    </row>
    <row r="23" spans="1:60">
      <c r="A23" s="3" t="s">
        <v>313</v>
      </c>
      <c r="B23" s="3">
        <v>2355391</v>
      </c>
      <c r="C23" s="3">
        <v>1452482</v>
      </c>
      <c r="D23" s="34">
        <v>40947</v>
      </c>
      <c r="E23" s="32">
        <f t="shared" si="2"/>
        <v>59474780454</v>
      </c>
      <c r="F23" s="32">
        <v>105749</v>
      </c>
      <c r="G23" s="37">
        <f t="shared" si="3"/>
        <v>4.4896579803523066E-2</v>
      </c>
      <c r="H23" s="3">
        <v>22</v>
      </c>
      <c r="I23" s="3">
        <f t="shared" si="4"/>
        <v>0.22</v>
      </c>
      <c r="J23" s="16"/>
      <c r="K23" s="16">
        <f>+'Elasticity from change reg'!G51</f>
        <v>2.749547668962465E-3</v>
      </c>
      <c r="L23" s="16"/>
      <c r="M23" s="16">
        <f>+'Elasticity from change reg'!I51</f>
        <v>3.2560432921923928E-3</v>
      </c>
      <c r="N23" s="32"/>
      <c r="O23" s="35"/>
      <c r="P23" s="36">
        <f t="shared" si="0"/>
        <v>1635287.4395935007</v>
      </c>
      <c r="Q23" s="35">
        <f t="shared" si="1"/>
        <v>2.749547668962465E-5</v>
      </c>
      <c r="R23" s="36"/>
      <c r="S23" s="33"/>
      <c r="T23" s="36">
        <f t="shared" si="5"/>
        <v>3443233.2210605335</v>
      </c>
      <c r="U23" s="33">
        <f t="shared" si="6"/>
        <v>3.2560432921923929E-5</v>
      </c>
      <c r="V23" s="13"/>
      <c r="W23" s="11"/>
      <c r="X23" s="11">
        <f>+'Elasticity from change reg'!O51</f>
        <v>3.7910124270662936E-3</v>
      </c>
      <c r="Y23" s="11"/>
      <c r="Z23" s="11">
        <f>+'Elasticity from change reg'!Q51</f>
        <v>4.4893568215258741E-3</v>
      </c>
      <c r="AA23" s="32"/>
      <c r="AB23" s="33"/>
      <c r="AC23" s="40">
        <f t="shared" si="7"/>
        <v>2254696.3179815351</v>
      </c>
      <c r="AD23" s="33">
        <f t="shared" si="8"/>
        <v>3.7910124270662935E-5</v>
      </c>
      <c r="AE23" s="40"/>
      <c r="AF23" s="41"/>
      <c r="AG23" s="40">
        <f t="shared" si="9"/>
        <v>4747449.9451953974</v>
      </c>
      <c r="AH23" s="41">
        <f t="shared" si="10"/>
        <v>4.4893568215258745E-5</v>
      </c>
      <c r="AJ23" s="11">
        <f>+'Track mile pop elasticities'!H52</f>
        <v>1.3262316624523849E-2</v>
      </c>
      <c r="AK23" s="11">
        <f>+'Track mile pop elasticities'!I52</f>
        <v>2.3862826282304444E-2</v>
      </c>
      <c r="AL23" s="11">
        <f>+'Track mile pop elasticities'!J52</f>
        <v>1.9261936049903686E-2</v>
      </c>
      <c r="AM23" s="11">
        <f>+'Track mile pop elasticities'!K52</f>
        <v>4.3910375106682303E-2</v>
      </c>
      <c r="AN23" s="32">
        <f t="shared" si="11"/>
        <v>7887733.6955499025</v>
      </c>
      <c r="AO23" s="33">
        <f t="shared" si="12"/>
        <v>1.3262316624523848E-4</v>
      </c>
      <c r="AP23" s="40">
        <f t="shared" si="13"/>
        <v>14192363.541519977</v>
      </c>
      <c r="AQ23" s="33">
        <f t="shared" si="14"/>
        <v>2.3862826282304442E-4</v>
      </c>
      <c r="AR23" s="40">
        <f t="shared" si="15"/>
        <v>20369304.753412649</v>
      </c>
      <c r="AS23" s="41">
        <f t="shared" si="16"/>
        <v>1.9261936049903687E-4</v>
      </c>
      <c r="AT23" s="40">
        <f t="shared" si="17"/>
        <v>46434782.571565464</v>
      </c>
      <c r="AU23" s="41">
        <f t="shared" si="18"/>
        <v>4.3910375106682303E-4</v>
      </c>
      <c r="AW23" s="11">
        <f>+'Track mile pop elasticities'!P52</f>
        <v>9.5080342638367722E-3</v>
      </c>
      <c r="AX23" s="11">
        <f>+'Track mile pop elasticities'!Q52</f>
        <v>1.4564130190666484E-2</v>
      </c>
      <c r="AY23" s="11">
        <f>+'Track mile pop elasticities'!R52</f>
        <v>1.3809287859381977E-2</v>
      </c>
      <c r="AZ23" s="11">
        <f>+'Track mile pop elasticities'!S52</f>
        <v>2.6799693054336871E-2</v>
      </c>
      <c r="BA23" s="32">
        <f t="shared" si="19"/>
        <v>5654882.5039080149</v>
      </c>
      <c r="BB23" s="33">
        <f t="shared" si="20"/>
        <v>9.5080342638367716E-5</v>
      </c>
      <c r="BC23" s="40">
        <f t="shared" si="21"/>
        <v>8661984.455933623</v>
      </c>
      <c r="BD23" s="33">
        <f t="shared" si="22"/>
        <v>1.4564130190666485E-4</v>
      </c>
      <c r="BE23" s="40">
        <f t="shared" si="23"/>
        <v>14603183.818417847</v>
      </c>
      <c r="BF23" s="41">
        <f t="shared" si="24"/>
        <v>1.3809287859381977E-4</v>
      </c>
      <c r="BG23" s="40">
        <f t="shared" si="25"/>
        <v>28340407.408030696</v>
      </c>
      <c r="BH23" s="41">
        <f t="shared" si="26"/>
        <v>2.6799693054336871E-4</v>
      </c>
    </row>
    <row r="24" spans="1:60">
      <c r="A24" s="3" t="s">
        <v>315</v>
      </c>
      <c r="B24" s="3">
        <v>2203745</v>
      </c>
      <c r="C24" s="3">
        <v>1388060</v>
      </c>
      <c r="D24" s="34">
        <v>43022.45</v>
      </c>
      <c r="E24" s="32">
        <f t="shared" si="2"/>
        <v>59717741946.999992</v>
      </c>
      <c r="F24" s="32">
        <v>101230</v>
      </c>
      <c r="G24" s="37">
        <f t="shared" si="3"/>
        <v>4.5935441713991408E-2</v>
      </c>
      <c r="H24" s="3">
        <v>48.4</v>
      </c>
      <c r="I24" s="3">
        <f t="shared" si="4"/>
        <v>0.48399999999999999</v>
      </c>
      <c r="J24" s="16"/>
      <c r="K24" s="16">
        <f>+'Elasticity from change reg'!G52</f>
        <v>9.3492275846236463E-3</v>
      </c>
      <c r="L24" s="16"/>
      <c r="M24" s="16">
        <f>+'Elasticity from change reg'!I52</f>
        <v>1.1071453718633266E-2</v>
      </c>
      <c r="N24" s="32"/>
      <c r="O24" s="35"/>
      <c r="P24" s="36">
        <f t="shared" si="0"/>
        <v>5583147.6030232897</v>
      </c>
      <c r="Q24" s="35">
        <f t="shared" si="1"/>
        <v>9.349227584623647E-5</v>
      </c>
      <c r="R24" s="36"/>
      <c r="S24" s="33"/>
      <c r="T24" s="36">
        <f t="shared" si="5"/>
        <v>11207632.599372456</v>
      </c>
      <c r="U24" s="33">
        <f t="shared" si="6"/>
        <v>1.1071453718633266E-4</v>
      </c>
      <c r="V24" s="13"/>
      <c r="W24" s="11"/>
      <c r="X24" s="11">
        <f>+'Elasticity from change reg'!O52</f>
        <v>1.0181881780834795E-2</v>
      </c>
      <c r="Y24" s="11"/>
      <c r="Z24" s="11">
        <f>+'Elasticity from change reg'!Q52</f>
        <v>1.205749158256752E-2</v>
      </c>
      <c r="AA24" s="32"/>
      <c r="AB24" s="33"/>
      <c r="AC24" s="40">
        <f t="shared" si="7"/>
        <v>6080389.8872275297</v>
      </c>
      <c r="AD24" s="33">
        <f t="shared" si="8"/>
        <v>1.0181881780834794E-4</v>
      </c>
      <c r="AE24" s="40"/>
      <c r="AF24" s="41"/>
      <c r="AG24" s="40">
        <f t="shared" si="9"/>
        <v>12205798.729033099</v>
      </c>
      <c r="AH24" s="41">
        <f t="shared" si="10"/>
        <v>1.2057491582567519E-4</v>
      </c>
      <c r="AJ24" s="11">
        <f>+'Track mile pop elasticities'!H53</f>
        <v>3.3330775276865968E-2</v>
      </c>
      <c r="AK24" s="11">
        <f>+'Track mile pop elasticities'!I53</f>
        <v>5.9971913113251889E-2</v>
      </c>
      <c r="AL24" s="11">
        <f>+'Track mile pop elasticities'!J53</f>
        <v>4.8408983140210089E-2</v>
      </c>
      <c r="AM24" s="11">
        <f>+'Track mile pop elasticities'!K53</f>
        <v>0.11035529360665244</v>
      </c>
      <c r="AN24" s="32">
        <f t="shared" si="11"/>
        <v>19904386.368773289</v>
      </c>
      <c r="AO24" s="33">
        <f t="shared" si="12"/>
        <v>3.3330775276865966E-4</v>
      </c>
      <c r="AP24" s="40">
        <f t="shared" si="13"/>
        <v>35813872.313650809</v>
      </c>
      <c r="AQ24" s="33">
        <f t="shared" si="14"/>
        <v>5.9971913113251887E-4</v>
      </c>
      <c r="AR24" s="40">
        <f t="shared" si="15"/>
        <v>49004413.632834673</v>
      </c>
      <c r="AS24" s="41">
        <f t="shared" si="16"/>
        <v>4.8408983140210091E-4</v>
      </c>
      <c r="AT24" s="40">
        <f t="shared" si="17"/>
        <v>111712663.71801427</v>
      </c>
      <c r="AU24" s="41">
        <f t="shared" si="18"/>
        <v>1.1035529360665243E-3</v>
      </c>
      <c r="AW24" s="11">
        <f>+'Track mile pop elasticities'!P53</f>
        <v>4.3292649199593296E-2</v>
      </c>
      <c r="AX24" s="11">
        <f>+'Track mile pop elasticities'!Q53</f>
        <v>6.6314420178298417E-2</v>
      </c>
      <c r="AY24" s="11">
        <f>+'Track mile pop elasticities'!R53</f>
        <v>6.287741907559978E-2</v>
      </c>
      <c r="AZ24" s="11">
        <f>+'Track mile pop elasticities'!S53</f>
        <v>0.12202624410715959</v>
      </c>
      <c r="BA24" s="32">
        <f t="shared" si="19"/>
        <v>25853392.53103308</v>
      </c>
      <c r="BB24" s="33">
        <f t="shared" si="20"/>
        <v>4.3292649199593291E-4</v>
      </c>
      <c r="BC24" s="40">
        <f t="shared" si="21"/>
        <v>39601474.315725543</v>
      </c>
      <c r="BD24" s="33">
        <f t="shared" si="22"/>
        <v>6.6314420178298415E-4</v>
      </c>
      <c r="BE24" s="40">
        <f t="shared" si="23"/>
        <v>63650811.330229655</v>
      </c>
      <c r="BF24" s="41">
        <f t="shared" si="24"/>
        <v>6.2877419075599782E-4</v>
      </c>
      <c r="BG24" s="40">
        <f t="shared" si="25"/>
        <v>123527166.90967765</v>
      </c>
      <c r="BH24" s="41">
        <f t="shared" si="26"/>
        <v>1.2202624410715959E-3</v>
      </c>
    </row>
    <row r="25" spans="1:60">
      <c r="A25" s="3" t="s">
        <v>317</v>
      </c>
      <c r="B25" s="3">
        <v>1599312</v>
      </c>
      <c r="C25" s="3">
        <v>890702</v>
      </c>
      <c r="D25" s="34">
        <v>39287.08</v>
      </c>
      <c r="E25" s="32">
        <f t="shared" si="2"/>
        <v>34993080730.160004</v>
      </c>
      <c r="F25" s="32">
        <v>57032</v>
      </c>
      <c r="G25" s="37">
        <f t="shared" si="3"/>
        <v>3.5660333943595746E-2</v>
      </c>
      <c r="H25" s="3">
        <v>6.8</v>
      </c>
      <c r="I25" s="3">
        <f t="shared" si="4"/>
        <v>6.8000000000000005E-2</v>
      </c>
      <c r="J25" s="16"/>
      <c r="K25" s="16">
        <f>+'Elasticity from change reg'!G53</f>
        <v>1.3811119107723822E-3</v>
      </c>
      <c r="L25" s="16"/>
      <c r="M25" s="16">
        <f>+'Elasticity from change reg'!I53</f>
        <v>1.6355272627567683E-3</v>
      </c>
      <c r="N25" s="32"/>
      <c r="O25" s="35"/>
      <c r="P25" s="36">
        <f t="shared" si="0"/>
        <v>483293.60591043509</v>
      </c>
      <c r="Q25" s="35">
        <f t="shared" si="1"/>
        <v>1.3811119107723822E-5</v>
      </c>
      <c r="R25" s="36"/>
      <c r="S25" s="33"/>
      <c r="T25" s="36">
        <f t="shared" si="5"/>
        <v>932773.90849544003</v>
      </c>
      <c r="U25" s="33">
        <f t="shared" si="6"/>
        <v>1.6355272627567682E-5</v>
      </c>
      <c r="V25" s="13"/>
      <c r="W25" s="11"/>
      <c r="X25" s="11">
        <f>+'Elasticity from change reg'!O53</f>
        <v>6.2798096588596421E-3</v>
      </c>
      <c r="Y25" s="11"/>
      <c r="Z25" s="11">
        <f>+'Elasticity from change reg'!Q53</f>
        <v>7.4366167012811556E-3</v>
      </c>
      <c r="AA25" s="32"/>
      <c r="AB25" s="33"/>
      <c r="AC25" s="40">
        <f t="shared" si="7"/>
        <v>2197498.8636251399</v>
      </c>
      <c r="AD25" s="33">
        <f t="shared" si="8"/>
        <v>6.2798096588596419E-5</v>
      </c>
      <c r="AE25" s="40"/>
      <c r="AF25" s="41"/>
      <c r="AG25" s="40">
        <f t="shared" si="9"/>
        <v>4241251.2370746695</v>
      </c>
      <c r="AH25" s="41">
        <f t="shared" si="10"/>
        <v>7.4366167012811579E-5</v>
      </c>
      <c r="AJ25" s="11">
        <f>+'Track mile pop elasticities'!H54</f>
        <v>8.8912998113364148E-3</v>
      </c>
      <c r="AK25" s="11">
        <f>+'Track mile pop elasticities'!I54</f>
        <v>1.5998075511896068E-2</v>
      </c>
      <c r="AL25" s="11">
        <f>+'Track mile pop elasticities'!J54</f>
        <v>1.2913554487893364E-2</v>
      </c>
      <c r="AM25" s="11">
        <f>+'Track mile pop elasticities'!K54</f>
        <v>2.9438319183227354E-2</v>
      </c>
      <c r="AN25" s="32">
        <f t="shared" si="11"/>
        <v>3111339.7209415156</v>
      </c>
      <c r="AO25" s="33">
        <f t="shared" si="12"/>
        <v>8.891299811336414E-5</v>
      </c>
      <c r="AP25" s="40">
        <f t="shared" si="13"/>
        <v>5598219.4791497495</v>
      </c>
      <c r="AQ25" s="33">
        <f t="shared" si="14"/>
        <v>1.5998075511896068E-4</v>
      </c>
      <c r="AR25" s="40">
        <f t="shared" si="15"/>
        <v>7364858.3955353443</v>
      </c>
      <c r="AS25" s="41">
        <f t="shared" si="16"/>
        <v>1.2913554487893364E-4</v>
      </c>
      <c r="AT25" s="40">
        <f t="shared" si="17"/>
        <v>16789262.196578223</v>
      </c>
      <c r="AU25" s="41">
        <f t="shared" si="18"/>
        <v>2.9438319183227349E-4</v>
      </c>
      <c r="AW25" s="11">
        <f>+'Track mile pop elasticities'!P54</f>
        <v>6.7583376764295518E-3</v>
      </c>
      <c r="AX25" s="11">
        <f>+'Track mile pop elasticities'!Q54</f>
        <v>1.0352224977393729E-2</v>
      </c>
      <c r="AY25" s="11">
        <f>+'Track mile pop elasticities'!R54</f>
        <v>9.8156809110048256E-3</v>
      </c>
      <c r="AZ25" s="11">
        <f>+'Track mile pop elasticities'!S54</f>
        <v>1.9049297705494857E-2</v>
      </c>
      <c r="BA25" s="32">
        <f t="shared" si="19"/>
        <v>2364950.5591298128</v>
      </c>
      <c r="BB25" s="33">
        <f t="shared" si="20"/>
        <v>6.7583376764295509E-5</v>
      </c>
      <c r="BC25" s="40">
        <f t="shared" si="21"/>
        <v>3622562.4437071756</v>
      </c>
      <c r="BD25" s="33">
        <f t="shared" si="22"/>
        <v>1.0352224977393728E-4</v>
      </c>
      <c r="BE25" s="40">
        <f t="shared" si="23"/>
        <v>5598079.1371642724</v>
      </c>
      <c r="BF25" s="41">
        <f t="shared" si="24"/>
        <v>9.8156809110048262E-5</v>
      </c>
      <c r="BG25" s="40">
        <f t="shared" si="25"/>
        <v>10864195.467397826</v>
      </c>
      <c r="BH25" s="41">
        <f t="shared" si="26"/>
        <v>1.9049297705494854E-4</v>
      </c>
    </row>
    <row r="26" spans="1:60">
      <c r="A26" s="3" t="s">
        <v>319</v>
      </c>
      <c r="B26" s="3">
        <v>2101138</v>
      </c>
      <c r="C26" s="3">
        <v>1227055</v>
      </c>
      <c r="D26" s="34">
        <v>42165.06</v>
      </c>
      <c r="E26" s="32">
        <f t="shared" si="2"/>
        <v>51738847698.299995</v>
      </c>
      <c r="F26" s="32">
        <v>72228</v>
      </c>
      <c r="G26" s="37">
        <f t="shared" si="3"/>
        <v>3.4375657381856876E-2</v>
      </c>
      <c r="H26" s="3">
        <v>36.9</v>
      </c>
      <c r="I26" s="3">
        <f t="shared" si="4"/>
        <v>0.36899999999999999</v>
      </c>
      <c r="J26" s="16"/>
      <c r="K26" s="16">
        <f>+'Elasticity from change reg'!G54</f>
        <v>8.7099931656179751E-3</v>
      </c>
      <c r="L26" s="16"/>
      <c r="M26" s="16">
        <f>+'Elasticity from change reg'!I54</f>
        <v>1.0314465590863391E-2</v>
      </c>
      <c r="N26" s="32"/>
      <c r="O26" s="35"/>
      <c r="P26" s="36">
        <f t="shared" si="0"/>
        <v>4506450.0984914228</v>
      </c>
      <c r="Q26" s="35">
        <f t="shared" si="1"/>
        <v>8.7099931656179749E-5</v>
      </c>
      <c r="R26" s="36"/>
      <c r="S26" s="33"/>
      <c r="T26" s="36">
        <f t="shared" si="5"/>
        <v>7449932.2069688095</v>
      </c>
      <c r="U26" s="33">
        <f t="shared" si="6"/>
        <v>1.0314465590863391E-4</v>
      </c>
      <c r="V26" s="13"/>
      <c r="W26" s="11"/>
      <c r="X26" s="11">
        <f>+'Elasticity from change reg'!O54</f>
        <v>1.244626498751737E-2</v>
      </c>
      <c r="Y26" s="11"/>
      <c r="Z26" s="11">
        <f>+'Elasticity from change reg'!Q54</f>
        <v>1.4738998011533729E-2</v>
      </c>
      <c r="AA26" s="32"/>
      <c r="AB26" s="33"/>
      <c r="AC26" s="40">
        <f t="shared" si="7"/>
        <v>6439554.0860184496</v>
      </c>
      <c r="AD26" s="33">
        <f t="shared" si="8"/>
        <v>1.2446264987517371E-4</v>
      </c>
      <c r="AE26" s="40"/>
      <c r="AF26" s="41"/>
      <c r="AG26" s="40">
        <f t="shared" si="9"/>
        <v>10645683.483770581</v>
      </c>
      <c r="AH26" s="41">
        <f t="shared" si="10"/>
        <v>1.4738998011533727E-4</v>
      </c>
      <c r="AJ26" s="11">
        <f>+'Track mile pop elasticities'!H55</f>
        <v>2.7953741545483884E-2</v>
      </c>
      <c r="AK26" s="11">
        <f>+'Track mile pop elasticities'!I55</f>
        <v>5.0297040654785859E-2</v>
      </c>
      <c r="AL26" s="11">
        <f>+'Track mile pop elasticities'!J55</f>
        <v>4.059948176844088E-2</v>
      </c>
      <c r="AM26" s="11">
        <f>+'Track mile pop elasticities'!K55</f>
        <v>9.2552403297905358E-2</v>
      </c>
      <c r="AN26" s="32">
        <f t="shared" si="11"/>
        <v>14462943.764194319</v>
      </c>
      <c r="AO26" s="33">
        <f t="shared" si="12"/>
        <v>2.7953741545483888E-4</v>
      </c>
      <c r="AP26" s="40">
        <f t="shared" si="13"/>
        <v>26023109.261131689</v>
      </c>
      <c r="AQ26" s="33">
        <f t="shared" si="14"/>
        <v>5.0297040654785868E-4</v>
      </c>
      <c r="AR26" s="40">
        <f t="shared" si="15"/>
        <v>29324193.691709477</v>
      </c>
      <c r="AS26" s="41">
        <f t="shared" si="16"/>
        <v>4.0599481768440875E-4</v>
      </c>
      <c r="AT26" s="40">
        <f t="shared" si="17"/>
        <v>66848749.854011074</v>
      </c>
      <c r="AU26" s="41">
        <f t="shared" si="18"/>
        <v>9.2552403297905346E-4</v>
      </c>
      <c r="AW26" s="11">
        <f>+'Track mile pop elasticities'!P55</f>
        <v>3.8689365831896819E-2</v>
      </c>
      <c r="AX26" s="11">
        <f>+'Track mile pop elasticities'!Q55</f>
        <v>5.9263244676475244E-2</v>
      </c>
      <c r="AY26" s="11">
        <f>+'Track mile pop elasticities'!R55</f>
        <v>5.6191697993945376E-2</v>
      </c>
      <c r="AZ26" s="11">
        <f>+'Track mile pop elasticities'!S55</f>
        <v>0.10905126127967682</v>
      </c>
      <c r="BA26" s="32">
        <f t="shared" si="19"/>
        <v>20017432.063203212</v>
      </c>
      <c r="BB26" s="33">
        <f t="shared" si="20"/>
        <v>3.8689365831896821E-4</v>
      </c>
      <c r="BC26" s="40">
        <f t="shared" si="21"/>
        <v>30662119.904232409</v>
      </c>
      <c r="BD26" s="33">
        <f t="shared" si="22"/>
        <v>5.9263244676475253E-4</v>
      </c>
      <c r="BE26" s="40">
        <f t="shared" si="23"/>
        <v>40586139.627066866</v>
      </c>
      <c r="BF26" s="41">
        <f t="shared" si="24"/>
        <v>5.6191697993945378E-4</v>
      </c>
      <c r="BG26" s="40">
        <f t="shared" si="25"/>
        <v>78765544.99708496</v>
      </c>
      <c r="BH26" s="41">
        <f t="shared" si="26"/>
        <v>1.0905126127967681E-3</v>
      </c>
    </row>
    <row r="27" spans="1:60">
      <c r="A27" s="3" t="s">
        <v>321</v>
      </c>
      <c r="B27" s="3">
        <v>2818688</v>
      </c>
      <c r="C27" s="3">
        <v>1731976</v>
      </c>
      <c r="D27" s="34">
        <v>42578.1</v>
      </c>
      <c r="E27" s="32">
        <f t="shared" si="2"/>
        <v>73744247325.599991</v>
      </c>
      <c r="F27" s="32">
        <v>116061</v>
      </c>
      <c r="G27" s="37">
        <f t="shared" si="3"/>
        <v>4.1175539825620999E-2</v>
      </c>
      <c r="H27" s="3">
        <v>45.9</v>
      </c>
      <c r="I27" s="3">
        <f t="shared" si="4"/>
        <v>0.45900000000000002</v>
      </c>
      <c r="J27" s="16"/>
      <c r="K27" s="16">
        <f>+'Elasticity from change reg'!G55</f>
        <v>7.8506551987697175E-3</v>
      </c>
      <c r="L27" s="16"/>
      <c r="M27" s="16">
        <f>+'Elasticity from change reg'!I55</f>
        <v>9.2968285248588769E-3</v>
      </c>
      <c r="N27" s="32"/>
      <c r="O27" s="35"/>
      <c r="P27" s="36">
        <f t="shared" si="0"/>
        <v>5789406.5864608139</v>
      </c>
      <c r="Q27" s="35">
        <f t="shared" si="1"/>
        <v>7.8506551987697179E-5</v>
      </c>
      <c r="R27" s="36"/>
      <c r="S27" s="33"/>
      <c r="T27" s="36">
        <f t="shared" si="5"/>
        <v>10789992.154236462</v>
      </c>
      <c r="U27" s="33">
        <f t="shared" si="6"/>
        <v>9.2968285248588769E-5</v>
      </c>
      <c r="V27" s="13"/>
      <c r="W27" s="11"/>
      <c r="X27" s="11">
        <f>+'Elasticity from change reg'!O55</f>
        <v>6.6072246512308454E-3</v>
      </c>
      <c r="Y27" s="11"/>
      <c r="Z27" s="11">
        <f>+'Elasticity from change reg'!Q55</f>
        <v>7.8243449817207381E-3</v>
      </c>
      <c r="AA27" s="32"/>
      <c r="AB27" s="33"/>
      <c r="AC27" s="40">
        <f t="shared" si="7"/>
        <v>4872448.0881616864</v>
      </c>
      <c r="AD27" s="33">
        <f t="shared" si="8"/>
        <v>6.6072246512308464E-5</v>
      </c>
      <c r="AE27" s="40"/>
      <c r="AF27" s="41"/>
      <c r="AG27" s="40">
        <f t="shared" si="9"/>
        <v>9081013.0292349067</v>
      </c>
      <c r="AH27" s="41">
        <f t="shared" si="10"/>
        <v>7.8243449817207397E-5</v>
      </c>
      <c r="AJ27" s="11">
        <f>+'Track mile pop elasticities'!H56</f>
        <v>1.9321525220657072E-2</v>
      </c>
      <c r="AK27" s="11">
        <f>+'Track mile pop elasticities'!I56</f>
        <v>3.4765132887653184E-2</v>
      </c>
      <c r="AL27" s="11">
        <f>+'Track mile pop elasticities'!J56</f>
        <v>2.8062215201430506E-2</v>
      </c>
      <c r="AM27" s="11">
        <f>+'Track mile pop elasticities'!K56</f>
        <v>6.3971886970594374E-2</v>
      </c>
      <c r="AN27" s="32">
        <f t="shared" si="11"/>
        <v>14248513.34579953</v>
      </c>
      <c r="AO27" s="33">
        <f t="shared" si="12"/>
        <v>1.932152522065707E-4</v>
      </c>
      <c r="AP27" s="40">
        <f t="shared" si="13"/>
        <v>25637285.579744466</v>
      </c>
      <c r="AQ27" s="33">
        <f t="shared" si="14"/>
        <v>3.4765132887653184E-4</v>
      </c>
      <c r="AR27" s="40">
        <f t="shared" si="15"/>
        <v>32569287.58493226</v>
      </c>
      <c r="AS27" s="41">
        <f t="shared" si="16"/>
        <v>2.8062215201430507E-4</v>
      </c>
      <c r="AT27" s="40">
        <f t="shared" si="17"/>
        <v>74246411.736941546</v>
      </c>
      <c r="AU27" s="41">
        <f t="shared" si="18"/>
        <v>6.3971886970594382E-4</v>
      </c>
      <c r="AW27" s="11">
        <f>+'Track mile pop elasticities'!P56</f>
        <v>1.6939764177806897E-2</v>
      </c>
      <c r="AX27" s="11">
        <f>+'Track mile pop elasticities'!Q56</f>
        <v>2.5947837801040072E-2</v>
      </c>
      <c r="AY27" s="11">
        <f>+'Track mile pop elasticities'!R56</f>
        <v>2.460299082967192E-2</v>
      </c>
      <c r="AZ27" s="11">
        <f>+'Track mile pop elasticities'!S56</f>
        <v>4.7747038744355708E-2</v>
      </c>
      <c r="BA27" s="32">
        <f t="shared" si="19"/>
        <v>12492101.591655308</v>
      </c>
      <c r="BB27" s="33">
        <f t="shared" si="20"/>
        <v>1.6939764177806898E-4</v>
      </c>
      <c r="BC27" s="40">
        <f t="shared" si="21"/>
        <v>19135037.683644518</v>
      </c>
      <c r="BD27" s="33">
        <f t="shared" si="22"/>
        <v>2.5947837801040076E-4</v>
      </c>
      <c r="BE27" s="40">
        <f t="shared" si="23"/>
        <v>28554477.186825525</v>
      </c>
      <c r="BF27" s="41">
        <f t="shared" si="24"/>
        <v>2.4602990829671918E-4</v>
      </c>
      <c r="BG27" s="40">
        <f t="shared" si="25"/>
        <v>55415690.637086682</v>
      </c>
      <c r="BH27" s="41">
        <f t="shared" si="26"/>
        <v>4.7747038744355713E-4</v>
      </c>
    </row>
    <row r="28" spans="1:60">
      <c r="A28" s="3" t="s">
        <v>323</v>
      </c>
      <c r="B28" s="3">
        <v>1111600</v>
      </c>
      <c r="C28" s="3">
        <v>834207</v>
      </c>
      <c r="D28" s="34">
        <v>39217.54</v>
      </c>
      <c r="E28" s="32">
        <f t="shared" si="2"/>
        <v>32715546390.780003</v>
      </c>
      <c r="F28" s="32">
        <v>55270</v>
      </c>
      <c r="G28" s="37">
        <f t="shared" si="3"/>
        <v>4.9721122706009355E-2</v>
      </c>
      <c r="H28" s="3">
        <v>19</v>
      </c>
      <c r="I28" s="3">
        <f t="shared" si="4"/>
        <v>0.19</v>
      </c>
      <c r="J28" s="16"/>
      <c r="K28" s="16">
        <f>+'Elasticity from change reg'!G56</f>
        <v>2.8106105612410752E-3</v>
      </c>
      <c r="L28" s="16"/>
      <c r="M28" s="16">
        <f>+'Elasticity from change reg'!I56</f>
        <v>3.3283546119960098E-3</v>
      </c>
      <c r="N28" s="32"/>
      <c r="O28" s="35"/>
      <c r="P28" s="36">
        <f t="shared" si="0"/>
        <v>919506.60202698619</v>
      </c>
      <c r="Q28" s="35">
        <f t="shared" si="1"/>
        <v>2.8106105612410752E-5</v>
      </c>
      <c r="R28" s="36"/>
      <c r="S28" s="33"/>
      <c r="T28" s="36">
        <f t="shared" si="5"/>
        <v>1839581.5940501946</v>
      </c>
      <c r="U28" s="33">
        <f t="shared" si="6"/>
        <v>3.3283546119960099E-5</v>
      </c>
      <c r="V28" s="13"/>
      <c r="W28" s="11"/>
      <c r="X28" s="11">
        <f>+'Elasticity from change reg'!O56</f>
        <v>2.1449034090323164E-3</v>
      </c>
      <c r="Y28" s="11"/>
      <c r="Z28" s="11">
        <f>+'Elasticity from change reg'!Q56</f>
        <v>2.5400171949066905E-3</v>
      </c>
      <c r="AA28" s="32"/>
      <c r="AB28" s="33"/>
      <c r="AC28" s="40">
        <f t="shared" si="7"/>
        <v>701716.86981938919</v>
      </c>
      <c r="AD28" s="33">
        <f t="shared" si="8"/>
        <v>2.1449034090323162E-5</v>
      </c>
      <c r="AE28" s="40"/>
      <c r="AF28" s="41"/>
      <c r="AG28" s="40">
        <f t="shared" si="9"/>
        <v>1403867.503624928</v>
      </c>
      <c r="AH28" s="41">
        <f t="shared" si="10"/>
        <v>2.5400171949066904E-5</v>
      </c>
      <c r="AJ28" s="11">
        <f>+'Track mile pop elasticities'!H57</f>
        <v>5.1425587099358912E-2</v>
      </c>
      <c r="AK28" s="11">
        <f>+'Track mile pop elasticities'!I57</f>
        <v>9.2529826135226673E-2</v>
      </c>
      <c r="AL28" s="11">
        <f>+'Track mile pop elasticities'!J57</f>
        <v>7.4689543168116504E-2</v>
      </c>
      <c r="AM28" s="11">
        <f>+'Track mile pop elasticities'!K57</f>
        <v>0.17026563937092581</v>
      </c>
      <c r="AN28" s="32">
        <f t="shared" si="11"/>
        <v>16824161.804221742</v>
      </c>
      <c r="AO28" s="33">
        <f t="shared" si="12"/>
        <v>5.1425587099358913E-4</v>
      </c>
      <c r="AP28" s="40">
        <f t="shared" si="13"/>
        <v>30271638.19457816</v>
      </c>
      <c r="AQ28" s="33">
        <f t="shared" si="14"/>
        <v>9.2529826135226672E-4</v>
      </c>
      <c r="AR28" s="40">
        <f t="shared" si="15"/>
        <v>41280910.509017989</v>
      </c>
      <c r="AS28" s="41">
        <f t="shared" si="16"/>
        <v>7.4689543168116491E-4</v>
      </c>
      <c r="AT28" s="40">
        <f t="shared" si="17"/>
        <v>94105818.880310699</v>
      </c>
      <c r="AU28" s="41">
        <f t="shared" si="18"/>
        <v>1.7026563937092582E-3</v>
      </c>
      <c r="AW28" s="11">
        <f>+'Track mile pop elasticities'!P57</f>
        <v>6.982741265095202E-2</v>
      </c>
      <c r="AX28" s="11">
        <f>+'Track mile pop elasticities'!Q57</f>
        <v>0.10695959864110517</v>
      </c>
      <c r="AY28" s="11">
        <f>+'Track mile pop elasticities'!R57</f>
        <v>0.10141600408828744</v>
      </c>
      <c r="AZ28" s="11">
        <f>+'Track mile pop elasticities'!S57</f>
        <v>0.19681809866226621</v>
      </c>
      <c r="BA28" s="32">
        <f t="shared" si="19"/>
        <v>22844419.579303592</v>
      </c>
      <c r="BB28" s="33">
        <f t="shared" si="20"/>
        <v>6.9827412650952023E-4</v>
      </c>
      <c r="BC28" s="40">
        <f t="shared" si="21"/>
        <v>34992417.11282286</v>
      </c>
      <c r="BD28" s="33">
        <f t="shared" si="22"/>
        <v>1.0695959864110518E-3</v>
      </c>
      <c r="BE28" s="40">
        <f t="shared" si="23"/>
        <v>56052625.45959647</v>
      </c>
      <c r="BF28" s="41">
        <f t="shared" si="24"/>
        <v>1.0141600408828744E-3</v>
      </c>
      <c r="BG28" s="40">
        <f t="shared" si="25"/>
        <v>108781363.13063453</v>
      </c>
      <c r="BH28" s="41">
        <f t="shared" si="26"/>
        <v>1.968180986622662E-3</v>
      </c>
    </row>
    <row r="29" spans="1:60">
      <c r="A29" s="3" t="s">
        <v>325</v>
      </c>
      <c r="B29" s="3">
        <v>3019274</v>
      </c>
      <c r="C29" s="3">
        <v>1920205</v>
      </c>
      <c r="D29" s="34">
        <v>44562.98</v>
      </c>
      <c r="E29" s="32">
        <f t="shared" si="2"/>
        <v>85570057010.900009</v>
      </c>
      <c r="F29" s="32">
        <v>140538</v>
      </c>
      <c r="G29" s="37">
        <f t="shared" si="3"/>
        <v>4.6546951353206099E-2</v>
      </c>
      <c r="H29" s="3">
        <v>92.899990000000003</v>
      </c>
      <c r="I29" s="3">
        <f t="shared" si="4"/>
        <v>0.92899989999999999</v>
      </c>
      <c r="J29" s="16"/>
      <c r="K29" s="16">
        <f>+'Elasticity from change reg'!G57</f>
        <v>1.9440400251680087E-2</v>
      </c>
      <c r="L29" s="16"/>
      <c r="M29" s="16">
        <f>+'Elasticity from change reg'!I57</f>
        <v>2.3021526613831684E-2</v>
      </c>
      <c r="N29" s="32"/>
      <c r="O29" s="35"/>
      <c r="P29" s="36">
        <f t="shared" si="0"/>
        <v>16635161.578509798</v>
      </c>
      <c r="Q29" s="35">
        <f t="shared" si="1"/>
        <v>1.9440400251680086E-4</v>
      </c>
      <c r="R29" s="36"/>
      <c r="S29" s="33"/>
      <c r="T29" s="36">
        <f t="shared" si="5"/>
        <v>32353993.072546773</v>
      </c>
      <c r="U29" s="33">
        <f t="shared" si="6"/>
        <v>2.3021526613831685E-4</v>
      </c>
      <c r="V29" s="13"/>
      <c r="W29" s="11"/>
      <c r="X29" s="11">
        <f>+'Elasticity from change reg'!O57</f>
        <v>3.3694571604040144E-2</v>
      </c>
      <c r="Y29" s="11"/>
      <c r="Z29" s="11">
        <f>+'Elasticity from change reg'!Q57</f>
        <v>3.9901466373205428E-2</v>
      </c>
      <c r="AA29" s="32"/>
      <c r="AB29" s="33"/>
      <c r="AC29" s="40">
        <f t="shared" si="7"/>
        <v>28832464.131155677</v>
      </c>
      <c r="AD29" s="33">
        <f t="shared" si="8"/>
        <v>3.3694571604040146E-4</v>
      </c>
      <c r="AE29" s="40"/>
      <c r="AF29" s="41"/>
      <c r="AG29" s="40">
        <f t="shared" si="9"/>
        <v>56076722.81157545</v>
      </c>
      <c r="AH29" s="41">
        <f t="shared" si="10"/>
        <v>3.9901466373205434E-4</v>
      </c>
      <c r="AJ29" s="11">
        <f>+'Track mile pop elasticities'!H58</f>
        <v>3.4082649367603218E-2</v>
      </c>
      <c r="AK29" s="11">
        <f>+'Track mile pop elasticities'!I58</f>
        <v>6.1324756762019234E-2</v>
      </c>
      <c r="AL29" s="11">
        <f>+'Track mile pop elasticities'!J58</f>
        <v>4.9500990748185626E-2</v>
      </c>
      <c r="AM29" s="11">
        <f>+'Track mile pop elasticities'!K58</f>
        <v>0.11284468322778538</v>
      </c>
      <c r="AN29" s="32">
        <f t="shared" si="11"/>
        <v>29164542.494683225</v>
      </c>
      <c r="AO29" s="33">
        <f t="shared" si="12"/>
        <v>3.408264936760322E-4</v>
      </c>
      <c r="AP29" s="40">
        <f t="shared" si="13"/>
        <v>52475629.323055618</v>
      </c>
      <c r="AQ29" s="33">
        <f t="shared" si="14"/>
        <v>6.1324756762019231E-4</v>
      </c>
      <c r="AR29" s="40">
        <f t="shared" si="15"/>
        <v>69567702.37768513</v>
      </c>
      <c r="AS29" s="41">
        <f t="shared" si="16"/>
        <v>4.950099074818564E-4</v>
      </c>
      <c r="AT29" s="40">
        <f t="shared" si="17"/>
        <v>158589660.91466501</v>
      </c>
      <c r="AU29" s="41">
        <f t="shared" si="18"/>
        <v>1.1284468322778536E-3</v>
      </c>
      <c r="AW29" s="11">
        <f>+'Track mile pop elasticities'!P58</f>
        <v>3.9661526114713692E-2</v>
      </c>
      <c r="AX29" s="11">
        <f>+'Track mile pop elasticities'!Q58</f>
        <v>6.07523715067173E-2</v>
      </c>
      <c r="AY29" s="11">
        <f>+'Track mile pop elasticities'!R58</f>
        <v>5.7603645071369877E-2</v>
      </c>
      <c r="AZ29" s="11">
        <f>+'Track mile pop elasticities'!S58</f>
        <v>0.11179142780160478</v>
      </c>
      <c r="BA29" s="32">
        <f t="shared" si="19"/>
        <v>33938390.507753499</v>
      </c>
      <c r="BB29" s="33">
        <f t="shared" si="20"/>
        <v>3.9661526114713691E-4</v>
      </c>
      <c r="BC29" s="40">
        <f t="shared" si="21"/>
        <v>51985838.933771767</v>
      </c>
      <c r="BD29" s="33">
        <f t="shared" si="22"/>
        <v>6.0752371506717301E-4</v>
      </c>
      <c r="BE29" s="40">
        <f t="shared" si="23"/>
        <v>80955010.710401788</v>
      </c>
      <c r="BF29" s="41">
        <f t="shared" si="24"/>
        <v>5.7603645071369872E-4</v>
      </c>
      <c r="BG29" s="40">
        <f t="shared" si="25"/>
        <v>157109436.8038193</v>
      </c>
      <c r="BH29" s="41">
        <f t="shared" si="26"/>
        <v>1.1179142780160475E-3</v>
      </c>
    </row>
    <row r="30" spans="1:60">
      <c r="A30" s="3" t="s">
        <v>327</v>
      </c>
      <c r="B30" s="3">
        <v>4260236</v>
      </c>
      <c r="C30" s="3">
        <v>2849527</v>
      </c>
      <c r="D30" s="34">
        <v>61146.07</v>
      </c>
      <c r="E30" s="32">
        <f t="shared" si="2"/>
        <v>174237377408.88998</v>
      </c>
      <c r="F30" s="32">
        <v>283010</v>
      </c>
      <c r="G30" s="37">
        <f t="shared" si="3"/>
        <v>6.6430592108042835E-2</v>
      </c>
      <c r="H30" s="3">
        <v>186.5</v>
      </c>
      <c r="I30" s="3">
        <f t="shared" si="4"/>
        <v>1.865</v>
      </c>
      <c r="J30" s="16"/>
      <c r="K30" s="16">
        <f>+'Elasticity from change reg'!G58</f>
        <v>2.2751820955474348E-2</v>
      </c>
      <c r="L30" s="16"/>
      <c r="M30" s="16">
        <f>+'Elasticity from change reg'!I58</f>
        <v>2.6942945868324887E-2</v>
      </c>
      <c r="N30" s="32"/>
      <c r="O30" s="35"/>
      <c r="P30" s="36">
        <f t="shared" si="0"/>
        <v>39642176.145584755</v>
      </c>
      <c r="Q30" s="35">
        <f t="shared" si="1"/>
        <v>2.2751820955474344E-4</v>
      </c>
      <c r="R30" s="36"/>
      <c r="S30" s="33"/>
      <c r="T30" s="36">
        <f t="shared" si="5"/>
        <v>76251231.10194625</v>
      </c>
      <c r="U30" s="33">
        <f t="shared" si="6"/>
        <v>2.6942945868324878E-4</v>
      </c>
      <c r="V30" s="13"/>
      <c r="W30" s="11"/>
      <c r="X30" s="11">
        <f>+'Elasticity from change reg'!O58</f>
        <v>6.6968553603353548E-2</v>
      </c>
      <c r="Y30" s="11"/>
      <c r="Z30" s="11">
        <f>+'Elasticity from change reg'!Q58</f>
        <v>7.930486610923447E-2</v>
      </c>
      <c r="AA30" s="32"/>
      <c r="AB30" s="33"/>
      <c r="AC30" s="40">
        <f t="shared" si="7"/>
        <v>116684251.48714991</v>
      </c>
      <c r="AD30" s="33">
        <f t="shared" si="8"/>
        <v>6.6968553603353543E-4</v>
      </c>
      <c r="AE30" s="40"/>
      <c r="AF30" s="41"/>
      <c r="AG30" s="40">
        <f t="shared" si="9"/>
        <v>224440701.57574448</v>
      </c>
      <c r="AH30" s="41">
        <f t="shared" si="10"/>
        <v>7.9304866109234469E-4</v>
      </c>
      <c r="AJ30" s="11">
        <f>+'Track mile pop elasticities'!H59</f>
        <v>3.4366416884005109E-2</v>
      </c>
      <c r="AK30" s="11">
        <f>+'Track mile pop elasticities'!I59</f>
        <v>6.183533837005728E-2</v>
      </c>
      <c r="AL30" s="11">
        <f>+'Track mile pop elasticities'!J59</f>
        <v>4.9913129283912179E-2</v>
      </c>
      <c r="AM30" s="11">
        <f>+'Track mile pop elasticities'!K59</f>
        <v>0.11378421275652981</v>
      </c>
      <c r="AN30" s="32">
        <f t="shared" si="11"/>
        <v>59879143.488096468</v>
      </c>
      <c r="AO30" s="33">
        <f t="shared" si="12"/>
        <v>3.4366416884005108E-4</v>
      </c>
      <c r="AP30" s="40">
        <f t="shared" si="13"/>
        <v>107740271.88790086</v>
      </c>
      <c r="AQ30" s="33">
        <f t="shared" si="14"/>
        <v>6.1835338370057281E-4</v>
      </c>
      <c r="AR30" s="40">
        <f t="shared" si="15"/>
        <v>141259147.18639985</v>
      </c>
      <c r="AS30" s="41">
        <f t="shared" si="16"/>
        <v>4.9913129283912176E-4</v>
      </c>
      <c r="AT30" s="40">
        <f t="shared" si="17"/>
        <v>322020700.52225494</v>
      </c>
      <c r="AU30" s="41">
        <f t="shared" si="18"/>
        <v>1.137842127565298E-3</v>
      </c>
      <c r="AW30" s="11">
        <f>+'Track mile pop elasticities'!P59</f>
        <v>5.6830550903518955E-2</v>
      </c>
      <c r="AX30" s="11">
        <f>+'Track mile pop elasticities'!Q59</f>
        <v>8.7051384039938506E-2</v>
      </c>
      <c r="AY30" s="11">
        <f>+'Track mile pop elasticities'!R59</f>
        <v>8.2539609645587042E-2</v>
      </c>
      <c r="AZ30" s="11">
        <f>+'Track mile pop elasticities'!S59</f>
        <v>0.16018466888744498</v>
      </c>
      <c r="BA30" s="32">
        <f t="shared" si="19"/>
        <v>99020061.461315662</v>
      </c>
      <c r="BB30" s="33">
        <f t="shared" si="20"/>
        <v>5.6830550903518961E-4</v>
      </c>
      <c r="BC30" s="40">
        <f t="shared" si="21"/>
        <v>151676048.54932988</v>
      </c>
      <c r="BD30" s="33">
        <f t="shared" si="22"/>
        <v>8.7051384039938502E-4</v>
      </c>
      <c r="BE30" s="40">
        <f t="shared" si="23"/>
        <v>233595349.25797591</v>
      </c>
      <c r="BF30" s="41">
        <f t="shared" si="24"/>
        <v>8.2539609645587047E-4</v>
      </c>
      <c r="BG30" s="40">
        <f t="shared" si="25"/>
        <v>453338631.41835797</v>
      </c>
      <c r="BH30" s="41">
        <f t="shared" si="26"/>
        <v>1.6018466888744495E-3</v>
      </c>
    </row>
    <row r="31" spans="1:60">
      <c r="A31" s="3" t="s">
        <v>329</v>
      </c>
      <c r="B31" s="3">
        <v>1810646</v>
      </c>
      <c r="C31">
        <v>1208681</v>
      </c>
      <c r="D31" s="34">
        <v>76360.73</v>
      </c>
      <c r="E31" s="32">
        <f t="shared" si="2"/>
        <v>92295763497.12999</v>
      </c>
      <c r="F31" s="32">
        <v>138071</v>
      </c>
      <c r="G31" s="37">
        <f t="shared" si="3"/>
        <v>7.6255104531752757E-2</v>
      </c>
      <c r="H31" s="3">
        <v>158.4</v>
      </c>
      <c r="I31" s="3">
        <f t="shared" si="4"/>
        <v>1.5840000000000001</v>
      </c>
      <c r="J31" s="16"/>
      <c r="K31" s="16">
        <f>+'Elasticity from change reg'!G59</f>
        <v>2.621301903161288E-2</v>
      </c>
      <c r="L31" s="16"/>
      <c r="M31" s="16">
        <f>+'Elasticity from change reg'!I59</f>
        <v>3.1041733063752096E-2</v>
      </c>
      <c r="N31" s="32"/>
      <c r="O31" s="35"/>
      <c r="P31" s="36">
        <f t="shared" si="0"/>
        <v>24193506.050875098</v>
      </c>
      <c r="Q31" s="35">
        <f t="shared" si="1"/>
        <v>2.6213019031612881E-4</v>
      </c>
      <c r="R31" s="36"/>
      <c r="S31" s="33"/>
      <c r="T31" s="36">
        <f t="shared" si="5"/>
        <v>42859631.258453161</v>
      </c>
      <c r="U31" s="33">
        <f t="shared" si="6"/>
        <v>3.10417330637521E-4</v>
      </c>
      <c r="V31" s="13"/>
      <c r="W31" s="11"/>
      <c r="X31" s="11">
        <f>+'Elasticity from change reg'!O59</f>
        <v>7.1206017160117596E-2</v>
      </c>
      <c r="Y31" s="11"/>
      <c r="Z31" s="11">
        <f>+'Elasticity from change reg'!Q59</f>
        <v>8.4322915058034006E-2</v>
      </c>
      <c r="AA31" s="32"/>
      <c r="AB31" s="33"/>
      <c r="AC31" s="40">
        <f t="shared" si="7"/>
        <v>65720137.193827935</v>
      </c>
      <c r="AD31" s="33">
        <f t="shared" si="8"/>
        <v>7.1206017160117601E-4</v>
      </c>
      <c r="AE31" s="40"/>
      <c r="AF31" s="41"/>
      <c r="AG31" s="40">
        <f t="shared" si="9"/>
        <v>116425492.04977813</v>
      </c>
      <c r="AH31" s="41">
        <f t="shared" si="10"/>
        <v>8.4322915058034E-4</v>
      </c>
      <c r="AJ31" s="11">
        <f>+'Track mile pop elasticities'!H60</f>
        <v>0.16158863485000699</v>
      </c>
      <c r="AK31" s="11">
        <f>+'Track mile pop elasticities'!I60</f>
        <v>0.2907456993969092</v>
      </c>
      <c r="AL31" s="11">
        <f>+'Track mile pop elasticities'!J60</f>
        <v>0.2346882553773911</v>
      </c>
      <c r="AM31" s="11">
        <f>+'Track mile pop elasticities'!K60</f>
        <v>0.53500589452977765</v>
      </c>
      <c r="AN31" s="32">
        <f t="shared" si="11"/>
        <v>149139464.25940341</v>
      </c>
      <c r="AO31" s="33">
        <f t="shared" si="12"/>
        <v>1.6158863485000697E-3</v>
      </c>
      <c r="AP31" s="40">
        <f t="shared" si="13"/>
        <v>268345963.0934478</v>
      </c>
      <c r="AQ31" s="33">
        <f t="shared" si="14"/>
        <v>2.907456993969092E-3</v>
      </c>
      <c r="AR31" s="40">
        <f t="shared" si="15"/>
        <v>324036421.08211768</v>
      </c>
      <c r="AS31" s="41">
        <f t="shared" si="16"/>
        <v>2.3468825537739111E-3</v>
      </c>
      <c r="AT31" s="40">
        <f t="shared" si="17"/>
        <v>738687988.63620925</v>
      </c>
      <c r="AU31" s="41">
        <f t="shared" si="18"/>
        <v>5.3500589452977762E-3</v>
      </c>
      <c r="AW31" s="11">
        <f>+'Track mile pop elasticities'!P60</f>
        <v>0.28614727711465499</v>
      </c>
      <c r="AX31" s="11">
        <f>+'Track mile pop elasticities'!Q60</f>
        <v>0.43831207187097909</v>
      </c>
      <c r="AY31" s="11">
        <f>+'Track mile pop elasticities'!R60</f>
        <v>0.41559485485699887</v>
      </c>
      <c r="AZ31" s="11">
        <f>+'Track mile pop elasticities'!S60</f>
        <v>0.80654517876258647</v>
      </c>
      <c r="BA31" s="32">
        <f t="shared" si="19"/>
        <v>264101814.13921914</v>
      </c>
      <c r="BB31" s="33">
        <f t="shared" si="20"/>
        <v>2.8614727711465497E-3</v>
      </c>
      <c r="BC31" s="40">
        <f t="shared" si="21"/>
        <v>404543473.23340929</v>
      </c>
      <c r="BD31" s="33">
        <f t="shared" si="22"/>
        <v>4.3831207187097912E-3</v>
      </c>
      <c r="BE31" s="40">
        <f t="shared" si="23"/>
        <v>573815972.04960692</v>
      </c>
      <c r="BF31" s="41">
        <f t="shared" si="24"/>
        <v>4.1559485485699885E-3</v>
      </c>
      <c r="BG31" s="40">
        <f t="shared" si="25"/>
        <v>1113604993.7692907</v>
      </c>
      <c r="BH31" s="41">
        <f t="shared" si="26"/>
        <v>8.0654517876258634E-3</v>
      </c>
    </row>
    <row r="32" spans="1:60">
      <c r="A32" s="3" t="s">
        <v>331</v>
      </c>
      <c r="B32" s="3">
        <v>3356637</v>
      </c>
      <c r="C32">
        <v>2306396</v>
      </c>
      <c r="D32" s="34">
        <v>51606.48</v>
      </c>
      <c r="E32" s="32">
        <f t="shared" si="2"/>
        <v>119024979046.08</v>
      </c>
      <c r="F32" s="32">
        <v>194038</v>
      </c>
      <c r="G32" s="37">
        <f t="shared" si="3"/>
        <v>5.7807263639172185E-2</v>
      </c>
      <c r="H32" s="3">
        <v>86.8</v>
      </c>
      <c r="I32" s="3">
        <f t="shared" si="4"/>
        <v>0.86799999999999999</v>
      </c>
      <c r="J32" s="16"/>
      <c r="K32" s="16">
        <f>+'Elasticity from change reg'!G60</f>
        <v>1.262012953257464E-2</v>
      </c>
      <c r="L32" s="16"/>
      <c r="M32" s="16">
        <f>+'Elasticity from change reg'!I60</f>
        <v>1.4944890235943652E-2</v>
      </c>
      <c r="N32" s="32"/>
      <c r="O32" s="35"/>
      <c r="P32" s="36">
        <f t="shared" si="0"/>
        <v>15021106.53173512</v>
      </c>
      <c r="Q32" s="35">
        <f t="shared" si="1"/>
        <v>1.2620129532574641E-4</v>
      </c>
      <c r="R32" s="36"/>
      <c r="S32" s="33"/>
      <c r="T32" s="36">
        <f t="shared" si="5"/>
        <v>28998766.11602034</v>
      </c>
      <c r="U32" s="33">
        <f t="shared" si="6"/>
        <v>1.4944890235943652E-4</v>
      </c>
      <c r="V32" s="13"/>
      <c r="W32" s="11"/>
      <c r="X32" s="11">
        <f>+'Elasticity from change reg'!O60</f>
        <v>1.5586392593721797E-2</v>
      </c>
      <c r="Y32" s="11"/>
      <c r="Z32" s="11">
        <f>+'Elasticity from change reg'!Q60</f>
        <v>1.8457570176775812E-2</v>
      </c>
      <c r="AA32" s="32"/>
      <c r="AB32" s="33"/>
      <c r="AC32" s="40">
        <f t="shared" si="7"/>
        <v>18551700.518717133</v>
      </c>
      <c r="AD32" s="33">
        <f t="shared" si="8"/>
        <v>1.5586392593721797E-4</v>
      </c>
      <c r="AE32" s="40"/>
      <c r="AF32" s="41"/>
      <c r="AG32" s="40">
        <f t="shared" si="9"/>
        <v>35814700.019612253</v>
      </c>
      <c r="AH32" s="41">
        <f t="shared" si="10"/>
        <v>1.8457570176775814E-4</v>
      </c>
      <c r="AJ32" s="11">
        <f>+'Track mile pop elasticities'!H61</f>
        <v>2.5765211036804819E-2</v>
      </c>
      <c r="AK32" s="11">
        <f>+'Track mile pop elasticities'!I61</f>
        <v>4.6359227614976392E-2</v>
      </c>
      <c r="AL32" s="11">
        <f>+'Track mile pop elasticities'!J61</f>
        <v>3.7420901743930805E-2</v>
      </c>
      <c r="AM32" s="11">
        <f>+'Track mile pop elasticities'!K61</f>
        <v>8.5306369419418757E-2</v>
      </c>
      <c r="AN32" s="32">
        <f t="shared" si="11"/>
        <v>30667037.037735227</v>
      </c>
      <c r="AO32" s="33">
        <f t="shared" si="12"/>
        <v>2.5765211036804818E-4</v>
      </c>
      <c r="AP32" s="40">
        <f t="shared" si="13"/>
        <v>55179060.954650179</v>
      </c>
      <c r="AQ32" s="33">
        <f t="shared" si="14"/>
        <v>4.6359227614976389E-4</v>
      </c>
      <c r="AR32" s="40">
        <f t="shared" si="15"/>
        <v>72610769.325888455</v>
      </c>
      <c r="AS32" s="41">
        <f t="shared" si="16"/>
        <v>3.7420901743930805E-4</v>
      </c>
      <c r="AT32" s="40">
        <f t="shared" si="17"/>
        <v>165526773.09405178</v>
      </c>
      <c r="AU32" s="41">
        <f t="shared" si="18"/>
        <v>8.5306369419418764E-4</v>
      </c>
      <c r="AW32" s="11">
        <f>+'Track mile pop elasticities'!P61</f>
        <v>2.5529084846712347E-2</v>
      </c>
      <c r="AX32" s="11">
        <f>+'Track mile pop elasticities'!Q61</f>
        <v>3.9104709242607803E-2</v>
      </c>
      <c r="AY32" s="11">
        <f>+'Track mile pop elasticities'!R61</f>
        <v>3.7077956563082215E-2</v>
      </c>
      <c r="AZ32" s="11">
        <f>+'Track mile pop elasticities'!S61</f>
        <v>7.1957212065612619E-2</v>
      </c>
      <c r="BA32" s="32">
        <f t="shared" si="19"/>
        <v>30385987.889455352</v>
      </c>
      <c r="BB32" s="33">
        <f t="shared" si="20"/>
        <v>2.5529084846712341E-4</v>
      </c>
      <c r="BC32" s="40">
        <f t="shared" si="21"/>
        <v>46544371.982044443</v>
      </c>
      <c r="BD32" s="33">
        <f t="shared" si="22"/>
        <v>3.9104709242607802E-4</v>
      </c>
      <c r="BE32" s="40">
        <f t="shared" si="23"/>
        <v>71945325.355873466</v>
      </c>
      <c r="BF32" s="41">
        <f t="shared" si="24"/>
        <v>3.7077956563082214E-4</v>
      </c>
      <c r="BG32" s="40">
        <f t="shared" si="25"/>
        <v>139624335.1478734</v>
      </c>
      <c r="BH32" s="41">
        <f t="shared" si="26"/>
        <v>7.1957212065612607E-4</v>
      </c>
    </row>
    <row r="33" spans="1:60">
      <c r="A33" s="3" t="s">
        <v>333</v>
      </c>
      <c r="B33">
        <v>2730007</v>
      </c>
      <c r="C33">
        <v>1576110</v>
      </c>
      <c r="D33" s="34">
        <v>38033.29</v>
      </c>
      <c r="E33" s="32">
        <f t="shared" si="2"/>
        <v>59944648701.900002</v>
      </c>
      <c r="F33" s="1">
        <v>98666</v>
      </c>
      <c r="G33" s="37">
        <f t="shared" si="3"/>
        <v>3.6141299271393812E-2</v>
      </c>
      <c r="H33">
        <v>2.4</v>
      </c>
      <c r="I33" s="3">
        <f t="shared" si="4"/>
        <v>2.4E-2</v>
      </c>
      <c r="J33" s="16"/>
      <c r="K33" s="16">
        <f>+'Elasticity from change reg'!G61</f>
        <v>4.8752412169486195E-4</v>
      </c>
      <c r="L33" s="16"/>
      <c r="M33" s="16">
        <f>+'Elasticity from change reg'!I61</f>
        <v>5.7733119674391548E-4</v>
      </c>
      <c r="N33" s="32"/>
      <c r="O33" s="35"/>
      <c r="P33" s="36">
        <f t="shared" si="0"/>
        <v>292244.62208700844</v>
      </c>
      <c r="Q33" s="35">
        <f t="shared" si="1"/>
        <v>4.8752412169486192E-6</v>
      </c>
      <c r="R33" s="36"/>
      <c r="S33" s="33"/>
      <c r="T33" s="36">
        <f t="shared" si="5"/>
        <v>569629.59857935167</v>
      </c>
      <c r="U33" s="33">
        <f t="shared" si="6"/>
        <v>5.7733119674391554E-6</v>
      </c>
      <c r="V33" s="13"/>
      <c r="W33" s="11"/>
      <c r="X33" s="11">
        <f>+'Elasticity from change reg'!O61</f>
        <v>1.3895277636535681E-3</v>
      </c>
      <c r="Y33" s="11"/>
      <c r="Z33" s="11">
        <f>+'Elasticity from change reg'!Q61</f>
        <v>1.6454934043265937E-3</v>
      </c>
      <c r="AA33" s="32"/>
      <c r="AB33" s="33"/>
      <c r="AC33" s="40">
        <f t="shared" si="7"/>
        <v>832947.53653749882</v>
      </c>
      <c r="AD33" s="33">
        <f t="shared" si="8"/>
        <v>1.3895277636535683E-5</v>
      </c>
      <c r="AE33" s="40"/>
      <c r="AF33" s="41"/>
      <c r="AG33" s="40">
        <f t="shared" si="9"/>
        <v>1623542.5223128772</v>
      </c>
      <c r="AH33" s="41">
        <f t="shared" si="10"/>
        <v>1.6454934043265938E-5</v>
      </c>
      <c r="AJ33" s="11">
        <f>+'Track mile pop elasticities'!H62</f>
        <v>1.0769770636777434E-3</v>
      </c>
      <c r="AK33" s="11">
        <f>+'Track mile pop elasticities'!I62</f>
        <v>1.9377999566867531E-3</v>
      </c>
      <c r="AL33" s="11">
        <f>+'Track mile pop elasticities'!J62</f>
        <v>1.5641809734367224E-3</v>
      </c>
      <c r="AM33" s="11">
        <f>+'Track mile pop elasticities'!K62</f>
        <v>3.5657772458799844E-3</v>
      </c>
      <c r="AN33" s="32">
        <f t="shared" si="11"/>
        <v>645590.11742166127</v>
      </c>
      <c r="AO33" s="33">
        <f t="shared" si="12"/>
        <v>1.0769770636777436E-5</v>
      </c>
      <c r="AP33" s="40">
        <f t="shared" si="13"/>
        <v>1161607.3765814446</v>
      </c>
      <c r="AQ33" s="33">
        <f t="shared" si="14"/>
        <v>1.9377999566867534E-5</v>
      </c>
      <c r="AR33" s="40">
        <f t="shared" si="15"/>
        <v>1543314.7992510765</v>
      </c>
      <c r="AS33" s="41">
        <f t="shared" si="16"/>
        <v>1.5641809734367223E-5</v>
      </c>
      <c r="AT33" s="40">
        <f t="shared" si="17"/>
        <v>3518209.7774199457</v>
      </c>
      <c r="AU33" s="41">
        <f t="shared" si="18"/>
        <v>3.5657772458799847E-5</v>
      </c>
      <c r="AW33" s="11">
        <f>+'Track mile pop elasticities'!P62</f>
        <v>9.6849623251786521E-4</v>
      </c>
      <c r="AX33" s="11">
        <f>+'Track mile pop elasticities'!Q62</f>
        <v>1.4835143446220904E-3</v>
      </c>
      <c r="AY33" s="11">
        <f>+'Track mile pop elasticities'!R62</f>
        <v>1.4066254805616613E-3</v>
      </c>
      <c r="AZ33" s="11">
        <f>+'Track mile pop elasticities'!S62</f>
        <v>2.7298388957726258E-3</v>
      </c>
      <c r="BA33" s="32">
        <f t="shared" si="19"/>
        <v>580561.66427397099</v>
      </c>
      <c r="BB33" s="33">
        <f t="shared" si="20"/>
        <v>9.6849623251786528E-6</v>
      </c>
      <c r="BC33" s="40">
        <f t="shared" si="21"/>
        <v>889287.46232600627</v>
      </c>
      <c r="BD33" s="33">
        <f t="shared" si="22"/>
        <v>1.4835143446220904E-5</v>
      </c>
      <c r="BE33" s="40">
        <f t="shared" si="23"/>
        <v>1387861.0966509688</v>
      </c>
      <c r="BF33" s="41">
        <f t="shared" si="24"/>
        <v>1.4066254805616614E-5</v>
      </c>
      <c r="BG33" s="40">
        <f t="shared" si="25"/>
        <v>2693422.8449030193</v>
      </c>
      <c r="BH33" s="41">
        <f t="shared" si="26"/>
        <v>2.7298388957726259E-5</v>
      </c>
    </row>
    <row r="34" spans="1:60">
      <c r="A34" s="3" t="s">
        <v>335</v>
      </c>
      <c r="B34">
        <v>364571</v>
      </c>
      <c r="C34">
        <v>273317</v>
      </c>
      <c r="D34" s="34">
        <v>54212.63</v>
      </c>
      <c r="E34" s="32">
        <f t="shared" si="2"/>
        <v>14817233393.709999</v>
      </c>
      <c r="F34" s="1">
        <v>20072</v>
      </c>
      <c r="G34" s="37">
        <f t="shared" si="3"/>
        <v>5.505649105386879E-2</v>
      </c>
      <c r="H34">
        <v>6.9</v>
      </c>
      <c r="I34" s="3">
        <f t="shared" si="4"/>
        <v>6.9000000000000006E-2</v>
      </c>
      <c r="J34" s="16"/>
      <c r="K34" s="16">
        <f>+'Elasticity from change reg'!G62</f>
        <v>1.2294122809292682E-3</v>
      </c>
      <c r="L34" s="16"/>
      <c r="M34" s="16">
        <f>+'Elasticity from change reg'!I62</f>
        <v>1.4558829642583439E-3</v>
      </c>
      <c r="N34" s="32"/>
      <c r="O34" s="35"/>
      <c r="P34" s="36">
        <f t="shared" si="0"/>
        <v>182164.88703622331</v>
      </c>
      <c r="Q34" s="35">
        <f t="shared" si="1"/>
        <v>1.2294122809292683E-5</v>
      </c>
      <c r="R34" s="36"/>
      <c r="S34" s="33"/>
      <c r="T34" s="36">
        <f t="shared" si="5"/>
        <v>292224.82858593477</v>
      </c>
      <c r="U34" s="33">
        <f t="shared" si="6"/>
        <v>1.4558829642583439E-5</v>
      </c>
      <c r="V34" s="13"/>
      <c r="W34" s="11"/>
      <c r="X34" s="11">
        <f>+'Elasticity from change reg'!O62</f>
        <v>3.9611305523160119E-2</v>
      </c>
      <c r="Y34" s="11"/>
      <c r="Z34" s="11">
        <f>+'Elasticity from change reg'!Q62</f>
        <v>4.6908124961636981E-2</v>
      </c>
      <c r="AA34" s="32"/>
      <c r="AB34" s="33"/>
      <c r="AC34" s="40">
        <f t="shared" si="7"/>
        <v>5869299.5896621747</v>
      </c>
      <c r="AD34" s="33">
        <f t="shared" si="8"/>
        <v>3.9611305523160121E-4</v>
      </c>
      <c r="AE34" s="40"/>
      <c r="AF34" s="41"/>
      <c r="AG34" s="40">
        <f t="shared" si="9"/>
        <v>9415398.8422997743</v>
      </c>
      <c r="AH34" s="41">
        <f t="shared" si="10"/>
        <v>4.6908124961636983E-4</v>
      </c>
      <c r="AJ34" s="11">
        <f>+'Track mile pop elasticities'!H63</f>
        <v>0.17362313171239324</v>
      </c>
      <c r="AK34" s="11">
        <f>+'Track mile pop elasticities'!I63</f>
        <v>0.31239931513784475</v>
      </c>
      <c r="AL34" s="11">
        <f>+'Track mile pop elasticities'!J63</f>
        <v>0.25216692939180918</v>
      </c>
      <c r="AM34" s="11">
        <f>+'Track mile pop elasticities'!K63</f>
        <v>0.57485106535539454</v>
      </c>
      <c r="AN34" s="32">
        <f t="shared" si="11"/>
        <v>25726144.651293825</v>
      </c>
      <c r="AO34" s="33">
        <f t="shared" si="12"/>
        <v>1.7362313171239323E-3</v>
      </c>
      <c r="AP34" s="40">
        <f t="shared" si="13"/>
        <v>46288935.644326068</v>
      </c>
      <c r="AQ34" s="33">
        <f t="shared" si="14"/>
        <v>3.1239931513784474E-3</v>
      </c>
      <c r="AR34" s="40">
        <f t="shared" si="15"/>
        <v>50614946.067523941</v>
      </c>
      <c r="AS34" s="41">
        <f t="shared" si="16"/>
        <v>2.5216692939180919E-3</v>
      </c>
      <c r="AT34" s="40">
        <f t="shared" si="17"/>
        <v>115384105.83813478</v>
      </c>
      <c r="AU34" s="41">
        <f t="shared" si="18"/>
        <v>5.7485106535539445E-3</v>
      </c>
      <c r="AW34" s="11">
        <f>+'Track mile pop elasticities'!P63</f>
        <v>0.15520427947048718</v>
      </c>
      <c r="AX34" s="11">
        <f>+'Track mile pop elasticities'!Q63</f>
        <v>0.2377373986707339</v>
      </c>
      <c r="AY34" s="11">
        <f>+'Track mile pop elasticities'!R63</f>
        <v>0.22541573923094563</v>
      </c>
      <c r="AZ34" s="11">
        <f>+'Track mile pop elasticities'!S63</f>
        <v>0.43746445743771672</v>
      </c>
      <c r="BA34" s="32">
        <f t="shared" si="19"/>
        <v>22996980.326168019</v>
      </c>
      <c r="BB34" s="33">
        <f t="shared" si="20"/>
        <v>1.5520427947048718E-3</v>
      </c>
      <c r="BC34" s="40">
        <f t="shared" si="21"/>
        <v>35226105.225177459</v>
      </c>
      <c r="BD34" s="33">
        <f t="shared" si="22"/>
        <v>2.3773739867073394E-3</v>
      </c>
      <c r="BE34" s="40">
        <f t="shared" si="23"/>
        <v>45245447.178435408</v>
      </c>
      <c r="BF34" s="41">
        <f t="shared" si="24"/>
        <v>2.2541573923094567E-3</v>
      </c>
      <c r="BG34" s="40">
        <f t="shared" si="25"/>
        <v>87807865.896898493</v>
      </c>
      <c r="BH34" s="41">
        <f t="shared" si="26"/>
        <v>4.3746445743771661E-3</v>
      </c>
    </row>
    <row r="35" spans="1:60">
      <c r="A35" s="3" t="s">
        <v>337</v>
      </c>
      <c r="B35">
        <v>5377936</v>
      </c>
      <c r="C35">
        <v>3904006</v>
      </c>
      <c r="D35" s="34">
        <v>55048.91</v>
      </c>
      <c r="E35" s="32">
        <f t="shared" si="2"/>
        <v>214911274933.46002</v>
      </c>
      <c r="F35" s="1">
        <v>312626</v>
      </c>
      <c r="G35" s="37">
        <f t="shared" si="3"/>
        <v>5.8131223577223681E-2</v>
      </c>
      <c r="H35">
        <v>327</v>
      </c>
      <c r="I35" s="3">
        <f t="shared" si="4"/>
        <v>3.27</v>
      </c>
      <c r="J35" s="16"/>
      <c r="K35" s="16">
        <f>+'Elasticity from change reg'!G63</f>
        <v>3.1310469382319329E-2</v>
      </c>
      <c r="L35" s="16"/>
      <c r="M35" s="16">
        <f>+'Elasticity from change reg'!I63</f>
        <v>3.7078187426430785E-2</v>
      </c>
      <c r="N35" s="32"/>
      <c r="O35" s="35"/>
      <c r="P35" s="36">
        <f t="shared" si="0"/>
        <v>67289728.937193125</v>
      </c>
      <c r="Q35" s="35">
        <f t="shared" si="1"/>
        <v>3.1310469382319332E-4</v>
      </c>
      <c r="R35" s="36"/>
      <c r="S35" s="33"/>
      <c r="T35" s="36">
        <f t="shared" si="5"/>
        <v>115916054.2237535</v>
      </c>
      <c r="U35" s="33">
        <f t="shared" si="6"/>
        <v>3.707818742643078E-4</v>
      </c>
      <c r="V35" s="13"/>
      <c r="W35" s="11"/>
      <c r="X35" s="11">
        <f>+'Elasticity from change reg'!O63</f>
        <v>5.1077950084253407E-2</v>
      </c>
      <c r="Y35" s="11"/>
      <c r="Z35" s="11">
        <f>+'Elasticity from change reg'!Q63</f>
        <v>6.0487046152405355E-2</v>
      </c>
      <c r="AA35" s="32"/>
      <c r="AB35" s="33"/>
      <c r="AC35" s="40">
        <f t="shared" si="7"/>
        <v>109772273.73594533</v>
      </c>
      <c r="AD35" s="33">
        <f t="shared" si="8"/>
        <v>5.1077950084253416E-4</v>
      </c>
      <c r="AE35" s="40"/>
      <c r="AF35" s="41"/>
      <c r="AG35" s="40">
        <f t="shared" si="9"/>
        <v>189098232.90441877</v>
      </c>
      <c r="AH35" s="41">
        <f t="shared" si="10"/>
        <v>6.0487046152405354E-4</v>
      </c>
      <c r="AJ35" s="11">
        <f>+'Track mile pop elasticities'!H64</f>
        <v>3.7812833920537949E-2</v>
      </c>
      <c r="AK35" s="11">
        <f>+'Track mile pop elasticities'!I64</f>
        <v>6.8036460946718003E-2</v>
      </c>
      <c r="AL35" s="11">
        <f>+'Track mile pop elasticities'!J64</f>
        <v>5.4918639741733687E-2</v>
      </c>
      <c r="AM35" s="11">
        <f>+'Track mile pop elasticities'!K64</f>
        <v>0.12519499935835027</v>
      </c>
      <c r="AN35" s="32">
        <f t="shared" si="11"/>
        <v>81264043.46709995</v>
      </c>
      <c r="AO35" s="33">
        <f t="shared" si="12"/>
        <v>3.7812833920537953E-4</v>
      </c>
      <c r="AP35" s="40">
        <f t="shared" si="13"/>
        <v>146218025.64019731</v>
      </c>
      <c r="AQ35" s="33">
        <f t="shared" si="14"/>
        <v>6.803646094671801E-4</v>
      </c>
      <c r="AR35" s="40">
        <f t="shared" si="15"/>
        <v>171689946.67899236</v>
      </c>
      <c r="AS35" s="41">
        <f t="shared" si="16"/>
        <v>5.491863974173369E-4</v>
      </c>
      <c r="AT35" s="40">
        <f t="shared" si="17"/>
        <v>391392118.69403613</v>
      </c>
      <c r="AU35" s="41">
        <f t="shared" si="18"/>
        <v>1.2519499935835026E-3</v>
      </c>
      <c r="AW35" s="11">
        <f>+'Track mile pop elasticities'!P64</f>
        <v>4.3136950498783168E-2</v>
      </c>
      <c r="AX35" s="11">
        <f>+'Track mile pop elasticities'!Q64</f>
        <v>6.6075925439407851E-2</v>
      </c>
      <c r="AY35" s="11">
        <f>+'Track mile pop elasticities'!R64</f>
        <v>6.2651285248232699E-2</v>
      </c>
      <c r="AZ35" s="11">
        <f>+'Track mile pop elasticities'!S64</f>
        <v>0.12158738605565457</v>
      </c>
      <c r="BA35" s="32">
        <f t="shared" si="19"/>
        <v>92706170.284350455</v>
      </c>
      <c r="BB35" s="33">
        <f t="shared" si="20"/>
        <v>4.3136950498783168E-4</v>
      </c>
      <c r="BC35" s="40">
        <f t="shared" si="21"/>
        <v>142004613.78591388</v>
      </c>
      <c r="BD35" s="33">
        <f t="shared" si="22"/>
        <v>6.6075925439407863E-4</v>
      </c>
      <c r="BE35" s="40">
        <f t="shared" si="23"/>
        <v>195864207.02013996</v>
      </c>
      <c r="BF35" s="41">
        <f t="shared" si="24"/>
        <v>6.265128524823271E-4</v>
      </c>
      <c r="BG35" s="40">
        <f t="shared" si="25"/>
        <v>380113781.53035069</v>
      </c>
      <c r="BH35" s="41">
        <f t="shared" si="26"/>
        <v>1.2158738605565459E-3</v>
      </c>
    </row>
  </sheetData>
  <mergeCells count="3">
    <mergeCell ref="W2:Z2"/>
    <mergeCell ref="AJ2:AM2"/>
    <mergeCell ref="AW2:AZ2"/>
  </mergeCells>
  <pageMargins left="0.7" right="0.7" top="0.75" bottom="0.75" header="0.3" footer="0.3"/>
  <pageSetup orientation="portrait" verticalDpi="0" r:id="rId1"/>
</worksheet>
</file>

<file path=xl/worksheets/sheet25.xml><?xml version="1.0" encoding="utf-8"?>
<worksheet xmlns="http://schemas.openxmlformats.org/spreadsheetml/2006/main" xmlns:r="http://schemas.openxmlformats.org/officeDocument/2006/relationships">
  <dimension ref="A1:G368"/>
  <sheetViews>
    <sheetView topLeftCell="A338" workbookViewId="0"/>
  </sheetViews>
  <sheetFormatPr defaultRowHeight="15"/>
  <cols>
    <col min="1" max="1" width="20.28515625" customWidth="1"/>
    <col min="2" max="2" width="23.7109375" customWidth="1"/>
    <col min="3" max="3" width="24" customWidth="1"/>
    <col min="4" max="4" width="20.85546875" customWidth="1"/>
    <col min="5" max="7" width="19.28515625" customWidth="1"/>
  </cols>
  <sheetData>
    <row r="1" spans="1:7">
      <c r="B1" t="s">
        <v>1252</v>
      </c>
      <c r="C1" t="s">
        <v>1253</v>
      </c>
      <c r="D1" t="s">
        <v>1251</v>
      </c>
      <c r="E1" t="s">
        <v>1258</v>
      </c>
      <c r="F1" t="s">
        <v>1256</v>
      </c>
      <c r="G1" t="s">
        <v>1257</v>
      </c>
    </row>
    <row r="2" spans="1:7">
      <c r="B2" s="68">
        <f>SUM(C5:C368)</f>
        <v>155091322</v>
      </c>
      <c r="C2" s="51">
        <f>SUM(D5:D368)</f>
        <v>6808976993202.5273</v>
      </c>
      <c r="D2" s="40">
        <f>+C2/B2</f>
        <v>43903.017302299653</v>
      </c>
      <c r="E2" s="68">
        <f>SUM(E5:E368)</f>
        <v>254587508</v>
      </c>
      <c r="F2" s="51">
        <f>SUM(G5:G368)</f>
        <v>11214301555816.99</v>
      </c>
      <c r="G2" s="40">
        <f>+F2/E2</f>
        <v>44048.907363581209</v>
      </c>
    </row>
    <row r="4" spans="1:7">
      <c r="A4" t="s">
        <v>274</v>
      </c>
      <c r="B4" t="s">
        <v>1196</v>
      </c>
      <c r="C4" t="s">
        <v>1197</v>
      </c>
      <c r="D4" t="s">
        <v>1250</v>
      </c>
      <c r="E4" t="s">
        <v>130</v>
      </c>
      <c r="F4" t="s">
        <v>1255</v>
      </c>
      <c r="G4" t="s">
        <v>1256</v>
      </c>
    </row>
    <row r="5" spans="1:7">
      <c r="A5" t="s">
        <v>279</v>
      </c>
      <c r="B5">
        <v>30197.81</v>
      </c>
      <c r="C5">
        <v>101226</v>
      </c>
      <c r="D5">
        <f>+C5*B5</f>
        <v>3056803515.0599999</v>
      </c>
      <c r="E5">
        <v>159059</v>
      </c>
      <c r="F5">
        <v>2.7637499999999999E-2</v>
      </c>
      <c r="G5" s="51">
        <f>+F5*E5*1000000</f>
        <v>4395993112.499999</v>
      </c>
    </row>
    <row r="6" spans="1:7">
      <c r="A6" t="s">
        <v>968</v>
      </c>
      <c r="B6">
        <v>38704.769999999997</v>
      </c>
      <c r="C6">
        <v>424392</v>
      </c>
      <c r="D6">
        <f t="shared" ref="D6:D69" si="0">+C6*B6</f>
        <v>16425994749.839998</v>
      </c>
      <c r="E6">
        <v>699954</v>
      </c>
      <c r="F6">
        <v>3.5646600000000001E-2</v>
      </c>
      <c r="G6" s="51">
        <f t="shared" ref="G6:G69" si="1">+F6*E6*1000000</f>
        <v>24950980256.400002</v>
      </c>
    </row>
    <row r="7" spans="1:7">
      <c r="A7" t="s">
        <v>281</v>
      </c>
      <c r="B7">
        <v>29913.37</v>
      </c>
      <c r="C7">
        <v>82255</v>
      </c>
      <c r="D7">
        <f t="shared" si="0"/>
        <v>2460524249.3499999</v>
      </c>
      <c r="E7">
        <v>164488</v>
      </c>
      <c r="F7">
        <v>2.2481899999999999E-2</v>
      </c>
      <c r="G7" s="51">
        <f t="shared" si="1"/>
        <v>3698002767.1999998</v>
      </c>
    </row>
    <row r="8" spans="1:7">
      <c r="A8" t="s">
        <v>283</v>
      </c>
      <c r="B8">
        <v>39400.06</v>
      </c>
      <c r="C8">
        <v>554009</v>
      </c>
      <c r="D8">
        <f t="shared" si="0"/>
        <v>21827987840.539997</v>
      </c>
      <c r="E8">
        <v>854301</v>
      </c>
      <c r="F8">
        <v>3.6542199999999997E-2</v>
      </c>
      <c r="G8" s="51">
        <f t="shared" si="1"/>
        <v>31218038002.200001</v>
      </c>
    </row>
    <row r="9" spans="1:7">
      <c r="A9" t="s">
        <v>278</v>
      </c>
      <c r="B9">
        <v>35760.019999999997</v>
      </c>
      <c r="C9">
        <v>512994</v>
      </c>
      <c r="D9">
        <f t="shared" si="0"/>
        <v>18344675699.879997</v>
      </c>
      <c r="E9">
        <v>846582</v>
      </c>
      <c r="F9">
        <v>3.3948300000000001E-2</v>
      </c>
      <c r="G9" s="51">
        <f t="shared" si="1"/>
        <v>28740019710.600002</v>
      </c>
    </row>
    <row r="10" spans="1:7">
      <c r="A10" t="s">
        <v>286</v>
      </c>
      <c r="B10">
        <v>30911.47</v>
      </c>
      <c r="C10">
        <v>85873</v>
      </c>
      <c r="D10">
        <f t="shared" si="0"/>
        <v>2654460663.3099999</v>
      </c>
      <c r="E10">
        <v>153451</v>
      </c>
      <c r="F10">
        <v>2.6633899999999999E-2</v>
      </c>
      <c r="G10" s="51">
        <f t="shared" si="1"/>
        <v>4086998588.9000001</v>
      </c>
    </row>
    <row r="11" spans="1:7">
      <c r="A11" t="s">
        <v>288</v>
      </c>
      <c r="B11">
        <v>41078.980000000003</v>
      </c>
      <c r="C11">
        <v>434311</v>
      </c>
      <c r="D11">
        <f t="shared" si="0"/>
        <v>17841052882.780003</v>
      </c>
      <c r="E11">
        <v>811669</v>
      </c>
      <c r="F11">
        <v>3.3315299999999999E-2</v>
      </c>
      <c r="G11" s="51">
        <f t="shared" si="1"/>
        <v>27040996235.700001</v>
      </c>
    </row>
    <row r="12" spans="1:7">
      <c r="A12" t="s">
        <v>290</v>
      </c>
      <c r="B12">
        <v>30581.5</v>
      </c>
      <c r="C12">
        <v>75556</v>
      </c>
      <c r="D12">
        <f t="shared" si="0"/>
        <v>2310615814</v>
      </c>
      <c r="E12">
        <v>125923</v>
      </c>
      <c r="F12">
        <v>2.92719E-2</v>
      </c>
      <c r="G12" s="51">
        <f t="shared" si="1"/>
        <v>3686005463.6999998</v>
      </c>
    </row>
    <row r="13" spans="1:7">
      <c r="A13" t="s">
        <v>292</v>
      </c>
      <c r="B13">
        <v>34160.629999999997</v>
      </c>
      <c r="C13">
        <v>158038</v>
      </c>
      <c r="D13">
        <f t="shared" si="0"/>
        <v>5398677643.9399996</v>
      </c>
      <c r="E13">
        <v>243682</v>
      </c>
      <c r="F13">
        <v>3.5226199999999999E-2</v>
      </c>
      <c r="G13" s="51">
        <f t="shared" si="1"/>
        <v>8583990868.4000006</v>
      </c>
    </row>
    <row r="14" spans="1:7">
      <c r="A14" t="s">
        <v>294</v>
      </c>
      <c r="B14">
        <v>30557.7</v>
      </c>
      <c r="C14">
        <v>57218</v>
      </c>
      <c r="D14">
        <f t="shared" si="0"/>
        <v>1748450478.6000001</v>
      </c>
      <c r="E14">
        <v>86219</v>
      </c>
      <c r="F14">
        <v>3.0503700000000002E-2</v>
      </c>
      <c r="G14" s="51">
        <f t="shared" si="1"/>
        <v>2629998510.3000002</v>
      </c>
    </row>
    <row r="15" spans="1:7">
      <c r="A15" t="s">
        <v>296</v>
      </c>
      <c r="B15">
        <v>52499.14</v>
      </c>
      <c r="C15">
        <v>236261</v>
      </c>
      <c r="D15">
        <f t="shared" si="0"/>
        <v>12403499315.539999</v>
      </c>
      <c r="E15">
        <v>365790</v>
      </c>
      <c r="F15">
        <v>6.0696E-2</v>
      </c>
      <c r="G15" s="51">
        <f t="shared" si="1"/>
        <v>22201989840</v>
      </c>
    </row>
    <row r="16" spans="1:7">
      <c r="A16" t="s">
        <v>298</v>
      </c>
      <c r="B16">
        <v>29337.73</v>
      </c>
      <c r="C16">
        <v>53469</v>
      </c>
      <c r="D16">
        <f t="shared" si="0"/>
        <v>1568659085.3699999</v>
      </c>
      <c r="E16">
        <v>131253</v>
      </c>
      <c r="F16">
        <v>2.1508099999999999E-2</v>
      </c>
      <c r="G16" s="51">
        <f t="shared" si="1"/>
        <v>2823002649.3000002</v>
      </c>
    </row>
    <row r="17" spans="1:7">
      <c r="A17" t="s">
        <v>1198</v>
      </c>
      <c r="B17">
        <v>30150.93</v>
      </c>
      <c r="C17">
        <v>90035</v>
      </c>
      <c r="D17">
        <f t="shared" si="0"/>
        <v>2714638982.5500002</v>
      </c>
      <c r="E17">
        <v>182937</v>
      </c>
      <c r="F17">
        <v>2.1061900000000001E-2</v>
      </c>
      <c r="G17" s="51">
        <f t="shared" si="1"/>
        <v>3853000800.3000002</v>
      </c>
    </row>
    <row r="18" spans="1:7">
      <c r="A18" t="s">
        <v>300</v>
      </c>
      <c r="B18">
        <v>49048.7</v>
      </c>
      <c r="C18">
        <v>240701</v>
      </c>
      <c r="D18">
        <f t="shared" si="0"/>
        <v>11806071138.699999</v>
      </c>
      <c r="E18">
        <v>344767</v>
      </c>
      <c r="F18">
        <v>3.8515899999999999E-2</v>
      </c>
      <c r="G18" s="51">
        <f t="shared" si="1"/>
        <v>13279011295.299999</v>
      </c>
    </row>
    <row r="19" spans="1:7">
      <c r="A19" t="s">
        <v>969</v>
      </c>
      <c r="B19">
        <v>29444.720000000001</v>
      </c>
      <c r="C19">
        <v>66665</v>
      </c>
      <c r="D19">
        <f t="shared" si="0"/>
        <v>1962932258.8000002</v>
      </c>
      <c r="E19">
        <v>113422</v>
      </c>
      <c r="F19">
        <v>2.4818799999999999E-2</v>
      </c>
      <c r="G19" s="51">
        <f t="shared" si="1"/>
        <v>2814997933.5999999</v>
      </c>
    </row>
    <row r="20" spans="1:7">
      <c r="A20" t="s">
        <v>302</v>
      </c>
      <c r="B20">
        <v>37370.67</v>
      </c>
      <c r="C20">
        <v>151240</v>
      </c>
      <c r="D20">
        <f t="shared" si="0"/>
        <v>5651940130.8000002</v>
      </c>
      <c r="E20">
        <v>219780</v>
      </c>
      <c r="F20">
        <v>3.8925300000000003E-2</v>
      </c>
      <c r="G20" s="51">
        <f t="shared" si="1"/>
        <v>8555002434</v>
      </c>
    </row>
    <row r="21" spans="1:7">
      <c r="A21" t="s">
        <v>1199</v>
      </c>
      <c r="B21">
        <v>31321.51</v>
      </c>
      <c r="C21">
        <v>250357</v>
      </c>
      <c r="D21">
        <f t="shared" si="0"/>
        <v>7841559279.0699997</v>
      </c>
      <c r="E21">
        <v>409001</v>
      </c>
      <c r="F21">
        <v>2.8728500000000001E-2</v>
      </c>
      <c r="G21" s="51">
        <f t="shared" si="1"/>
        <v>11749985228.5</v>
      </c>
    </row>
    <row r="22" spans="1:7">
      <c r="A22" t="s">
        <v>304</v>
      </c>
      <c r="B22">
        <v>30693.91</v>
      </c>
      <c r="C22">
        <v>115868</v>
      </c>
      <c r="D22">
        <f t="shared" si="0"/>
        <v>3556441963.8800001</v>
      </c>
      <c r="E22">
        <v>189926</v>
      </c>
      <c r="F22">
        <v>2.3988300000000001E-2</v>
      </c>
      <c r="G22" s="51">
        <f t="shared" si="1"/>
        <v>4556001865.8000002</v>
      </c>
    </row>
    <row r="23" spans="1:7">
      <c r="A23" t="s">
        <v>280</v>
      </c>
      <c r="B23">
        <v>44729.85</v>
      </c>
      <c r="C23">
        <v>3235326</v>
      </c>
      <c r="D23">
        <f t="shared" si="0"/>
        <v>144715646681.10001</v>
      </c>
      <c r="E23">
        <v>5385586</v>
      </c>
      <c r="F23">
        <v>4.5366499999999997E-2</v>
      </c>
      <c r="G23" s="51">
        <f t="shared" si="1"/>
        <v>244325187269</v>
      </c>
    </row>
    <row r="24" spans="1:7">
      <c r="A24" t="s">
        <v>1200</v>
      </c>
      <c r="B24">
        <v>35148.080000000002</v>
      </c>
      <c r="C24">
        <v>186480</v>
      </c>
      <c r="D24">
        <f t="shared" si="0"/>
        <v>6554413958.4000006</v>
      </c>
      <c r="E24">
        <v>270609</v>
      </c>
      <c r="F24">
        <v>4.4972600000000001E-2</v>
      </c>
      <c r="G24" s="51">
        <f t="shared" si="1"/>
        <v>12169990313.4</v>
      </c>
    </row>
    <row r="25" spans="1:7">
      <c r="A25" t="s">
        <v>307</v>
      </c>
      <c r="B25">
        <v>26619.3</v>
      </c>
      <c r="C25">
        <v>68995</v>
      </c>
      <c r="D25">
        <f t="shared" si="0"/>
        <v>1836598603.5</v>
      </c>
      <c r="E25">
        <v>133105</v>
      </c>
      <c r="F25">
        <v>1.91728E-2</v>
      </c>
      <c r="G25" s="51">
        <f t="shared" si="1"/>
        <v>2551995544</v>
      </c>
    </row>
    <row r="26" spans="1:7">
      <c r="A26" t="s">
        <v>309</v>
      </c>
      <c r="B26">
        <v>34759.18</v>
      </c>
      <c r="C26">
        <v>306044</v>
      </c>
      <c r="D26">
        <f t="shared" si="0"/>
        <v>10637838483.92</v>
      </c>
      <c r="E26">
        <v>534612</v>
      </c>
      <c r="F26">
        <v>2.5119200000000001E-2</v>
      </c>
      <c r="G26" s="51">
        <f t="shared" si="1"/>
        <v>13429025750.4</v>
      </c>
    </row>
    <row r="27" spans="1:7">
      <c r="A27" t="s">
        <v>970</v>
      </c>
      <c r="B27">
        <v>44621.43</v>
      </c>
      <c r="C27">
        <v>1064064</v>
      </c>
      <c r="D27">
        <f t="shared" si="0"/>
        <v>47480057291.519997</v>
      </c>
      <c r="E27">
        <v>1654100</v>
      </c>
      <c r="F27">
        <v>4.17919E-2</v>
      </c>
      <c r="G27" s="51">
        <f t="shared" si="1"/>
        <v>69127981790</v>
      </c>
    </row>
    <row r="28" spans="1:7">
      <c r="A28" t="s">
        <v>311</v>
      </c>
      <c r="B28">
        <v>37829.410000000003</v>
      </c>
      <c r="C28">
        <v>370844</v>
      </c>
      <c r="D28">
        <f t="shared" si="0"/>
        <v>14028809722.040001</v>
      </c>
      <c r="E28">
        <v>797145</v>
      </c>
      <c r="F28">
        <v>2.8834200000000001E-2</v>
      </c>
      <c r="G28" s="51">
        <f t="shared" si="1"/>
        <v>22985038359.000004</v>
      </c>
    </row>
    <row r="29" spans="1:7">
      <c r="A29" t="s">
        <v>282</v>
      </c>
      <c r="B29">
        <v>44573.68</v>
      </c>
      <c r="C29">
        <v>1711130</v>
      </c>
      <c r="D29">
        <f t="shared" si="0"/>
        <v>76271361058.399994</v>
      </c>
      <c r="E29">
        <v>2677712</v>
      </c>
      <c r="F29">
        <v>4.0667599999999998E-2</v>
      </c>
      <c r="G29" s="51">
        <f t="shared" si="1"/>
        <v>108896120531.2</v>
      </c>
    </row>
    <row r="30" spans="1:7">
      <c r="A30" t="s">
        <v>314</v>
      </c>
      <c r="B30">
        <v>32412.02</v>
      </c>
      <c r="C30">
        <v>95667</v>
      </c>
      <c r="D30">
        <f t="shared" si="0"/>
        <v>3100760717.3400002</v>
      </c>
      <c r="E30">
        <v>149268</v>
      </c>
      <c r="F30">
        <v>2.9805399999999999E-2</v>
      </c>
      <c r="G30" s="51">
        <f t="shared" si="1"/>
        <v>4448992447.1999998</v>
      </c>
    </row>
    <row r="31" spans="1:7">
      <c r="A31" t="s">
        <v>1201</v>
      </c>
      <c r="B31">
        <v>37656.81</v>
      </c>
      <c r="C31">
        <v>144639</v>
      </c>
      <c r="D31">
        <f t="shared" si="0"/>
        <v>5446643341.5899992</v>
      </c>
      <c r="E31">
        <v>221521</v>
      </c>
      <c r="F31">
        <v>3.3748500000000001E-2</v>
      </c>
      <c r="G31" s="51">
        <f t="shared" si="1"/>
        <v>7476001468.500001</v>
      </c>
    </row>
    <row r="32" spans="1:7">
      <c r="A32" t="s">
        <v>316</v>
      </c>
      <c r="B32">
        <v>38533.21</v>
      </c>
      <c r="C32">
        <v>483553</v>
      </c>
      <c r="D32">
        <f t="shared" si="0"/>
        <v>18632849295.130001</v>
      </c>
      <c r="E32">
        <v>779340</v>
      </c>
      <c r="F32">
        <v>4.3912800000000002E-2</v>
      </c>
      <c r="G32" s="51">
        <f t="shared" si="1"/>
        <v>34223001552</v>
      </c>
    </row>
    <row r="33" spans="1:7">
      <c r="A33" t="s">
        <v>318</v>
      </c>
      <c r="B33">
        <v>39451.65</v>
      </c>
      <c r="C33">
        <v>68614</v>
      </c>
      <c r="D33">
        <f t="shared" si="0"/>
        <v>2706935513.0999999</v>
      </c>
      <c r="E33">
        <v>136404</v>
      </c>
      <c r="F33">
        <v>3.0636900000000002E-2</v>
      </c>
      <c r="G33" s="51">
        <f t="shared" si="1"/>
        <v>4178995707.5999999</v>
      </c>
    </row>
    <row r="34" spans="1:7">
      <c r="A34" t="s">
        <v>320</v>
      </c>
      <c r="B34">
        <v>36092.14</v>
      </c>
      <c r="C34">
        <v>50175</v>
      </c>
      <c r="D34">
        <f t="shared" si="0"/>
        <v>1810923124.5</v>
      </c>
      <c r="E34">
        <v>107597</v>
      </c>
      <c r="F34">
        <v>2.2760900000000001E-2</v>
      </c>
      <c r="G34" s="51">
        <f t="shared" si="1"/>
        <v>2449004557.3000002</v>
      </c>
    </row>
    <row r="35" spans="1:7">
      <c r="A35" t="s">
        <v>322</v>
      </c>
      <c r="B35">
        <v>41429.879999999997</v>
      </c>
      <c r="C35">
        <v>214052</v>
      </c>
      <c r="D35">
        <f t="shared" si="0"/>
        <v>8868148673.7600002</v>
      </c>
      <c r="E35">
        <v>377477</v>
      </c>
      <c r="F35">
        <v>3.6150500000000002E-2</v>
      </c>
      <c r="G35" s="51">
        <f t="shared" si="1"/>
        <v>13645982288.500002</v>
      </c>
    </row>
    <row r="36" spans="1:7">
      <c r="A36" t="s">
        <v>324</v>
      </c>
      <c r="B36">
        <v>35949.519999999997</v>
      </c>
      <c r="C36">
        <v>116172</v>
      </c>
      <c r="D36">
        <f t="shared" si="0"/>
        <v>4176327637.4399996</v>
      </c>
      <c r="E36">
        <v>196960</v>
      </c>
      <c r="F36">
        <v>3.2707100000000003E-2</v>
      </c>
      <c r="G36" s="51">
        <f t="shared" si="1"/>
        <v>6441990416.000001</v>
      </c>
    </row>
    <row r="37" spans="1:7">
      <c r="A37" t="s">
        <v>326</v>
      </c>
      <c r="B37">
        <v>32447.22</v>
      </c>
      <c r="C37">
        <v>101177</v>
      </c>
      <c r="D37">
        <f t="shared" si="0"/>
        <v>3282912377.9400001</v>
      </c>
      <c r="E37">
        <v>157730</v>
      </c>
      <c r="F37">
        <v>3.5731899999999997E-2</v>
      </c>
      <c r="G37" s="51">
        <f t="shared" si="1"/>
        <v>5635992587</v>
      </c>
    </row>
    <row r="38" spans="1:7">
      <c r="A38" t="s">
        <v>328</v>
      </c>
      <c r="B38">
        <v>33995.19</v>
      </c>
      <c r="C38">
        <v>110554</v>
      </c>
      <c r="D38">
        <f t="shared" si="0"/>
        <v>3758304235.2600002</v>
      </c>
      <c r="E38">
        <v>152320</v>
      </c>
      <c r="F38">
        <v>3.9607400000000001E-2</v>
      </c>
      <c r="G38" s="51">
        <f t="shared" si="1"/>
        <v>6032999168</v>
      </c>
    </row>
    <row r="39" spans="1:7">
      <c r="A39" t="s">
        <v>330</v>
      </c>
      <c r="B39">
        <v>36418.5</v>
      </c>
      <c r="C39">
        <v>140905</v>
      </c>
      <c r="D39">
        <f t="shared" si="0"/>
        <v>5131548742.5</v>
      </c>
      <c r="E39">
        <v>244870</v>
      </c>
      <c r="F39">
        <v>2.5474699999999999E-2</v>
      </c>
      <c r="G39" s="51">
        <f t="shared" si="1"/>
        <v>6237989789</v>
      </c>
    </row>
    <row r="40" spans="1:7">
      <c r="A40" t="s">
        <v>332</v>
      </c>
      <c r="B40">
        <v>40845.019999999997</v>
      </c>
      <c r="C40">
        <v>683998</v>
      </c>
      <c r="D40">
        <f t="shared" si="0"/>
        <v>27937911989.959999</v>
      </c>
      <c r="E40">
        <v>1123146</v>
      </c>
      <c r="F40">
        <v>4.3130599999999998E-2</v>
      </c>
      <c r="G40" s="51">
        <f t="shared" si="1"/>
        <v>48441960867.599998</v>
      </c>
    </row>
    <row r="41" spans="1:7">
      <c r="A41" t="s">
        <v>334</v>
      </c>
      <c r="B41">
        <v>34038.949999999997</v>
      </c>
      <c r="C41">
        <v>79821</v>
      </c>
      <c r="D41">
        <f t="shared" si="0"/>
        <v>2717023027.9499998</v>
      </c>
      <c r="E41">
        <v>104629</v>
      </c>
      <c r="F41">
        <v>3.5592400000000003E-2</v>
      </c>
      <c r="G41" s="51">
        <f t="shared" si="1"/>
        <v>3723997219.6000004</v>
      </c>
    </row>
    <row r="42" spans="1:7">
      <c r="A42" t="s">
        <v>336</v>
      </c>
      <c r="B42">
        <v>32417.74</v>
      </c>
      <c r="C42">
        <v>84568</v>
      </c>
      <c r="D42">
        <f t="shared" si="0"/>
        <v>2741503436.3200002</v>
      </c>
      <c r="E42">
        <v>158521</v>
      </c>
      <c r="F42">
        <v>2.35994E-2</v>
      </c>
      <c r="G42" s="51">
        <f t="shared" si="1"/>
        <v>3741000487.4000001</v>
      </c>
    </row>
    <row r="43" spans="1:7">
      <c r="A43" t="s">
        <v>338</v>
      </c>
      <c r="B43">
        <v>31276.44</v>
      </c>
      <c r="C43">
        <v>105177</v>
      </c>
      <c r="D43">
        <f t="shared" si="0"/>
        <v>3289562129.8799996</v>
      </c>
      <c r="E43">
        <v>184165</v>
      </c>
      <c r="F43">
        <v>2.4668099999999998E-2</v>
      </c>
      <c r="G43" s="51">
        <f t="shared" si="1"/>
        <v>4543000636.5</v>
      </c>
    </row>
    <row r="44" spans="1:7">
      <c r="A44" t="s">
        <v>339</v>
      </c>
      <c r="B44">
        <v>40334.11</v>
      </c>
      <c r="C44">
        <v>112403</v>
      </c>
      <c r="D44">
        <f t="shared" si="0"/>
        <v>4533674966.3299999</v>
      </c>
      <c r="E44">
        <v>165571</v>
      </c>
      <c r="F44">
        <v>4.5237399999999997E-2</v>
      </c>
      <c r="G44" s="51">
        <f t="shared" si="1"/>
        <v>7490001555.3999996</v>
      </c>
    </row>
    <row r="45" spans="1:7">
      <c r="A45" t="s">
        <v>340</v>
      </c>
      <c r="B45">
        <v>36215.620000000003</v>
      </c>
      <c r="C45">
        <v>378922</v>
      </c>
      <c r="D45">
        <f t="shared" si="0"/>
        <v>13722895161.640001</v>
      </c>
      <c r="E45">
        <v>598719</v>
      </c>
      <c r="F45">
        <v>3.5427300000000002E-2</v>
      </c>
      <c r="G45" s="51">
        <f t="shared" si="1"/>
        <v>21210997628.700005</v>
      </c>
    </row>
    <row r="46" spans="1:7">
      <c r="A46" t="s">
        <v>1202</v>
      </c>
      <c r="B46">
        <v>57007.16</v>
      </c>
      <c r="C46">
        <v>3171444</v>
      </c>
      <c r="D46">
        <f t="shared" si="0"/>
        <v>180795015539.04001</v>
      </c>
      <c r="E46">
        <v>4544705</v>
      </c>
      <c r="F46">
        <v>6.06919E-2</v>
      </c>
      <c r="G46" s="51">
        <f t="shared" si="1"/>
        <v>275826781389.5</v>
      </c>
    </row>
    <row r="47" spans="1:7">
      <c r="A47" t="s">
        <v>1203</v>
      </c>
      <c r="B47">
        <v>48276.81</v>
      </c>
      <c r="C47">
        <v>241178</v>
      </c>
      <c r="D47">
        <f t="shared" si="0"/>
        <v>11643304482.18</v>
      </c>
      <c r="E47">
        <v>300452</v>
      </c>
      <c r="F47">
        <v>5.24144E-2</v>
      </c>
      <c r="G47" s="51">
        <f t="shared" si="1"/>
        <v>15748011308.799999</v>
      </c>
    </row>
    <row r="48" spans="1:7">
      <c r="A48" t="s">
        <v>1204</v>
      </c>
      <c r="B48">
        <v>33016.589999999997</v>
      </c>
      <c r="C48">
        <v>75418</v>
      </c>
      <c r="D48">
        <f t="shared" si="0"/>
        <v>2490045184.6199999</v>
      </c>
      <c r="E48">
        <v>118588</v>
      </c>
      <c r="F48">
        <v>3.2887E-2</v>
      </c>
      <c r="G48" s="51">
        <f t="shared" si="1"/>
        <v>3900003556</v>
      </c>
    </row>
    <row r="49" spans="1:7">
      <c r="A49" t="s">
        <v>341</v>
      </c>
      <c r="B49">
        <v>33197.120000000003</v>
      </c>
      <c r="C49">
        <v>390477</v>
      </c>
      <c r="D49">
        <f t="shared" si="0"/>
        <v>12962711826.240002</v>
      </c>
      <c r="E49">
        <v>685926</v>
      </c>
      <c r="F49">
        <v>3.1687100000000003E-2</v>
      </c>
      <c r="G49" s="51">
        <f t="shared" si="1"/>
        <v>21735005754.600002</v>
      </c>
    </row>
    <row r="50" spans="1:7">
      <c r="A50" t="s">
        <v>342</v>
      </c>
      <c r="B50">
        <v>33306.449999999997</v>
      </c>
      <c r="C50">
        <v>130123</v>
      </c>
      <c r="D50">
        <f t="shared" si="0"/>
        <v>4333935193.3499994</v>
      </c>
      <c r="E50">
        <v>239865</v>
      </c>
      <c r="F50">
        <v>2.01572E-2</v>
      </c>
      <c r="G50" s="51">
        <f t="shared" si="1"/>
        <v>4835006778</v>
      </c>
    </row>
    <row r="51" spans="1:7">
      <c r="A51" t="s">
        <v>1205</v>
      </c>
      <c r="B51">
        <v>73205.27</v>
      </c>
      <c r="C51">
        <v>627377</v>
      </c>
      <c r="D51">
        <f t="shared" si="0"/>
        <v>45927302676.790001</v>
      </c>
      <c r="E51">
        <v>894401</v>
      </c>
      <c r="F51">
        <v>8.6744100000000005E-2</v>
      </c>
      <c r="G51" s="51">
        <f t="shared" si="1"/>
        <v>77584009784.100006</v>
      </c>
    </row>
    <row r="52" spans="1:7">
      <c r="A52" t="s">
        <v>343</v>
      </c>
      <c r="B52">
        <v>23255.38</v>
      </c>
      <c r="C52">
        <v>170980</v>
      </c>
      <c r="D52">
        <f t="shared" si="0"/>
        <v>3976204872.4000001</v>
      </c>
      <c r="E52">
        <v>389164</v>
      </c>
      <c r="F52">
        <v>1.48369E-2</v>
      </c>
      <c r="G52" s="51">
        <f t="shared" si="1"/>
        <v>5773987351.5999994</v>
      </c>
    </row>
    <row r="53" spans="1:7">
      <c r="A53" t="s">
        <v>344</v>
      </c>
      <c r="B53">
        <v>29383.15</v>
      </c>
      <c r="C53">
        <v>59983</v>
      </c>
      <c r="D53">
        <f t="shared" si="0"/>
        <v>1762489486.45</v>
      </c>
      <c r="E53">
        <v>103020</v>
      </c>
      <c r="F53">
        <v>2.4131199999999998E-2</v>
      </c>
      <c r="G53" s="51">
        <f t="shared" si="1"/>
        <v>2485996224</v>
      </c>
    </row>
    <row r="54" spans="1:7">
      <c r="A54" t="s">
        <v>284</v>
      </c>
      <c r="B54">
        <v>35849.879999999997</v>
      </c>
      <c r="C54">
        <v>658725</v>
      </c>
      <c r="D54">
        <f t="shared" si="0"/>
        <v>23615212203</v>
      </c>
      <c r="E54">
        <v>1124055</v>
      </c>
      <c r="F54">
        <v>3.3409399999999999E-2</v>
      </c>
      <c r="G54" s="51">
        <f t="shared" si="1"/>
        <v>37554003117</v>
      </c>
    </row>
    <row r="55" spans="1:7">
      <c r="A55" t="s">
        <v>1206</v>
      </c>
      <c r="B55">
        <v>30038.31</v>
      </c>
      <c r="C55">
        <v>83424</v>
      </c>
      <c r="D55">
        <f t="shared" si="0"/>
        <v>2505915973.4400001</v>
      </c>
      <c r="E55">
        <v>147910</v>
      </c>
      <c r="F55">
        <v>2.7408600000000002E-2</v>
      </c>
      <c r="G55" s="51">
        <f t="shared" si="1"/>
        <v>4054006026.0000005</v>
      </c>
    </row>
    <row r="56" spans="1:7">
      <c r="A56" t="s">
        <v>971</v>
      </c>
      <c r="B56">
        <v>41717.440000000002</v>
      </c>
      <c r="C56">
        <v>153534</v>
      </c>
      <c r="D56">
        <f t="shared" si="0"/>
        <v>6405045432.96</v>
      </c>
      <c r="E56">
        <v>207028</v>
      </c>
      <c r="F56">
        <v>4.2535299999999998E-2</v>
      </c>
      <c r="G56" s="51">
        <f t="shared" si="1"/>
        <v>8805998088.3999996</v>
      </c>
    </row>
    <row r="57" spans="1:7">
      <c r="A57" t="s">
        <v>345</v>
      </c>
      <c r="B57">
        <v>32435.34</v>
      </c>
      <c r="C57">
        <v>224848</v>
      </c>
      <c r="D57">
        <f t="shared" si="0"/>
        <v>7293021328.3199997</v>
      </c>
      <c r="E57">
        <v>408782</v>
      </c>
      <c r="F57">
        <v>2.90301E-2</v>
      </c>
      <c r="G57" s="51">
        <f t="shared" si="1"/>
        <v>11866982338.199999</v>
      </c>
    </row>
    <row r="58" spans="1:7">
      <c r="A58" t="s">
        <v>346</v>
      </c>
      <c r="B58">
        <v>32942.61</v>
      </c>
      <c r="C58">
        <v>299691</v>
      </c>
      <c r="D58">
        <f t="shared" si="0"/>
        <v>9872603733.5100002</v>
      </c>
      <c r="E58">
        <v>588709</v>
      </c>
      <c r="F58">
        <v>3.11886E-2</v>
      </c>
      <c r="G58" s="51">
        <f t="shared" si="1"/>
        <v>18361009517.400002</v>
      </c>
    </row>
    <row r="59" spans="1:7">
      <c r="A59" t="s">
        <v>1207</v>
      </c>
      <c r="B59">
        <v>29763.08</v>
      </c>
      <c r="C59">
        <v>62905</v>
      </c>
      <c r="D59">
        <f t="shared" si="0"/>
        <v>1872246547.4000001</v>
      </c>
      <c r="E59">
        <v>93287</v>
      </c>
      <c r="F59">
        <v>2.8385500000000001E-2</v>
      </c>
      <c r="G59" s="51">
        <f t="shared" si="1"/>
        <v>2647998138.5</v>
      </c>
    </row>
    <row r="60" spans="1:7">
      <c r="A60" t="s">
        <v>972</v>
      </c>
      <c r="B60">
        <v>37841.300000000003</v>
      </c>
      <c r="C60">
        <v>42179</v>
      </c>
      <c r="D60">
        <f t="shared" si="0"/>
        <v>1596108192.7</v>
      </c>
      <c r="E60">
        <v>55274</v>
      </c>
      <c r="F60">
        <v>4.0109300000000001E-2</v>
      </c>
      <c r="G60" s="51">
        <f t="shared" si="1"/>
        <v>2217001448.2000003</v>
      </c>
    </row>
    <row r="61" spans="1:7">
      <c r="A61" t="s">
        <v>347</v>
      </c>
      <c r="B61">
        <v>39936.980000000003</v>
      </c>
      <c r="C61">
        <v>55922</v>
      </c>
      <c r="D61">
        <f t="shared" si="0"/>
        <v>2233355795.5599999</v>
      </c>
      <c r="E61">
        <v>73057</v>
      </c>
      <c r="F61">
        <v>8.2948900000000006E-2</v>
      </c>
      <c r="G61" s="51">
        <f t="shared" si="1"/>
        <v>6059997787.3000011</v>
      </c>
    </row>
    <row r="62" spans="1:7">
      <c r="A62" t="s">
        <v>348</v>
      </c>
      <c r="B62">
        <v>39152</v>
      </c>
      <c r="C62">
        <v>176099</v>
      </c>
      <c r="D62">
        <f t="shared" si="0"/>
        <v>6894628048</v>
      </c>
      <c r="E62">
        <v>254911</v>
      </c>
      <c r="F62">
        <v>4.5027499999999998E-2</v>
      </c>
      <c r="G62" s="51">
        <f t="shared" si="1"/>
        <v>11478005052.499998</v>
      </c>
    </row>
    <row r="63" spans="1:7">
      <c r="A63" t="s">
        <v>349</v>
      </c>
      <c r="B63">
        <v>32163.49</v>
      </c>
      <c r="C63">
        <v>143142</v>
      </c>
      <c r="D63">
        <f t="shared" si="0"/>
        <v>4603946285.5799999</v>
      </c>
      <c r="E63">
        <v>223998</v>
      </c>
      <c r="F63">
        <v>2.7210100000000001E-2</v>
      </c>
      <c r="G63" s="51">
        <f t="shared" si="1"/>
        <v>6095007979.8000002</v>
      </c>
    </row>
    <row r="64" spans="1:7">
      <c r="A64" t="s">
        <v>350</v>
      </c>
      <c r="B64">
        <v>38115.96</v>
      </c>
      <c r="C64">
        <v>182844</v>
      </c>
      <c r="D64">
        <f t="shared" si="0"/>
        <v>6969274590.2399998</v>
      </c>
      <c r="E64">
        <v>303331</v>
      </c>
      <c r="F64">
        <v>4.1410200000000001E-2</v>
      </c>
      <c r="G64" s="51">
        <f t="shared" si="1"/>
        <v>12560997376.200001</v>
      </c>
    </row>
    <row r="65" spans="1:7">
      <c r="A65" t="s">
        <v>351</v>
      </c>
      <c r="B65">
        <v>34801.839999999997</v>
      </c>
      <c r="C65">
        <v>407920</v>
      </c>
      <c r="D65">
        <f t="shared" si="0"/>
        <v>14196366572.799999</v>
      </c>
      <c r="E65">
        <v>647194</v>
      </c>
      <c r="F65">
        <v>3.2503400000000002E-2</v>
      </c>
      <c r="G65" s="51">
        <f t="shared" si="1"/>
        <v>21036005459.600002</v>
      </c>
    </row>
    <row r="66" spans="1:7">
      <c r="A66" t="s">
        <v>285</v>
      </c>
      <c r="B66">
        <v>44341.88</v>
      </c>
      <c r="C66">
        <v>1111511</v>
      </c>
      <c r="D66">
        <f t="shared" si="0"/>
        <v>49286487380.68</v>
      </c>
      <c r="E66">
        <v>1706469</v>
      </c>
      <c r="F66">
        <v>6.4893099999999995E-2</v>
      </c>
      <c r="G66" s="51">
        <f t="shared" si="1"/>
        <v>110738063463.89999</v>
      </c>
    </row>
    <row r="67" spans="1:7">
      <c r="A67" t="s">
        <v>973</v>
      </c>
      <c r="B67">
        <v>38672.86</v>
      </c>
      <c r="C67">
        <v>136767</v>
      </c>
      <c r="D67">
        <f t="shared" si="0"/>
        <v>5289171043.6199999</v>
      </c>
      <c r="E67">
        <v>195012</v>
      </c>
      <c r="F67">
        <v>3.3269699999999999E-2</v>
      </c>
      <c r="G67" s="51">
        <f t="shared" si="1"/>
        <v>6487990736.3999996</v>
      </c>
    </row>
    <row r="68" spans="1:7">
      <c r="A68" t="s">
        <v>352</v>
      </c>
      <c r="B68">
        <v>33600.61</v>
      </c>
      <c r="C68">
        <v>321197</v>
      </c>
      <c r="D68">
        <f t="shared" si="0"/>
        <v>10792415130.17</v>
      </c>
      <c r="E68">
        <v>520089</v>
      </c>
      <c r="F68">
        <v>3.4938200000000003E-2</v>
      </c>
      <c r="G68" s="51">
        <f t="shared" si="1"/>
        <v>18170973499.800003</v>
      </c>
    </row>
    <row r="69" spans="1:7">
      <c r="A69" t="s">
        <v>353</v>
      </c>
      <c r="B69">
        <v>33411.25</v>
      </c>
      <c r="C69">
        <v>63480</v>
      </c>
      <c r="D69">
        <f t="shared" si="0"/>
        <v>2120946150</v>
      </c>
      <c r="E69">
        <v>87759</v>
      </c>
      <c r="F69">
        <v>3.4366800000000003E-2</v>
      </c>
      <c r="G69" s="51">
        <f t="shared" si="1"/>
        <v>3015996001.2000003</v>
      </c>
    </row>
    <row r="70" spans="1:7">
      <c r="A70" t="s">
        <v>287</v>
      </c>
      <c r="B70">
        <v>49692.34</v>
      </c>
      <c r="C70">
        <v>5777274</v>
      </c>
      <c r="D70">
        <f t="shared" ref="D70:D133" si="2">+C70*B70</f>
        <v>287086263881.15997</v>
      </c>
      <c r="E70">
        <v>9515636</v>
      </c>
      <c r="F70">
        <v>5.0117000000000002E-2</v>
      </c>
      <c r="G70" s="51">
        <f t="shared" ref="G70:G133" si="3">+F70*E70*1000000</f>
        <v>476895129412</v>
      </c>
    </row>
    <row r="71" spans="1:7">
      <c r="A71" t="s">
        <v>354</v>
      </c>
      <c r="B71">
        <v>30257.82</v>
      </c>
      <c r="C71">
        <v>108520</v>
      </c>
      <c r="D71">
        <f t="shared" si="2"/>
        <v>3283578626.4000001</v>
      </c>
      <c r="E71">
        <v>219503</v>
      </c>
      <c r="F71">
        <v>2.3202400000000001E-2</v>
      </c>
      <c r="G71" s="51">
        <f t="shared" si="3"/>
        <v>5092996407.1999998</v>
      </c>
    </row>
    <row r="72" spans="1:7">
      <c r="A72" t="s">
        <v>355</v>
      </c>
      <c r="B72">
        <v>42040.34</v>
      </c>
      <c r="C72">
        <v>1309385</v>
      </c>
      <c r="D72">
        <f t="shared" si="2"/>
        <v>55046990590.899994</v>
      </c>
      <c r="E72">
        <v>2158643</v>
      </c>
      <c r="F72">
        <v>4.1543700000000003E-2</v>
      </c>
      <c r="G72" s="51">
        <f t="shared" si="3"/>
        <v>89678017199.100006</v>
      </c>
    </row>
    <row r="73" spans="1:7">
      <c r="A73" t="s">
        <v>356</v>
      </c>
      <c r="B73">
        <v>28013.72</v>
      </c>
      <c r="C73">
        <v>147168</v>
      </c>
      <c r="D73">
        <f t="shared" si="2"/>
        <v>4122723144.96</v>
      </c>
      <c r="E73">
        <v>261757</v>
      </c>
      <c r="F73">
        <v>1.8983300000000002E-2</v>
      </c>
      <c r="G73" s="51">
        <f t="shared" si="3"/>
        <v>4969011658.1000004</v>
      </c>
    </row>
    <row r="74" spans="1:7">
      <c r="A74" t="s">
        <v>1208</v>
      </c>
      <c r="B74">
        <v>31243.040000000001</v>
      </c>
      <c r="C74">
        <v>54125</v>
      </c>
      <c r="D74">
        <f t="shared" si="2"/>
        <v>1691029540</v>
      </c>
      <c r="E74">
        <v>112414</v>
      </c>
      <c r="F74">
        <v>2.8448399999999999E-2</v>
      </c>
      <c r="G74" s="51">
        <f t="shared" si="3"/>
        <v>3197998437.5999999</v>
      </c>
    </row>
    <row r="75" spans="1:7">
      <c r="A75" t="s">
        <v>289</v>
      </c>
      <c r="B75">
        <v>41348.39</v>
      </c>
      <c r="C75">
        <v>1316713</v>
      </c>
      <c r="D75">
        <f t="shared" si="2"/>
        <v>54443962642.07</v>
      </c>
      <c r="E75">
        <v>2094051</v>
      </c>
      <c r="F75">
        <v>4.47959E-2</v>
      </c>
      <c r="G75" s="51">
        <f t="shared" si="3"/>
        <v>93804899190.900009</v>
      </c>
    </row>
    <row r="76" spans="1:7">
      <c r="A76" t="s">
        <v>1209</v>
      </c>
      <c r="B76">
        <v>30889.1</v>
      </c>
      <c r="C76">
        <v>79741</v>
      </c>
      <c r="D76">
        <f t="shared" si="2"/>
        <v>2463127723.0999999</v>
      </c>
      <c r="E76">
        <v>136998</v>
      </c>
      <c r="F76">
        <v>2.6212099999999999E-2</v>
      </c>
      <c r="G76" s="51">
        <f t="shared" si="3"/>
        <v>3591005275.7999997</v>
      </c>
    </row>
    <row r="77" spans="1:7">
      <c r="A77" t="s">
        <v>357</v>
      </c>
      <c r="B77">
        <v>29503.57</v>
      </c>
      <c r="C77">
        <v>121819</v>
      </c>
      <c r="D77">
        <f t="shared" si="2"/>
        <v>3594095393.8299999</v>
      </c>
      <c r="E77">
        <v>207140</v>
      </c>
      <c r="F77">
        <v>2.19706E-2</v>
      </c>
      <c r="G77" s="51">
        <f t="shared" si="3"/>
        <v>4550990084</v>
      </c>
    </row>
    <row r="78" spans="1:7">
      <c r="A78" t="s">
        <v>974</v>
      </c>
      <c r="B78">
        <v>37982.879999999997</v>
      </c>
      <c r="C78">
        <v>382201</v>
      </c>
      <c r="D78">
        <f t="shared" si="2"/>
        <v>14517094718.879999</v>
      </c>
      <c r="E78">
        <v>616975</v>
      </c>
      <c r="F78">
        <v>2.85522E-2</v>
      </c>
      <c r="G78" s="51">
        <f t="shared" si="3"/>
        <v>17615993595</v>
      </c>
    </row>
    <row r="79" spans="1:7">
      <c r="A79" t="s">
        <v>358</v>
      </c>
      <c r="B79">
        <v>30922.92</v>
      </c>
      <c r="C79">
        <v>117487</v>
      </c>
      <c r="D79">
        <f t="shared" si="2"/>
        <v>3633041102.04</v>
      </c>
      <c r="E79">
        <v>164182</v>
      </c>
      <c r="F79">
        <v>2.5605699999999999E-2</v>
      </c>
      <c r="G79" s="51">
        <f t="shared" si="3"/>
        <v>4203995037.4000001</v>
      </c>
    </row>
    <row r="80" spans="1:7">
      <c r="A80" t="s">
        <v>359</v>
      </c>
      <c r="B80">
        <v>34438.730000000003</v>
      </c>
      <c r="C80">
        <v>477256</v>
      </c>
      <c r="D80">
        <f t="shared" si="2"/>
        <v>16436090524.880001</v>
      </c>
      <c r="E80">
        <v>732558</v>
      </c>
      <c r="F80">
        <v>3.20234E-2</v>
      </c>
      <c r="G80" s="51">
        <f t="shared" si="3"/>
        <v>23458997857.200001</v>
      </c>
    </row>
    <row r="81" spans="1:7">
      <c r="A81" t="s">
        <v>360</v>
      </c>
      <c r="B81">
        <v>32899.43</v>
      </c>
      <c r="C81">
        <v>174237</v>
      </c>
      <c r="D81">
        <f t="shared" si="2"/>
        <v>5732297984.9099998</v>
      </c>
      <c r="E81">
        <v>287251</v>
      </c>
      <c r="F81">
        <v>2.58345E-2</v>
      </c>
      <c r="G81" s="51">
        <f t="shared" si="3"/>
        <v>7420985959.5</v>
      </c>
    </row>
    <row r="82" spans="1:7">
      <c r="A82" t="s">
        <v>975</v>
      </c>
      <c r="B82">
        <v>41014.050000000003</v>
      </c>
      <c r="C82">
        <v>55765</v>
      </c>
      <c r="D82">
        <f t="shared" si="2"/>
        <v>2287148498.25</v>
      </c>
      <c r="E82">
        <v>75494</v>
      </c>
      <c r="F82">
        <v>4.9712600000000003E-2</v>
      </c>
      <c r="G82" s="51">
        <f t="shared" si="3"/>
        <v>3753003024.4000006</v>
      </c>
    </row>
    <row r="83" spans="1:7">
      <c r="A83" t="s">
        <v>361</v>
      </c>
      <c r="B83">
        <v>41755.07</v>
      </c>
      <c r="C83">
        <v>1197740</v>
      </c>
      <c r="D83">
        <f t="shared" si="2"/>
        <v>50011717541.800003</v>
      </c>
      <c r="E83">
        <v>1779822</v>
      </c>
      <c r="F83">
        <v>4.41842E-2</v>
      </c>
      <c r="G83" s="51">
        <f t="shared" si="3"/>
        <v>78640011212.399994</v>
      </c>
    </row>
    <row r="84" spans="1:7">
      <c r="A84" t="s">
        <v>362</v>
      </c>
      <c r="B84">
        <v>34143.050000000003</v>
      </c>
      <c r="C84">
        <v>247857</v>
      </c>
      <c r="D84">
        <f t="shared" si="2"/>
        <v>8462593943.8500004</v>
      </c>
      <c r="E84">
        <v>413206</v>
      </c>
      <c r="F84">
        <v>3.2564900000000001E-2</v>
      </c>
      <c r="G84" s="51">
        <f t="shared" si="3"/>
        <v>13456012069.4</v>
      </c>
    </row>
    <row r="85" spans="1:7">
      <c r="A85" t="s">
        <v>976</v>
      </c>
      <c r="B85">
        <v>40541.06</v>
      </c>
      <c r="C85">
        <v>56171</v>
      </c>
      <c r="D85">
        <f t="shared" si="2"/>
        <v>2277231881.2599998</v>
      </c>
      <c r="E85">
        <v>81775</v>
      </c>
      <c r="F85">
        <v>3.7896699999999998E-2</v>
      </c>
      <c r="G85" s="51">
        <f t="shared" si="3"/>
        <v>3099002642.5</v>
      </c>
    </row>
    <row r="86" spans="1:7">
      <c r="A86" t="s">
        <v>363</v>
      </c>
      <c r="B86">
        <v>28692.43</v>
      </c>
      <c r="C86">
        <v>49565</v>
      </c>
      <c r="D86">
        <f t="shared" si="2"/>
        <v>1422140292.95</v>
      </c>
      <c r="E86">
        <v>99772</v>
      </c>
      <c r="F86">
        <v>1.91938E-2</v>
      </c>
      <c r="G86" s="51">
        <f t="shared" si="3"/>
        <v>1915003813.6000001</v>
      </c>
    </row>
    <row r="87" spans="1:7">
      <c r="A87" t="s">
        <v>291</v>
      </c>
      <c r="B87">
        <v>47180.46</v>
      </c>
      <c r="C87">
        <v>4013361</v>
      </c>
      <c r="D87">
        <f t="shared" si="2"/>
        <v>189352218126.06</v>
      </c>
      <c r="E87">
        <v>6301085</v>
      </c>
      <c r="F87">
        <v>5.5929100000000002E-2</v>
      </c>
      <c r="G87" s="51">
        <f t="shared" si="3"/>
        <v>352414013073.5</v>
      </c>
    </row>
    <row r="88" spans="1:7">
      <c r="A88" t="s">
        <v>1210</v>
      </c>
      <c r="B88">
        <v>32390.69</v>
      </c>
      <c r="C88">
        <v>86354</v>
      </c>
      <c r="D88">
        <f t="shared" si="2"/>
        <v>2797065644.2599998</v>
      </c>
      <c r="E88">
        <v>134288</v>
      </c>
      <c r="F88">
        <v>3.8365299999999998E-2</v>
      </c>
      <c r="G88" s="51">
        <f t="shared" si="3"/>
        <v>5151999406.3999996</v>
      </c>
    </row>
    <row r="89" spans="1:7">
      <c r="A89" t="s">
        <v>977</v>
      </c>
      <c r="B89">
        <v>33842.76</v>
      </c>
      <c r="C89">
        <v>40256</v>
      </c>
      <c r="D89">
        <f t="shared" si="2"/>
        <v>1362374146.5600002</v>
      </c>
      <c r="E89">
        <v>80453</v>
      </c>
      <c r="F89">
        <v>2.35666E-2</v>
      </c>
      <c r="G89" s="51">
        <f t="shared" si="3"/>
        <v>1896003669.8</v>
      </c>
    </row>
    <row r="90" spans="1:7">
      <c r="A90" t="s">
        <v>364</v>
      </c>
      <c r="B90">
        <v>37289.910000000003</v>
      </c>
      <c r="C90">
        <v>238059</v>
      </c>
      <c r="D90">
        <f t="shared" si="2"/>
        <v>8877198684.6900005</v>
      </c>
      <c r="E90">
        <v>376980</v>
      </c>
      <c r="F90">
        <v>3.9129400000000002E-2</v>
      </c>
      <c r="G90" s="51">
        <f t="shared" si="3"/>
        <v>14751001212.000002</v>
      </c>
    </row>
    <row r="91" spans="1:7">
      <c r="A91" t="s">
        <v>365</v>
      </c>
      <c r="B91">
        <v>38217.019999999997</v>
      </c>
      <c r="C91">
        <v>493099</v>
      </c>
      <c r="D91">
        <f t="shared" si="2"/>
        <v>18844774344.98</v>
      </c>
      <c r="E91">
        <v>837036</v>
      </c>
      <c r="F91">
        <v>3.3432299999999998E-2</v>
      </c>
      <c r="G91" s="51">
        <f t="shared" si="3"/>
        <v>27984038662.799999</v>
      </c>
    </row>
    <row r="92" spans="1:7">
      <c r="A92" t="s">
        <v>772</v>
      </c>
      <c r="B92">
        <v>34650.1</v>
      </c>
      <c r="C92">
        <v>78502</v>
      </c>
      <c r="D92">
        <f t="shared" si="2"/>
        <v>2720102150.1999998</v>
      </c>
      <c r="E92">
        <v>150344</v>
      </c>
      <c r="F92">
        <v>3.1407999999999998E-2</v>
      </c>
      <c r="G92" s="51">
        <f t="shared" si="3"/>
        <v>4722004352</v>
      </c>
    </row>
    <row r="93" spans="1:7">
      <c r="A93" t="s">
        <v>366</v>
      </c>
      <c r="B93">
        <v>37665.75</v>
      </c>
      <c r="C93">
        <v>67919</v>
      </c>
      <c r="D93">
        <f t="shared" si="2"/>
        <v>2558220074.25</v>
      </c>
      <c r="E93">
        <v>108326</v>
      </c>
      <c r="F93">
        <v>4.4486100000000001E-2</v>
      </c>
      <c r="G93" s="51">
        <f t="shared" si="3"/>
        <v>4819001268.6000004</v>
      </c>
    </row>
    <row r="94" spans="1:7">
      <c r="A94" t="s">
        <v>367</v>
      </c>
      <c r="B94">
        <v>28576.240000000002</v>
      </c>
      <c r="C94">
        <v>215822</v>
      </c>
      <c r="D94">
        <f t="shared" si="2"/>
        <v>6167381269.2800007</v>
      </c>
      <c r="E94">
        <v>497344</v>
      </c>
      <c r="F94">
        <v>2.1711299999999999E-2</v>
      </c>
      <c r="G94" s="51">
        <f t="shared" si="3"/>
        <v>10797984787.199999</v>
      </c>
    </row>
    <row r="95" spans="1:7">
      <c r="A95" t="s">
        <v>293</v>
      </c>
      <c r="B95">
        <v>47081.16</v>
      </c>
      <c r="C95">
        <v>1701841</v>
      </c>
      <c r="D95">
        <f t="shared" si="2"/>
        <v>80124648415.560013</v>
      </c>
      <c r="E95">
        <v>2500384</v>
      </c>
      <c r="F95">
        <v>5.4634799999999997E-2</v>
      </c>
      <c r="G95" s="51">
        <f t="shared" si="3"/>
        <v>136607979763.19998</v>
      </c>
    </row>
    <row r="96" spans="1:7">
      <c r="A96" t="s">
        <v>368</v>
      </c>
      <c r="B96">
        <v>41561.08</v>
      </c>
      <c r="C96">
        <v>408872</v>
      </c>
      <c r="D96">
        <f t="shared" si="2"/>
        <v>16993161901.76</v>
      </c>
      <c r="E96">
        <v>554101</v>
      </c>
      <c r="F96">
        <v>5.6327299999999997E-2</v>
      </c>
      <c r="G96" s="51">
        <f t="shared" si="3"/>
        <v>31211013257.299999</v>
      </c>
    </row>
    <row r="97" spans="1:7">
      <c r="A97" t="s">
        <v>369</v>
      </c>
      <c r="B97">
        <v>46027.11</v>
      </c>
      <c r="C97">
        <v>2416644</v>
      </c>
      <c r="D97">
        <f t="shared" si="2"/>
        <v>111231139218.84</v>
      </c>
      <c r="E97">
        <v>4423781</v>
      </c>
      <c r="F97">
        <v>4.1469699999999998E-2</v>
      </c>
      <c r="G97" s="51">
        <f t="shared" si="3"/>
        <v>183452870935.69998</v>
      </c>
    </row>
    <row r="98" spans="1:7">
      <c r="A98" t="s">
        <v>773</v>
      </c>
      <c r="B98">
        <v>31389.33</v>
      </c>
      <c r="C98">
        <v>81303</v>
      </c>
      <c r="D98">
        <f t="shared" si="2"/>
        <v>2552046696.9900002</v>
      </c>
      <c r="E98">
        <v>141446</v>
      </c>
      <c r="F98">
        <v>2.6879500000000001E-2</v>
      </c>
      <c r="G98" s="51">
        <f t="shared" si="3"/>
        <v>3801997757</v>
      </c>
    </row>
    <row r="99" spans="1:7">
      <c r="A99" t="s">
        <v>1211</v>
      </c>
      <c r="B99">
        <v>31015.27</v>
      </c>
      <c r="C99">
        <v>87965</v>
      </c>
      <c r="D99">
        <f t="shared" si="2"/>
        <v>2728258225.5500002</v>
      </c>
      <c r="E99">
        <v>155492</v>
      </c>
      <c r="F99">
        <v>2.7396899999999998E-2</v>
      </c>
      <c r="G99" s="51">
        <f t="shared" si="3"/>
        <v>4259998774.7999992</v>
      </c>
    </row>
    <row r="100" spans="1:7">
      <c r="A100" t="s">
        <v>370</v>
      </c>
      <c r="B100">
        <v>33052.629999999997</v>
      </c>
      <c r="C100">
        <v>67386</v>
      </c>
      <c r="D100">
        <f t="shared" si="2"/>
        <v>2227284525.1799998</v>
      </c>
      <c r="E100">
        <v>92589</v>
      </c>
      <c r="F100">
        <v>4.3601300000000003E-2</v>
      </c>
      <c r="G100" s="51">
        <f t="shared" si="3"/>
        <v>4037000765.7000003</v>
      </c>
    </row>
    <row r="101" spans="1:7">
      <c r="A101" t="s">
        <v>371</v>
      </c>
      <c r="B101">
        <v>33884.67</v>
      </c>
      <c r="C101">
        <v>165180</v>
      </c>
      <c r="D101">
        <f t="shared" si="2"/>
        <v>5597069790.5999994</v>
      </c>
      <c r="E101">
        <v>275188</v>
      </c>
      <c r="F101">
        <v>3.00231E-2</v>
      </c>
      <c r="G101" s="51">
        <f t="shared" si="3"/>
        <v>8261996842.7999992</v>
      </c>
    </row>
    <row r="102" spans="1:7">
      <c r="A102" t="s">
        <v>1212</v>
      </c>
      <c r="B102">
        <v>51683.95</v>
      </c>
      <c r="C102">
        <v>372452</v>
      </c>
      <c r="D102">
        <f t="shared" si="2"/>
        <v>19249790545.399998</v>
      </c>
      <c r="E102">
        <v>490907</v>
      </c>
      <c r="F102">
        <v>5.7330600000000002E-2</v>
      </c>
      <c r="G102" s="51">
        <f t="shared" si="3"/>
        <v>28143992854.200001</v>
      </c>
    </row>
    <row r="103" spans="1:7">
      <c r="A103" t="s">
        <v>372</v>
      </c>
      <c r="B103">
        <v>33180.519999999997</v>
      </c>
      <c r="C103">
        <v>107051</v>
      </c>
      <c r="D103">
        <f t="shared" si="2"/>
        <v>3552007846.5199995</v>
      </c>
      <c r="E103">
        <v>158495</v>
      </c>
      <c r="F103">
        <v>3.31872E-2</v>
      </c>
      <c r="G103" s="51">
        <f t="shared" si="3"/>
        <v>5260005264</v>
      </c>
    </row>
    <row r="104" spans="1:7">
      <c r="A104" t="s">
        <v>373</v>
      </c>
      <c r="B104">
        <v>26249.599999999999</v>
      </c>
      <c r="C104">
        <v>70817</v>
      </c>
      <c r="D104">
        <f t="shared" si="2"/>
        <v>1858917923.1999998</v>
      </c>
      <c r="E104">
        <v>163093</v>
      </c>
      <c r="F104">
        <v>1.69167E-2</v>
      </c>
      <c r="G104" s="51">
        <f t="shared" si="3"/>
        <v>2758995353.0999999</v>
      </c>
    </row>
    <row r="105" spans="1:7">
      <c r="A105" t="s">
        <v>1213</v>
      </c>
      <c r="B105">
        <v>29365.39</v>
      </c>
      <c r="C105">
        <v>71418</v>
      </c>
      <c r="D105">
        <f t="shared" si="2"/>
        <v>2097217423.02</v>
      </c>
      <c r="E105">
        <v>112408</v>
      </c>
      <c r="F105">
        <v>2.4099700000000002E-2</v>
      </c>
      <c r="G105" s="51">
        <f t="shared" si="3"/>
        <v>2708999077.5999999</v>
      </c>
    </row>
    <row r="106" spans="1:7">
      <c r="A106" t="s">
        <v>375</v>
      </c>
      <c r="B106">
        <v>32346.81</v>
      </c>
      <c r="C106">
        <v>145709</v>
      </c>
      <c r="D106">
        <f t="shared" si="2"/>
        <v>4713221338.29</v>
      </c>
      <c r="E106">
        <v>200125</v>
      </c>
      <c r="F106">
        <v>4.3128E-2</v>
      </c>
      <c r="G106" s="51">
        <f t="shared" si="3"/>
        <v>8630991000</v>
      </c>
    </row>
    <row r="107" spans="1:7">
      <c r="A107" t="s">
        <v>376</v>
      </c>
      <c r="B107">
        <v>33016.28</v>
      </c>
      <c r="C107">
        <v>49747</v>
      </c>
      <c r="D107">
        <f t="shared" si="2"/>
        <v>1642460881.1599998</v>
      </c>
      <c r="E107">
        <v>87902</v>
      </c>
      <c r="F107">
        <v>2.61996E-2</v>
      </c>
      <c r="G107" s="51">
        <f t="shared" si="3"/>
        <v>2302997239.1999998</v>
      </c>
    </row>
    <row r="108" spans="1:7">
      <c r="A108" t="s">
        <v>374</v>
      </c>
      <c r="B108">
        <v>27438.880000000001</v>
      </c>
      <c r="C108">
        <v>382591</v>
      </c>
      <c r="D108">
        <f t="shared" si="2"/>
        <v>10497868538.08</v>
      </c>
      <c r="E108">
        <v>738416</v>
      </c>
      <c r="F108">
        <v>2.7452000000000001E-2</v>
      </c>
      <c r="G108" s="51">
        <f t="shared" si="3"/>
        <v>20270996032</v>
      </c>
    </row>
    <row r="109" spans="1:7">
      <c r="A109" t="s">
        <v>377</v>
      </c>
      <c r="B109">
        <v>32780.050000000003</v>
      </c>
      <c r="C109">
        <v>164959</v>
      </c>
      <c r="D109">
        <f t="shared" si="2"/>
        <v>5407364267.9500008</v>
      </c>
      <c r="E109">
        <v>279647</v>
      </c>
      <c r="F109">
        <v>3.0191599999999999E-2</v>
      </c>
      <c r="G109" s="51">
        <f t="shared" si="3"/>
        <v>8442990365.1999998</v>
      </c>
    </row>
    <row r="110" spans="1:7">
      <c r="A110" t="s">
        <v>378</v>
      </c>
      <c r="B110">
        <v>32670.87</v>
      </c>
      <c r="C110">
        <v>205956</v>
      </c>
      <c r="D110">
        <f t="shared" si="2"/>
        <v>6728761701.7199993</v>
      </c>
      <c r="E110">
        <v>348425</v>
      </c>
      <c r="F110">
        <v>2.7632899999999998E-2</v>
      </c>
      <c r="G110" s="51">
        <f t="shared" si="3"/>
        <v>9627993182.5</v>
      </c>
    </row>
    <row r="111" spans="1:7">
      <c r="A111" t="s">
        <v>379</v>
      </c>
      <c r="B111">
        <v>35386.19</v>
      </c>
      <c r="C111">
        <v>211987</v>
      </c>
      <c r="D111">
        <f t="shared" si="2"/>
        <v>7501412259.5300007</v>
      </c>
      <c r="E111">
        <v>350614</v>
      </c>
      <c r="F111">
        <v>4.1726800000000001E-2</v>
      </c>
      <c r="G111" s="51">
        <f t="shared" si="3"/>
        <v>14630000255.200001</v>
      </c>
    </row>
    <row r="112" spans="1:7">
      <c r="A112" t="s">
        <v>380</v>
      </c>
      <c r="B112">
        <v>43813.14</v>
      </c>
      <c r="C112">
        <v>60183</v>
      </c>
      <c r="D112">
        <f t="shared" si="2"/>
        <v>2636806204.6199999</v>
      </c>
      <c r="E112">
        <v>98351</v>
      </c>
      <c r="F112">
        <v>3.0940200000000001E-2</v>
      </c>
      <c r="G112" s="51">
        <f t="shared" si="3"/>
        <v>3042999610.1999998</v>
      </c>
    </row>
    <row r="113" spans="1:7">
      <c r="A113" t="s">
        <v>978</v>
      </c>
      <c r="B113">
        <v>33288.58</v>
      </c>
      <c r="C113">
        <v>152423</v>
      </c>
      <c r="D113">
        <f t="shared" si="2"/>
        <v>5073945229.3400002</v>
      </c>
      <c r="E113">
        <v>195948</v>
      </c>
      <c r="F113">
        <v>4.6236800000000002E-2</v>
      </c>
      <c r="G113" s="51">
        <f t="shared" si="3"/>
        <v>9060008486.3999996</v>
      </c>
    </row>
    <row r="114" spans="1:7">
      <c r="A114" t="s">
        <v>979</v>
      </c>
      <c r="B114">
        <v>40577.93</v>
      </c>
      <c r="C114">
        <v>67574</v>
      </c>
      <c r="D114">
        <f t="shared" si="2"/>
        <v>2742013041.8200002</v>
      </c>
      <c r="E114">
        <v>122407</v>
      </c>
      <c r="F114">
        <v>5.3354800000000001E-2</v>
      </c>
      <c r="G114" s="51">
        <f t="shared" si="3"/>
        <v>6531001003.6000004</v>
      </c>
    </row>
    <row r="115" spans="1:7">
      <c r="A115" t="s">
        <v>1214</v>
      </c>
      <c r="B115">
        <v>29440.57</v>
      </c>
      <c r="C115">
        <v>221491</v>
      </c>
      <c r="D115">
        <f t="shared" si="2"/>
        <v>6520821289.8699999</v>
      </c>
      <c r="E115">
        <v>354334</v>
      </c>
      <c r="F115">
        <v>2.0170199999999999E-2</v>
      </c>
      <c r="G115" s="51">
        <f t="shared" si="3"/>
        <v>7146987646.7999992</v>
      </c>
    </row>
    <row r="116" spans="1:7">
      <c r="A116" t="s">
        <v>381</v>
      </c>
      <c r="B116">
        <v>37201.99</v>
      </c>
      <c r="C116">
        <v>266751</v>
      </c>
      <c r="D116">
        <f t="shared" si="2"/>
        <v>9923668034.4899998</v>
      </c>
      <c r="E116">
        <v>455408</v>
      </c>
      <c r="F116">
        <v>3.4402099999999998E-2</v>
      </c>
      <c r="G116" s="51">
        <f t="shared" si="3"/>
        <v>15666991556.799999</v>
      </c>
    </row>
    <row r="117" spans="1:7">
      <c r="A117" t="s">
        <v>382</v>
      </c>
      <c r="B117">
        <v>31467.84</v>
      </c>
      <c r="C117">
        <v>86170</v>
      </c>
      <c r="D117">
        <f t="shared" si="2"/>
        <v>2711583772.8000002</v>
      </c>
      <c r="E117">
        <v>128426</v>
      </c>
      <c r="F117">
        <v>2.5999399999999999E-2</v>
      </c>
      <c r="G117" s="51">
        <f t="shared" si="3"/>
        <v>3338998944.3999996</v>
      </c>
    </row>
    <row r="118" spans="1:7">
      <c r="A118" t="s">
        <v>383</v>
      </c>
      <c r="B118">
        <v>36288.06</v>
      </c>
      <c r="C118">
        <v>199443</v>
      </c>
      <c r="D118">
        <f t="shared" si="2"/>
        <v>7237399550.5799999</v>
      </c>
      <c r="E118">
        <v>428859</v>
      </c>
      <c r="F118">
        <v>2.27837E-2</v>
      </c>
      <c r="G118" s="51">
        <f t="shared" si="3"/>
        <v>9770994798.2999992</v>
      </c>
    </row>
    <row r="119" spans="1:7">
      <c r="A119" t="s">
        <v>384</v>
      </c>
      <c r="B119">
        <v>34081.699999999997</v>
      </c>
      <c r="C119">
        <v>117854</v>
      </c>
      <c r="D119">
        <f t="shared" si="2"/>
        <v>4016664671.7999997</v>
      </c>
      <c r="E119">
        <v>200231</v>
      </c>
      <c r="F119">
        <v>2.8601999999999999E-2</v>
      </c>
      <c r="G119" s="51">
        <f t="shared" si="3"/>
        <v>5727007062</v>
      </c>
    </row>
    <row r="120" spans="1:7">
      <c r="A120" t="s">
        <v>1215</v>
      </c>
      <c r="B120">
        <v>27700.98</v>
      </c>
      <c r="C120">
        <v>75519</v>
      </c>
      <c r="D120">
        <f t="shared" si="2"/>
        <v>2091950308.6199999</v>
      </c>
      <c r="E120">
        <v>143826</v>
      </c>
      <c r="F120">
        <v>2.1616400000000001E-2</v>
      </c>
      <c r="G120" s="51">
        <f t="shared" si="3"/>
        <v>3109000346.4000001</v>
      </c>
    </row>
    <row r="121" spans="1:7">
      <c r="A121" t="s">
        <v>385</v>
      </c>
      <c r="B121">
        <v>33793.699999999997</v>
      </c>
      <c r="C121">
        <v>60915</v>
      </c>
      <c r="D121">
        <f t="shared" si="2"/>
        <v>2058543235.4999998</v>
      </c>
      <c r="E121">
        <v>99864</v>
      </c>
      <c r="F121">
        <v>3.4516900000000003E-2</v>
      </c>
      <c r="G121" s="51">
        <f t="shared" si="3"/>
        <v>3446995701.6000004</v>
      </c>
    </row>
    <row r="122" spans="1:7">
      <c r="A122" t="s">
        <v>386</v>
      </c>
      <c r="B122">
        <v>36290.74</v>
      </c>
      <c r="C122">
        <v>195684</v>
      </c>
      <c r="D122">
        <f t="shared" si="2"/>
        <v>7101517166.1599998</v>
      </c>
      <c r="E122">
        <v>292889</v>
      </c>
      <c r="F122">
        <v>3.1667300000000002E-2</v>
      </c>
      <c r="G122" s="51">
        <f t="shared" si="3"/>
        <v>9275003829.7000008</v>
      </c>
    </row>
    <row r="123" spans="1:7">
      <c r="A123" t="s">
        <v>387</v>
      </c>
      <c r="B123">
        <v>31221.63</v>
      </c>
      <c r="C123">
        <v>163979</v>
      </c>
      <c r="D123">
        <f t="shared" si="2"/>
        <v>5119691665.7700005</v>
      </c>
      <c r="E123">
        <v>290977</v>
      </c>
      <c r="F123">
        <v>3.07722E-2</v>
      </c>
      <c r="G123" s="51">
        <f t="shared" si="3"/>
        <v>8954002439.3999996</v>
      </c>
    </row>
    <row r="124" spans="1:7">
      <c r="A124" t="s">
        <v>388</v>
      </c>
      <c r="B124">
        <v>32113.91</v>
      </c>
      <c r="C124">
        <v>127514</v>
      </c>
      <c r="D124">
        <f t="shared" si="2"/>
        <v>4094973119.7399998</v>
      </c>
      <c r="E124">
        <v>179529</v>
      </c>
      <c r="F124">
        <v>3.61613E-2</v>
      </c>
      <c r="G124" s="51">
        <f t="shared" si="3"/>
        <v>6492002027.7000008</v>
      </c>
    </row>
    <row r="125" spans="1:7">
      <c r="A125" t="s">
        <v>389</v>
      </c>
      <c r="B125">
        <v>35456.449999999997</v>
      </c>
      <c r="C125">
        <v>261525</v>
      </c>
      <c r="D125">
        <f t="shared" si="2"/>
        <v>9272748086.25</v>
      </c>
      <c r="E125">
        <v>411625</v>
      </c>
      <c r="F125">
        <v>3.7555999999999999E-2</v>
      </c>
      <c r="G125" s="51">
        <f t="shared" si="3"/>
        <v>15458988500</v>
      </c>
    </row>
    <row r="126" spans="1:7">
      <c r="A126" t="s">
        <v>390</v>
      </c>
      <c r="B126">
        <v>35214.410000000003</v>
      </c>
      <c r="C126">
        <v>450031</v>
      </c>
      <c r="D126">
        <f t="shared" si="2"/>
        <v>15847576146.710001</v>
      </c>
      <c r="E126">
        <v>903133</v>
      </c>
      <c r="F126">
        <v>2.6678199999999999E-2</v>
      </c>
      <c r="G126" s="51">
        <f t="shared" si="3"/>
        <v>24093962800.599998</v>
      </c>
    </row>
    <row r="127" spans="1:7">
      <c r="A127" t="s">
        <v>980</v>
      </c>
      <c r="B127">
        <v>28045.11</v>
      </c>
      <c r="C127">
        <v>50551</v>
      </c>
      <c r="D127">
        <f t="shared" si="2"/>
        <v>1417708355.6100001</v>
      </c>
      <c r="E127">
        <v>103435</v>
      </c>
      <c r="F127">
        <v>2.1917099999999998E-2</v>
      </c>
      <c r="G127" s="51">
        <f t="shared" si="3"/>
        <v>2266995238.4999995</v>
      </c>
    </row>
    <row r="128" spans="1:7">
      <c r="A128" t="s">
        <v>391</v>
      </c>
      <c r="B128">
        <v>32927.599999999999</v>
      </c>
      <c r="C128">
        <v>165907</v>
      </c>
      <c r="D128">
        <f t="shared" si="2"/>
        <v>5462919333.1999998</v>
      </c>
      <c r="E128">
        <v>259179</v>
      </c>
      <c r="F128">
        <v>2.5426399999999998E-2</v>
      </c>
      <c r="G128" s="51">
        <f t="shared" si="3"/>
        <v>6589988925.5999994</v>
      </c>
    </row>
    <row r="129" spans="1:7">
      <c r="A129" t="s">
        <v>981</v>
      </c>
      <c r="B129">
        <v>35749.160000000003</v>
      </c>
      <c r="C129">
        <v>101042</v>
      </c>
      <c r="D129">
        <f t="shared" si="2"/>
        <v>3612166624.7200003</v>
      </c>
      <c r="E129">
        <v>184731</v>
      </c>
      <c r="F129">
        <v>3.1093900000000001E-2</v>
      </c>
      <c r="G129" s="51">
        <f t="shared" si="3"/>
        <v>5744007240.9000006</v>
      </c>
    </row>
    <row r="130" spans="1:7">
      <c r="A130" t="s">
        <v>392</v>
      </c>
      <c r="B130">
        <v>33199.949999999997</v>
      </c>
      <c r="C130">
        <v>70059</v>
      </c>
      <c r="D130">
        <f t="shared" si="2"/>
        <v>2325955297.0499997</v>
      </c>
      <c r="E130">
        <v>128653</v>
      </c>
      <c r="F130">
        <v>2.3963700000000001E-2</v>
      </c>
      <c r="G130" s="51">
        <f t="shared" si="3"/>
        <v>3083001896.0999999</v>
      </c>
    </row>
    <row r="131" spans="1:7">
      <c r="A131" t="s">
        <v>1216</v>
      </c>
      <c r="B131">
        <v>28443.06</v>
      </c>
      <c r="C131">
        <v>60909</v>
      </c>
      <c r="D131">
        <f t="shared" si="2"/>
        <v>1732438341.54</v>
      </c>
      <c r="E131">
        <v>113419</v>
      </c>
      <c r="F131">
        <v>2.3073699999999999E-2</v>
      </c>
      <c r="G131" s="51">
        <f t="shared" si="3"/>
        <v>2616995980.2999997</v>
      </c>
    </row>
    <row r="132" spans="1:7">
      <c r="A132" t="s">
        <v>393</v>
      </c>
      <c r="B132">
        <v>30227.14</v>
      </c>
      <c r="C132">
        <v>70785</v>
      </c>
      <c r="D132">
        <f t="shared" si="2"/>
        <v>2139628104.8999999</v>
      </c>
      <c r="E132">
        <v>97261</v>
      </c>
      <c r="F132">
        <v>2.9261499999999999E-2</v>
      </c>
      <c r="G132" s="51">
        <f t="shared" si="3"/>
        <v>2846002751.5</v>
      </c>
    </row>
    <row r="133" spans="1:7">
      <c r="A133" t="s">
        <v>394</v>
      </c>
      <c r="B133">
        <v>35538.07</v>
      </c>
      <c r="C133">
        <v>91728</v>
      </c>
      <c r="D133">
        <f t="shared" si="2"/>
        <v>3259836084.96</v>
      </c>
      <c r="E133">
        <v>141905</v>
      </c>
      <c r="F133">
        <v>3.2239900000000002E-2</v>
      </c>
      <c r="G133" s="51">
        <f t="shared" si="3"/>
        <v>4575003009.5</v>
      </c>
    </row>
    <row r="134" spans="1:7">
      <c r="A134" t="s">
        <v>395</v>
      </c>
      <c r="B134">
        <v>37932.39</v>
      </c>
      <c r="C134">
        <v>487530</v>
      </c>
      <c r="D134">
        <f t="shared" ref="D134:D197" si="4">+C134*B134</f>
        <v>18493178096.700001</v>
      </c>
      <c r="E134">
        <v>776505</v>
      </c>
      <c r="F134">
        <v>3.9496200000000002E-2</v>
      </c>
      <c r="G134" s="51">
        <f t="shared" ref="G134:G197" si="5">+F134*E134*1000000</f>
        <v>30668996781</v>
      </c>
    </row>
    <row r="135" spans="1:7">
      <c r="A135" t="s">
        <v>396</v>
      </c>
      <c r="B135">
        <v>28743.83</v>
      </c>
      <c r="C135">
        <v>52296</v>
      </c>
      <c r="D135">
        <f t="shared" si="4"/>
        <v>1503187333.6800001</v>
      </c>
      <c r="E135">
        <v>82022</v>
      </c>
      <c r="F135">
        <v>2.5602900000000001E-2</v>
      </c>
      <c r="G135" s="51">
        <f t="shared" si="5"/>
        <v>2100001063.8000004</v>
      </c>
    </row>
    <row r="136" spans="1:7">
      <c r="A136" t="s">
        <v>397</v>
      </c>
      <c r="B136">
        <v>37881.33</v>
      </c>
      <c r="C136">
        <v>120420</v>
      </c>
      <c r="D136">
        <f t="shared" si="4"/>
        <v>4561669758.6000004</v>
      </c>
      <c r="E136">
        <v>248852</v>
      </c>
      <c r="F136">
        <v>2.5541299999999999E-2</v>
      </c>
      <c r="G136" s="51">
        <f t="shared" si="5"/>
        <v>6356003587.6000004</v>
      </c>
    </row>
    <row r="137" spans="1:7">
      <c r="A137" t="s">
        <v>398</v>
      </c>
      <c r="B137">
        <v>38983.25</v>
      </c>
      <c r="C137">
        <v>209142</v>
      </c>
      <c r="D137">
        <f t="shared" si="4"/>
        <v>8153034871.5</v>
      </c>
      <c r="E137">
        <v>302322</v>
      </c>
      <c r="F137">
        <v>4.3473499999999998E-2</v>
      </c>
      <c r="G137" s="51">
        <f t="shared" si="5"/>
        <v>13142995466.999998</v>
      </c>
    </row>
    <row r="138" spans="1:7">
      <c r="A138" t="s">
        <v>1217</v>
      </c>
      <c r="B138">
        <v>35610.06</v>
      </c>
      <c r="C138">
        <v>458235</v>
      </c>
      <c r="D138">
        <f t="shared" si="4"/>
        <v>16317775844.099998</v>
      </c>
      <c r="E138">
        <v>707185</v>
      </c>
      <c r="F138">
        <v>4.2933600000000002E-2</v>
      </c>
      <c r="G138" s="51">
        <f t="shared" si="5"/>
        <v>30361997916</v>
      </c>
    </row>
    <row r="139" spans="1:7">
      <c r="A139" t="s">
        <v>1218</v>
      </c>
      <c r="B139">
        <v>30332.44</v>
      </c>
      <c r="C139">
        <v>102749</v>
      </c>
      <c r="D139">
        <f t="shared" si="4"/>
        <v>3116627877.5599999</v>
      </c>
      <c r="E139">
        <v>176589</v>
      </c>
      <c r="F139">
        <v>2.4559899999999999E-2</v>
      </c>
      <c r="G139" s="51">
        <f t="shared" si="5"/>
        <v>4337008181.1000004</v>
      </c>
    </row>
    <row r="140" spans="1:7">
      <c r="A140" t="s">
        <v>399</v>
      </c>
      <c r="B140">
        <v>35794.89</v>
      </c>
      <c r="C140">
        <v>401269</v>
      </c>
      <c r="D140">
        <f t="shared" si="4"/>
        <v>14363379715.41</v>
      </c>
      <c r="E140">
        <v>630098</v>
      </c>
      <c r="F140">
        <v>3.4497800000000002E-2</v>
      </c>
      <c r="G140" s="51">
        <f t="shared" si="5"/>
        <v>21736994784.400002</v>
      </c>
    </row>
    <row r="141" spans="1:7">
      <c r="A141" t="s">
        <v>982</v>
      </c>
      <c r="B141">
        <v>33200.01</v>
      </c>
      <c r="C141">
        <v>152117</v>
      </c>
      <c r="D141">
        <f t="shared" si="4"/>
        <v>5050285921.1700001</v>
      </c>
      <c r="E141">
        <v>236155</v>
      </c>
      <c r="F141">
        <v>2.9984500000000001E-2</v>
      </c>
      <c r="G141" s="51">
        <f t="shared" si="5"/>
        <v>7080989597.5</v>
      </c>
    </row>
    <row r="142" spans="1:7">
      <c r="A142" t="s">
        <v>400</v>
      </c>
      <c r="B142">
        <v>32463.68</v>
      </c>
      <c r="C142">
        <v>126897</v>
      </c>
      <c r="D142">
        <f t="shared" si="4"/>
        <v>4119543600.96</v>
      </c>
      <c r="E142">
        <v>264278</v>
      </c>
      <c r="F142">
        <v>2.3970999999999999E-2</v>
      </c>
      <c r="G142" s="51">
        <f t="shared" si="5"/>
        <v>6335007938</v>
      </c>
    </row>
    <row r="143" spans="1:7">
      <c r="A143" t="s">
        <v>401</v>
      </c>
      <c r="B143">
        <v>32879.68</v>
      </c>
      <c r="C143">
        <v>57973</v>
      </c>
      <c r="D143">
        <f t="shared" si="4"/>
        <v>1906133688.6400001</v>
      </c>
      <c r="E143">
        <v>148746</v>
      </c>
      <c r="F143">
        <v>1.6538299999999999E-2</v>
      </c>
      <c r="G143" s="51">
        <f t="shared" si="5"/>
        <v>2460005971.7999997</v>
      </c>
    </row>
    <row r="144" spans="1:7">
      <c r="A144" t="s">
        <v>402</v>
      </c>
      <c r="B144">
        <v>39059.410000000003</v>
      </c>
      <c r="C144">
        <v>402933</v>
      </c>
      <c r="D144">
        <f t="shared" si="4"/>
        <v>15738325249.530001</v>
      </c>
      <c r="E144">
        <v>533802</v>
      </c>
      <c r="F144">
        <v>4.3564800000000001E-2</v>
      </c>
      <c r="G144" s="51">
        <f t="shared" si="5"/>
        <v>23254977369.600002</v>
      </c>
    </row>
    <row r="145" spans="1:7">
      <c r="A145" t="s">
        <v>1219</v>
      </c>
      <c r="B145">
        <v>48842.64</v>
      </c>
      <c r="C145">
        <v>815967</v>
      </c>
      <c r="D145">
        <f t="shared" si="4"/>
        <v>39853982432.879997</v>
      </c>
      <c r="E145">
        <v>1191170</v>
      </c>
      <c r="F145">
        <v>5.5651199999999998E-2</v>
      </c>
      <c r="G145" s="51">
        <f t="shared" si="5"/>
        <v>66290039904.000008</v>
      </c>
    </row>
    <row r="146" spans="1:7">
      <c r="A146" t="s">
        <v>983</v>
      </c>
      <c r="B146">
        <v>28902.27</v>
      </c>
      <c r="C146">
        <v>81755</v>
      </c>
      <c r="D146">
        <f t="shared" si="4"/>
        <v>2362905083.8499999</v>
      </c>
      <c r="E146">
        <v>141000</v>
      </c>
      <c r="F146">
        <v>2.55248E-2</v>
      </c>
      <c r="G146" s="51">
        <f t="shared" si="5"/>
        <v>3598996800</v>
      </c>
    </row>
    <row r="147" spans="1:7">
      <c r="A147" t="s">
        <v>1220</v>
      </c>
      <c r="B147">
        <v>31070.92</v>
      </c>
      <c r="C147">
        <v>208970</v>
      </c>
      <c r="D147">
        <f t="shared" si="4"/>
        <v>6492890152.3999996</v>
      </c>
      <c r="E147">
        <v>363237</v>
      </c>
      <c r="F147">
        <v>2.8573600000000001E-2</v>
      </c>
      <c r="G147" s="51">
        <f t="shared" si="5"/>
        <v>10378988743.199999</v>
      </c>
    </row>
    <row r="148" spans="1:7">
      <c r="A148" t="s">
        <v>1221</v>
      </c>
      <c r="B148">
        <v>28942.13</v>
      </c>
      <c r="C148">
        <v>42427</v>
      </c>
      <c r="D148">
        <f t="shared" si="4"/>
        <v>1227927749.51</v>
      </c>
      <c r="E148">
        <v>70284</v>
      </c>
      <c r="F148">
        <v>1.09129E-2</v>
      </c>
      <c r="G148" s="51">
        <f t="shared" si="5"/>
        <v>767002263.60000002</v>
      </c>
    </row>
    <row r="149" spans="1:7">
      <c r="A149" t="s">
        <v>403</v>
      </c>
      <c r="B149">
        <v>34475</v>
      </c>
      <c r="C149">
        <v>139364</v>
      </c>
      <c r="D149">
        <f t="shared" si="4"/>
        <v>4804573900</v>
      </c>
      <c r="E149">
        <v>260891</v>
      </c>
      <c r="F149">
        <v>3.2120700000000002E-2</v>
      </c>
      <c r="G149" s="51">
        <f t="shared" si="5"/>
        <v>8380001543.6999998</v>
      </c>
    </row>
    <row r="150" spans="1:7">
      <c r="A150" t="s">
        <v>404</v>
      </c>
      <c r="B150">
        <v>37387.129999999997</v>
      </c>
      <c r="C150">
        <v>626137</v>
      </c>
      <c r="D150">
        <f t="shared" si="4"/>
        <v>23409465416.809998</v>
      </c>
      <c r="E150">
        <v>902745</v>
      </c>
      <c r="F150">
        <v>3.8889199999999999E-2</v>
      </c>
      <c r="G150" s="51">
        <f t="shared" si="5"/>
        <v>35107030854</v>
      </c>
    </row>
    <row r="151" spans="1:7">
      <c r="A151" t="s">
        <v>984</v>
      </c>
      <c r="B151">
        <v>26672.66</v>
      </c>
      <c r="C151">
        <v>54194</v>
      </c>
      <c r="D151">
        <f t="shared" si="4"/>
        <v>1445498136.04</v>
      </c>
      <c r="E151">
        <v>97700</v>
      </c>
      <c r="F151">
        <v>2.3449299999999999E-2</v>
      </c>
      <c r="G151" s="51">
        <f t="shared" si="5"/>
        <v>2290996610</v>
      </c>
    </row>
    <row r="152" spans="1:7">
      <c r="A152" t="s">
        <v>1222</v>
      </c>
      <c r="B152">
        <v>41401.06</v>
      </c>
      <c r="C152">
        <v>126752</v>
      </c>
      <c r="D152">
        <f t="shared" si="4"/>
        <v>5247667157.1199999</v>
      </c>
      <c r="E152">
        <v>202717</v>
      </c>
      <c r="F152">
        <v>4.7993000000000001E-2</v>
      </c>
      <c r="G152" s="51">
        <f t="shared" si="5"/>
        <v>9728996981</v>
      </c>
    </row>
    <row r="153" spans="1:7">
      <c r="A153" t="s">
        <v>295</v>
      </c>
      <c r="B153">
        <v>52427.95</v>
      </c>
      <c r="C153">
        <v>3487033</v>
      </c>
      <c r="D153">
        <f t="shared" si="4"/>
        <v>182817991772.34998</v>
      </c>
      <c r="E153">
        <v>5726705</v>
      </c>
      <c r="F153">
        <v>6.5870899999999996E-2</v>
      </c>
      <c r="G153" s="51">
        <f t="shared" si="5"/>
        <v>377223212384.49994</v>
      </c>
    </row>
    <row r="154" spans="1:7">
      <c r="A154" t="s">
        <v>405</v>
      </c>
      <c r="B154">
        <v>33787.71</v>
      </c>
      <c r="C154">
        <v>147009</v>
      </c>
      <c r="D154">
        <f t="shared" si="4"/>
        <v>4967097459.3900003</v>
      </c>
      <c r="E154">
        <v>284903</v>
      </c>
      <c r="F154">
        <v>2.8244700000000001E-2</v>
      </c>
      <c r="G154" s="51">
        <f t="shared" si="5"/>
        <v>8046999764.1000004</v>
      </c>
    </row>
    <row r="155" spans="1:7">
      <c r="A155" t="s">
        <v>406</v>
      </c>
      <c r="B155">
        <v>41668.21</v>
      </c>
      <c r="C155">
        <v>270156</v>
      </c>
      <c r="D155">
        <f t="shared" si="4"/>
        <v>11256916940.76</v>
      </c>
      <c r="E155">
        <v>397228</v>
      </c>
      <c r="F155">
        <v>3.7092E-2</v>
      </c>
      <c r="G155" s="51">
        <f t="shared" si="5"/>
        <v>14733980976</v>
      </c>
    </row>
    <row r="156" spans="1:7">
      <c r="A156" t="s">
        <v>985</v>
      </c>
      <c r="B156">
        <v>34605.379999999997</v>
      </c>
      <c r="C156">
        <v>73784</v>
      </c>
      <c r="D156">
        <f t="shared" si="4"/>
        <v>2553323357.9199996</v>
      </c>
      <c r="E156">
        <v>123123</v>
      </c>
      <c r="F156">
        <v>2.62014E-2</v>
      </c>
      <c r="G156" s="51">
        <f t="shared" si="5"/>
        <v>3225994972.2000003</v>
      </c>
    </row>
    <row r="157" spans="1:7">
      <c r="A157" t="s">
        <v>407</v>
      </c>
      <c r="B157">
        <v>41526.29</v>
      </c>
      <c r="C157">
        <v>1130429</v>
      </c>
      <c r="D157">
        <f t="shared" si="4"/>
        <v>46942522478.410004</v>
      </c>
      <c r="E157">
        <v>1720796</v>
      </c>
      <c r="F157">
        <v>5.1177500000000001E-2</v>
      </c>
      <c r="G157" s="51">
        <f t="shared" si="5"/>
        <v>88066037290</v>
      </c>
    </row>
    <row r="158" spans="1:7">
      <c r="A158" t="s">
        <v>408</v>
      </c>
      <c r="B158">
        <v>32216.15</v>
      </c>
      <c r="C158">
        <v>115376</v>
      </c>
      <c r="D158">
        <f t="shared" si="4"/>
        <v>3716970522.4000001</v>
      </c>
      <c r="E158">
        <v>149359</v>
      </c>
      <c r="F158">
        <v>3.19633E-2</v>
      </c>
      <c r="G158" s="51">
        <f t="shared" si="5"/>
        <v>4774006524.6999998</v>
      </c>
    </row>
    <row r="159" spans="1:7">
      <c r="A159" t="s">
        <v>409</v>
      </c>
      <c r="B159">
        <v>33516.26</v>
      </c>
      <c r="C159">
        <v>68268</v>
      </c>
      <c r="D159">
        <f t="shared" si="4"/>
        <v>2288088037.6800003</v>
      </c>
      <c r="E159">
        <v>101027</v>
      </c>
      <c r="F159">
        <v>3.3139700000000001E-2</v>
      </c>
      <c r="G159" s="51">
        <f t="shared" si="5"/>
        <v>3348004471.9000001</v>
      </c>
    </row>
    <row r="160" spans="1:7">
      <c r="A160" t="s">
        <v>410</v>
      </c>
      <c r="B160">
        <v>37490.89</v>
      </c>
      <c r="C160">
        <v>74845</v>
      </c>
      <c r="D160">
        <f t="shared" si="4"/>
        <v>2806005662.0500002</v>
      </c>
      <c r="E160">
        <v>160266</v>
      </c>
      <c r="F160">
        <v>2.63187E-2</v>
      </c>
      <c r="G160" s="51">
        <f t="shared" si="5"/>
        <v>4217992774.1999998</v>
      </c>
    </row>
    <row r="161" spans="1:7">
      <c r="A161" t="s">
        <v>411</v>
      </c>
      <c r="B161">
        <v>34641.96</v>
      </c>
      <c r="C161">
        <v>342633</v>
      </c>
      <c r="D161">
        <f t="shared" si="4"/>
        <v>11869478680.68</v>
      </c>
      <c r="E161">
        <v>537194</v>
      </c>
      <c r="F161">
        <v>3.63314E-2</v>
      </c>
      <c r="G161" s="51">
        <f t="shared" si="5"/>
        <v>19517010091.600002</v>
      </c>
    </row>
    <row r="162" spans="1:7">
      <c r="A162" t="s">
        <v>412</v>
      </c>
      <c r="B162">
        <v>33077.94</v>
      </c>
      <c r="C162">
        <v>77424</v>
      </c>
      <c r="D162">
        <f t="shared" si="4"/>
        <v>2561026426.5599999</v>
      </c>
      <c r="E162">
        <v>113008</v>
      </c>
      <c r="F162">
        <v>3.4015299999999998E-2</v>
      </c>
      <c r="G162" s="51">
        <f t="shared" si="5"/>
        <v>3844001022.3999996</v>
      </c>
    </row>
    <row r="163" spans="1:7">
      <c r="A163" t="s">
        <v>413</v>
      </c>
      <c r="B163">
        <v>38499.519999999997</v>
      </c>
      <c r="C163">
        <v>826575</v>
      </c>
      <c r="D163">
        <f t="shared" si="4"/>
        <v>31822740743.999996</v>
      </c>
      <c r="E163">
        <v>1316528</v>
      </c>
      <c r="F163">
        <v>3.9294299999999997E-2</v>
      </c>
      <c r="G163" s="51">
        <f t="shared" si="5"/>
        <v>51732046190.399994</v>
      </c>
    </row>
    <row r="164" spans="1:7">
      <c r="A164" t="s">
        <v>1223</v>
      </c>
      <c r="B164">
        <v>22844.32</v>
      </c>
      <c r="C164">
        <v>109103</v>
      </c>
      <c r="D164">
        <f t="shared" si="4"/>
        <v>2492383844.96</v>
      </c>
      <c r="E164">
        <v>169233</v>
      </c>
      <c r="F164">
        <v>1.18358E-2</v>
      </c>
      <c r="G164" s="51">
        <f t="shared" si="5"/>
        <v>2003007941.4000001</v>
      </c>
    </row>
    <row r="165" spans="1:7">
      <c r="A165" t="s">
        <v>414</v>
      </c>
      <c r="B165">
        <v>36059.019999999997</v>
      </c>
      <c r="C165">
        <v>84361</v>
      </c>
      <c r="D165">
        <f t="shared" si="4"/>
        <v>3041974986.2199998</v>
      </c>
      <c r="E165">
        <v>160186</v>
      </c>
      <c r="F165">
        <v>2.72558E-2</v>
      </c>
      <c r="G165" s="51">
        <f t="shared" si="5"/>
        <v>4365997578.8000002</v>
      </c>
    </row>
    <row r="166" spans="1:7">
      <c r="A166" t="s">
        <v>415</v>
      </c>
      <c r="B166">
        <v>33773.29</v>
      </c>
      <c r="C166">
        <v>102421</v>
      </c>
      <c r="D166">
        <f t="shared" si="4"/>
        <v>3459094135.0900002</v>
      </c>
      <c r="E166">
        <v>146465</v>
      </c>
      <c r="F166">
        <v>2.7890600000000002E-2</v>
      </c>
      <c r="G166" s="51">
        <f t="shared" si="5"/>
        <v>4084996729.0000005</v>
      </c>
    </row>
    <row r="167" spans="1:7">
      <c r="A167" t="s">
        <v>416</v>
      </c>
      <c r="B167">
        <v>29152.83</v>
      </c>
      <c r="C167">
        <v>109002</v>
      </c>
      <c r="D167">
        <f t="shared" si="4"/>
        <v>3177716775.6600003</v>
      </c>
      <c r="E167">
        <v>195783</v>
      </c>
      <c r="F167">
        <v>2.5012400000000001E-2</v>
      </c>
      <c r="G167" s="51">
        <f t="shared" si="5"/>
        <v>4897002709.1999998</v>
      </c>
    </row>
    <row r="168" spans="1:7">
      <c r="A168" t="s">
        <v>417</v>
      </c>
      <c r="B168">
        <v>29701.25</v>
      </c>
      <c r="C168">
        <v>78091</v>
      </c>
      <c r="D168">
        <f t="shared" si="4"/>
        <v>2319400313.75</v>
      </c>
      <c r="E168">
        <v>144488</v>
      </c>
      <c r="F168">
        <v>2.3129899999999998E-2</v>
      </c>
      <c r="G168" s="51">
        <f t="shared" si="5"/>
        <v>3341992991.1999998</v>
      </c>
    </row>
    <row r="169" spans="1:7">
      <c r="A169" t="s">
        <v>986</v>
      </c>
      <c r="B169">
        <v>29351.71</v>
      </c>
      <c r="C169">
        <v>65860</v>
      </c>
      <c r="D169">
        <f t="shared" si="4"/>
        <v>1933103620.5999999</v>
      </c>
      <c r="E169">
        <v>118135</v>
      </c>
      <c r="F169">
        <v>2.7341600000000001E-2</v>
      </c>
      <c r="G169" s="51">
        <f t="shared" si="5"/>
        <v>3229999916</v>
      </c>
    </row>
    <row r="170" spans="1:7">
      <c r="A170" t="s">
        <v>1224</v>
      </c>
      <c r="B170">
        <v>30991.33</v>
      </c>
      <c r="C170">
        <v>106561</v>
      </c>
      <c r="D170">
        <f t="shared" si="4"/>
        <v>3302467116.1300001</v>
      </c>
      <c r="E170">
        <v>172615</v>
      </c>
      <c r="F170">
        <v>2.86649E-2</v>
      </c>
      <c r="G170" s="51">
        <f t="shared" si="5"/>
        <v>4947991713.5</v>
      </c>
    </row>
    <row r="171" spans="1:7">
      <c r="A171" t="s">
        <v>418</v>
      </c>
      <c r="B171">
        <v>36942.97</v>
      </c>
      <c r="C171">
        <v>180716</v>
      </c>
      <c r="D171">
        <f t="shared" si="4"/>
        <v>6676185766.5200005</v>
      </c>
      <c r="E171">
        <v>324135</v>
      </c>
      <c r="F171">
        <v>3.2341500000000002E-2</v>
      </c>
      <c r="G171" s="51">
        <f t="shared" si="5"/>
        <v>10483012102.5</v>
      </c>
    </row>
    <row r="172" spans="1:7">
      <c r="A172" t="s">
        <v>419</v>
      </c>
      <c r="B172">
        <v>31264.99</v>
      </c>
      <c r="C172">
        <v>55912</v>
      </c>
      <c r="D172">
        <f t="shared" si="4"/>
        <v>1748088120.8800001</v>
      </c>
      <c r="E172">
        <v>112719</v>
      </c>
      <c r="F172">
        <v>2.4121900000000002E-2</v>
      </c>
      <c r="G172" s="51">
        <f t="shared" si="5"/>
        <v>2718996446.1000004</v>
      </c>
    </row>
    <row r="173" spans="1:7">
      <c r="A173" t="s">
        <v>420</v>
      </c>
      <c r="B173">
        <v>41787.360000000001</v>
      </c>
      <c r="C173">
        <v>1318998</v>
      </c>
      <c r="D173">
        <f t="shared" si="4"/>
        <v>55117444265.279999</v>
      </c>
      <c r="E173">
        <v>2046083</v>
      </c>
      <c r="F173">
        <v>4.37846E-2</v>
      </c>
      <c r="G173" s="51">
        <f t="shared" si="5"/>
        <v>89586925721.800003</v>
      </c>
    </row>
    <row r="174" spans="1:7">
      <c r="A174" t="s">
        <v>421</v>
      </c>
      <c r="B174">
        <v>41884.51</v>
      </c>
      <c r="C174">
        <v>126413</v>
      </c>
      <c r="D174">
        <f t="shared" si="4"/>
        <v>5294746562.6300001</v>
      </c>
      <c r="E174">
        <v>237206</v>
      </c>
      <c r="F174">
        <v>3.1655999999999997E-2</v>
      </c>
      <c r="G174" s="51">
        <f t="shared" si="5"/>
        <v>7508993135.999999</v>
      </c>
    </row>
    <row r="175" spans="1:7">
      <c r="A175" t="s">
        <v>422</v>
      </c>
      <c r="B175">
        <v>31612.51</v>
      </c>
      <c r="C175">
        <v>225225</v>
      </c>
      <c r="D175">
        <f t="shared" si="4"/>
        <v>7119927564.75</v>
      </c>
      <c r="E175">
        <v>379569</v>
      </c>
      <c r="F175">
        <v>1.7670000000000002E-2</v>
      </c>
      <c r="G175" s="51">
        <f t="shared" si="5"/>
        <v>6706984230.000001</v>
      </c>
    </row>
    <row r="176" spans="1:7">
      <c r="A176" t="s">
        <v>987</v>
      </c>
      <c r="B176">
        <v>35165.47</v>
      </c>
      <c r="C176">
        <v>165497</v>
      </c>
      <c r="D176">
        <f t="shared" si="4"/>
        <v>5819779788.5900002</v>
      </c>
      <c r="E176">
        <v>304679</v>
      </c>
      <c r="F176">
        <v>2.9204500000000001E-2</v>
      </c>
      <c r="G176" s="51">
        <f t="shared" si="5"/>
        <v>8897997855.5</v>
      </c>
    </row>
    <row r="177" spans="1:7">
      <c r="A177" t="s">
        <v>988</v>
      </c>
      <c r="B177">
        <v>31276.14</v>
      </c>
      <c r="C177">
        <v>89075</v>
      </c>
      <c r="D177">
        <f t="shared" si="4"/>
        <v>2785922170.5</v>
      </c>
      <c r="E177">
        <v>181722</v>
      </c>
      <c r="F177">
        <v>1.9716899999999999E-2</v>
      </c>
      <c r="G177" s="51">
        <f t="shared" si="5"/>
        <v>3582994501.7999997</v>
      </c>
    </row>
    <row r="178" spans="1:7">
      <c r="A178" t="s">
        <v>423</v>
      </c>
      <c r="B178">
        <v>36553.910000000003</v>
      </c>
      <c r="C178">
        <v>457464</v>
      </c>
      <c r="D178">
        <f t="shared" si="4"/>
        <v>16722097884.240002</v>
      </c>
      <c r="E178">
        <v>692210</v>
      </c>
      <c r="F178">
        <v>3.7768900000000001E-2</v>
      </c>
      <c r="G178" s="51">
        <f t="shared" si="5"/>
        <v>26144010269.000004</v>
      </c>
    </row>
    <row r="179" spans="1:7">
      <c r="A179" t="s">
        <v>774</v>
      </c>
      <c r="B179">
        <v>40974.800000000003</v>
      </c>
      <c r="C179">
        <v>55672</v>
      </c>
      <c r="D179">
        <f t="shared" si="4"/>
        <v>2281149065.6000004</v>
      </c>
      <c r="E179">
        <v>99450</v>
      </c>
      <c r="F179">
        <v>3.1091000000000001E-2</v>
      </c>
      <c r="G179" s="51">
        <f t="shared" si="5"/>
        <v>3091999950</v>
      </c>
    </row>
    <row r="180" spans="1:7">
      <c r="A180" t="s">
        <v>424</v>
      </c>
      <c r="B180">
        <v>31804.54</v>
      </c>
      <c r="C180">
        <v>94998</v>
      </c>
      <c r="D180">
        <f t="shared" si="4"/>
        <v>3021367690.9200001</v>
      </c>
      <c r="E180">
        <v>131728</v>
      </c>
      <c r="F180">
        <v>3.47231E-2</v>
      </c>
      <c r="G180" s="51">
        <f t="shared" si="5"/>
        <v>4574004516.7999992</v>
      </c>
    </row>
    <row r="181" spans="1:7">
      <c r="A181" t="s">
        <v>425</v>
      </c>
      <c r="B181">
        <v>34471.19</v>
      </c>
      <c r="C181">
        <v>116665</v>
      </c>
      <c r="D181">
        <f t="shared" si="4"/>
        <v>4021581381.3500004</v>
      </c>
      <c r="E181">
        <v>193753</v>
      </c>
      <c r="F181">
        <v>3.0487299999999998E-2</v>
      </c>
      <c r="G181" s="51">
        <f t="shared" si="5"/>
        <v>5907005836.8999996</v>
      </c>
    </row>
    <row r="182" spans="1:7">
      <c r="A182" t="s">
        <v>426</v>
      </c>
      <c r="B182">
        <v>38536.25</v>
      </c>
      <c r="C182">
        <v>192849</v>
      </c>
      <c r="D182">
        <f t="shared" si="4"/>
        <v>7431677276.25</v>
      </c>
      <c r="E182">
        <v>259773</v>
      </c>
      <c r="F182">
        <v>6.7070099999999994E-2</v>
      </c>
      <c r="G182" s="51">
        <f t="shared" si="5"/>
        <v>17423001087.299999</v>
      </c>
    </row>
    <row r="183" spans="1:7">
      <c r="A183" t="s">
        <v>989</v>
      </c>
      <c r="B183">
        <v>36383.14</v>
      </c>
      <c r="C183">
        <v>116954</v>
      </c>
      <c r="D183">
        <f t="shared" si="4"/>
        <v>4255153755.5599999</v>
      </c>
      <c r="E183">
        <v>192972</v>
      </c>
      <c r="F183">
        <v>6.1148800000000003E-2</v>
      </c>
      <c r="G183" s="51">
        <f t="shared" si="5"/>
        <v>11800006233.6</v>
      </c>
    </row>
    <row r="184" spans="1:7">
      <c r="A184" t="s">
        <v>1225</v>
      </c>
      <c r="B184">
        <v>27628.06</v>
      </c>
      <c r="C184">
        <v>71828</v>
      </c>
      <c r="D184">
        <f t="shared" si="4"/>
        <v>1984468293.6800001</v>
      </c>
      <c r="E184">
        <v>195601</v>
      </c>
      <c r="F184">
        <v>1.54652E-2</v>
      </c>
      <c r="G184" s="51">
        <f t="shared" si="5"/>
        <v>3025008585.2000003</v>
      </c>
    </row>
    <row r="185" spans="1:7">
      <c r="A185" t="s">
        <v>427</v>
      </c>
      <c r="B185">
        <v>33487.68</v>
      </c>
      <c r="C185">
        <v>273280</v>
      </c>
      <c r="D185">
        <f t="shared" si="4"/>
        <v>9151513190.3999996</v>
      </c>
      <c r="E185">
        <v>580282</v>
      </c>
      <c r="F185">
        <v>2.4684600000000001E-2</v>
      </c>
      <c r="G185" s="51">
        <f t="shared" si="5"/>
        <v>14324029057.200001</v>
      </c>
    </row>
    <row r="186" spans="1:7">
      <c r="A186" t="s">
        <v>428</v>
      </c>
      <c r="B186">
        <v>35402.959999999999</v>
      </c>
      <c r="C186">
        <v>310444</v>
      </c>
      <c r="D186">
        <f t="shared" si="4"/>
        <v>10990636514.24</v>
      </c>
      <c r="E186">
        <v>503807</v>
      </c>
      <c r="F186">
        <v>3.5779600000000002E-2</v>
      </c>
      <c r="G186" s="51">
        <f t="shared" si="5"/>
        <v>18026012937.200001</v>
      </c>
    </row>
    <row r="187" spans="1:7">
      <c r="A187" t="s">
        <v>429</v>
      </c>
      <c r="B187">
        <v>36458.86</v>
      </c>
      <c r="C187">
        <v>283164</v>
      </c>
      <c r="D187">
        <f t="shared" si="4"/>
        <v>10323836633.040001</v>
      </c>
      <c r="E187">
        <v>454605</v>
      </c>
      <c r="F187">
        <v>3.11413E-2</v>
      </c>
      <c r="G187" s="51">
        <f t="shared" si="5"/>
        <v>14156990686.5</v>
      </c>
    </row>
    <row r="188" spans="1:7">
      <c r="A188" t="s">
        <v>430</v>
      </c>
      <c r="B188">
        <v>24407.41</v>
      </c>
      <c r="C188">
        <v>115282</v>
      </c>
      <c r="D188">
        <f t="shared" si="4"/>
        <v>2813735039.6199999</v>
      </c>
      <c r="E188">
        <v>235937</v>
      </c>
      <c r="F188">
        <v>2.0263900000000001E-2</v>
      </c>
      <c r="G188" s="51">
        <f t="shared" si="5"/>
        <v>4781003774.3000002</v>
      </c>
    </row>
    <row r="189" spans="1:7">
      <c r="A189" t="s">
        <v>431</v>
      </c>
      <c r="B189">
        <v>26746.09</v>
      </c>
      <c r="C189">
        <v>91977</v>
      </c>
      <c r="D189">
        <f t="shared" si="4"/>
        <v>2460025119.9299998</v>
      </c>
      <c r="E189">
        <v>201428</v>
      </c>
      <c r="F189">
        <v>1.80114E-2</v>
      </c>
      <c r="G189" s="51">
        <f t="shared" si="5"/>
        <v>3628000279.1999998</v>
      </c>
    </row>
    <row r="190" spans="1:7">
      <c r="A190" t="s">
        <v>432</v>
      </c>
      <c r="B190">
        <v>37940.36</v>
      </c>
      <c r="C190">
        <v>1165516</v>
      </c>
      <c r="D190">
        <f t="shared" si="4"/>
        <v>44220096625.760002</v>
      </c>
      <c r="E190">
        <v>1879093</v>
      </c>
      <c r="F190">
        <v>4.6905099999999998E-2</v>
      </c>
      <c r="G190" s="51">
        <f t="shared" si="5"/>
        <v>88139045074.300003</v>
      </c>
    </row>
    <row r="191" spans="1:7">
      <c r="A191" t="s">
        <v>433</v>
      </c>
      <c r="B191">
        <v>27093.68</v>
      </c>
      <c r="C191">
        <v>65768</v>
      </c>
      <c r="D191">
        <f t="shared" si="4"/>
        <v>1781897146.24</v>
      </c>
      <c r="E191">
        <v>114752</v>
      </c>
      <c r="F191">
        <v>2.1977799999999999E-2</v>
      </c>
      <c r="G191" s="51">
        <f t="shared" si="5"/>
        <v>2521996505.5999994</v>
      </c>
    </row>
    <row r="192" spans="1:7">
      <c r="A192" t="s">
        <v>434</v>
      </c>
      <c r="B192">
        <v>28377.43</v>
      </c>
      <c r="C192">
        <v>67037</v>
      </c>
      <c r="D192">
        <f t="shared" si="4"/>
        <v>1902337774.9100001</v>
      </c>
      <c r="E192">
        <v>112249</v>
      </c>
      <c r="F192">
        <v>1.8298600000000002E-2</v>
      </c>
      <c r="G192" s="51">
        <f t="shared" si="5"/>
        <v>2053999551.4000001</v>
      </c>
    </row>
    <row r="193" spans="1:7">
      <c r="A193" t="s">
        <v>435</v>
      </c>
      <c r="B193">
        <v>31198.04</v>
      </c>
      <c r="C193">
        <v>64007</v>
      </c>
      <c r="D193">
        <f t="shared" si="4"/>
        <v>1996892946.28</v>
      </c>
      <c r="E193">
        <v>129302</v>
      </c>
      <c r="F193">
        <v>2.36501E-2</v>
      </c>
      <c r="G193" s="51">
        <f t="shared" si="5"/>
        <v>3058005230.1999998</v>
      </c>
    </row>
    <row r="194" spans="1:7">
      <c r="A194" t="s">
        <v>990</v>
      </c>
      <c r="B194">
        <v>32105.39</v>
      </c>
      <c r="C194">
        <v>36040</v>
      </c>
      <c r="D194">
        <f t="shared" si="4"/>
        <v>1157078255.5999999</v>
      </c>
      <c r="E194">
        <v>60260</v>
      </c>
      <c r="F194">
        <v>2.5273799999999999E-2</v>
      </c>
      <c r="G194" s="51">
        <f t="shared" si="5"/>
        <v>1522999188</v>
      </c>
    </row>
    <row r="195" spans="1:7">
      <c r="A195" t="s">
        <v>436</v>
      </c>
      <c r="B195">
        <v>33307.03</v>
      </c>
      <c r="C195">
        <v>65807</v>
      </c>
      <c r="D195">
        <f t="shared" si="4"/>
        <v>2191835723.21</v>
      </c>
      <c r="E195">
        <v>107061</v>
      </c>
      <c r="F195">
        <v>3.0973000000000001E-2</v>
      </c>
      <c r="G195" s="51">
        <f t="shared" si="5"/>
        <v>3316000353</v>
      </c>
    </row>
    <row r="196" spans="1:7">
      <c r="A196" t="s">
        <v>437</v>
      </c>
      <c r="B196">
        <v>37015.699999999997</v>
      </c>
      <c r="C196">
        <v>324154</v>
      </c>
      <c r="D196">
        <f t="shared" si="4"/>
        <v>11998787217.799999</v>
      </c>
      <c r="E196">
        <v>464042</v>
      </c>
      <c r="F196">
        <v>4.1942300000000002E-2</v>
      </c>
      <c r="G196" s="51">
        <f t="shared" si="5"/>
        <v>19462988776.599998</v>
      </c>
    </row>
    <row r="197" spans="1:7">
      <c r="A197" t="s">
        <v>991</v>
      </c>
      <c r="B197">
        <v>33530.730000000003</v>
      </c>
      <c r="C197">
        <v>67234</v>
      </c>
      <c r="D197">
        <f t="shared" si="4"/>
        <v>2254405100.8200002</v>
      </c>
      <c r="E197">
        <v>104826</v>
      </c>
      <c r="F197">
        <v>3.56782E-2</v>
      </c>
      <c r="G197" s="51">
        <f t="shared" si="5"/>
        <v>3740002993.2000003</v>
      </c>
    </row>
    <row r="198" spans="1:7">
      <c r="A198" t="s">
        <v>438</v>
      </c>
      <c r="B198">
        <v>33709.550000000003</v>
      </c>
      <c r="C198">
        <v>216925</v>
      </c>
      <c r="D198">
        <f t="shared" ref="D198:D261" si="6">+C198*B198</f>
        <v>7312444133.750001</v>
      </c>
      <c r="E198">
        <v>294665</v>
      </c>
      <c r="F198">
        <v>3.7700400000000002E-2</v>
      </c>
      <c r="G198" s="51">
        <f t="shared" ref="G198:G261" si="7">+F198*E198*1000000</f>
        <v>11108988366.000002</v>
      </c>
    </row>
    <row r="199" spans="1:7">
      <c r="A199" t="s">
        <v>297</v>
      </c>
      <c r="B199">
        <v>36943.61</v>
      </c>
      <c r="C199">
        <v>436103</v>
      </c>
      <c r="D199">
        <f t="shared" si="6"/>
        <v>16111219151.83</v>
      </c>
      <c r="E199">
        <v>675921</v>
      </c>
      <c r="F199">
        <v>3.7815099999999997E-2</v>
      </c>
      <c r="G199" s="51">
        <f t="shared" si="7"/>
        <v>25560020207.099998</v>
      </c>
    </row>
    <row r="200" spans="1:7">
      <c r="A200" t="s">
        <v>439</v>
      </c>
      <c r="B200">
        <v>28090.81</v>
      </c>
      <c r="C200">
        <v>71973</v>
      </c>
      <c r="D200">
        <f t="shared" si="6"/>
        <v>2021779868.1300001</v>
      </c>
      <c r="E200">
        <v>124362</v>
      </c>
      <c r="F200">
        <v>1.9893500000000001E-2</v>
      </c>
      <c r="G200" s="51">
        <f t="shared" si="7"/>
        <v>2473995447.0000005</v>
      </c>
    </row>
    <row r="201" spans="1:7">
      <c r="A201" t="s">
        <v>992</v>
      </c>
      <c r="B201">
        <v>35428.879999999997</v>
      </c>
      <c r="C201">
        <v>134466</v>
      </c>
      <c r="D201">
        <f t="shared" si="6"/>
        <v>4763979778.0799999</v>
      </c>
      <c r="E201">
        <v>204496</v>
      </c>
      <c r="F201">
        <v>4.41965E-2</v>
      </c>
      <c r="G201" s="51">
        <f t="shared" si="7"/>
        <v>9038007464</v>
      </c>
    </row>
    <row r="202" spans="1:7">
      <c r="A202" t="s">
        <v>440</v>
      </c>
      <c r="B202">
        <v>37439.56</v>
      </c>
      <c r="C202">
        <v>48337</v>
      </c>
      <c r="D202">
        <f t="shared" si="6"/>
        <v>1809716011.7199998</v>
      </c>
      <c r="E202">
        <v>101537</v>
      </c>
      <c r="F202">
        <v>2.48087E-2</v>
      </c>
      <c r="G202" s="51">
        <f t="shared" si="7"/>
        <v>2519000971.9000001</v>
      </c>
    </row>
    <row r="203" spans="1:7">
      <c r="A203" t="s">
        <v>299</v>
      </c>
      <c r="B203">
        <v>47279</v>
      </c>
      <c r="C203">
        <v>7823094</v>
      </c>
      <c r="D203">
        <f t="shared" si="6"/>
        <v>369868061226</v>
      </c>
      <c r="E203">
        <v>12768395</v>
      </c>
      <c r="F203">
        <v>5.1326299999999998E-2</v>
      </c>
      <c r="G203" s="51">
        <f t="shared" si="7"/>
        <v>655354472288.49988</v>
      </c>
    </row>
    <row r="204" spans="1:7">
      <c r="A204" t="s">
        <v>441</v>
      </c>
      <c r="B204">
        <v>36665.47</v>
      </c>
      <c r="C204">
        <v>780659</v>
      </c>
      <c r="D204">
        <f t="shared" si="6"/>
        <v>28623229144.73</v>
      </c>
      <c r="E204">
        <v>1249739</v>
      </c>
      <c r="F204">
        <v>4.06421E-2</v>
      </c>
      <c r="G204" s="51">
        <f t="shared" si="7"/>
        <v>50792017411.900002</v>
      </c>
    </row>
    <row r="205" spans="1:7">
      <c r="A205" t="s">
        <v>442</v>
      </c>
      <c r="B205">
        <v>29547.81</v>
      </c>
      <c r="C205">
        <v>170988</v>
      </c>
      <c r="D205">
        <f t="shared" si="6"/>
        <v>5052320936.2800007</v>
      </c>
      <c r="E205">
        <v>271582</v>
      </c>
      <c r="F205">
        <v>2.83266E-2</v>
      </c>
      <c r="G205" s="51">
        <f t="shared" si="7"/>
        <v>7692994681.1999998</v>
      </c>
    </row>
    <row r="206" spans="1:7">
      <c r="A206" t="s">
        <v>443</v>
      </c>
      <c r="B206">
        <v>34554.089999999997</v>
      </c>
      <c r="C206">
        <v>142156</v>
      </c>
      <c r="D206">
        <f t="shared" si="6"/>
        <v>4912071218.04</v>
      </c>
      <c r="E206">
        <v>245579</v>
      </c>
      <c r="F206">
        <v>3.0690700000000001E-2</v>
      </c>
      <c r="G206" s="51">
        <f t="shared" si="7"/>
        <v>7536991415.3000002</v>
      </c>
    </row>
    <row r="207" spans="1:7">
      <c r="A207" t="s">
        <v>444</v>
      </c>
      <c r="B207">
        <v>34164.980000000003</v>
      </c>
      <c r="C207">
        <v>136624</v>
      </c>
      <c r="D207">
        <f t="shared" si="6"/>
        <v>4667756227.5200005</v>
      </c>
      <c r="E207">
        <v>230735</v>
      </c>
      <c r="F207">
        <v>2.8487200000000001E-2</v>
      </c>
      <c r="G207" s="51">
        <f t="shared" si="7"/>
        <v>6572994092</v>
      </c>
    </row>
    <row r="208" spans="1:7">
      <c r="A208" t="s">
        <v>993</v>
      </c>
      <c r="B208">
        <v>34748.39</v>
      </c>
      <c r="C208">
        <v>60184</v>
      </c>
      <c r="D208">
        <f t="shared" si="6"/>
        <v>2091297103.76</v>
      </c>
      <c r="E208">
        <v>147577</v>
      </c>
      <c r="F208">
        <v>1.9725300000000001E-2</v>
      </c>
      <c r="G208" s="51">
        <f t="shared" si="7"/>
        <v>2911000598.1000004</v>
      </c>
    </row>
    <row r="209" spans="1:7">
      <c r="A209" t="s">
        <v>445</v>
      </c>
      <c r="B209">
        <v>40185.86</v>
      </c>
      <c r="C209">
        <v>444450</v>
      </c>
      <c r="D209">
        <f t="shared" si="6"/>
        <v>17860605477</v>
      </c>
      <c r="E209">
        <v>562065</v>
      </c>
      <c r="F209">
        <v>4.87292E-2</v>
      </c>
      <c r="G209" s="51">
        <f t="shared" si="7"/>
        <v>27388977798</v>
      </c>
    </row>
    <row r="210" spans="1:7">
      <c r="A210" t="s">
        <v>1226</v>
      </c>
      <c r="B210">
        <v>50416.88</v>
      </c>
      <c r="C210">
        <v>261566</v>
      </c>
      <c r="D210">
        <f t="shared" si="6"/>
        <v>13187341634.08</v>
      </c>
      <c r="E210">
        <v>404074</v>
      </c>
      <c r="F210">
        <v>4.7342799999999997E-2</v>
      </c>
      <c r="G210" s="51">
        <f t="shared" si="7"/>
        <v>19129994567.200001</v>
      </c>
    </row>
    <row r="211" spans="1:7">
      <c r="A211" t="s">
        <v>1227</v>
      </c>
      <c r="B211">
        <v>26084.04</v>
      </c>
      <c r="C211">
        <v>87270</v>
      </c>
      <c r="D211">
        <f t="shared" si="6"/>
        <v>2276354170.8000002</v>
      </c>
      <c r="E211">
        <v>122049</v>
      </c>
      <c r="F211">
        <v>1.9352899999999999E-2</v>
      </c>
      <c r="G211" s="51">
        <f t="shared" si="7"/>
        <v>2362002092.0999999</v>
      </c>
    </row>
    <row r="212" spans="1:7">
      <c r="A212" t="s">
        <v>1228</v>
      </c>
      <c r="B212">
        <v>30568.57</v>
      </c>
      <c r="C212">
        <v>68417</v>
      </c>
      <c r="D212">
        <f t="shared" si="6"/>
        <v>2091409853.6900001</v>
      </c>
      <c r="E212">
        <v>92576</v>
      </c>
      <c r="F212">
        <v>3.4706599999999997E-2</v>
      </c>
      <c r="G212" s="51">
        <f t="shared" si="7"/>
        <v>3212998201.5999999</v>
      </c>
    </row>
    <row r="213" spans="1:7">
      <c r="A213" t="s">
        <v>446</v>
      </c>
      <c r="B213">
        <v>30875.86</v>
      </c>
      <c r="C213">
        <v>69186</v>
      </c>
      <c r="D213">
        <f t="shared" si="6"/>
        <v>2136177249.96</v>
      </c>
      <c r="E213">
        <v>125081</v>
      </c>
      <c r="F213">
        <v>2.6175E-2</v>
      </c>
      <c r="G213" s="51">
        <f t="shared" si="7"/>
        <v>3273995175</v>
      </c>
    </row>
    <row r="214" spans="1:7">
      <c r="A214" t="s">
        <v>447</v>
      </c>
      <c r="B214">
        <v>24364.82</v>
      </c>
      <c r="C214">
        <v>306067</v>
      </c>
      <c r="D214">
        <f t="shared" si="6"/>
        <v>7457267362.9399996</v>
      </c>
      <c r="E214">
        <v>721275</v>
      </c>
      <c r="F214">
        <v>1.4854300000000001E-2</v>
      </c>
      <c r="G214" s="51">
        <f t="shared" si="7"/>
        <v>10714035232.5</v>
      </c>
    </row>
    <row r="215" spans="1:7">
      <c r="A215" t="s">
        <v>448</v>
      </c>
      <c r="B215">
        <v>31390.06</v>
      </c>
      <c r="C215">
        <v>120099</v>
      </c>
      <c r="D215">
        <f t="shared" si="6"/>
        <v>3769914815.9400001</v>
      </c>
      <c r="E215">
        <v>200298</v>
      </c>
      <c r="F215">
        <v>2.7154500000000002E-2</v>
      </c>
      <c r="G215" s="51">
        <f t="shared" si="7"/>
        <v>5438992041</v>
      </c>
    </row>
    <row r="216" spans="1:7">
      <c r="A216" t="s">
        <v>301</v>
      </c>
      <c r="B216">
        <v>39486.449999999997</v>
      </c>
      <c r="C216">
        <v>819373</v>
      </c>
      <c r="D216">
        <f t="shared" si="6"/>
        <v>32354130995.849998</v>
      </c>
      <c r="E216">
        <v>1298529</v>
      </c>
      <c r="F216">
        <v>4.3587000000000001E-2</v>
      </c>
      <c r="G216" s="51">
        <f t="shared" si="7"/>
        <v>56598983523</v>
      </c>
    </row>
    <row r="217" spans="1:7">
      <c r="A217" t="s">
        <v>449</v>
      </c>
      <c r="B217">
        <v>31168.04</v>
      </c>
      <c r="C217">
        <v>93314</v>
      </c>
      <c r="D217">
        <f t="shared" si="6"/>
        <v>2908414484.5599999</v>
      </c>
      <c r="E217">
        <v>244356</v>
      </c>
      <c r="F217">
        <v>2.1194500000000002E-2</v>
      </c>
      <c r="G217" s="51">
        <f t="shared" si="7"/>
        <v>5179003242.000001</v>
      </c>
    </row>
    <row r="218" spans="1:7">
      <c r="A218" t="s">
        <v>303</v>
      </c>
      <c r="B218">
        <v>40292.35</v>
      </c>
      <c r="C218">
        <v>3273236</v>
      </c>
      <c r="D218">
        <f t="shared" si="6"/>
        <v>131886370544.59999</v>
      </c>
      <c r="E218">
        <v>5501752</v>
      </c>
      <c r="F218">
        <v>4.2517199999999998E-2</v>
      </c>
      <c r="G218" s="51">
        <f t="shared" si="7"/>
        <v>233919090134.39999</v>
      </c>
    </row>
    <row r="219" spans="1:7">
      <c r="A219" t="s">
        <v>994</v>
      </c>
      <c r="B219">
        <v>31934.83</v>
      </c>
      <c r="C219">
        <v>59313</v>
      </c>
      <c r="D219">
        <f t="shared" si="6"/>
        <v>1894150571.7900002</v>
      </c>
      <c r="E219">
        <v>110754</v>
      </c>
      <c r="F219">
        <v>2.6355699999999999E-2</v>
      </c>
      <c r="G219" s="51">
        <f t="shared" si="7"/>
        <v>2918999197.7999997</v>
      </c>
    </row>
    <row r="220" spans="1:7">
      <c r="A220" t="s">
        <v>1229</v>
      </c>
      <c r="B220">
        <v>48444.43</v>
      </c>
      <c r="C220">
        <v>103295</v>
      </c>
      <c r="D220">
        <f t="shared" si="6"/>
        <v>5004067396.8500004</v>
      </c>
      <c r="E220">
        <v>129159</v>
      </c>
      <c r="F220">
        <v>7.9885999999999999E-2</v>
      </c>
      <c r="G220" s="51">
        <f t="shared" si="7"/>
        <v>10317995874</v>
      </c>
    </row>
    <row r="221" spans="1:7">
      <c r="A221" t="s">
        <v>450</v>
      </c>
      <c r="B221">
        <v>43313.95</v>
      </c>
      <c r="C221">
        <v>1027088</v>
      </c>
      <c r="D221">
        <f t="shared" si="6"/>
        <v>44487238277.599998</v>
      </c>
      <c r="E221">
        <v>1550451</v>
      </c>
      <c r="F221">
        <v>4.8821900000000001E-2</v>
      </c>
      <c r="G221" s="51">
        <f t="shared" si="7"/>
        <v>75695963676.900009</v>
      </c>
    </row>
    <row r="222" spans="1:7">
      <c r="A222" t="s">
        <v>305</v>
      </c>
      <c r="B222">
        <v>48866.68</v>
      </c>
      <c r="C222">
        <v>2285862</v>
      </c>
      <c r="D222">
        <f t="shared" si="6"/>
        <v>111702486878.16</v>
      </c>
      <c r="E222">
        <v>3237612</v>
      </c>
      <c r="F222">
        <v>5.4353600000000002E-2</v>
      </c>
      <c r="G222" s="51">
        <f t="shared" si="7"/>
        <v>175975867603.19998</v>
      </c>
    </row>
    <row r="223" spans="1:7">
      <c r="A223" t="s">
        <v>451</v>
      </c>
      <c r="B223">
        <v>29380.82</v>
      </c>
      <c r="C223">
        <v>78700</v>
      </c>
      <c r="D223">
        <f t="shared" si="6"/>
        <v>2312270534</v>
      </c>
      <c r="E223">
        <v>107552</v>
      </c>
      <c r="F223">
        <v>3.6577699999999998E-2</v>
      </c>
      <c r="G223" s="51">
        <f t="shared" si="7"/>
        <v>3934004790.3999996</v>
      </c>
    </row>
    <row r="224" spans="1:7">
      <c r="A224" t="s">
        <v>452</v>
      </c>
      <c r="B224">
        <v>35575.19</v>
      </c>
      <c r="C224">
        <v>239691</v>
      </c>
      <c r="D224">
        <f t="shared" si="6"/>
        <v>8527052866.2900009</v>
      </c>
      <c r="E224">
        <v>409132</v>
      </c>
      <c r="F224">
        <v>3.18675E-2</v>
      </c>
      <c r="G224" s="51">
        <f t="shared" si="7"/>
        <v>13038014010</v>
      </c>
    </row>
    <row r="225" spans="1:7">
      <c r="A225" t="s">
        <v>453</v>
      </c>
      <c r="B225">
        <v>36124.019999999997</v>
      </c>
      <c r="C225">
        <v>223870</v>
      </c>
      <c r="D225">
        <f t="shared" si="6"/>
        <v>8087084357.3999996</v>
      </c>
      <c r="E225">
        <v>507450</v>
      </c>
      <c r="F225">
        <v>2.6491299999999999E-2</v>
      </c>
      <c r="G225" s="51">
        <f t="shared" si="7"/>
        <v>13443010185</v>
      </c>
    </row>
    <row r="226" spans="1:7">
      <c r="A226" t="s">
        <v>454</v>
      </c>
      <c r="B226">
        <v>30402.61</v>
      </c>
      <c r="C226">
        <v>100683</v>
      </c>
      <c r="D226">
        <f t="shared" si="6"/>
        <v>3061025982.6300001</v>
      </c>
      <c r="E226">
        <v>172981</v>
      </c>
      <c r="F226">
        <v>3.2032400000000003E-2</v>
      </c>
      <c r="G226" s="51">
        <f t="shared" si="7"/>
        <v>5540996584.4000006</v>
      </c>
    </row>
    <row r="227" spans="1:7">
      <c r="A227" t="s">
        <v>1230</v>
      </c>
      <c r="B227">
        <v>36867.79</v>
      </c>
      <c r="C227">
        <v>58328</v>
      </c>
      <c r="D227">
        <f t="shared" si="6"/>
        <v>2150424455.1199999</v>
      </c>
      <c r="E227">
        <v>152870</v>
      </c>
      <c r="F227">
        <v>2.1796300000000001E-2</v>
      </c>
      <c r="G227" s="51">
        <f t="shared" si="7"/>
        <v>3332000381.0000005</v>
      </c>
    </row>
    <row r="228" spans="1:7">
      <c r="A228" t="s">
        <v>995</v>
      </c>
      <c r="B228">
        <v>32845.410000000003</v>
      </c>
      <c r="C228">
        <v>235414</v>
      </c>
      <c r="D228">
        <f t="shared" si="6"/>
        <v>7732269349.7400007</v>
      </c>
      <c r="E228">
        <v>365596</v>
      </c>
      <c r="F228">
        <v>3.0719699999999999E-2</v>
      </c>
      <c r="G228" s="51">
        <f t="shared" si="7"/>
        <v>11230999441.199999</v>
      </c>
    </row>
    <row r="229" spans="1:7">
      <c r="A229" t="s">
        <v>455</v>
      </c>
      <c r="B229">
        <v>32752.75</v>
      </c>
      <c r="C229">
        <v>75249</v>
      </c>
      <c r="D229">
        <f t="shared" si="6"/>
        <v>2464611684.75</v>
      </c>
      <c r="E229">
        <v>118931</v>
      </c>
      <c r="F229">
        <v>3.3935600000000003E-2</v>
      </c>
      <c r="G229" s="51">
        <f t="shared" si="7"/>
        <v>4035994843.6000004</v>
      </c>
    </row>
    <row r="230" spans="1:7">
      <c r="A230" t="s">
        <v>1231</v>
      </c>
      <c r="B230">
        <v>29160.37</v>
      </c>
      <c r="C230">
        <v>69332</v>
      </c>
      <c r="D230">
        <f t="shared" si="6"/>
        <v>2021746772.8399999</v>
      </c>
      <c r="E230">
        <v>136579</v>
      </c>
      <c r="F230">
        <v>2.3978800000000002E-2</v>
      </c>
      <c r="G230" s="51">
        <f t="shared" si="7"/>
        <v>3275000525.2000003</v>
      </c>
    </row>
    <row r="231" spans="1:7">
      <c r="A231" t="s">
        <v>996</v>
      </c>
      <c r="B231">
        <v>35154.550000000003</v>
      </c>
      <c r="C231">
        <v>68113</v>
      </c>
      <c r="D231">
        <f t="shared" si="6"/>
        <v>2394481864.1500001</v>
      </c>
      <c r="E231">
        <v>118373</v>
      </c>
      <c r="F231">
        <v>3.4306799999999998E-2</v>
      </c>
      <c r="G231" s="51">
        <f t="shared" si="7"/>
        <v>4060998836.3999996</v>
      </c>
    </row>
    <row r="232" spans="1:7">
      <c r="A232" t="s">
        <v>456</v>
      </c>
      <c r="B232">
        <v>29640.58</v>
      </c>
      <c r="C232">
        <v>62966</v>
      </c>
      <c r="D232">
        <f t="shared" si="6"/>
        <v>1866348760.2800002</v>
      </c>
      <c r="E232">
        <v>114897</v>
      </c>
      <c r="F232">
        <v>2.3281699999999999E-2</v>
      </c>
      <c r="G232" s="51">
        <f t="shared" si="7"/>
        <v>2674997484.9000001</v>
      </c>
    </row>
    <row r="233" spans="1:7">
      <c r="A233" t="s">
        <v>457</v>
      </c>
      <c r="B233">
        <v>33652.78</v>
      </c>
      <c r="C233">
        <v>84059</v>
      </c>
      <c r="D233">
        <f t="shared" si="6"/>
        <v>2828819034.02</v>
      </c>
      <c r="E233">
        <v>174569</v>
      </c>
      <c r="F233">
        <v>2.38301E-2</v>
      </c>
      <c r="G233" s="51">
        <f t="shared" si="7"/>
        <v>4159996726.9000001</v>
      </c>
    </row>
    <row r="234" spans="1:7">
      <c r="A234" t="s">
        <v>458</v>
      </c>
      <c r="B234">
        <v>25575.77</v>
      </c>
      <c r="C234">
        <v>154966</v>
      </c>
      <c r="D234">
        <f t="shared" si="6"/>
        <v>3963374773.8200002</v>
      </c>
      <c r="E234">
        <v>258790</v>
      </c>
      <c r="F234">
        <v>3.2393100000000001E-2</v>
      </c>
      <c r="G234" s="51">
        <f t="shared" si="7"/>
        <v>8383010349</v>
      </c>
    </row>
    <row r="235" spans="1:7">
      <c r="A235" t="s">
        <v>997</v>
      </c>
      <c r="B235">
        <v>43822.07</v>
      </c>
      <c r="C235">
        <v>92995</v>
      </c>
      <c r="D235">
        <f t="shared" si="6"/>
        <v>4075233399.6500001</v>
      </c>
      <c r="E235">
        <v>133591</v>
      </c>
      <c r="F235">
        <v>4.9853700000000001E-2</v>
      </c>
      <c r="G235" s="51">
        <f t="shared" si="7"/>
        <v>6660005636.6999998</v>
      </c>
    </row>
    <row r="236" spans="1:7">
      <c r="A236" t="s">
        <v>459</v>
      </c>
      <c r="B236">
        <v>36657.72</v>
      </c>
      <c r="C236">
        <v>186669</v>
      </c>
      <c r="D236">
        <f t="shared" si="6"/>
        <v>6842859934.6800003</v>
      </c>
      <c r="E236">
        <v>315533</v>
      </c>
      <c r="F236">
        <v>4.1580400000000003E-2</v>
      </c>
      <c r="G236" s="51">
        <f t="shared" si="7"/>
        <v>13119988353.200001</v>
      </c>
    </row>
    <row r="237" spans="1:7">
      <c r="A237" t="s">
        <v>306</v>
      </c>
      <c r="B237">
        <v>40648.57</v>
      </c>
      <c r="C237">
        <v>1038536</v>
      </c>
      <c r="D237">
        <f t="shared" si="6"/>
        <v>42215003293.519997</v>
      </c>
      <c r="E237">
        <v>1556368</v>
      </c>
      <c r="F237">
        <v>4.6239700000000002E-2</v>
      </c>
      <c r="G237" s="51">
        <f t="shared" si="7"/>
        <v>71965989409.600006</v>
      </c>
    </row>
    <row r="238" spans="1:7">
      <c r="A238" t="s">
        <v>1232</v>
      </c>
      <c r="B238">
        <v>44383.95</v>
      </c>
      <c r="C238">
        <v>502148</v>
      </c>
      <c r="D238">
        <f t="shared" si="6"/>
        <v>22287311724.599998</v>
      </c>
      <c r="E238">
        <v>845573</v>
      </c>
      <c r="F238">
        <v>3.9786000000000002E-2</v>
      </c>
      <c r="G238" s="51">
        <f t="shared" si="7"/>
        <v>33641967378</v>
      </c>
    </row>
    <row r="239" spans="1:7">
      <c r="A239" t="s">
        <v>308</v>
      </c>
      <c r="B239">
        <v>41724.58</v>
      </c>
      <c r="C239">
        <v>710250</v>
      </c>
      <c r="D239">
        <f t="shared" si="6"/>
        <v>29634882945</v>
      </c>
      <c r="E239">
        <v>1168547</v>
      </c>
      <c r="F239">
        <v>5.6378600000000001E-2</v>
      </c>
      <c r="G239" s="51">
        <f t="shared" si="7"/>
        <v>65881043894.200005</v>
      </c>
    </row>
    <row r="240" spans="1:7">
      <c r="A240" t="s">
        <v>310</v>
      </c>
      <c r="B240">
        <v>63346.31</v>
      </c>
      <c r="C240">
        <v>11166752</v>
      </c>
      <c r="D240">
        <f t="shared" si="6"/>
        <v>707372533885.12</v>
      </c>
      <c r="E240">
        <v>18968501</v>
      </c>
      <c r="F240">
        <v>6.1040299999999999E-2</v>
      </c>
      <c r="G240" s="51">
        <f t="shared" si="7"/>
        <v>1157842991590.2998</v>
      </c>
    </row>
    <row r="241" spans="1:7">
      <c r="A241" t="s">
        <v>460</v>
      </c>
      <c r="B241">
        <v>35029.129999999997</v>
      </c>
      <c r="C241">
        <v>87983</v>
      </c>
      <c r="D241">
        <f t="shared" si="6"/>
        <v>3081967944.79</v>
      </c>
      <c r="E241">
        <v>160319</v>
      </c>
      <c r="F241">
        <v>3.0788599999999999E-2</v>
      </c>
      <c r="G241" s="51">
        <f t="shared" si="7"/>
        <v>4935997563.4000006</v>
      </c>
    </row>
    <row r="242" spans="1:7">
      <c r="A242" t="s">
        <v>1233</v>
      </c>
      <c r="B242">
        <v>41034.9</v>
      </c>
      <c r="C242">
        <v>177164</v>
      </c>
      <c r="D242">
        <f t="shared" si="6"/>
        <v>7269907023.6000004</v>
      </c>
      <c r="E242">
        <v>265830</v>
      </c>
      <c r="F242">
        <v>3.9924000000000001E-2</v>
      </c>
      <c r="G242" s="51">
        <f t="shared" si="7"/>
        <v>10612996920</v>
      </c>
    </row>
    <row r="243" spans="1:7">
      <c r="A243" t="s">
        <v>998</v>
      </c>
      <c r="B243">
        <v>30394.76</v>
      </c>
      <c r="C243">
        <v>144635</v>
      </c>
      <c r="D243">
        <f t="shared" si="6"/>
        <v>4396146112.5999994</v>
      </c>
      <c r="E243">
        <v>327172</v>
      </c>
      <c r="F243">
        <v>1.9821399999999999E-2</v>
      </c>
      <c r="G243" s="51">
        <f t="shared" si="7"/>
        <v>6485007080.8000002</v>
      </c>
    </row>
    <row r="244" spans="1:7">
      <c r="A244" t="s">
        <v>1234</v>
      </c>
      <c r="B244">
        <v>35993.919999999998</v>
      </c>
      <c r="C244">
        <v>65033</v>
      </c>
      <c r="D244">
        <f t="shared" si="6"/>
        <v>2340792599.3599997</v>
      </c>
      <c r="E244">
        <v>96470</v>
      </c>
      <c r="F244">
        <v>3.4819099999999999E-2</v>
      </c>
      <c r="G244" s="51">
        <f t="shared" si="7"/>
        <v>3358998577</v>
      </c>
    </row>
    <row r="245" spans="1:7">
      <c r="A245" t="s">
        <v>461</v>
      </c>
      <c r="B245">
        <v>42021.41</v>
      </c>
      <c r="C245">
        <v>80386</v>
      </c>
      <c r="D245">
        <f t="shared" si="6"/>
        <v>3377933064.2600002</v>
      </c>
      <c r="E245">
        <v>131180</v>
      </c>
      <c r="F245">
        <v>4.3322199999999998E-2</v>
      </c>
      <c r="G245" s="51">
        <f t="shared" si="7"/>
        <v>5683006195.999999</v>
      </c>
    </row>
    <row r="246" spans="1:7">
      <c r="A246" t="s">
        <v>1235</v>
      </c>
      <c r="B246">
        <v>31484.99</v>
      </c>
      <c r="C246">
        <v>286821</v>
      </c>
      <c r="D246">
        <f t="shared" si="6"/>
        <v>9030556316.7900009</v>
      </c>
      <c r="E246">
        <v>530998</v>
      </c>
      <c r="F246">
        <v>2.37722E-2</v>
      </c>
      <c r="G246" s="51">
        <f t="shared" si="7"/>
        <v>12622990655.6</v>
      </c>
    </row>
    <row r="247" spans="1:7">
      <c r="A247" t="s">
        <v>462</v>
      </c>
      <c r="B247">
        <v>36706.5</v>
      </c>
      <c r="C247">
        <v>778170</v>
      </c>
      <c r="D247">
        <f t="shared" si="6"/>
        <v>28563897105</v>
      </c>
      <c r="E247">
        <v>1207519</v>
      </c>
      <c r="F247">
        <v>3.9582800000000001E-2</v>
      </c>
      <c r="G247" s="51">
        <f t="shared" si="7"/>
        <v>47796983073.200005</v>
      </c>
    </row>
    <row r="248" spans="1:7">
      <c r="A248" t="s">
        <v>463</v>
      </c>
      <c r="B248">
        <v>33295.160000000003</v>
      </c>
      <c r="C248">
        <v>136087</v>
      </c>
      <c r="D248">
        <f t="shared" si="6"/>
        <v>4531038438.9200001</v>
      </c>
      <c r="E248">
        <v>245571</v>
      </c>
      <c r="F248">
        <v>2.3366000000000001E-2</v>
      </c>
      <c r="G248" s="51">
        <f t="shared" si="7"/>
        <v>5738011986</v>
      </c>
    </row>
    <row r="249" spans="1:7">
      <c r="A249" t="s">
        <v>464</v>
      </c>
      <c r="B249">
        <v>39681.230000000003</v>
      </c>
      <c r="C249">
        <v>586818</v>
      </c>
      <c r="D249">
        <f t="shared" si="6"/>
        <v>23285660026.140003</v>
      </c>
      <c r="E249">
        <v>839265</v>
      </c>
      <c r="F249">
        <v>4.7076899999999998E-2</v>
      </c>
      <c r="G249" s="51">
        <f t="shared" si="7"/>
        <v>39509994478.5</v>
      </c>
    </row>
    <row r="250" spans="1:7">
      <c r="A250" t="s">
        <v>465</v>
      </c>
      <c r="B250">
        <v>36216.47</v>
      </c>
      <c r="C250">
        <v>1311657</v>
      </c>
      <c r="D250">
        <f t="shared" si="6"/>
        <v>47503586390.790001</v>
      </c>
      <c r="E250">
        <v>2060968</v>
      </c>
      <c r="F250">
        <v>4.6421900000000002E-2</v>
      </c>
      <c r="G250" s="51">
        <f t="shared" si="7"/>
        <v>95674050399.199997</v>
      </c>
    </row>
    <row r="251" spans="1:7">
      <c r="A251" t="s">
        <v>466</v>
      </c>
      <c r="B251">
        <v>42682.17</v>
      </c>
      <c r="C251">
        <v>110144</v>
      </c>
      <c r="D251">
        <f t="shared" si="6"/>
        <v>4701184932.4799995</v>
      </c>
      <c r="E251">
        <v>162099</v>
      </c>
      <c r="F251">
        <v>4.1807799999999999E-2</v>
      </c>
      <c r="G251" s="51">
        <f t="shared" si="7"/>
        <v>6777002572.1999998</v>
      </c>
    </row>
    <row r="252" spans="1:7">
      <c r="A252" t="s">
        <v>999</v>
      </c>
      <c r="B252">
        <v>32536.45</v>
      </c>
      <c r="C252">
        <v>66169</v>
      </c>
      <c r="D252">
        <f t="shared" si="6"/>
        <v>2152904360.0500002</v>
      </c>
      <c r="E252">
        <v>112945</v>
      </c>
      <c r="F252">
        <v>3.2307799999999998E-2</v>
      </c>
      <c r="G252" s="51">
        <f t="shared" si="7"/>
        <v>3649004470.9999995</v>
      </c>
    </row>
    <row r="253" spans="1:7">
      <c r="A253" t="s">
        <v>467</v>
      </c>
      <c r="B253">
        <v>44984.92</v>
      </c>
      <c r="C253">
        <v>440871</v>
      </c>
      <c r="D253">
        <f t="shared" si="6"/>
        <v>19832546665.32</v>
      </c>
      <c r="E253">
        <v>794778</v>
      </c>
      <c r="F253">
        <v>3.8906499999999997E-2</v>
      </c>
      <c r="G253" s="51">
        <f t="shared" si="7"/>
        <v>30922030257</v>
      </c>
    </row>
    <row r="254" spans="1:7">
      <c r="A254" t="s">
        <v>468</v>
      </c>
      <c r="B254">
        <v>37999.870000000003</v>
      </c>
      <c r="C254">
        <v>281209</v>
      </c>
      <c r="D254">
        <f t="shared" si="6"/>
        <v>10685905442.83</v>
      </c>
      <c r="E254">
        <v>536314</v>
      </c>
      <c r="F254">
        <v>2.7875500000000001E-2</v>
      </c>
      <c r="G254" s="51">
        <f t="shared" si="7"/>
        <v>14950020907</v>
      </c>
    </row>
    <row r="255" spans="1:7">
      <c r="A255" t="s">
        <v>1236</v>
      </c>
      <c r="B255">
        <v>28761.14</v>
      </c>
      <c r="C255">
        <v>22587</v>
      </c>
      <c r="D255">
        <f t="shared" si="6"/>
        <v>649627869.17999995</v>
      </c>
      <c r="E255">
        <v>90700</v>
      </c>
      <c r="F255">
        <v>1.13451E-2</v>
      </c>
      <c r="G255" s="51">
        <f t="shared" si="7"/>
        <v>1029000569.9999999</v>
      </c>
    </row>
    <row r="256" spans="1:7">
      <c r="A256" t="s">
        <v>469</v>
      </c>
      <c r="B256">
        <v>32162.14</v>
      </c>
      <c r="C256">
        <v>101769</v>
      </c>
      <c r="D256">
        <f t="shared" si="6"/>
        <v>3273108825.6599998</v>
      </c>
      <c r="E256">
        <v>163802</v>
      </c>
      <c r="F256">
        <v>3.0579599999999998E-2</v>
      </c>
      <c r="G256" s="51">
        <f t="shared" si="7"/>
        <v>5008999639.1999998</v>
      </c>
    </row>
    <row r="257" spans="1:7">
      <c r="A257" t="s">
        <v>1000</v>
      </c>
      <c r="B257">
        <v>31874.94</v>
      </c>
      <c r="C257">
        <v>91382</v>
      </c>
      <c r="D257">
        <f t="shared" si="6"/>
        <v>2912795767.0799999</v>
      </c>
      <c r="E257">
        <v>160921</v>
      </c>
      <c r="F257">
        <v>3.0387600000000001E-2</v>
      </c>
      <c r="G257" s="51">
        <f t="shared" si="7"/>
        <v>4890002979.5999994</v>
      </c>
    </row>
    <row r="258" spans="1:7">
      <c r="A258" t="s">
        <v>1237</v>
      </c>
      <c r="B258">
        <v>39474.86</v>
      </c>
      <c r="C258">
        <v>76124</v>
      </c>
      <c r="D258">
        <f t="shared" si="6"/>
        <v>3004984242.6399999</v>
      </c>
      <c r="E258">
        <v>154510</v>
      </c>
      <c r="F258">
        <v>3.0282799999999999E-2</v>
      </c>
      <c r="G258" s="51">
        <f t="shared" si="7"/>
        <v>4678995428</v>
      </c>
    </row>
    <row r="259" spans="1:7">
      <c r="A259" t="s">
        <v>470</v>
      </c>
      <c r="B259">
        <v>31701.14</v>
      </c>
      <c r="C259">
        <v>230530</v>
      </c>
      <c r="D259">
        <f t="shared" si="6"/>
        <v>7308063804.1999998</v>
      </c>
      <c r="E259">
        <v>453132</v>
      </c>
      <c r="F259">
        <v>2.1903100000000002E-2</v>
      </c>
      <c r="G259" s="51">
        <f t="shared" si="7"/>
        <v>9924995509.2000008</v>
      </c>
    </row>
    <row r="260" spans="1:7">
      <c r="A260" t="s">
        <v>471</v>
      </c>
      <c r="B260">
        <v>42859.7</v>
      </c>
      <c r="C260">
        <v>234083</v>
      </c>
      <c r="D260">
        <f t="shared" si="6"/>
        <v>10032727155.099998</v>
      </c>
      <c r="E260">
        <v>372638</v>
      </c>
      <c r="F260">
        <v>4.3033700000000001E-2</v>
      </c>
      <c r="G260" s="51">
        <f t="shared" si="7"/>
        <v>16035991900.6</v>
      </c>
    </row>
    <row r="261" spans="1:7">
      <c r="A261" t="s">
        <v>312</v>
      </c>
      <c r="B261">
        <v>48715.18</v>
      </c>
      <c r="C261">
        <v>3532815</v>
      </c>
      <c r="D261">
        <f t="shared" si="6"/>
        <v>172101718631.70001</v>
      </c>
      <c r="E261">
        <v>5940496</v>
      </c>
      <c r="F261">
        <v>5.1052800000000002E-2</v>
      </c>
      <c r="G261" s="51">
        <f t="shared" si="7"/>
        <v>303278954188.79999</v>
      </c>
    </row>
    <row r="262" spans="1:7">
      <c r="A262" t="s">
        <v>472</v>
      </c>
      <c r="B262">
        <v>40903.370000000003</v>
      </c>
      <c r="C262">
        <v>2382340</v>
      </c>
      <c r="D262">
        <f t="shared" ref="D262:D325" si="8">+C262*B262</f>
        <v>97445734485.800003</v>
      </c>
      <c r="E262">
        <v>4287323</v>
      </c>
      <c r="F262">
        <v>3.9424800000000003E-2</v>
      </c>
      <c r="G262" s="51">
        <f t="shared" ref="G262:G325" si="9">+F262*E262*1000000</f>
        <v>169026851810.40002</v>
      </c>
    </row>
    <row r="263" spans="1:7">
      <c r="A263" t="s">
        <v>1001</v>
      </c>
      <c r="B263">
        <v>31347.94</v>
      </c>
      <c r="C263">
        <v>48042</v>
      </c>
      <c r="D263">
        <f t="shared" si="8"/>
        <v>1506017733.48</v>
      </c>
      <c r="E263">
        <v>101307</v>
      </c>
      <c r="F263">
        <v>2.1735899999999999E-2</v>
      </c>
      <c r="G263" s="51">
        <f t="shared" si="9"/>
        <v>2201998821.2999997</v>
      </c>
    </row>
    <row r="264" spans="1:7">
      <c r="A264" t="s">
        <v>313</v>
      </c>
      <c r="B264">
        <v>40947</v>
      </c>
      <c r="C264">
        <v>1452482</v>
      </c>
      <c r="D264">
        <f t="shared" si="8"/>
        <v>59474780454</v>
      </c>
      <c r="E264">
        <v>2355391</v>
      </c>
      <c r="F264">
        <v>4.4896600000000002E-2</v>
      </c>
      <c r="G264" s="51">
        <f t="shared" si="9"/>
        <v>105749047570.60001</v>
      </c>
    </row>
    <row r="265" spans="1:7">
      <c r="A265" t="s">
        <v>1238</v>
      </c>
      <c r="B265">
        <v>37198.879999999997</v>
      </c>
      <c r="C265">
        <v>85315</v>
      </c>
      <c r="D265">
        <f t="shared" si="8"/>
        <v>3173622447.1999998</v>
      </c>
      <c r="E265">
        <v>129571</v>
      </c>
      <c r="F265">
        <v>3.8527100000000002E-2</v>
      </c>
      <c r="G265" s="51">
        <f t="shared" si="9"/>
        <v>4991994874.0999994</v>
      </c>
    </row>
    <row r="266" spans="1:7">
      <c r="A266" t="s">
        <v>473</v>
      </c>
      <c r="B266">
        <v>28777.56</v>
      </c>
      <c r="C266">
        <v>52972</v>
      </c>
      <c r="D266">
        <f t="shared" si="8"/>
        <v>1524404908.3200002</v>
      </c>
      <c r="E266">
        <v>88984</v>
      </c>
      <c r="F266">
        <v>2.2633299999999999E-2</v>
      </c>
      <c r="G266" s="51">
        <f t="shared" si="9"/>
        <v>2014001567.2</v>
      </c>
    </row>
    <row r="267" spans="1:7">
      <c r="A267" t="s">
        <v>1002</v>
      </c>
      <c r="B267">
        <v>38003.480000000003</v>
      </c>
      <c r="C267">
        <v>356333</v>
      </c>
      <c r="D267">
        <f t="shared" si="8"/>
        <v>13541894038.840002</v>
      </c>
      <c r="E267">
        <v>516026</v>
      </c>
      <c r="F267">
        <v>4.2166500000000003E-2</v>
      </c>
      <c r="G267" s="51">
        <f t="shared" si="9"/>
        <v>21759010329</v>
      </c>
    </row>
    <row r="268" spans="1:7">
      <c r="A268" t="s">
        <v>315</v>
      </c>
      <c r="B268">
        <v>43022.45</v>
      </c>
      <c r="C268">
        <v>1388060</v>
      </c>
      <c r="D268">
        <f t="shared" si="8"/>
        <v>59717741946.999992</v>
      </c>
      <c r="E268">
        <v>2203745</v>
      </c>
      <c r="F268">
        <v>4.5935400000000001E-2</v>
      </c>
      <c r="G268" s="51">
        <f t="shared" si="9"/>
        <v>101229908073</v>
      </c>
    </row>
    <row r="269" spans="1:7">
      <c r="A269" t="s">
        <v>474</v>
      </c>
      <c r="B269">
        <v>31359.47</v>
      </c>
      <c r="C269">
        <v>188921</v>
      </c>
      <c r="D269">
        <f t="shared" si="8"/>
        <v>5924462431.8699999</v>
      </c>
      <c r="E269">
        <v>404726</v>
      </c>
      <c r="F269">
        <v>2.46117E-2</v>
      </c>
      <c r="G269" s="51">
        <f t="shared" si="9"/>
        <v>9960994894.2000008</v>
      </c>
    </row>
    <row r="270" spans="1:7">
      <c r="A270" t="s">
        <v>475</v>
      </c>
      <c r="B270">
        <v>37933.53</v>
      </c>
      <c r="C270">
        <v>340746</v>
      </c>
      <c r="D270">
        <f t="shared" si="8"/>
        <v>12925698613.379999</v>
      </c>
      <c r="E270">
        <v>672020</v>
      </c>
      <c r="F270">
        <v>2.46258E-2</v>
      </c>
      <c r="G270" s="51">
        <f t="shared" si="9"/>
        <v>16549030115.999998</v>
      </c>
    </row>
    <row r="271" spans="1:7">
      <c r="A271" t="s">
        <v>1239</v>
      </c>
      <c r="B271">
        <v>29297.49</v>
      </c>
      <c r="C271">
        <v>91743</v>
      </c>
      <c r="D271">
        <f t="shared" si="8"/>
        <v>2687839625.0700002</v>
      </c>
      <c r="E271">
        <v>214930</v>
      </c>
      <c r="F271">
        <v>1.7438200000000001E-2</v>
      </c>
      <c r="G271" s="51">
        <f t="shared" si="9"/>
        <v>3747992326</v>
      </c>
    </row>
    <row r="272" spans="1:7">
      <c r="A272" t="s">
        <v>317</v>
      </c>
      <c r="B272">
        <v>39287.08</v>
      </c>
      <c r="C272">
        <v>890702</v>
      </c>
      <c r="D272">
        <f t="shared" si="8"/>
        <v>34993080730.160004</v>
      </c>
      <c r="E272">
        <v>1599312</v>
      </c>
      <c r="F272">
        <v>3.5660299999999999E-2</v>
      </c>
      <c r="G272" s="51">
        <f t="shared" si="9"/>
        <v>57031945713.599998</v>
      </c>
    </row>
    <row r="273" spans="1:7">
      <c r="A273" t="s">
        <v>1240</v>
      </c>
      <c r="B273">
        <v>33088.519999999997</v>
      </c>
      <c r="C273">
        <v>265048</v>
      </c>
      <c r="D273">
        <f t="shared" si="8"/>
        <v>8770046048.9599991</v>
      </c>
      <c r="E273">
        <v>539754</v>
      </c>
      <c r="F273">
        <v>2.2575100000000001E-2</v>
      </c>
      <c r="G273" s="51">
        <f t="shared" si="9"/>
        <v>12185000525.400002</v>
      </c>
    </row>
    <row r="274" spans="1:7">
      <c r="A274" t="s">
        <v>476</v>
      </c>
      <c r="B274">
        <v>30336.55</v>
      </c>
      <c r="C274">
        <v>77291</v>
      </c>
      <c r="D274">
        <f t="shared" si="8"/>
        <v>2344742286.0499997</v>
      </c>
      <c r="E274">
        <v>156009</v>
      </c>
      <c r="F274">
        <v>2.0344999999999999E-2</v>
      </c>
      <c r="G274" s="51">
        <f t="shared" si="9"/>
        <v>3174003105</v>
      </c>
    </row>
    <row r="275" spans="1:7">
      <c r="A275" t="s">
        <v>775</v>
      </c>
      <c r="B275">
        <v>26097.54</v>
      </c>
      <c r="C275">
        <v>68665</v>
      </c>
      <c r="D275">
        <f t="shared" si="8"/>
        <v>1791987584.1000001</v>
      </c>
      <c r="E275">
        <v>157736</v>
      </c>
      <c r="F275">
        <v>1.8822599999999998E-2</v>
      </c>
      <c r="G275" s="51">
        <f t="shared" si="9"/>
        <v>2969001633.5999999</v>
      </c>
    </row>
    <row r="276" spans="1:7">
      <c r="A276" t="s">
        <v>477</v>
      </c>
      <c r="B276">
        <v>40663.699999999997</v>
      </c>
      <c r="C276">
        <v>94881</v>
      </c>
      <c r="D276">
        <f t="shared" si="8"/>
        <v>3858212519.6999998</v>
      </c>
      <c r="E276">
        <v>200109</v>
      </c>
      <c r="F276">
        <v>3.2317400000000003E-2</v>
      </c>
      <c r="G276" s="51">
        <f t="shared" si="9"/>
        <v>6467002596.6000004</v>
      </c>
    </row>
    <row r="277" spans="1:7">
      <c r="A277" t="s">
        <v>1241</v>
      </c>
      <c r="B277">
        <v>40404.959999999999</v>
      </c>
      <c r="C277">
        <v>677060</v>
      </c>
      <c r="D277">
        <f t="shared" si="8"/>
        <v>27356582217.599998</v>
      </c>
      <c r="E277">
        <v>1090408</v>
      </c>
      <c r="F277">
        <v>4.2929799999999997E-2</v>
      </c>
      <c r="G277" s="51">
        <f t="shared" si="9"/>
        <v>46810997358.399994</v>
      </c>
    </row>
    <row r="278" spans="1:7">
      <c r="A278" t="s">
        <v>478</v>
      </c>
      <c r="B278">
        <v>31293.37</v>
      </c>
      <c r="C278">
        <v>83022</v>
      </c>
      <c r="D278">
        <f t="shared" si="8"/>
        <v>2598038164.1399999</v>
      </c>
      <c r="E278">
        <v>122697</v>
      </c>
      <c r="F278">
        <v>3.20627E-2</v>
      </c>
      <c r="G278" s="51">
        <f t="shared" si="9"/>
        <v>3933997101.9000001</v>
      </c>
    </row>
    <row r="279" spans="1:7">
      <c r="A279" t="s">
        <v>479</v>
      </c>
      <c r="B279">
        <v>39030.93</v>
      </c>
      <c r="C279">
        <v>229249</v>
      </c>
      <c r="D279">
        <f t="shared" si="8"/>
        <v>8947801671.5699997</v>
      </c>
      <c r="E279">
        <v>404771</v>
      </c>
      <c r="F279">
        <v>3.3102699999999999E-2</v>
      </c>
      <c r="G279" s="51">
        <f t="shared" si="9"/>
        <v>13399012981.699999</v>
      </c>
    </row>
    <row r="280" spans="1:7">
      <c r="A280" t="s">
        <v>480</v>
      </c>
      <c r="B280">
        <v>32991.9</v>
      </c>
      <c r="C280">
        <v>93524</v>
      </c>
      <c r="D280">
        <f t="shared" si="8"/>
        <v>3085534455.5999999</v>
      </c>
      <c r="E280">
        <v>180515</v>
      </c>
      <c r="F280">
        <v>2.5011800000000001E-2</v>
      </c>
      <c r="G280" s="51">
        <f t="shared" si="9"/>
        <v>4515005077</v>
      </c>
    </row>
    <row r="281" spans="1:7">
      <c r="A281" t="s">
        <v>481</v>
      </c>
      <c r="B281">
        <v>38358.839999999997</v>
      </c>
      <c r="C281">
        <v>281187</v>
      </c>
      <c r="D281">
        <f t="shared" si="8"/>
        <v>10786007143.08</v>
      </c>
      <c r="E281">
        <v>416657</v>
      </c>
      <c r="F281">
        <v>4.37962E-2</v>
      </c>
      <c r="G281" s="51">
        <f t="shared" si="9"/>
        <v>18247993303.399998</v>
      </c>
    </row>
    <row r="282" spans="1:7">
      <c r="A282" t="s">
        <v>482</v>
      </c>
      <c r="B282">
        <v>43093.29</v>
      </c>
      <c r="C282">
        <v>783366</v>
      </c>
      <c r="D282">
        <f t="shared" si="8"/>
        <v>33757818214.139999</v>
      </c>
      <c r="E282">
        <v>1227115</v>
      </c>
      <c r="F282">
        <v>4.28428E-2</v>
      </c>
      <c r="G282" s="51">
        <f t="shared" si="9"/>
        <v>52573042522</v>
      </c>
    </row>
    <row r="283" spans="1:7">
      <c r="A283" t="s">
        <v>483</v>
      </c>
      <c r="B283">
        <v>33652.25</v>
      </c>
      <c r="C283">
        <v>1744551</v>
      </c>
      <c r="D283">
        <f t="shared" si="8"/>
        <v>58708066389.75</v>
      </c>
      <c r="E283">
        <v>4092831</v>
      </c>
      <c r="F283">
        <v>2.2814500000000001E-2</v>
      </c>
      <c r="G283" s="51">
        <f t="shared" si="9"/>
        <v>93375892849.5</v>
      </c>
    </row>
    <row r="284" spans="1:7">
      <c r="A284" t="s">
        <v>484</v>
      </c>
      <c r="B284">
        <v>34645.519999999997</v>
      </c>
      <c r="C284">
        <v>206153</v>
      </c>
      <c r="D284">
        <f t="shared" si="8"/>
        <v>7142277884.5599995</v>
      </c>
      <c r="E284">
        <v>298920</v>
      </c>
      <c r="F284">
        <v>3.6625199999999997E-2</v>
      </c>
      <c r="G284" s="51">
        <f t="shared" si="9"/>
        <v>10948004783.999998</v>
      </c>
    </row>
    <row r="285" spans="1:7">
      <c r="A285" t="s">
        <v>485</v>
      </c>
      <c r="B285">
        <v>41982.69</v>
      </c>
      <c r="C285">
        <v>132624</v>
      </c>
      <c r="D285">
        <f t="shared" si="8"/>
        <v>5567912278.5600004</v>
      </c>
      <c r="E285">
        <v>183394</v>
      </c>
      <c r="F285">
        <v>4.3605600000000001E-2</v>
      </c>
      <c r="G285" s="51">
        <f t="shared" si="9"/>
        <v>7997005406.4000006</v>
      </c>
    </row>
    <row r="286" spans="1:7">
      <c r="A286" t="s">
        <v>486</v>
      </c>
      <c r="B286">
        <v>39006.65</v>
      </c>
      <c r="C286">
        <v>635709</v>
      </c>
      <c r="D286">
        <f t="shared" si="8"/>
        <v>24796878464.850002</v>
      </c>
      <c r="E286">
        <v>1033155</v>
      </c>
      <c r="F286">
        <v>3.9077399999999998E-2</v>
      </c>
      <c r="G286" s="51">
        <f t="shared" si="9"/>
        <v>40373011197</v>
      </c>
    </row>
    <row r="287" spans="1:7">
      <c r="A287" t="s">
        <v>487</v>
      </c>
      <c r="B287">
        <v>36955.879999999997</v>
      </c>
      <c r="C287">
        <v>195403</v>
      </c>
      <c r="D287">
        <f t="shared" si="8"/>
        <v>7221289819.6399994</v>
      </c>
      <c r="E287">
        <v>353381</v>
      </c>
      <c r="F287">
        <v>3.2189099999999998E-2</v>
      </c>
      <c r="G287" s="51">
        <f t="shared" si="9"/>
        <v>11375016347.1</v>
      </c>
    </row>
    <row r="288" spans="1:7">
      <c r="A288" t="s">
        <v>1242</v>
      </c>
      <c r="B288">
        <v>32202.54</v>
      </c>
      <c r="C288">
        <v>81685</v>
      </c>
      <c r="D288">
        <f t="shared" si="8"/>
        <v>2630464479.9000001</v>
      </c>
      <c r="E288">
        <v>146524</v>
      </c>
      <c r="F288">
        <v>3.3182299999999998E-2</v>
      </c>
      <c r="G288" s="51">
        <f t="shared" si="9"/>
        <v>4862003325.1999998</v>
      </c>
    </row>
    <row r="289" spans="1:7">
      <c r="A289" t="s">
        <v>488</v>
      </c>
      <c r="B289">
        <v>31276.95</v>
      </c>
      <c r="C289">
        <v>54438</v>
      </c>
      <c r="D289">
        <f t="shared" si="8"/>
        <v>1702654604.1000001</v>
      </c>
      <c r="E289">
        <v>95696</v>
      </c>
      <c r="F289">
        <v>2.6646900000000001E-2</v>
      </c>
      <c r="G289" s="51">
        <f t="shared" si="9"/>
        <v>2550001742.4000001</v>
      </c>
    </row>
    <row r="290" spans="1:7">
      <c r="A290" t="s">
        <v>319</v>
      </c>
      <c r="B290">
        <v>42165.06</v>
      </c>
      <c r="C290">
        <v>1227055</v>
      </c>
      <c r="D290">
        <f t="shared" si="8"/>
        <v>51738847698.299995</v>
      </c>
      <c r="E290">
        <v>2101138</v>
      </c>
      <c r="F290">
        <v>3.4375700000000002E-2</v>
      </c>
      <c r="G290" s="51">
        <f t="shared" si="9"/>
        <v>72228089546.600006</v>
      </c>
    </row>
    <row r="291" spans="1:7">
      <c r="A291" t="s">
        <v>489</v>
      </c>
      <c r="B291">
        <v>34359.43</v>
      </c>
      <c r="C291">
        <v>107289</v>
      </c>
      <c r="D291">
        <f t="shared" si="8"/>
        <v>3686388885.27</v>
      </c>
      <c r="E291">
        <v>200858</v>
      </c>
      <c r="F291">
        <v>2.7551800000000001E-2</v>
      </c>
      <c r="G291" s="51">
        <f t="shared" si="9"/>
        <v>5533999444.4000006</v>
      </c>
    </row>
    <row r="292" spans="1:7">
      <c r="A292" t="s">
        <v>512</v>
      </c>
      <c r="B292">
        <v>33679.86</v>
      </c>
      <c r="C292">
        <v>130785</v>
      </c>
      <c r="D292">
        <f t="shared" si="8"/>
        <v>4404820490.1000004</v>
      </c>
      <c r="E292">
        <v>187672</v>
      </c>
      <c r="F292">
        <v>3.5109099999999997E-2</v>
      </c>
      <c r="G292" s="51">
        <f t="shared" si="9"/>
        <v>6588995015.1999989</v>
      </c>
    </row>
    <row r="293" spans="1:7">
      <c r="A293" t="s">
        <v>1003</v>
      </c>
      <c r="B293">
        <v>26837.3</v>
      </c>
      <c r="C293">
        <v>74358</v>
      </c>
      <c r="D293">
        <f t="shared" si="8"/>
        <v>1995567953.3999999</v>
      </c>
      <c r="E293">
        <v>135678</v>
      </c>
      <c r="F293">
        <v>2.2494400000000001E-2</v>
      </c>
      <c r="G293" s="51">
        <f t="shared" si="9"/>
        <v>3051995203.2000003</v>
      </c>
    </row>
    <row r="294" spans="1:7">
      <c r="A294" t="s">
        <v>513</v>
      </c>
      <c r="B294">
        <v>32280.68</v>
      </c>
      <c r="C294">
        <v>76449</v>
      </c>
      <c r="D294">
        <f t="shared" si="8"/>
        <v>2467825705.3200002</v>
      </c>
      <c r="E294">
        <v>126051</v>
      </c>
      <c r="F294">
        <v>2.9012099999999999E-2</v>
      </c>
      <c r="G294" s="51">
        <f t="shared" si="9"/>
        <v>3657004217.0999999</v>
      </c>
    </row>
    <row r="295" spans="1:7">
      <c r="A295" t="s">
        <v>321</v>
      </c>
      <c r="B295">
        <v>42578.1</v>
      </c>
      <c r="C295">
        <v>1731976</v>
      </c>
      <c r="D295">
        <f t="shared" si="8"/>
        <v>73744247325.599991</v>
      </c>
      <c r="E295">
        <v>2818688</v>
      </c>
      <c r="F295">
        <v>4.1175499999999997E-2</v>
      </c>
      <c r="G295" s="51">
        <f t="shared" si="9"/>
        <v>116060887744</v>
      </c>
    </row>
    <row r="296" spans="1:7">
      <c r="A296" t="s">
        <v>490</v>
      </c>
      <c r="B296">
        <v>31322.09</v>
      </c>
      <c r="C296">
        <v>208890</v>
      </c>
      <c r="D296">
        <f t="shared" si="8"/>
        <v>6542871380.1000004</v>
      </c>
      <c r="E296">
        <v>390561</v>
      </c>
      <c r="F296">
        <v>2.32512E-2</v>
      </c>
      <c r="G296" s="51">
        <f t="shared" si="9"/>
        <v>9081011923.1999989</v>
      </c>
    </row>
    <row r="297" spans="1:7">
      <c r="A297" t="s">
        <v>1004</v>
      </c>
      <c r="B297">
        <v>39199.199999999997</v>
      </c>
      <c r="C297">
        <v>229157</v>
      </c>
      <c r="D297">
        <f t="shared" si="8"/>
        <v>8982771074.3999996</v>
      </c>
      <c r="E297">
        <v>405660</v>
      </c>
      <c r="F297">
        <v>3.8428700000000003E-2</v>
      </c>
      <c r="G297" s="51">
        <f t="shared" si="9"/>
        <v>15588986442.000002</v>
      </c>
    </row>
    <row r="298" spans="1:7">
      <c r="A298" t="s">
        <v>1005</v>
      </c>
      <c r="B298">
        <v>32843.11</v>
      </c>
      <c r="C298">
        <v>70971</v>
      </c>
      <c r="D298">
        <f t="shared" si="8"/>
        <v>2330908359.8099999</v>
      </c>
      <c r="E298">
        <v>119990</v>
      </c>
      <c r="F298">
        <v>2.7585599999999998E-2</v>
      </c>
      <c r="G298" s="51">
        <f t="shared" si="9"/>
        <v>3309996143.9999995</v>
      </c>
    </row>
    <row r="299" spans="1:7">
      <c r="A299" t="s">
        <v>323</v>
      </c>
      <c r="B299">
        <v>39217.54</v>
      </c>
      <c r="C299">
        <v>834207</v>
      </c>
      <c r="D299">
        <f t="shared" si="8"/>
        <v>32715546390.780003</v>
      </c>
      <c r="E299">
        <v>1111600</v>
      </c>
      <c r="F299">
        <v>4.9721099999999997E-2</v>
      </c>
      <c r="G299" s="51">
        <f t="shared" si="9"/>
        <v>55269974760</v>
      </c>
    </row>
    <row r="300" spans="1:7">
      <c r="A300" t="s">
        <v>491</v>
      </c>
      <c r="B300">
        <v>29170.97</v>
      </c>
      <c r="C300">
        <v>67417</v>
      </c>
      <c r="D300">
        <f t="shared" si="8"/>
        <v>1966619284.49</v>
      </c>
      <c r="E300">
        <v>109152</v>
      </c>
      <c r="F300">
        <v>2.6458499999999999E-2</v>
      </c>
      <c r="G300" s="51">
        <f t="shared" si="9"/>
        <v>2887998192</v>
      </c>
    </row>
    <row r="301" spans="1:7">
      <c r="A301" t="s">
        <v>492</v>
      </c>
      <c r="B301">
        <v>36215.96</v>
      </c>
      <c r="C301">
        <v>1186323</v>
      </c>
      <c r="D301">
        <f t="shared" si="8"/>
        <v>42963826315.080002</v>
      </c>
      <c r="E301">
        <v>2030691</v>
      </c>
      <c r="F301">
        <v>3.2903099999999998E-2</v>
      </c>
      <c r="G301" s="51">
        <f t="shared" si="9"/>
        <v>66816029042.099998</v>
      </c>
    </row>
    <row r="302" spans="1:7">
      <c r="A302" t="s">
        <v>325</v>
      </c>
      <c r="B302">
        <v>44562.98</v>
      </c>
      <c r="C302">
        <v>1920205</v>
      </c>
      <c r="D302">
        <f t="shared" si="8"/>
        <v>85570057010.900009</v>
      </c>
      <c r="E302">
        <v>3019274</v>
      </c>
      <c r="F302">
        <v>4.6546999999999998E-2</v>
      </c>
      <c r="G302" s="51">
        <f t="shared" si="9"/>
        <v>140538146878</v>
      </c>
    </row>
    <row r="303" spans="1:7">
      <c r="A303" t="s">
        <v>776</v>
      </c>
      <c r="B303">
        <v>33320.33</v>
      </c>
      <c r="C303">
        <v>48792</v>
      </c>
      <c r="D303">
        <f t="shared" si="8"/>
        <v>1625765541.3600001</v>
      </c>
      <c r="E303">
        <v>77339</v>
      </c>
      <c r="F303">
        <v>3.4044900000000003E-2</v>
      </c>
      <c r="G303" s="51">
        <f t="shared" si="9"/>
        <v>2632998521.1000004</v>
      </c>
    </row>
    <row r="304" spans="1:7">
      <c r="A304" t="s">
        <v>327</v>
      </c>
      <c r="B304">
        <v>61146.07</v>
      </c>
      <c r="C304">
        <v>2849527</v>
      </c>
      <c r="D304">
        <f t="shared" si="8"/>
        <v>174237377408.88998</v>
      </c>
      <c r="E304">
        <v>4260236</v>
      </c>
      <c r="F304">
        <v>6.6430600000000006E-2</v>
      </c>
      <c r="G304" s="51">
        <f t="shared" si="9"/>
        <v>283010033621.60004</v>
      </c>
    </row>
    <row r="305" spans="1:7">
      <c r="A305" t="s">
        <v>329</v>
      </c>
      <c r="B305">
        <v>76360.73</v>
      </c>
      <c r="C305">
        <v>1208681</v>
      </c>
      <c r="D305">
        <f t="shared" si="8"/>
        <v>92295763497.12999</v>
      </c>
      <c r="E305">
        <v>1810646</v>
      </c>
      <c r="F305">
        <v>7.6255100000000006E-2</v>
      </c>
      <c r="G305" s="51">
        <f t="shared" si="9"/>
        <v>138070991794.60001</v>
      </c>
    </row>
    <row r="306" spans="1:7">
      <c r="A306" t="s">
        <v>493</v>
      </c>
      <c r="B306">
        <v>34095.480000000003</v>
      </c>
      <c r="C306">
        <v>156781</v>
      </c>
      <c r="D306">
        <f t="shared" si="8"/>
        <v>5345523449.8800001</v>
      </c>
      <c r="E306">
        <v>265134</v>
      </c>
      <c r="F306">
        <v>3.4205300000000001E-2</v>
      </c>
      <c r="G306" s="51">
        <f t="shared" si="9"/>
        <v>9068988010.2000008</v>
      </c>
    </row>
    <row r="307" spans="1:7">
      <c r="A307" t="s">
        <v>494</v>
      </c>
      <c r="B307">
        <v>40883.230000000003</v>
      </c>
      <c r="C307">
        <v>265036</v>
      </c>
      <c r="D307">
        <f t="shared" si="8"/>
        <v>10835527746.280001</v>
      </c>
      <c r="E307">
        <v>403655</v>
      </c>
      <c r="F307">
        <v>4.1580100000000002E-2</v>
      </c>
      <c r="G307" s="51">
        <f t="shared" si="9"/>
        <v>16784015265.500002</v>
      </c>
    </row>
    <row r="308" spans="1:7">
      <c r="A308" t="s">
        <v>495</v>
      </c>
      <c r="B308">
        <v>39533.06</v>
      </c>
      <c r="C308">
        <v>145801</v>
      </c>
      <c r="D308">
        <f t="shared" si="8"/>
        <v>5763959681.0599995</v>
      </c>
      <c r="E308">
        <v>252929</v>
      </c>
      <c r="F308">
        <v>3.3871199999999997E-2</v>
      </c>
      <c r="G308" s="51">
        <f t="shared" si="9"/>
        <v>8567008744.7999992</v>
      </c>
    </row>
    <row r="309" spans="1:7">
      <c r="A309" t="s">
        <v>496</v>
      </c>
      <c r="B309">
        <v>34556.25</v>
      </c>
      <c r="C309">
        <v>94627</v>
      </c>
      <c r="D309">
        <f t="shared" si="8"/>
        <v>3269954268.75</v>
      </c>
      <c r="E309">
        <v>145362</v>
      </c>
      <c r="F309">
        <v>3.7932899999999999E-2</v>
      </c>
      <c r="G309" s="51">
        <f t="shared" si="9"/>
        <v>5514002209.8000002</v>
      </c>
    </row>
    <row r="310" spans="1:7">
      <c r="A310" t="s">
        <v>497</v>
      </c>
      <c r="B310">
        <v>42048.5</v>
      </c>
      <c r="C310">
        <v>282137</v>
      </c>
      <c r="D310">
        <f t="shared" si="8"/>
        <v>11863437644.5</v>
      </c>
      <c r="E310">
        <v>466424</v>
      </c>
      <c r="F310">
        <v>3.8962400000000001E-2</v>
      </c>
      <c r="G310" s="51">
        <f t="shared" si="9"/>
        <v>18172998457.599998</v>
      </c>
    </row>
    <row r="311" spans="1:7">
      <c r="A311" t="s">
        <v>498</v>
      </c>
      <c r="B311">
        <v>34542.33</v>
      </c>
      <c r="C311">
        <v>212887</v>
      </c>
      <c r="D311">
        <f t="shared" si="8"/>
        <v>7353613006.71</v>
      </c>
      <c r="E311">
        <v>334562</v>
      </c>
      <c r="F311">
        <v>3.25709E-2</v>
      </c>
      <c r="G311" s="51">
        <f t="shared" si="9"/>
        <v>10896985445.799999</v>
      </c>
    </row>
    <row r="312" spans="1:7">
      <c r="A312" t="s">
        <v>499</v>
      </c>
      <c r="B312">
        <v>31606.3</v>
      </c>
      <c r="C312">
        <v>322332</v>
      </c>
      <c r="D312">
        <f t="shared" si="8"/>
        <v>10187721891.6</v>
      </c>
      <c r="E312">
        <v>549321</v>
      </c>
      <c r="F312">
        <v>3.0865400000000001E-2</v>
      </c>
      <c r="G312" s="51">
        <f t="shared" si="9"/>
        <v>16955012393.4</v>
      </c>
    </row>
    <row r="313" spans="1:7">
      <c r="A313" t="s">
        <v>331</v>
      </c>
      <c r="B313">
        <v>51606.48</v>
      </c>
      <c r="C313">
        <v>2306396</v>
      </c>
      <c r="D313">
        <f t="shared" si="8"/>
        <v>119024979046.08</v>
      </c>
      <c r="E313">
        <v>3356637</v>
      </c>
      <c r="F313">
        <v>5.7807299999999999E-2</v>
      </c>
      <c r="G313" s="51">
        <f t="shared" si="9"/>
        <v>194038122050.10001</v>
      </c>
    </row>
    <row r="314" spans="1:7">
      <c r="A314" t="s">
        <v>500</v>
      </c>
      <c r="B314">
        <v>34252.230000000003</v>
      </c>
      <c r="C314">
        <v>69017</v>
      </c>
      <c r="D314">
        <f t="shared" si="8"/>
        <v>2363986157.9100003</v>
      </c>
      <c r="E314">
        <v>134293</v>
      </c>
      <c r="F314">
        <v>3.0373899999999999E-2</v>
      </c>
      <c r="G314" s="51">
        <f t="shared" si="9"/>
        <v>4079002152.6999998</v>
      </c>
    </row>
    <row r="315" spans="1:7">
      <c r="A315" t="s">
        <v>501</v>
      </c>
      <c r="B315">
        <v>35009.449999999997</v>
      </c>
      <c r="C315">
        <v>79209</v>
      </c>
      <c r="D315">
        <f t="shared" si="8"/>
        <v>2773063525.0499997</v>
      </c>
      <c r="E315">
        <v>114458</v>
      </c>
      <c r="F315">
        <v>4.2530900000000003E-2</v>
      </c>
      <c r="G315" s="51">
        <f t="shared" si="9"/>
        <v>4868001752.2000008</v>
      </c>
    </row>
    <row r="316" spans="1:7">
      <c r="A316" t="s">
        <v>502</v>
      </c>
      <c r="B316">
        <v>32448.17</v>
      </c>
      <c r="C316">
        <v>59552</v>
      </c>
      <c r="D316">
        <f t="shared" si="8"/>
        <v>1932353419.8399999</v>
      </c>
      <c r="E316">
        <v>118786</v>
      </c>
      <c r="F316">
        <v>2.3992699999999999E-2</v>
      </c>
      <c r="G316" s="51">
        <f t="shared" si="9"/>
        <v>2849996862.1999998</v>
      </c>
    </row>
    <row r="317" spans="1:7">
      <c r="A317" t="s">
        <v>503</v>
      </c>
      <c r="B317">
        <v>33095.78</v>
      </c>
      <c r="C317">
        <v>239993</v>
      </c>
      <c r="D317">
        <f t="shared" si="8"/>
        <v>7942755529.54</v>
      </c>
      <c r="E317">
        <v>389389</v>
      </c>
      <c r="F317">
        <v>5.0345500000000001E-2</v>
      </c>
      <c r="G317" s="51">
        <f t="shared" si="9"/>
        <v>19603983899.5</v>
      </c>
    </row>
    <row r="318" spans="1:7">
      <c r="A318" t="s">
        <v>504</v>
      </c>
      <c r="B318">
        <v>32321.68</v>
      </c>
      <c r="C318">
        <v>95115</v>
      </c>
      <c r="D318">
        <f t="shared" si="8"/>
        <v>3074276593.1999998</v>
      </c>
      <c r="E318">
        <v>142764</v>
      </c>
      <c r="F318">
        <v>4.07456E-2</v>
      </c>
      <c r="G318" s="51">
        <f t="shared" si="9"/>
        <v>5817004838.4000006</v>
      </c>
    </row>
    <row r="319" spans="1:7">
      <c r="A319" t="s">
        <v>505</v>
      </c>
      <c r="B319">
        <v>35230.29</v>
      </c>
      <c r="C319">
        <v>176693</v>
      </c>
      <c r="D319">
        <f t="shared" si="8"/>
        <v>6224945630.9700003</v>
      </c>
      <c r="E319">
        <v>233503</v>
      </c>
      <c r="F319">
        <v>5.7241199999999999E-2</v>
      </c>
      <c r="G319" s="51">
        <f t="shared" si="9"/>
        <v>13365991923.6</v>
      </c>
    </row>
    <row r="320" spans="1:7">
      <c r="A320" t="s">
        <v>506</v>
      </c>
      <c r="B320">
        <v>34269.46</v>
      </c>
      <c r="C320">
        <v>173864</v>
      </c>
      <c r="D320">
        <f t="shared" si="8"/>
        <v>5958225393.4399996</v>
      </c>
      <c r="E320">
        <v>318129</v>
      </c>
      <c r="F320">
        <v>3.5680499999999997E-2</v>
      </c>
      <c r="G320" s="51">
        <f t="shared" si="9"/>
        <v>11351001784.499998</v>
      </c>
    </row>
    <row r="321" spans="1:7">
      <c r="A321" t="s">
        <v>507</v>
      </c>
      <c r="B321">
        <v>37056.980000000003</v>
      </c>
      <c r="C321">
        <v>157940</v>
      </c>
      <c r="D321">
        <f t="shared" si="8"/>
        <v>5852779421.2000008</v>
      </c>
      <c r="E321">
        <v>282520</v>
      </c>
      <c r="F321">
        <v>3.1502200000000001E-2</v>
      </c>
      <c r="G321" s="51">
        <f t="shared" si="9"/>
        <v>8900001544</v>
      </c>
    </row>
    <row r="322" spans="1:7">
      <c r="A322" t="s">
        <v>508</v>
      </c>
      <c r="B322">
        <v>36279.089999999997</v>
      </c>
      <c r="C322">
        <v>282327</v>
      </c>
      <c r="D322">
        <f t="shared" si="8"/>
        <v>10242566642.429998</v>
      </c>
      <c r="E322">
        <v>462408</v>
      </c>
      <c r="F322">
        <v>3.2248600000000002E-2</v>
      </c>
      <c r="G322" s="51">
        <f t="shared" si="9"/>
        <v>14912010628.800001</v>
      </c>
    </row>
    <row r="323" spans="1:7">
      <c r="A323" t="s">
        <v>509</v>
      </c>
      <c r="B323">
        <v>34693.75</v>
      </c>
      <c r="C323">
        <v>138600</v>
      </c>
      <c r="D323">
        <f t="shared" si="8"/>
        <v>4808553750</v>
      </c>
      <c r="E323">
        <v>207305</v>
      </c>
      <c r="F323">
        <v>3.0747E-2</v>
      </c>
      <c r="G323" s="51">
        <f t="shared" si="9"/>
        <v>6374006835</v>
      </c>
    </row>
    <row r="324" spans="1:7">
      <c r="A324" t="s">
        <v>1243</v>
      </c>
      <c r="B324">
        <v>36750.26</v>
      </c>
      <c r="C324">
        <v>379283</v>
      </c>
      <c r="D324">
        <f t="shared" si="8"/>
        <v>13938748863.58</v>
      </c>
      <c r="E324">
        <v>696869</v>
      </c>
      <c r="F324">
        <v>2.6731000000000001E-2</v>
      </c>
      <c r="G324" s="51">
        <f t="shared" si="9"/>
        <v>18628005239</v>
      </c>
    </row>
    <row r="325" spans="1:7">
      <c r="A325" t="s">
        <v>510</v>
      </c>
      <c r="B325">
        <v>30982.34</v>
      </c>
      <c r="C325">
        <v>270951</v>
      </c>
      <c r="D325">
        <f t="shared" si="8"/>
        <v>8394696005.3400002</v>
      </c>
      <c r="E325">
        <v>426125</v>
      </c>
      <c r="F325">
        <v>2.9723699999999999E-2</v>
      </c>
      <c r="G325" s="51">
        <f t="shared" si="9"/>
        <v>12666011662.5</v>
      </c>
    </row>
    <row r="326" spans="1:7">
      <c r="A326" t="s">
        <v>511</v>
      </c>
      <c r="B326">
        <v>31100.98</v>
      </c>
      <c r="C326">
        <v>67417</v>
      </c>
      <c r="D326">
        <f t="shared" ref="D326:D368" si="10">+C326*B326</f>
        <v>2096734768.6600001</v>
      </c>
      <c r="E326">
        <v>139818</v>
      </c>
      <c r="F326">
        <v>2.1971399999999999E-2</v>
      </c>
      <c r="G326" s="51">
        <f t="shared" ref="G326:G368" si="11">+F326*E326*1000000</f>
        <v>3071997205.1999998</v>
      </c>
    </row>
    <row r="327" spans="1:7">
      <c r="A327" t="s">
        <v>514</v>
      </c>
      <c r="B327">
        <v>31585.439999999999</v>
      </c>
      <c r="C327">
        <v>110365</v>
      </c>
      <c r="D327">
        <f t="shared" si="10"/>
        <v>3485927085.5999999</v>
      </c>
      <c r="E327">
        <v>145550</v>
      </c>
      <c r="F327">
        <v>2.4060499999999999E-2</v>
      </c>
      <c r="G327" s="51">
        <f t="shared" si="11"/>
        <v>3502005774.9999995</v>
      </c>
    </row>
    <row r="328" spans="1:7">
      <c r="A328" t="s">
        <v>515</v>
      </c>
      <c r="B328">
        <v>35977.360000000001</v>
      </c>
      <c r="C328">
        <v>289244</v>
      </c>
      <c r="D328">
        <f t="shared" si="10"/>
        <v>10406235515.84</v>
      </c>
      <c r="E328">
        <v>668753</v>
      </c>
      <c r="F328">
        <v>2.4828300000000001E-2</v>
      </c>
      <c r="G328" s="51">
        <f t="shared" si="11"/>
        <v>16604000109.9</v>
      </c>
    </row>
    <row r="329" spans="1:7">
      <c r="A329" t="s">
        <v>516</v>
      </c>
      <c r="B329">
        <v>28898.97</v>
      </c>
      <c r="C329">
        <v>55277</v>
      </c>
      <c r="D329">
        <f t="shared" si="10"/>
        <v>1597448364.6900001</v>
      </c>
      <c r="E329">
        <v>104313</v>
      </c>
      <c r="F329">
        <v>1.9709899999999999E-2</v>
      </c>
      <c r="G329" s="51">
        <f t="shared" si="11"/>
        <v>2055998798.7</v>
      </c>
    </row>
    <row r="330" spans="1:7">
      <c r="A330" t="s">
        <v>517</v>
      </c>
      <c r="B330">
        <v>37228.97</v>
      </c>
      <c r="C330">
        <v>389267</v>
      </c>
      <c r="D330">
        <f t="shared" si="10"/>
        <v>14492009464.99</v>
      </c>
      <c r="E330">
        <v>645016</v>
      </c>
      <c r="F330">
        <v>3.60317E-2</v>
      </c>
      <c r="G330" s="51">
        <f t="shared" si="11"/>
        <v>23241023007.200001</v>
      </c>
    </row>
    <row r="331" spans="1:7">
      <c r="A331" t="s">
        <v>518</v>
      </c>
      <c r="B331">
        <v>33525.43</v>
      </c>
      <c r="C331">
        <v>219628</v>
      </c>
      <c r="D331">
        <f t="shared" si="10"/>
        <v>7363123140.04</v>
      </c>
      <c r="E331">
        <v>357171</v>
      </c>
      <c r="F331">
        <v>2.4458899999999999E-2</v>
      </c>
      <c r="G331" s="51">
        <f t="shared" si="11"/>
        <v>8736009771.8999996</v>
      </c>
    </row>
    <row r="332" spans="1:7">
      <c r="A332" t="s">
        <v>333</v>
      </c>
      <c r="B332">
        <v>38033.29</v>
      </c>
      <c r="C332">
        <v>1576110</v>
      </c>
      <c r="D332">
        <f t="shared" si="10"/>
        <v>59944648701.900002</v>
      </c>
      <c r="E332">
        <v>2730007</v>
      </c>
      <c r="F332">
        <v>3.6141300000000001E-2</v>
      </c>
      <c r="G332" s="51">
        <f t="shared" si="11"/>
        <v>98666001989.099991</v>
      </c>
    </row>
    <row r="333" spans="1:7">
      <c r="A333" t="s">
        <v>519</v>
      </c>
      <c r="B333">
        <v>32112.61</v>
      </c>
      <c r="C333">
        <v>90217</v>
      </c>
      <c r="D333">
        <f t="shared" si="10"/>
        <v>2897103336.3699999</v>
      </c>
      <c r="E333">
        <v>169812</v>
      </c>
      <c r="F333">
        <v>2.7112299999999999E-2</v>
      </c>
      <c r="G333" s="51">
        <f t="shared" si="11"/>
        <v>4603993887.5999994</v>
      </c>
    </row>
    <row r="334" spans="1:7">
      <c r="A334" t="s">
        <v>1006</v>
      </c>
      <c r="B334">
        <v>30133.7</v>
      </c>
      <c r="C334">
        <v>75372</v>
      </c>
      <c r="D334">
        <f t="shared" si="10"/>
        <v>2271237236.4000001</v>
      </c>
      <c r="E334">
        <v>135981</v>
      </c>
      <c r="F334">
        <v>2.4554900000000001E-2</v>
      </c>
      <c r="G334" s="51">
        <f t="shared" si="11"/>
        <v>3338999856.9000001</v>
      </c>
    </row>
    <row r="335" spans="1:7">
      <c r="A335" t="s">
        <v>520</v>
      </c>
      <c r="B335">
        <v>36992.78</v>
      </c>
      <c r="C335">
        <v>395389</v>
      </c>
      <c r="D335">
        <f t="shared" si="10"/>
        <v>14626538291.42</v>
      </c>
      <c r="E335">
        <v>673345</v>
      </c>
      <c r="F335">
        <v>3.4030100000000001E-2</v>
      </c>
      <c r="G335" s="51">
        <f t="shared" si="11"/>
        <v>22913997684.500004</v>
      </c>
    </row>
    <row r="336" spans="1:7">
      <c r="A336" t="s">
        <v>521</v>
      </c>
      <c r="B336">
        <v>34260.03</v>
      </c>
      <c r="C336">
        <v>144846</v>
      </c>
      <c r="D336">
        <f t="shared" si="10"/>
        <v>4962428305.3800001</v>
      </c>
      <c r="E336">
        <v>229774</v>
      </c>
      <c r="F336">
        <v>3.00513E-2</v>
      </c>
      <c r="G336" s="51">
        <f t="shared" si="11"/>
        <v>6905007406.2000008</v>
      </c>
    </row>
    <row r="337" spans="1:7">
      <c r="A337" t="s">
        <v>335</v>
      </c>
      <c r="B337">
        <v>54212.63</v>
      </c>
      <c r="C337">
        <v>273317</v>
      </c>
      <c r="D337">
        <f t="shared" si="10"/>
        <v>14817233393.709999</v>
      </c>
      <c r="E337">
        <v>364571</v>
      </c>
      <c r="F337">
        <v>5.5056500000000001E-2</v>
      </c>
      <c r="G337" s="51">
        <f t="shared" si="11"/>
        <v>20072003261.5</v>
      </c>
    </row>
    <row r="338" spans="1:7">
      <c r="A338" t="s">
        <v>522</v>
      </c>
      <c r="B338">
        <v>35391.06</v>
      </c>
      <c r="C338">
        <v>520444</v>
      </c>
      <c r="D338">
        <f t="shared" si="10"/>
        <v>18419064830.639999</v>
      </c>
      <c r="E338">
        <v>1009832</v>
      </c>
      <c r="F338">
        <v>2.5345800000000002E-2</v>
      </c>
      <c r="G338" s="51">
        <f t="shared" si="11"/>
        <v>25594999905.600002</v>
      </c>
    </row>
    <row r="339" spans="1:7">
      <c r="A339" t="s">
        <v>523</v>
      </c>
      <c r="B339">
        <v>40439.620000000003</v>
      </c>
      <c r="C339">
        <v>585325</v>
      </c>
      <c r="D339">
        <f t="shared" si="10"/>
        <v>23670320576.5</v>
      </c>
      <c r="E339">
        <v>916037</v>
      </c>
      <c r="F339">
        <v>4.5627000000000001E-2</v>
      </c>
      <c r="G339" s="51">
        <f t="shared" si="11"/>
        <v>41796020199</v>
      </c>
    </row>
    <row r="340" spans="1:7">
      <c r="A340" t="s">
        <v>524</v>
      </c>
      <c r="B340">
        <v>35053.11</v>
      </c>
      <c r="C340">
        <v>121545</v>
      </c>
      <c r="D340">
        <f t="shared" si="10"/>
        <v>4260530254.9500003</v>
      </c>
      <c r="E340">
        <v>208902</v>
      </c>
      <c r="F340">
        <v>3.1105500000000001E-2</v>
      </c>
      <c r="G340" s="51">
        <f t="shared" si="11"/>
        <v>6498001161</v>
      </c>
    </row>
    <row r="341" spans="1:7">
      <c r="A341" t="s">
        <v>1007</v>
      </c>
      <c r="B341">
        <v>36975.11</v>
      </c>
      <c r="C341">
        <v>131832</v>
      </c>
      <c r="D341">
        <f t="shared" si="10"/>
        <v>4874502701.5200005</v>
      </c>
      <c r="E341">
        <v>201160</v>
      </c>
      <c r="F341">
        <v>3.9103199999999998E-2</v>
      </c>
      <c r="G341" s="51">
        <f t="shared" si="11"/>
        <v>7865999712</v>
      </c>
    </row>
    <row r="342" spans="1:7">
      <c r="A342" t="s">
        <v>525</v>
      </c>
      <c r="B342">
        <v>31950.880000000001</v>
      </c>
      <c r="C342">
        <v>163507</v>
      </c>
      <c r="D342">
        <f t="shared" si="10"/>
        <v>5224192536.1599998</v>
      </c>
      <c r="E342">
        <v>292833</v>
      </c>
      <c r="F342">
        <v>2.2719400000000001E-2</v>
      </c>
      <c r="G342" s="51">
        <f t="shared" si="11"/>
        <v>6652990060.1999998</v>
      </c>
    </row>
    <row r="343" spans="1:7">
      <c r="A343" t="s">
        <v>1244</v>
      </c>
      <c r="B343">
        <v>26947.19</v>
      </c>
      <c r="C343">
        <v>76697</v>
      </c>
      <c r="D343">
        <f t="shared" si="10"/>
        <v>2066768631.4299998</v>
      </c>
      <c r="E343">
        <v>133675</v>
      </c>
      <c r="F343">
        <v>2.1574699999999999E-2</v>
      </c>
      <c r="G343" s="51">
        <f t="shared" si="11"/>
        <v>2883998022.5</v>
      </c>
    </row>
    <row r="344" spans="1:7">
      <c r="A344" t="s">
        <v>1008</v>
      </c>
      <c r="B344">
        <v>39411.39</v>
      </c>
      <c r="C344">
        <v>173682</v>
      </c>
      <c r="D344">
        <f t="shared" si="10"/>
        <v>6845049037.9799995</v>
      </c>
      <c r="E344">
        <v>406293</v>
      </c>
      <c r="F344">
        <v>2.60822E-2</v>
      </c>
      <c r="G344" s="51">
        <f t="shared" si="11"/>
        <v>10597015284.6</v>
      </c>
    </row>
    <row r="345" spans="1:7">
      <c r="A345" t="s">
        <v>526</v>
      </c>
      <c r="B345">
        <v>36814.11</v>
      </c>
      <c r="C345">
        <v>70584</v>
      </c>
      <c r="D345">
        <f t="shared" si="10"/>
        <v>2598487140.2400002</v>
      </c>
      <c r="E345">
        <v>114256</v>
      </c>
      <c r="F345">
        <v>4.4251499999999999E-2</v>
      </c>
      <c r="G345" s="51">
        <f t="shared" si="11"/>
        <v>5055999384</v>
      </c>
    </row>
    <row r="346" spans="1:7">
      <c r="A346" t="s">
        <v>1245</v>
      </c>
      <c r="B346">
        <v>34989.769999999997</v>
      </c>
      <c r="C346">
        <v>76001</v>
      </c>
      <c r="D346">
        <f t="shared" si="10"/>
        <v>2659257509.77</v>
      </c>
      <c r="E346">
        <v>156784</v>
      </c>
      <c r="F346">
        <v>2.4900499999999999E-2</v>
      </c>
      <c r="G346" s="51">
        <f t="shared" si="11"/>
        <v>3903999992</v>
      </c>
    </row>
    <row r="347" spans="1:7">
      <c r="A347" t="s">
        <v>527</v>
      </c>
      <c r="B347">
        <v>34901.74</v>
      </c>
      <c r="C347">
        <v>1046118</v>
      </c>
      <c r="D347">
        <f t="shared" si="10"/>
        <v>36511338445.32</v>
      </c>
      <c r="E347">
        <v>1670225</v>
      </c>
      <c r="F347">
        <v>3.2670999999999999E-2</v>
      </c>
      <c r="G347" s="51">
        <f t="shared" si="11"/>
        <v>54567920975</v>
      </c>
    </row>
    <row r="348" spans="1:7">
      <c r="A348" t="s">
        <v>528</v>
      </c>
      <c r="B348">
        <v>31968.18</v>
      </c>
      <c r="C348">
        <v>192374</v>
      </c>
      <c r="D348">
        <f t="shared" si="10"/>
        <v>6149846659.3199997</v>
      </c>
      <c r="E348">
        <v>422343</v>
      </c>
      <c r="F348">
        <v>2.25764E-2</v>
      </c>
      <c r="G348" s="51">
        <f t="shared" si="11"/>
        <v>9534984505.2000008</v>
      </c>
    </row>
    <row r="349" spans="1:7">
      <c r="A349" t="s">
        <v>529</v>
      </c>
      <c r="B349">
        <v>31016.01</v>
      </c>
      <c r="C349">
        <v>138139</v>
      </c>
      <c r="D349">
        <f t="shared" si="10"/>
        <v>4284520605.3899999</v>
      </c>
      <c r="E349">
        <v>230849</v>
      </c>
      <c r="F349">
        <v>2.9699099999999999E-2</v>
      </c>
      <c r="G349" s="51">
        <f t="shared" si="11"/>
        <v>6856007535.9000006</v>
      </c>
    </row>
    <row r="350" spans="1:7">
      <c r="A350" t="s">
        <v>1246</v>
      </c>
      <c r="B350">
        <v>28744.71</v>
      </c>
      <c r="C350">
        <v>79274</v>
      </c>
      <c r="D350">
        <f t="shared" si="10"/>
        <v>2278708140.54</v>
      </c>
      <c r="E350">
        <v>133470</v>
      </c>
      <c r="F350">
        <v>1.8970600000000001E-2</v>
      </c>
      <c r="G350" s="51">
        <f t="shared" si="11"/>
        <v>2532005982</v>
      </c>
    </row>
    <row r="351" spans="1:7">
      <c r="A351" t="s">
        <v>337</v>
      </c>
      <c r="B351">
        <v>55048.91</v>
      </c>
      <c r="C351">
        <v>3904006</v>
      </c>
      <c r="D351">
        <f t="shared" si="10"/>
        <v>214911274933.46002</v>
      </c>
      <c r="E351">
        <v>5377936</v>
      </c>
      <c r="F351">
        <v>5.8131200000000001E-2</v>
      </c>
      <c r="G351" s="51">
        <f t="shared" si="11"/>
        <v>312625873203.20001</v>
      </c>
    </row>
    <row r="352" spans="1:7">
      <c r="A352" t="s">
        <v>530</v>
      </c>
      <c r="B352">
        <v>34509.769999999997</v>
      </c>
      <c r="C352">
        <v>113542</v>
      </c>
      <c r="D352">
        <f t="shared" si="10"/>
        <v>3918308305.3399997</v>
      </c>
      <c r="E352">
        <v>163659</v>
      </c>
      <c r="F352">
        <v>4.1085400000000001E-2</v>
      </c>
      <c r="G352" s="51">
        <f t="shared" si="11"/>
        <v>6723995478.5999994</v>
      </c>
    </row>
    <row r="353" spans="1:7">
      <c r="A353" t="s">
        <v>531</v>
      </c>
      <c r="B353">
        <v>35303.300000000003</v>
      </c>
      <c r="C353">
        <v>92289</v>
      </c>
      <c r="D353">
        <f t="shared" si="10"/>
        <v>3258106253.7000003</v>
      </c>
      <c r="E353">
        <v>131043</v>
      </c>
      <c r="F353">
        <v>3.8910899999999998E-2</v>
      </c>
      <c r="G353" s="51">
        <f t="shared" si="11"/>
        <v>5099001068.6999998</v>
      </c>
    </row>
    <row r="354" spans="1:7">
      <c r="A354" t="s">
        <v>1009</v>
      </c>
      <c r="B354">
        <v>30707.5</v>
      </c>
      <c r="C354">
        <v>58501</v>
      </c>
      <c r="D354">
        <f t="shared" si="10"/>
        <v>1796419457.5</v>
      </c>
      <c r="E354">
        <v>121682</v>
      </c>
      <c r="F354">
        <v>2.73253E-2</v>
      </c>
      <c r="G354" s="51">
        <f t="shared" si="11"/>
        <v>3324997154.6000004</v>
      </c>
    </row>
    <row r="355" spans="1:7">
      <c r="A355" t="s">
        <v>532</v>
      </c>
      <c r="B355">
        <v>33550.58</v>
      </c>
      <c r="C355">
        <v>65773</v>
      </c>
      <c r="D355">
        <f t="shared" si="10"/>
        <v>2206722298.3400002</v>
      </c>
      <c r="E355">
        <v>108301</v>
      </c>
      <c r="F355">
        <v>2.9575000000000001E-2</v>
      </c>
      <c r="G355" s="51">
        <f t="shared" si="11"/>
        <v>3203002075</v>
      </c>
    </row>
    <row r="356" spans="1:7">
      <c r="A356" t="s">
        <v>533</v>
      </c>
      <c r="B356">
        <v>29806.62</v>
      </c>
      <c r="C356">
        <v>84367</v>
      </c>
      <c r="D356">
        <f t="shared" si="10"/>
        <v>2514695109.54</v>
      </c>
      <c r="E356">
        <v>144986</v>
      </c>
      <c r="F356">
        <v>3.0271900000000001E-2</v>
      </c>
      <c r="G356" s="51">
        <f t="shared" si="11"/>
        <v>4389001693.4000006</v>
      </c>
    </row>
    <row r="357" spans="1:7">
      <c r="A357" t="s">
        <v>534</v>
      </c>
      <c r="B357">
        <v>39363.57</v>
      </c>
      <c r="C357">
        <v>397647</v>
      </c>
      <c r="D357">
        <f t="shared" si="10"/>
        <v>15652805519.789999</v>
      </c>
      <c r="E357">
        <v>603205</v>
      </c>
      <c r="F357">
        <v>4.27699E-2</v>
      </c>
      <c r="G357" s="51">
        <f t="shared" si="11"/>
        <v>25799017529.5</v>
      </c>
    </row>
    <row r="358" spans="1:7">
      <c r="A358" t="s">
        <v>1010</v>
      </c>
      <c r="B358">
        <v>30806.79</v>
      </c>
      <c r="C358">
        <v>93043</v>
      </c>
      <c r="D358">
        <f t="shared" si="10"/>
        <v>2866356161.9700003</v>
      </c>
      <c r="E358">
        <v>147607</v>
      </c>
      <c r="F358">
        <v>3.1787099999999999E-2</v>
      </c>
      <c r="G358" s="51">
        <f t="shared" si="11"/>
        <v>4691998469.6999998</v>
      </c>
    </row>
    <row r="359" spans="1:7">
      <c r="A359" t="s">
        <v>535</v>
      </c>
      <c r="B359">
        <v>29545.02</v>
      </c>
      <c r="C359">
        <v>69086</v>
      </c>
      <c r="D359">
        <f t="shared" si="10"/>
        <v>2041147251.72</v>
      </c>
      <c r="E359">
        <v>116666</v>
      </c>
      <c r="F359">
        <v>2.7780200000000001E-2</v>
      </c>
      <c r="G359" s="51">
        <f t="shared" si="11"/>
        <v>3241004813.2000003</v>
      </c>
    </row>
    <row r="360" spans="1:7">
      <c r="A360" t="s">
        <v>1247</v>
      </c>
      <c r="B360">
        <v>32235.89</v>
      </c>
      <c r="C360">
        <v>199597</v>
      </c>
      <c r="D360">
        <f t="shared" si="10"/>
        <v>6434186936.3299999</v>
      </c>
      <c r="E360">
        <v>348054</v>
      </c>
      <c r="F360">
        <v>3.4066600000000002E-2</v>
      </c>
      <c r="G360" s="51">
        <f t="shared" si="11"/>
        <v>11857016396.4</v>
      </c>
    </row>
    <row r="361" spans="1:7">
      <c r="A361" t="s">
        <v>1011</v>
      </c>
      <c r="B361">
        <v>35383.17</v>
      </c>
      <c r="C361">
        <v>74699</v>
      </c>
      <c r="D361">
        <f t="shared" si="10"/>
        <v>2643087415.8299999</v>
      </c>
      <c r="E361">
        <v>122620</v>
      </c>
      <c r="F361">
        <v>3.4439699999999997E-2</v>
      </c>
      <c r="G361" s="51">
        <f t="shared" si="11"/>
        <v>4222996013.9999995</v>
      </c>
    </row>
    <row r="362" spans="1:7">
      <c r="A362" t="s">
        <v>1248</v>
      </c>
      <c r="B362">
        <v>39246.93</v>
      </c>
      <c r="C362">
        <v>282663</v>
      </c>
      <c r="D362">
        <f t="shared" si="10"/>
        <v>11093654974.59</v>
      </c>
      <c r="E362">
        <v>480063</v>
      </c>
      <c r="F362">
        <v>4.2663100000000002E-2</v>
      </c>
      <c r="G362" s="51">
        <f t="shared" si="11"/>
        <v>20480975775.300003</v>
      </c>
    </row>
    <row r="363" spans="1:7">
      <c r="A363" t="s">
        <v>1249</v>
      </c>
      <c r="B363">
        <v>42091.54</v>
      </c>
      <c r="C363">
        <v>427570</v>
      </c>
      <c r="D363">
        <f t="shared" si="10"/>
        <v>17997079757.799999</v>
      </c>
      <c r="E363">
        <v>799343</v>
      </c>
      <c r="F363">
        <v>3.1049199999999999E-2</v>
      </c>
      <c r="G363" s="51">
        <f t="shared" si="11"/>
        <v>24818960675.599998</v>
      </c>
    </row>
    <row r="364" spans="1:7">
      <c r="A364" t="s">
        <v>536</v>
      </c>
      <c r="B364">
        <v>32356.42</v>
      </c>
      <c r="C364">
        <v>123495</v>
      </c>
      <c r="D364">
        <f t="shared" si="10"/>
        <v>3995856087.8999996</v>
      </c>
      <c r="E364">
        <v>234881</v>
      </c>
      <c r="F364">
        <v>2.7277599999999999E-2</v>
      </c>
      <c r="G364" s="51">
        <f t="shared" si="11"/>
        <v>6406989965.5999994</v>
      </c>
    </row>
    <row r="365" spans="1:7">
      <c r="A365" t="s">
        <v>537</v>
      </c>
      <c r="B365">
        <v>36090.04</v>
      </c>
      <c r="C365">
        <v>231178</v>
      </c>
      <c r="D365">
        <f t="shared" si="10"/>
        <v>8343223267.1199999</v>
      </c>
      <c r="E365">
        <v>425766</v>
      </c>
      <c r="F365">
        <v>3.1996400000000001E-2</v>
      </c>
      <c r="G365" s="51">
        <f t="shared" si="11"/>
        <v>13622979242.400002</v>
      </c>
    </row>
    <row r="366" spans="1:7">
      <c r="A366" t="s">
        <v>538</v>
      </c>
      <c r="B366">
        <v>32130.92</v>
      </c>
      <c r="C366">
        <v>299345</v>
      </c>
      <c r="D366">
        <f t="shared" si="10"/>
        <v>9618230247.3999996</v>
      </c>
      <c r="E366">
        <v>566425</v>
      </c>
      <c r="F366">
        <v>2.6762600000000001E-2</v>
      </c>
      <c r="G366" s="51">
        <f t="shared" si="11"/>
        <v>15159005705.000002</v>
      </c>
    </row>
    <row r="367" spans="1:7">
      <c r="A367" t="s">
        <v>539</v>
      </c>
      <c r="B367">
        <v>32633.46</v>
      </c>
      <c r="C367">
        <v>71368</v>
      </c>
      <c r="D367">
        <f t="shared" si="10"/>
        <v>2328984773.2799997</v>
      </c>
      <c r="E367">
        <v>164992</v>
      </c>
      <c r="F367">
        <v>1.9467600000000002E-2</v>
      </c>
      <c r="G367" s="51">
        <f t="shared" si="11"/>
        <v>3211998259.2000003</v>
      </c>
    </row>
    <row r="368" spans="1:7">
      <c r="A368" t="s">
        <v>540</v>
      </c>
      <c r="B368">
        <v>28079.439999999999</v>
      </c>
      <c r="C368">
        <v>82583</v>
      </c>
      <c r="D368">
        <f t="shared" si="10"/>
        <v>2318884393.52</v>
      </c>
      <c r="E368">
        <v>193299</v>
      </c>
      <c r="F368">
        <v>1.8344599999999999E-2</v>
      </c>
      <c r="G368" s="51">
        <f t="shared" si="11"/>
        <v>3545992835.4000001</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2:S92"/>
  <sheetViews>
    <sheetView topLeftCell="A51" workbookViewId="0">
      <selection activeCell="A76" sqref="A76"/>
    </sheetView>
  </sheetViews>
  <sheetFormatPr defaultRowHeight="15"/>
  <sheetData>
    <row r="2" spans="1:19">
      <c r="A2" t="str">
        <f>""</f>
        <v/>
      </c>
      <c r="B2" t="str">
        <f>"(1)"</f>
        <v>(1)</v>
      </c>
      <c r="C2" t="str">
        <f>"(2)"</f>
        <v>(2)</v>
      </c>
      <c r="D2" t="str">
        <f>"(3)"</f>
        <v>(3)</v>
      </c>
      <c r="E2" t="str">
        <f>"(4)"</f>
        <v>(4)</v>
      </c>
      <c r="F2" t="str">
        <f>"(5)"</f>
        <v>(5)</v>
      </c>
      <c r="G2" t="str">
        <f>"(6)"</f>
        <v>(6)</v>
      </c>
      <c r="H2" t="str">
        <f>"(7)"</f>
        <v>(7)</v>
      </c>
      <c r="I2" t="str">
        <f>"(8)"</f>
        <v>(8)</v>
      </c>
      <c r="J2" t="str">
        <f>"(9)"</f>
        <v>(9)</v>
      </c>
      <c r="K2" t="str">
        <f>"(10)"</f>
        <v>(10)</v>
      </c>
      <c r="L2" t="str">
        <f>"(11)"</f>
        <v>(11)</v>
      </c>
      <c r="M2" t="str">
        <f>"(12)"</f>
        <v>(12)</v>
      </c>
      <c r="N2" t="str">
        <f>"(13)"</f>
        <v>(13)</v>
      </c>
      <c r="O2" t="str">
        <f>"(14)"</f>
        <v>(14)</v>
      </c>
      <c r="P2" t="str">
        <f>"(15)"</f>
        <v>(15)</v>
      </c>
      <c r="Q2" t="str">
        <f>"(16)"</f>
        <v>(16)</v>
      </c>
      <c r="R2" t="str">
        <f>"(17)"</f>
        <v>(17)</v>
      </c>
      <c r="S2" t="str">
        <f>"(18)"</f>
        <v>(18)</v>
      </c>
    </row>
    <row r="3" spans="1:19">
      <c r="A3" t="str">
        <f>""</f>
        <v/>
      </c>
      <c r="B3" t="str">
        <f t="shared" ref="B3:I3" si="0">"eden_pcity"</f>
        <v>eden_pcity</v>
      </c>
      <c r="C3" t="str">
        <f t="shared" si="0"/>
        <v>eden_pcity</v>
      </c>
      <c r="D3" t="str">
        <f t="shared" si="0"/>
        <v>eden_pcity</v>
      </c>
      <c r="E3" t="str">
        <f t="shared" si="0"/>
        <v>eden_pcity</v>
      </c>
      <c r="F3" t="str">
        <f t="shared" si="0"/>
        <v>eden_pcity</v>
      </c>
      <c r="G3" t="str">
        <f t="shared" si="0"/>
        <v>eden_pcity</v>
      </c>
      <c r="H3" t="str">
        <f t="shared" si="0"/>
        <v>eden_pcity</v>
      </c>
      <c r="I3" t="str">
        <f t="shared" si="0"/>
        <v>eden_pcity</v>
      </c>
      <c r="J3" t="str">
        <f t="shared" ref="J3:O3" si="1">"population"</f>
        <v>population</v>
      </c>
      <c r="K3" t="str">
        <f t="shared" si="1"/>
        <v>population</v>
      </c>
      <c r="L3" t="str">
        <f t="shared" si="1"/>
        <v>population</v>
      </c>
      <c r="M3" t="str">
        <f t="shared" si="1"/>
        <v>population</v>
      </c>
      <c r="N3" t="str">
        <f t="shared" si="1"/>
        <v>population</v>
      </c>
      <c r="O3" t="str">
        <f t="shared" si="1"/>
        <v>population</v>
      </c>
      <c r="P3" t="str">
        <f>"lnwage"</f>
        <v>lnwage</v>
      </c>
      <c r="Q3" t="str">
        <f>"lnwage"</f>
        <v>lnwage</v>
      </c>
      <c r="R3" t="str">
        <f>"lngdppc00"</f>
        <v>lngdppc00</v>
      </c>
      <c r="S3" t="str">
        <f>"lngdppc00"</f>
        <v>lngdppc00</v>
      </c>
    </row>
    <row r="5" spans="1:19">
      <c r="A5" t="str">
        <f>"apta_cleaned"</f>
        <v>apta_cleaned</v>
      </c>
      <c r="B5" t="str">
        <f>"0.556"</f>
        <v>0.556</v>
      </c>
      <c r="C5" t="str">
        <f>"6.483"</f>
        <v>6.483</v>
      </c>
      <c r="D5" t="str">
        <f>""</f>
        <v/>
      </c>
      <c r="E5" t="str">
        <f>""</f>
        <v/>
      </c>
      <c r="F5" t="str">
        <f>""</f>
        <v/>
      </c>
      <c r="G5" t="str">
        <f>""</f>
        <v/>
      </c>
      <c r="H5" t="str">
        <f>""</f>
        <v/>
      </c>
      <c r="I5" t="str">
        <f>""</f>
        <v/>
      </c>
      <c r="J5" t="str">
        <f>""</f>
        <v/>
      </c>
      <c r="K5" t="str">
        <f>""</f>
        <v/>
      </c>
      <c r="L5" t="str">
        <f>""</f>
        <v/>
      </c>
      <c r="M5" t="str">
        <f>""</f>
        <v/>
      </c>
      <c r="N5" t="str">
        <f>""</f>
        <v/>
      </c>
      <c r="O5" t="str">
        <f>""</f>
        <v/>
      </c>
      <c r="P5" t="str">
        <f>""</f>
        <v/>
      </c>
      <c r="Q5" t="str">
        <f>""</f>
        <v/>
      </c>
      <c r="R5" t="str">
        <f>""</f>
        <v/>
      </c>
      <c r="S5" t="str">
        <f>""</f>
        <v/>
      </c>
    </row>
    <row r="6" spans="1:19">
      <c r="A6" t="str">
        <f>""</f>
        <v/>
      </c>
      <c r="B6" t="str">
        <f>"(0.49)"</f>
        <v>(0.49)</v>
      </c>
      <c r="C6" t="str">
        <f>"(3.15)"</f>
        <v>(3.15)</v>
      </c>
      <c r="D6" t="str">
        <f>""</f>
        <v/>
      </c>
      <c r="E6" t="str">
        <f>""</f>
        <v/>
      </c>
      <c r="F6" t="str">
        <f>""</f>
        <v/>
      </c>
      <c r="G6" t="str">
        <f>""</f>
        <v/>
      </c>
      <c r="H6" t="str">
        <f>""</f>
        <v/>
      </c>
      <c r="I6" t="str">
        <f>""</f>
        <v/>
      </c>
      <c r="J6" t="str">
        <f>""</f>
        <v/>
      </c>
      <c r="K6" t="str">
        <f>""</f>
        <v/>
      </c>
      <c r="L6" t="str">
        <f>""</f>
        <v/>
      </c>
      <c r="M6" t="str">
        <f>""</f>
        <v/>
      </c>
      <c r="N6" t="str">
        <f>""</f>
        <v/>
      </c>
      <c r="O6" t="str">
        <f>""</f>
        <v/>
      </c>
      <c r="P6" t="str">
        <f>""</f>
        <v/>
      </c>
      <c r="Q6" t="str">
        <f>""</f>
        <v/>
      </c>
      <c r="R6" t="str">
        <f>""</f>
        <v/>
      </c>
      <c r="S6" t="str">
        <f>""</f>
        <v/>
      </c>
    </row>
    <row r="8" spans="1:19">
      <c r="A8" t="str">
        <f>"freeart"</f>
        <v>freeart</v>
      </c>
      <c r="B8" t="str">
        <f>"0.101"</f>
        <v>0.101</v>
      </c>
      <c r="C8" t="str">
        <f>"0.371"</f>
        <v>0.371</v>
      </c>
      <c r="D8" t="str">
        <f>""</f>
        <v/>
      </c>
      <c r="E8" t="str">
        <f>""</f>
        <v/>
      </c>
      <c r="F8" t="str">
        <f>""</f>
        <v/>
      </c>
      <c r="G8" t="str">
        <f>""</f>
        <v/>
      </c>
      <c r="H8" t="str">
        <f>""</f>
        <v/>
      </c>
      <c r="I8" t="str">
        <f>""</f>
        <v/>
      </c>
      <c r="J8" t="str">
        <f>""</f>
        <v/>
      </c>
      <c r="K8" t="str">
        <f>""</f>
        <v/>
      </c>
      <c r="L8" t="str">
        <f>""</f>
        <v/>
      </c>
      <c r="M8" t="str">
        <f>""</f>
        <v/>
      </c>
      <c r="N8" t="str">
        <f>""</f>
        <v/>
      </c>
      <c r="O8" t="str">
        <f>""</f>
        <v/>
      </c>
      <c r="P8" t="str">
        <f>""</f>
        <v/>
      </c>
      <c r="Q8" t="str">
        <f>""</f>
        <v/>
      </c>
      <c r="R8" t="str">
        <f>""</f>
        <v/>
      </c>
      <c r="S8" t="str">
        <f>""</f>
        <v/>
      </c>
    </row>
    <row r="9" spans="1:19">
      <c r="A9" t="str">
        <f>""</f>
        <v/>
      </c>
      <c r="B9" t="str">
        <f>"(0.55)"</f>
        <v>(0.55)</v>
      </c>
      <c r="C9" t="str">
        <f>"(1.81)"</f>
        <v>(1.81)</v>
      </c>
      <c r="D9" t="str">
        <f>""</f>
        <v/>
      </c>
      <c r="E9" t="str">
        <f>""</f>
        <v/>
      </c>
      <c r="F9" t="str">
        <f>""</f>
        <v/>
      </c>
      <c r="G9" t="str">
        <f>""</f>
        <v/>
      </c>
      <c r="H9" t="str">
        <f>""</f>
        <v/>
      </c>
      <c r="I9" t="str">
        <f>""</f>
        <v/>
      </c>
      <c r="J9" t="str">
        <f>""</f>
        <v/>
      </c>
      <c r="K9" t="str">
        <f>""</f>
        <v/>
      </c>
      <c r="L9" t="str">
        <f>""</f>
        <v/>
      </c>
      <c r="M9" t="str">
        <f>""</f>
        <v/>
      </c>
      <c r="N9" t="str">
        <f>""</f>
        <v/>
      </c>
      <c r="O9" t="str">
        <f>""</f>
        <v/>
      </c>
      <c r="P9" t="str">
        <f>""</f>
        <v/>
      </c>
      <c r="Q9" t="str">
        <f>""</f>
        <v/>
      </c>
      <c r="R9" t="str">
        <f>""</f>
        <v/>
      </c>
      <c r="S9" t="str">
        <f>""</f>
        <v/>
      </c>
    </row>
    <row r="11" spans="1:19">
      <c r="A11" t="str">
        <f>"population"</f>
        <v>population</v>
      </c>
      <c r="B11" t="str">
        <f>"0.000158"</f>
        <v>0.000158</v>
      </c>
      <c r="C11" t="str">
        <f>"-0.000140"</f>
        <v>-0.000140</v>
      </c>
      <c r="D11" t="str">
        <f>"0.000138"</f>
        <v>0.000138</v>
      </c>
      <c r="E11" t="str">
        <f>"0.0000195"</f>
        <v>0.0000195</v>
      </c>
      <c r="F11" t="str">
        <f>"0.000122"</f>
        <v>0.000122</v>
      </c>
      <c r="G11" t="str">
        <f>"0.0000670"</f>
        <v>0.0000670</v>
      </c>
      <c r="H11" t="str">
        <f>"0.000141"</f>
        <v>0.000141</v>
      </c>
      <c r="I11" t="str">
        <f>"-0.000125"</f>
        <v>-0.000125</v>
      </c>
      <c r="J11" t="str">
        <f>""</f>
        <v/>
      </c>
      <c r="K11" t="str">
        <f>""</f>
        <v/>
      </c>
      <c r="L11" t="str">
        <f>""</f>
        <v/>
      </c>
      <c r="M11" t="str">
        <f>""</f>
        <v/>
      </c>
      <c r="N11" t="str">
        <f>""</f>
        <v/>
      </c>
      <c r="O11" t="str">
        <f>""</f>
        <v/>
      </c>
      <c r="P11" t="str">
        <f>""</f>
        <v/>
      </c>
      <c r="Q11" t="str">
        <f>""</f>
        <v/>
      </c>
      <c r="R11" t="str">
        <f>""</f>
        <v/>
      </c>
      <c r="S11" t="str">
        <f>""</f>
        <v/>
      </c>
    </row>
    <row r="12" spans="1:19">
      <c r="A12" t="str">
        <f>""</f>
        <v/>
      </c>
      <c r="B12" t="str">
        <f>"(1.72)"</f>
        <v>(1.72)</v>
      </c>
      <c r="C12" t="str">
        <f>"(-1.10)"</f>
        <v>(-1.10)</v>
      </c>
      <c r="D12" t="str">
        <f>"(3.00)"</f>
        <v>(3.00)</v>
      </c>
      <c r="E12" t="str">
        <f>"(0.30)"</f>
        <v>(0.30)</v>
      </c>
      <c r="F12" t="str">
        <f>"(3.27)"</f>
        <v>(3.27)</v>
      </c>
      <c r="G12" t="str">
        <f>"(1.45)"</f>
        <v>(1.45)</v>
      </c>
      <c r="H12" t="str">
        <f>"(3.05)"</f>
        <v>(3.05)</v>
      </c>
      <c r="I12" t="str">
        <f>"(-1.06)"</f>
        <v>(-1.06)</v>
      </c>
      <c r="J12" t="str">
        <f>""</f>
        <v/>
      </c>
      <c r="K12" t="str">
        <f>""</f>
        <v/>
      </c>
      <c r="L12" t="str">
        <f>""</f>
        <v/>
      </c>
      <c r="M12" t="str">
        <f>""</f>
        <v/>
      </c>
      <c r="N12" t="str">
        <f>""</f>
        <v/>
      </c>
      <c r="O12" t="str">
        <f>""</f>
        <v/>
      </c>
      <c r="P12" t="str">
        <f>""</f>
        <v/>
      </c>
      <c r="Q12" t="str">
        <f>""</f>
        <v/>
      </c>
      <c r="R12" t="str">
        <f>""</f>
        <v/>
      </c>
      <c r="S12" t="str">
        <f>""</f>
        <v/>
      </c>
    </row>
    <row r="14" spans="1:19">
      <c r="A14" t="str">
        <f>"pct18under0507"</f>
        <v>pct18under0507</v>
      </c>
      <c r="B14" t="str">
        <f>"-77.97"</f>
        <v>-77.97</v>
      </c>
      <c r="C14" t="str">
        <f>"-77.85"</f>
        <v>-77.85</v>
      </c>
      <c r="D14" t="str">
        <f>"-65.94"</f>
        <v>-65.94</v>
      </c>
      <c r="E14" t="str">
        <f>"-65.31"</f>
        <v>-65.31</v>
      </c>
      <c r="F14" t="str">
        <f>"-59.15"</f>
        <v>-59.15</v>
      </c>
      <c r="G14" t="str">
        <f>"-60.59"</f>
        <v>-60.59</v>
      </c>
      <c r="H14" t="str">
        <f>"-62.99"</f>
        <v>-62.99</v>
      </c>
      <c r="I14" t="str">
        <f>"-66.45"</f>
        <v>-66.45</v>
      </c>
      <c r="J14" t="str">
        <f>"-6951.2"</f>
        <v>-6951.2</v>
      </c>
      <c r="K14" t="str">
        <f>"-21812.0"</f>
        <v>-21812.0</v>
      </c>
      <c r="L14" t="str">
        <f>"-466.8"</f>
        <v>-466.8</v>
      </c>
      <c r="M14" t="str">
        <f>"774.5"</f>
        <v>774.5</v>
      </c>
      <c r="N14" t="str">
        <f>"31133.1"</f>
        <v>31133.1</v>
      </c>
      <c r="O14" t="str">
        <f>"27217.5"</f>
        <v>27217.5</v>
      </c>
      <c r="P14" t="str">
        <f>"-0.00695"</f>
        <v>-0.00695</v>
      </c>
      <c r="Q14" t="str">
        <f>"-0.00711"</f>
        <v>-0.00711</v>
      </c>
      <c r="R14" t="str">
        <f>"-0.00239"</f>
        <v>-0.00239</v>
      </c>
      <c r="S14" t="str">
        <f>"-0.0234"</f>
        <v>-0.0234</v>
      </c>
    </row>
    <row r="15" spans="1:19">
      <c r="A15" t="str">
        <f>""</f>
        <v/>
      </c>
      <c r="B15" t="str">
        <f>"(-3.13)"</f>
        <v>(-3.13)</v>
      </c>
      <c r="C15" t="str">
        <f>"(-3.05)"</f>
        <v>(-3.05)</v>
      </c>
      <c r="D15" t="str">
        <f>"(-2.49)"</f>
        <v>(-2.49)</v>
      </c>
      <c r="E15" t="str">
        <f>"(-2.44)"</f>
        <v>(-2.44)</v>
      </c>
      <c r="F15" t="str">
        <f>"(-2.38)"</f>
        <v>(-2.38)</v>
      </c>
      <c r="G15" t="str">
        <f>"(-2.45)"</f>
        <v>(-2.45)</v>
      </c>
      <c r="H15" t="str">
        <f>"(-2.55)"</f>
        <v>(-2.55)</v>
      </c>
      <c r="I15" t="str">
        <f>"(-2.42)"</f>
        <v>(-2.42)</v>
      </c>
      <c r="J15" t="str">
        <f>"(-0.20)"</f>
        <v>(-0.20)</v>
      </c>
      <c r="K15" t="str">
        <f>"(-0.45)"</f>
        <v>(-0.45)</v>
      </c>
      <c r="L15" t="str">
        <f>"(-0.01)"</f>
        <v>(-0.01)</v>
      </c>
      <c r="M15" t="str">
        <f>"(0.02)"</f>
        <v>(0.02)</v>
      </c>
      <c r="N15" t="str">
        <f>"(0.93)"</f>
        <v>(0.93)</v>
      </c>
      <c r="O15" t="str">
        <f>"(0.82)"</f>
        <v>(0.82)</v>
      </c>
      <c r="P15" t="str">
        <f>"(-2.24)"</f>
        <v>(-2.24)</v>
      </c>
      <c r="Q15" t="str">
        <f>"(-1.27)"</f>
        <v>(-1.27)</v>
      </c>
      <c r="R15" t="str">
        <f>"(-0.26)"</f>
        <v>(-0.26)</v>
      </c>
      <c r="S15" t="str">
        <f>"(-1.18)"</f>
        <v>(-1.18)</v>
      </c>
    </row>
    <row r="17" spans="1:19">
      <c r="A17" t="str">
        <f>"pct65plus0507"</f>
        <v>pct65plus0507</v>
      </c>
      <c r="B17" t="str">
        <f>"-12.26"</f>
        <v>-12.26</v>
      </c>
      <c r="C17" t="str">
        <f>"-13.45"</f>
        <v>-13.45</v>
      </c>
      <c r="D17" t="str">
        <f>"-10.42"</f>
        <v>-10.42</v>
      </c>
      <c r="E17" t="str">
        <f>"-14.09"</f>
        <v>-14.09</v>
      </c>
      <c r="F17" t="str">
        <f>"-0.544"</f>
        <v>-0.544</v>
      </c>
      <c r="G17" t="str">
        <f>"-5.928"</f>
        <v>-5.928</v>
      </c>
      <c r="H17" t="str">
        <f>"-19.70"</f>
        <v>-19.70</v>
      </c>
      <c r="I17" t="str">
        <f>"-27.37"</f>
        <v>-27.37</v>
      </c>
      <c r="J17" t="str">
        <f>"-7297.8"</f>
        <v>-7297.8</v>
      </c>
      <c r="K17" t="str">
        <f>"-54057.2"</f>
        <v>-54057.2</v>
      </c>
      <c r="L17" t="str">
        <f>"2410.8"</f>
        <v>2410.8</v>
      </c>
      <c r="M17" t="str">
        <f>"-19563.9"</f>
        <v>-19563.9</v>
      </c>
      <c r="N17" t="str">
        <f>"-9477.1"</f>
        <v>-9477.1</v>
      </c>
      <c r="O17" t="str">
        <f>"-11458.3"</f>
        <v>-11458.3</v>
      </c>
      <c r="P17" t="str">
        <f>"-0.00904"</f>
        <v>-0.00904</v>
      </c>
      <c r="Q17" t="str">
        <f>"-0.00912"</f>
        <v>-0.00912</v>
      </c>
      <c r="R17" t="str">
        <f>"-0.0201"</f>
        <v>-0.0201</v>
      </c>
      <c r="S17" t="str">
        <f>"-0.0299"</f>
        <v>-0.0299</v>
      </c>
    </row>
    <row r="18" spans="1:19">
      <c r="A18" t="str">
        <f>""</f>
        <v/>
      </c>
      <c r="B18" t="str">
        <f>"(-0.62)"</f>
        <v>(-0.62)</v>
      </c>
      <c r="C18" t="str">
        <f>"(-0.66)"</f>
        <v>(-0.66)</v>
      </c>
      <c r="D18" t="str">
        <f>"(-0.51)"</f>
        <v>(-0.51)</v>
      </c>
      <c r="E18" t="str">
        <f>"(-0.68)"</f>
        <v>(-0.68)</v>
      </c>
      <c r="F18" t="str">
        <f>"(-0.03)"</f>
        <v>(-0.03)</v>
      </c>
      <c r="G18" t="str">
        <f>"(-0.31)"</f>
        <v>(-0.31)</v>
      </c>
      <c r="H18" t="str">
        <f>"(-1.02)"</f>
        <v>(-1.02)</v>
      </c>
      <c r="I18" t="str">
        <f>"(-1.25)"</f>
        <v>(-1.25)</v>
      </c>
      <c r="J18" t="str">
        <f>"(-0.26)"</f>
        <v>(-0.26)</v>
      </c>
      <c r="K18" t="str">
        <f>"(-1.37)"</f>
        <v>(-1.37)</v>
      </c>
      <c r="L18" t="str">
        <f>"(0.09)"</f>
        <v>(0.09)</v>
      </c>
      <c r="M18" t="str">
        <f>"(-0.63)"</f>
        <v>(-0.63)</v>
      </c>
      <c r="N18" t="str">
        <f>"(-0.38)"</f>
        <v>(-0.38)</v>
      </c>
      <c r="O18" t="str">
        <f>"(-0.45)"</f>
        <v>(-0.45)</v>
      </c>
      <c r="P18" t="str">
        <f>"(-3.14)"</f>
        <v>(-3.14)</v>
      </c>
      <c r="Q18" t="str">
        <f>"(-2.56)"</f>
        <v>(-2.56)</v>
      </c>
      <c r="R18" t="str">
        <f>"(-2.40)"</f>
        <v>(-2.40)</v>
      </c>
      <c r="S18" t="str">
        <f>"(-2.37)"</f>
        <v>(-2.37)</v>
      </c>
    </row>
    <row r="20" spans="1:19">
      <c r="A20" t="str">
        <f>"hsdippct0507"</f>
        <v>hsdippct0507</v>
      </c>
      <c r="B20" t="str">
        <f>"-54.44"</f>
        <v>-54.44</v>
      </c>
      <c r="C20" t="str">
        <f>"-47.97"</f>
        <v>-47.97</v>
      </c>
      <c r="D20" t="str">
        <f>"-48.54"</f>
        <v>-48.54</v>
      </c>
      <c r="E20" t="str">
        <f>"-41.97"</f>
        <v>-41.97</v>
      </c>
      <c r="F20" t="str">
        <f>"-58.63"</f>
        <v>-58.63</v>
      </c>
      <c r="G20" t="str">
        <f>"-52.86"</f>
        <v>-52.86</v>
      </c>
      <c r="H20" t="str">
        <f>"-42.61"</f>
        <v>-42.61</v>
      </c>
      <c r="I20" t="str">
        <f>"-28.95"</f>
        <v>-28.95</v>
      </c>
      <c r="J20" t="str">
        <f>"24249.5"</f>
        <v>24249.5</v>
      </c>
      <c r="K20" t="str">
        <f>"72687.3"</f>
        <v>72687.3</v>
      </c>
      <c r="L20" t="str">
        <f>"15650.5"</f>
        <v>15650.5</v>
      </c>
      <c r="M20" t="str">
        <f>"42807.3"</f>
        <v>42807.3</v>
      </c>
      <c r="N20" t="str">
        <f>"42822.1"</f>
        <v>42822.1</v>
      </c>
      <c r="O20" t="str">
        <f>"44784.6"</f>
        <v>44784.6</v>
      </c>
      <c r="P20" t="str">
        <f>"-0.00816"</f>
        <v>-0.00816</v>
      </c>
      <c r="Q20" t="str">
        <f>"-0.00827"</f>
        <v>-0.00827</v>
      </c>
      <c r="R20" t="str">
        <f>"-0.0266"</f>
        <v>-0.0266</v>
      </c>
      <c r="S20" t="str">
        <f>"-0.0423"</f>
        <v>-0.0423</v>
      </c>
    </row>
    <row r="21" spans="1:19">
      <c r="A21" t="str">
        <f>""</f>
        <v/>
      </c>
      <c r="B21" t="str">
        <f>"(-3.42)"</f>
        <v>(-3.42)</v>
      </c>
      <c r="C21" t="str">
        <f>"(-2.89)"</f>
        <v>(-2.89)</v>
      </c>
      <c r="D21" t="str">
        <f>"(-2.71)"</f>
        <v>(-2.71)</v>
      </c>
      <c r="E21" t="str">
        <f>"(-2.30)"</f>
        <v>(-2.30)</v>
      </c>
      <c r="F21" t="str">
        <f>"(-3.55)"</f>
        <v>(-3.55)</v>
      </c>
      <c r="G21" t="str">
        <f>"(-3.17)"</f>
        <v>(-3.17)</v>
      </c>
      <c r="H21" t="str">
        <f>"(-2.67)"</f>
        <v>(-2.67)</v>
      </c>
      <c r="I21" t="str">
        <f>"(-1.54)"</f>
        <v>(-1.54)</v>
      </c>
      <c r="J21" t="str">
        <f>"(1.10)"</f>
        <v>(1.10)</v>
      </c>
      <c r="K21" t="str">
        <f>"(2.27)"</f>
        <v>(2.27)</v>
      </c>
      <c r="L21" t="str">
        <f>"(0.71)"</f>
        <v>(0.71)</v>
      </c>
      <c r="M21" t="str">
        <f>"(1.68)"</f>
        <v>(1.68)</v>
      </c>
      <c r="N21" t="str">
        <f>"(1.90)"</f>
        <v>(1.90)</v>
      </c>
      <c r="O21" t="str">
        <f>"(1.98)"</f>
        <v>(1.98)</v>
      </c>
      <c r="P21" t="str">
        <f>"(-4.09)"</f>
        <v>(-4.09)</v>
      </c>
      <c r="Q21" t="str">
        <f>"(-2.06)"</f>
        <v>(-2.06)</v>
      </c>
      <c r="R21" t="str">
        <f>"(-4.58)"</f>
        <v>(-4.58)</v>
      </c>
      <c r="S21" t="str">
        <f>"(-2.98)"</f>
        <v>(-2.98)</v>
      </c>
    </row>
    <row r="23" spans="1:19">
      <c r="A23" t="str">
        <f>"collegepct0507"</f>
        <v>collegepct0507</v>
      </c>
      <c r="B23" t="str">
        <f>"29.91"</f>
        <v>29.91</v>
      </c>
      <c r="C23" t="str">
        <f>"27.74"</f>
        <v>27.74</v>
      </c>
      <c r="D23" t="str">
        <f>"31.48"</f>
        <v>31.48</v>
      </c>
      <c r="E23" t="str">
        <f>"28.82"</f>
        <v>28.82</v>
      </c>
      <c r="F23" t="str">
        <f>"16.53"</f>
        <v>16.53</v>
      </c>
      <c r="G23" t="str">
        <f>"14.82"</f>
        <v>14.82</v>
      </c>
      <c r="H23" t="str">
        <f>"29.01"</f>
        <v>29.01</v>
      </c>
      <c r="I23" t="str">
        <f>"22.90"</f>
        <v>22.90</v>
      </c>
      <c r="J23" t="str">
        <f>"1824.3"</f>
        <v>1824.3</v>
      </c>
      <c r="K23" t="str">
        <f>"-28001.5"</f>
        <v>-28001.5</v>
      </c>
      <c r="L23" t="str">
        <f>"4854.8"</f>
        <v>4854.8</v>
      </c>
      <c r="M23" t="str">
        <f>"-10995.8"</f>
        <v>-10995.8</v>
      </c>
      <c r="N23" t="str">
        <f>"163.3"</f>
        <v>163.3</v>
      </c>
      <c r="O23" t="str">
        <f>"-3427.6"</f>
        <v>-3427.6</v>
      </c>
      <c r="P23" t="str">
        <f>"-0.00681"</f>
        <v>-0.00681</v>
      </c>
      <c r="Q23" t="str">
        <f>"-0.00674"</f>
        <v>-0.00674</v>
      </c>
      <c r="R23" t="str">
        <f>"-0.0259"</f>
        <v>-0.0259</v>
      </c>
      <c r="S23" t="str">
        <f>"-0.0156"</f>
        <v>-0.0156</v>
      </c>
    </row>
    <row r="24" spans="1:19">
      <c r="A24" t="str">
        <f>""</f>
        <v/>
      </c>
      <c r="B24" t="str">
        <f>"(2.83)"</f>
        <v>(2.83)</v>
      </c>
      <c r="C24" t="str">
        <f>"(2.55)"</f>
        <v>(2.55)</v>
      </c>
      <c r="D24" t="str">
        <f>"(2.89)"</f>
        <v>(2.89)</v>
      </c>
      <c r="E24" t="str">
        <f>"(2.61)"</f>
        <v>(2.61)</v>
      </c>
      <c r="F24" t="str">
        <f>"(1.58)"</f>
        <v>(1.58)</v>
      </c>
      <c r="G24" t="str">
        <f>"(1.42)"</f>
        <v>(1.42)</v>
      </c>
      <c r="H24" t="str">
        <f>"(2.80)"</f>
        <v>(2.80)</v>
      </c>
      <c r="I24" t="str">
        <f>"(1.95)"</f>
        <v>(1.95)</v>
      </c>
      <c r="J24" t="str">
        <f>"(0.13)"</f>
        <v>(0.13)</v>
      </c>
      <c r="K24" t="str">
        <f>"(-1.34)"</f>
        <v>(-1.34)</v>
      </c>
      <c r="L24" t="str">
        <f>"(0.33)"</f>
        <v>(0.33)</v>
      </c>
      <c r="M24" t="str">
        <f>"(-0.66)"</f>
        <v>(-0.66)</v>
      </c>
      <c r="N24" t="str">
        <f>"(0.01)"</f>
        <v>(0.01)</v>
      </c>
      <c r="O24" t="str">
        <f>"(-0.25)"</f>
        <v>(-0.25)</v>
      </c>
      <c r="P24" t="str">
        <f>"(-3.01)"</f>
        <v>(-3.01)</v>
      </c>
      <c r="Q24" t="str">
        <f>"(-2.11)"</f>
        <v>(-2.11)</v>
      </c>
      <c r="R24" t="str">
        <f>"(-3.94)"</f>
        <v>(-3.94)</v>
      </c>
      <c r="S24" t="str">
        <f>"(-1.38)"</f>
        <v>(-1.38)</v>
      </c>
    </row>
    <row r="26" spans="1:19">
      <c r="A26" t="str">
        <f>"whitepct0507"</f>
        <v>whitepct0507</v>
      </c>
      <c r="B26" t="str">
        <f>"0.0531"</f>
        <v>0.0531</v>
      </c>
      <c r="C26" t="str">
        <f>"1.565"</f>
        <v>1.565</v>
      </c>
      <c r="D26" t="str">
        <f>"2.356"</f>
        <v>2.356</v>
      </c>
      <c r="E26" t="str">
        <f>"2.848"</f>
        <v>2.848</v>
      </c>
      <c r="F26" t="str">
        <f>"10.02"</f>
        <v>10.02</v>
      </c>
      <c r="G26" t="str">
        <f>"9.884"</f>
        <v>9.884</v>
      </c>
      <c r="H26" t="str">
        <f>"-0.539"</f>
        <v>-0.539</v>
      </c>
      <c r="I26" t="str">
        <f>"4.787"</f>
        <v>4.787</v>
      </c>
      <c r="J26" t="str">
        <f>"-4650.3"</f>
        <v>-4650.3</v>
      </c>
      <c r="K26" t="str">
        <f>"22913.4"</f>
        <v>22913.4</v>
      </c>
      <c r="L26" t="str">
        <f>"-14213.7"</f>
        <v>-14213.7</v>
      </c>
      <c r="M26" t="str">
        <f>"-3419.3"</f>
        <v>-3419.3</v>
      </c>
      <c r="N26" t="str">
        <f>"-12501.7"</f>
        <v>-12501.7</v>
      </c>
      <c r="O26" t="str">
        <f>"-9906.4"</f>
        <v>-9906.4</v>
      </c>
      <c r="P26" t="str">
        <f>"-0.000619"</f>
        <v>-0.000619</v>
      </c>
      <c r="Q26" t="str">
        <f>"-0.000605"</f>
        <v>-0.000605</v>
      </c>
      <c r="R26" t="str">
        <f>"-0.00102"</f>
        <v>-0.00102</v>
      </c>
      <c r="S26" t="str">
        <f>"0.000913"</f>
        <v>0.000913</v>
      </c>
    </row>
    <row r="27" spans="1:19">
      <c r="A27" t="str">
        <f>""</f>
        <v/>
      </c>
      <c r="B27" t="str">
        <f>"(0.01)"</f>
        <v>(0.01)</v>
      </c>
      <c r="C27" t="str">
        <f>"(0.21)"</f>
        <v>(0.21)</v>
      </c>
      <c r="D27" t="str">
        <f>"(0.33)"</f>
        <v>(0.33)</v>
      </c>
      <c r="E27" t="str">
        <f>"(0.40)"</f>
        <v>(0.40)</v>
      </c>
      <c r="F27" t="str">
        <f>"(1.48)"</f>
        <v>(1.48)</v>
      </c>
      <c r="G27" t="str">
        <f>"(1.47)"</f>
        <v>(1.47)</v>
      </c>
      <c r="H27" t="str">
        <f>"(-0.08)"</f>
        <v>(-0.08)</v>
      </c>
      <c r="I27" t="str">
        <f>"(0.58)"</f>
        <v>(0.58)</v>
      </c>
      <c r="J27" t="str">
        <f>"(-0.46)"</f>
        <v>(-0.46)</v>
      </c>
      <c r="K27" t="str">
        <f>"(1.55)"</f>
        <v>(1.55)</v>
      </c>
      <c r="L27" t="str">
        <f>"(-1.40)"</f>
        <v>(-1.40)</v>
      </c>
      <c r="M27" t="str">
        <f>"(-0.29)"</f>
        <v>(-0.29)</v>
      </c>
      <c r="N27" t="str">
        <f>"(-1.39)"</f>
        <v>(-1.39)</v>
      </c>
      <c r="O27" t="str">
        <f>"(-1.10)"</f>
        <v>(-1.10)</v>
      </c>
      <c r="P27" t="str">
        <f>"(-0.69)"</f>
        <v>(-0.69)</v>
      </c>
      <c r="Q27" t="str">
        <f>"(-0.62)"</f>
        <v>(-0.62)</v>
      </c>
      <c r="R27" t="str">
        <f>"(-0.39)"</f>
        <v>(-0.39)</v>
      </c>
      <c r="S27" t="str">
        <f>"(0.27)"</f>
        <v>(0.27)</v>
      </c>
    </row>
    <row r="29" spans="1:19">
      <c r="A29" t="str">
        <f>"blackpct0507"</f>
        <v>blackpct0507</v>
      </c>
      <c r="B29" t="str">
        <f>"-14.17"</f>
        <v>-14.17</v>
      </c>
      <c r="C29" t="str">
        <f>"-11.82"</f>
        <v>-11.82</v>
      </c>
      <c r="D29" t="str">
        <f>"-14.73"</f>
        <v>-14.73</v>
      </c>
      <c r="E29" t="str">
        <f>"-14.14"</f>
        <v>-14.14</v>
      </c>
      <c r="F29" t="str">
        <f>"-8.043"</f>
        <v>-8.043</v>
      </c>
      <c r="G29" t="str">
        <f>"-8.889"</f>
        <v>-8.889</v>
      </c>
      <c r="H29" t="str">
        <f>"-16.17"</f>
        <v>-16.17</v>
      </c>
      <c r="I29" t="str">
        <f>"-10.54"</f>
        <v>-10.54</v>
      </c>
      <c r="J29" t="str">
        <f>"10965.5"</f>
        <v>10965.5</v>
      </c>
      <c r="K29" t="str">
        <f>"24750.8"</f>
        <v>24750.8</v>
      </c>
      <c r="L29" t="str">
        <f>"3637.2"</f>
        <v>3637.2</v>
      </c>
      <c r="M29" t="str">
        <f>"5095.2"</f>
        <v>5095.2</v>
      </c>
      <c r="N29" t="str">
        <f>"4911.1"</f>
        <v>4911.1</v>
      </c>
      <c r="O29" t="str">
        <f>"5217.0"</f>
        <v>5217.0</v>
      </c>
      <c r="P29" t="str">
        <f>"-0.00116"</f>
        <v>-0.00116</v>
      </c>
      <c r="Q29" t="str">
        <f>"-0.00120"</f>
        <v>-0.00120</v>
      </c>
      <c r="R29" t="str">
        <f>"-0.00327"</f>
        <v>-0.00327</v>
      </c>
      <c r="S29" t="str">
        <f>"-0.00859"</f>
        <v>-0.00859</v>
      </c>
    </row>
    <row r="30" spans="1:19">
      <c r="A30" t="str">
        <f>""</f>
        <v/>
      </c>
      <c r="B30" t="str">
        <f>"(-1.76)"</f>
        <v>(-1.76)</v>
      </c>
      <c r="C30" t="str">
        <f>"(-1.43)"</f>
        <v>(-1.43)</v>
      </c>
      <c r="D30" t="str">
        <f>"(-1.86)"</f>
        <v>(-1.86)</v>
      </c>
      <c r="E30" t="str">
        <f>"(-1.77)"</f>
        <v>(-1.77)</v>
      </c>
      <c r="F30" t="str">
        <f>"(-1.06)"</f>
        <v>(-1.06)</v>
      </c>
      <c r="G30" t="str">
        <f>"(-1.17)"</f>
        <v>(-1.17)</v>
      </c>
      <c r="H30" t="str">
        <f>"(-2.04)"</f>
        <v>(-2.04)</v>
      </c>
      <c r="I30" t="str">
        <f>"(-1.16)"</f>
        <v>(-1.16)</v>
      </c>
      <c r="J30" t="str">
        <f>"(0.97)"</f>
        <v>(0.97)</v>
      </c>
      <c r="K30" t="str">
        <f>"(1.55)"</f>
        <v>(1.55)</v>
      </c>
      <c r="L30" t="str">
        <f>"(0.32)"</f>
        <v>(0.32)</v>
      </c>
      <c r="M30" t="str">
        <f>"(0.39)"</f>
        <v>(0.39)</v>
      </c>
      <c r="N30" t="str">
        <f>"(0.48)"</f>
        <v>(0.48)</v>
      </c>
      <c r="O30" t="str">
        <f>"(0.51)"</f>
        <v>(0.51)</v>
      </c>
      <c r="P30" t="str">
        <f>"(-1.15)"</f>
        <v>(-1.15)</v>
      </c>
      <c r="Q30" t="str">
        <f>"(-0.78)"</f>
        <v>(-0.78)</v>
      </c>
      <c r="R30" t="str">
        <f>"(-1.11)"</f>
        <v>(-1.11)</v>
      </c>
      <c r="S30" t="str">
        <f>"(-1.57)"</f>
        <v>(-1.57)</v>
      </c>
    </row>
    <row r="32" spans="1:19">
      <c r="A32" t="str">
        <f>"hisppct0507"</f>
        <v>hisppct0507</v>
      </c>
      <c r="B32" t="str">
        <f>"-5.723"</f>
        <v>-5.723</v>
      </c>
      <c r="C32" t="str">
        <f>"-2.299"</f>
        <v>-2.299</v>
      </c>
      <c r="D32" t="str">
        <f>"-3.474"</f>
        <v>-3.474</v>
      </c>
      <c r="E32" t="str">
        <f>"-1.402"</f>
        <v>-1.402</v>
      </c>
      <c r="F32" t="str">
        <f>"-8.047"</f>
        <v>-8.047</v>
      </c>
      <c r="G32" t="str">
        <f>"-6.957"</f>
        <v>-6.957</v>
      </c>
      <c r="H32" t="str">
        <f>"-3.621"</f>
        <v>-3.621</v>
      </c>
      <c r="I32" t="str">
        <f>"2.373"</f>
        <v>2.373</v>
      </c>
      <c r="J32" t="str">
        <f>"19443.4"</f>
        <v>19443.4</v>
      </c>
      <c r="K32" t="str">
        <f>"30315.0"</f>
        <v>30315.0</v>
      </c>
      <c r="L32" t="str">
        <f>"13552.2"</f>
        <v>13552.2</v>
      </c>
      <c r="M32" t="str">
        <f>"17467.5"</f>
        <v>17467.5</v>
      </c>
      <c r="N32" t="str">
        <f>"21019.4"</f>
        <v>21019.4</v>
      </c>
      <c r="O32" t="str">
        <f>"20694.8"</f>
        <v>20694.8</v>
      </c>
      <c r="P32" t="str">
        <f>"-0.00214"</f>
        <v>-0.00214</v>
      </c>
      <c r="Q32" t="str">
        <f>"-0.00216"</f>
        <v>-0.00216</v>
      </c>
      <c r="R32" t="str">
        <f>"-0.00782"</f>
        <v>-0.00782</v>
      </c>
      <c r="S32" t="str">
        <f>"-0.0107"</f>
        <v>-0.0107</v>
      </c>
    </row>
    <row r="33" spans="1:19">
      <c r="A33" t="str">
        <f>""</f>
        <v/>
      </c>
      <c r="B33" t="str">
        <f>"(-1.00)"</f>
        <v>(-1.00)</v>
      </c>
      <c r="C33" t="str">
        <f>"(-0.38)"</f>
        <v>(-0.38)</v>
      </c>
      <c r="D33" t="str">
        <f>"(-0.58)"</f>
        <v>(-0.58)</v>
      </c>
      <c r="E33" t="str">
        <f>"(-0.23)"</f>
        <v>(-0.23)</v>
      </c>
      <c r="F33" t="str">
        <f>"(-1.45)"</f>
        <v>(-1.45)</v>
      </c>
      <c r="G33" t="str">
        <f>"(-1.25)"</f>
        <v>(-1.25)</v>
      </c>
      <c r="H33" t="str">
        <f>"(-0.64)"</f>
        <v>(-0.64)</v>
      </c>
      <c r="I33" t="str">
        <f>"(0.35)"</f>
        <v>(0.35)</v>
      </c>
      <c r="J33" t="str">
        <f>"(2.49)"</f>
        <v>(2.49)</v>
      </c>
      <c r="K33" t="str">
        <f>"(2.73)"</f>
        <v>(2.73)</v>
      </c>
      <c r="L33" t="str">
        <f>"(1.69)"</f>
        <v>(1.69)</v>
      </c>
      <c r="M33" t="str">
        <f>"(1.89)"</f>
        <v>(1.89)</v>
      </c>
      <c r="N33" t="str">
        <f>"(2.80)"</f>
        <v>(2.80)</v>
      </c>
      <c r="O33" t="str">
        <f>"(2.76)"</f>
        <v>(2.76)</v>
      </c>
      <c r="P33" t="str">
        <f>"(-3.05)"</f>
        <v>(-3.05)</v>
      </c>
      <c r="Q33" t="str">
        <f>"(-2.31)"</f>
        <v>(-2.31)</v>
      </c>
      <c r="R33" t="str">
        <f>"(-3.81)"</f>
        <v>(-3.81)</v>
      </c>
      <c r="S33" t="str">
        <f>"(-3.22)"</f>
        <v>(-3.22)</v>
      </c>
    </row>
    <row r="35" spans="1:19">
      <c r="A35" t="str">
        <f>"medhhinc0507"</f>
        <v>medhhinc0507</v>
      </c>
      <c r="B35" t="str">
        <f>"0.0524"</f>
        <v>0.0524</v>
      </c>
      <c r="C35" t="str">
        <f>"0.0510"</f>
        <v>0.0510</v>
      </c>
      <c r="D35" t="str">
        <f>"0.0431"</f>
        <v>0.0431</v>
      </c>
      <c r="E35" t="str">
        <f>"0.0396"</f>
        <v>0.0396</v>
      </c>
      <c r="F35" t="str">
        <f>"0.0441"</f>
        <v>0.0441</v>
      </c>
      <c r="G35" t="str">
        <f>"0.0386"</f>
        <v>0.0386</v>
      </c>
      <c r="H35" t="str">
        <f>"0.0404"</f>
        <v>0.0404</v>
      </c>
      <c r="I35" t="str">
        <f>"0.0396"</f>
        <v>0.0396</v>
      </c>
      <c r="J35" t="str">
        <f>"21.73"</f>
        <v>21.73</v>
      </c>
      <c r="K35" t="str">
        <f>"-25.03"</f>
        <v>-25.03</v>
      </c>
      <c r="L35" t="str">
        <f>"15.77"</f>
        <v>15.77</v>
      </c>
      <c r="M35" t="str">
        <f>"-17.64"</f>
        <v>-17.64</v>
      </c>
      <c r="N35" t="str">
        <f>"2.950"</f>
        <v>2.950</v>
      </c>
      <c r="O35" t="str">
        <f>"-0.886"</f>
        <v>-0.886</v>
      </c>
      <c r="P35" t="str">
        <f>"0.0000138"</f>
        <v>0.0000138</v>
      </c>
      <c r="Q35" t="str">
        <f>"0.0000139"</f>
        <v>0.0000139</v>
      </c>
      <c r="R35" t="str">
        <f>"0.0000179"</f>
        <v>0.0000179</v>
      </c>
      <c r="S35" t="str">
        <f>"0.0000266"</f>
        <v>0.0000266</v>
      </c>
    </row>
    <row r="36" spans="1:19">
      <c r="A36" t="str">
        <f>""</f>
        <v/>
      </c>
      <c r="B36" t="str">
        <f>"(5.49)"</f>
        <v>(5.49)</v>
      </c>
      <c r="C36" t="str">
        <f>"(5.18)"</f>
        <v>(5.18)</v>
      </c>
      <c r="D36" t="str">
        <f>"(4.16)"</f>
        <v>(4.16)</v>
      </c>
      <c r="E36" t="str">
        <f>"(3.76)"</f>
        <v>(3.76)</v>
      </c>
      <c r="F36" t="str">
        <f>"(4.67)"</f>
        <v>(4.67)</v>
      </c>
      <c r="G36" t="str">
        <f>"(3.95)"</f>
        <v>(3.95)</v>
      </c>
      <c r="H36" t="str">
        <f>"(4.08)"</f>
        <v>(4.08)</v>
      </c>
      <c r="I36" t="str">
        <f>"(3.58)"</f>
        <v>(3.58)</v>
      </c>
      <c r="J36" t="str">
        <f>"(1.64)"</f>
        <v>(1.64)</v>
      </c>
      <c r="K36" t="str">
        <f>"(-1.25)"</f>
        <v>(-1.25)</v>
      </c>
      <c r="L36" t="str">
        <f>"(1.22)"</f>
        <v>(1.22)</v>
      </c>
      <c r="M36" t="str">
        <f>"(-1.22)"</f>
        <v>(-1.22)</v>
      </c>
      <c r="N36" t="str">
        <f>"(0.23)"</f>
        <v>(0.23)</v>
      </c>
      <c r="O36" t="str">
        <f>"(-0.07)"</f>
        <v>(-0.07)</v>
      </c>
      <c r="P36" t="str">
        <f>"(11.14)"</f>
        <v>(11.14)</v>
      </c>
      <c r="Q36" t="str">
        <f>"(6.09)"</f>
        <v>(6.09)</v>
      </c>
      <c r="R36" t="str">
        <f>"(4.95)"</f>
        <v>(4.95)</v>
      </c>
      <c r="S36" t="str">
        <f>"(3.29)"</f>
        <v>(3.29)</v>
      </c>
    </row>
    <row r="38" spans="1:19">
      <c r="A38" t="str">
        <f>"oohmedval0507"</f>
        <v>oohmedval0507</v>
      </c>
      <c r="B38" t="str">
        <f>"-0.00193"</f>
        <v>-0.00193</v>
      </c>
      <c r="C38" t="str">
        <f>"-0.00195"</f>
        <v>-0.00195</v>
      </c>
      <c r="D38" t="str">
        <f>"-0.00164"</f>
        <v>-0.00164</v>
      </c>
      <c r="E38" t="str">
        <f>"-0.00169"</f>
        <v>-0.00169</v>
      </c>
      <c r="F38" t="str">
        <f>"-0.00186"</f>
        <v>-0.00186</v>
      </c>
      <c r="G38" t="str">
        <f>"-0.00180"</f>
        <v>-0.00180</v>
      </c>
      <c r="H38" t="str">
        <f>"-0.00158"</f>
        <v>-0.00158</v>
      </c>
      <c r="I38" t="str">
        <f>"-0.00231"</f>
        <v>-0.00231</v>
      </c>
      <c r="J38" t="str">
        <f>"-1.352"</f>
        <v>-1.352</v>
      </c>
      <c r="K38" t="str">
        <f>"-2.354"</f>
        <v>-2.354</v>
      </c>
      <c r="L38" t="str">
        <f>"-0.780"</f>
        <v>-0.780</v>
      </c>
      <c r="M38" t="str">
        <f>"-0.801"</f>
        <v>-0.801</v>
      </c>
      <c r="N38" t="str">
        <f>"0.0702"</f>
        <v>0.0702</v>
      </c>
      <c r="O38" t="str">
        <f>"-0.0407"</f>
        <v>-0.0407</v>
      </c>
      <c r="P38" t="str">
        <f>"-0.000000181"</f>
        <v>-0.000000181</v>
      </c>
      <c r="Q38" t="str">
        <f>"-0.000000184"</f>
        <v>-0.000000184</v>
      </c>
      <c r="R38" t="str">
        <f>"-0.000000447"</f>
        <v>-0.000000447</v>
      </c>
      <c r="S38" t="str">
        <f>"-0.000000768"</f>
        <v>-0.000000768</v>
      </c>
    </row>
    <row r="39" spans="1:19">
      <c r="A39" t="str">
        <f>""</f>
        <v/>
      </c>
      <c r="B39" t="str">
        <f>"(-2.98)"</f>
        <v>(-2.98)</v>
      </c>
      <c r="C39" t="str">
        <f>"(-2.94)"</f>
        <v>(-2.94)</v>
      </c>
      <c r="D39" t="str">
        <f>"(-2.54)"</f>
        <v>(-2.54)</v>
      </c>
      <c r="E39" t="str">
        <f>"(-2.58)"</f>
        <v>(-2.58)</v>
      </c>
      <c r="F39" t="str">
        <f>"(-3.13)"</f>
        <v>(-3.13)</v>
      </c>
      <c r="G39" t="str">
        <f>"(-3.03)"</f>
        <v>(-3.03)</v>
      </c>
      <c r="H39" t="str">
        <f>"(-2.47)"</f>
        <v>(-2.47)</v>
      </c>
      <c r="I39" t="str">
        <f>"(-3.02)"</f>
        <v>(-3.02)</v>
      </c>
      <c r="J39" t="str">
        <f>"(-1.56)"</f>
        <v>(-1.56)</v>
      </c>
      <c r="K39" t="str">
        <f>"(-1.92)"</f>
        <v>(-1.92)</v>
      </c>
      <c r="L39" t="str">
        <f>"(-0.89)"</f>
        <v>(-0.89)</v>
      </c>
      <c r="M39" t="str">
        <f>"(-0.79)"</f>
        <v>(-0.79)</v>
      </c>
      <c r="N39" t="str">
        <f>"(0.09)"</f>
        <v>(0.09)</v>
      </c>
      <c r="O39" t="str">
        <f>"(-0.05)"</f>
        <v>(-0.05)</v>
      </c>
      <c r="P39" t="str">
        <f>"(-2.31)"</f>
        <v>(-2.31)</v>
      </c>
      <c r="Q39" t="str">
        <f>"(-1.75)"</f>
        <v>(-1.75)</v>
      </c>
      <c r="R39" t="str">
        <f>"(-1.95)"</f>
        <v>(-1.95)</v>
      </c>
      <c r="S39" t="str">
        <f>"(-2.07)"</f>
        <v>(-2.07)</v>
      </c>
    </row>
    <row r="41" spans="1:19">
      <c r="A41" t="str">
        <f>"railrevmiles"</f>
        <v>railrevmiles</v>
      </c>
      <c r="B41" t="str">
        <f>""</f>
        <v/>
      </c>
      <c r="C41" t="str">
        <f>""</f>
        <v/>
      </c>
      <c r="D41" t="str">
        <f>"0.0000397"</f>
        <v>0.0000397</v>
      </c>
      <c r="E41" t="str">
        <f>"0.000167"</f>
        <v>0.000167</v>
      </c>
      <c r="F41" t="str">
        <f>""</f>
        <v/>
      </c>
      <c r="G41" t="str">
        <f>""</f>
        <v/>
      </c>
      <c r="H41" t="str">
        <f>""</f>
        <v/>
      </c>
      <c r="I41" t="str">
        <f>""</f>
        <v/>
      </c>
      <c r="J41" t="str">
        <f>""</f>
        <v/>
      </c>
      <c r="K41" t="str">
        <f>""</f>
        <v/>
      </c>
      <c r="L41" t="str">
        <f>""</f>
        <v/>
      </c>
      <c r="M41" t="str">
        <f>""</f>
        <v/>
      </c>
      <c r="N41" t="str">
        <f>"0.377"</f>
        <v>0.377</v>
      </c>
      <c r="O41" t="str">
        <f>"0.479"</f>
        <v>0.479</v>
      </c>
      <c r="P41" t="str">
        <f>""</f>
        <v/>
      </c>
      <c r="Q41" t="str">
        <f>""</f>
        <v/>
      </c>
      <c r="R41" t="str">
        <f>""</f>
        <v/>
      </c>
      <c r="S41" t="str">
        <f>""</f>
        <v/>
      </c>
    </row>
    <row r="42" spans="1:19">
      <c r="A42" t="str">
        <f>""</f>
        <v/>
      </c>
      <c r="B42" t="str">
        <f>""</f>
        <v/>
      </c>
      <c r="C42" t="str">
        <f>""</f>
        <v/>
      </c>
      <c r="D42" t="str">
        <f>"(1.35)"</f>
        <v>(1.35)</v>
      </c>
      <c r="E42" t="str">
        <f>"(2.89)"</f>
        <v>(2.89)</v>
      </c>
      <c r="F42" t="str">
        <f>""</f>
        <v/>
      </c>
      <c r="G42" t="str">
        <f>""</f>
        <v/>
      </c>
      <c r="H42" t="str">
        <f>""</f>
        <v/>
      </c>
      <c r="I42" t="str">
        <f>""</f>
        <v/>
      </c>
      <c r="J42" t="str">
        <f>""</f>
        <v/>
      </c>
      <c r="K42" t="str">
        <f>""</f>
        <v/>
      </c>
      <c r="L42" t="str">
        <f>""</f>
        <v/>
      </c>
      <c r="M42" t="str">
        <f>""</f>
        <v/>
      </c>
      <c r="N42" t="str">
        <f>"(13.22)"</f>
        <v>(13.22)</v>
      </c>
      <c r="O42" t="str">
        <f>"(11.87)"</f>
        <v>(11.87)</v>
      </c>
      <c r="P42" t="str">
        <f>""</f>
        <v/>
      </c>
      <c r="Q42" t="str">
        <f>""</f>
        <v/>
      </c>
      <c r="R42" t="str">
        <f>""</f>
        <v/>
      </c>
      <c r="S42" t="str">
        <f>""</f>
        <v/>
      </c>
    </row>
    <row r="44" spans="1:19">
      <c r="A44" t="str">
        <f>"freeartsqm"</f>
        <v>freeartsqm</v>
      </c>
      <c r="B44" t="str">
        <f>""</f>
        <v/>
      </c>
      <c r="C44" t="str">
        <f>""</f>
        <v/>
      </c>
      <c r="D44" t="str">
        <f>"1411.2"</f>
        <v>1411.2</v>
      </c>
      <c r="E44" t="str">
        <f>"1351.1"</f>
        <v>1351.1</v>
      </c>
      <c r="F44" t="str">
        <f>""</f>
        <v/>
      </c>
      <c r="G44" t="str">
        <f>""</f>
        <v/>
      </c>
      <c r="H44" t="str">
        <f>"1370.3"</f>
        <v>1370.3</v>
      </c>
      <c r="I44" t="str">
        <f>"831.1"</f>
        <v>831.1</v>
      </c>
      <c r="J44" t="str">
        <f>""</f>
        <v/>
      </c>
      <c r="K44" t="str">
        <f>""</f>
        <v/>
      </c>
      <c r="L44" t="str">
        <f>""</f>
        <v/>
      </c>
      <c r="M44" t="str">
        <f>""</f>
        <v/>
      </c>
      <c r="N44" t="str">
        <f>"2646414.9"</f>
        <v>2646414.9</v>
      </c>
      <c r="O44" t="str">
        <f>"2135577.9"</f>
        <v>2135577.9</v>
      </c>
      <c r="P44" t="str">
        <f>""</f>
        <v/>
      </c>
      <c r="Q44" t="str">
        <f>""</f>
        <v/>
      </c>
      <c r="R44" t="str">
        <f>""</f>
        <v/>
      </c>
      <c r="S44" t="str">
        <f>""</f>
        <v/>
      </c>
    </row>
    <row r="45" spans="1:19">
      <c r="A45" t="str">
        <f>""</f>
        <v/>
      </c>
      <c r="B45" t="str">
        <f>""</f>
        <v/>
      </c>
      <c r="C45" t="str">
        <f>""</f>
        <v/>
      </c>
      <c r="D45" t="str">
        <f>"(3.23)"</f>
        <v>(3.23)</v>
      </c>
      <c r="E45" t="str">
        <f>"(3.06)"</f>
        <v>(3.06)</v>
      </c>
      <c r="F45" t="str">
        <f>""</f>
        <v/>
      </c>
      <c r="G45" t="str">
        <f>""</f>
        <v/>
      </c>
      <c r="H45" t="str">
        <f>"(3.34)"</f>
        <v>(3.34)</v>
      </c>
      <c r="I45" t="str">
        <f>"(1.66)"</f>
        <v>(1.66)</v>
      </c>
      <c r="J45" t="str">
        <f>""</f>
        <v/>
      </c>
      <c r="K45" t="str">
        <f>""</f>
        <v/>
      </c>
      <c r="L45" t="str">
        <f>""</f>
        <v/>
      </c>
      <c r="M45" t="str">
        <f>""</f>
        <v/>
      </c>
      <c r="N45" t="str">
        <f>"(5.03)"</f>
        <v>(5.03)</v>
      </c>
      <c r="O45" t="str">
        <f>"(3.91)"</f>
        <v>(3.91)</v>
      </c>
      <c r="P45" t="str">
        <f>""</f>
        <v/>
      </c>
      <c r="Q45" t="str">
        <f>""</f>
        <v/>
      </c>
      <c r="R45" t="str">
        <f>""</f>
        <v/>
      </c>
      <c r="S45" t="str">
        <f>""</f>
        <v/>
      </c>
    </row>
    <row r="47" spans="1:19">
      <c r="A47" t="str">
        <f>"railseatcappc"</f>
        <v>railseatcappc</v>
      </c>
      <c r="B47" t="str">
        <f>""</f>
        <v/>
      </c>
      <c r="C47" t="str">
        <f>""</f>
        <v/>
      </c>
      <c r="D47" t="str">
        <f>""</f>
        <v/>
      </c>
      <c r="E47" t="str">
        <f>""</f>
        <v/>
      </c>
      <c r="F47" t="str">
        <f>"26945.4"</f>
        <v>26945.4</v>
      </c>
      <c r="G47" t="str">
        <f>"88230.2"</f>
        <v>88230.2</v>
      </c>
      <c r="H47" t="str">
        <f>""</f>
        <v/>
      </c>
      <c r="I47" t="str">
        <f>""</f>
        <v/>
      </c>
      <c r="J47" t="str">
        <f>""</f>
        <v/>
      </c>
      <c r="K47" t="str">
        <f>""</f>
        <v/>
      </c>
      <c r="L47" t="str">
        <f>""</f>
        <v/>
      </c>
      <c r="M47" t="str">
        <f>""</f>
        <v/>
      </c>
      <c r="N47" t="str">
        <f>""</f>
        <v/>
      </c>
      <c r="O47" t="str">
        <f>""</f>
        <v/>
      </c>
      <c r="P47" t="str">
        <f>""</f>
        <v/>
      </c>
      <c r="Q47" t="str">
        <f>""</f>
        <v/>
      </c>
      <c r="R47" t="str">
        <f>""</f>
        <v/>
      </c>
      <c r="S47" t="str">
        <f>""</f>
        <v/>
      </c>
    </row>
    <row r="48" spans="1:19">
      <c r="A48" t="str">
        <f>""</f>
        <v/>
      </c>
      <c r="B48" t="str">
        <f>""</f>
        <v/>
      </c>
      <c r="C48" t="str">
        <f>""</f>
        <v/>
      </c>
      <c r="D48" t="str">
        <f>""</f>
        <v/>
      </c>
      <c r="E48" t="str">
        <f>""</f>
        <v/>
      </c>
      <c r="F48" t="str">
        <f>"(1.44)"</f>
        <v>(1.44)</v>
      </c>
      <c r="G48" t="str">
        <f>"(2.46)"</f>
        <v>(2.46)</v>
      </c>
      <c r="H48" t="str">
        <f>""</f>
        <v/>
      </c>
      <c r="I48" t="str">
        <f>""</f>
        <v/>
      </c>
      <c r="J48" t="str">
        <f>""</f>
        <v/>
      </c>
      <c r="K48" t="str">
        <f>""</f>
        <v/>
      </c>
      <c r="L48" t="str">
        <f>""</f>
        <v/>
      </c>
      <c r="M48" t="str">
        <f>""</f>
        <v/>
      </c>
      <c r="N48" t="str">
        <f>""</f>
        <v/>
      </c>
      <c r="O48" t="str">
        <f>""</f>
        <v/>
      </c>
      <c r="P48" t="str">
        <f>""</f>
        <v/>
      </c>
      <c r="Q48" t="str">
        <f>""</f>
        <v/>
      </c>
      <c r="R48" t="str">
        <f>""</f>
        <v/>
      </c>
      <c r="S48" t="str">
        <f>""</f>
        <v/>
      </c>
    </row>
    <row r="50" spans="1:19">
      <c r="A50" t="str">
        <f>"MBseatpc"</f>
        <v>MBseatpc</v>
      </c>
      <c r="B50" t="str">
        <f>""</f>
        <v/>
      </c>
      <c r="C50" t="str">
        <f>""</f>
        <v/>
      </c>
      <c r="D50" t="str">
        <f>""</f>
        <v/>
      </c>
      <c r="E50" t="str">
        <f>""</f>
        <v/>
      </c>
      <c r="F50" t="str">
        <f>"64628.7"</f>
        <v>64628.7</v>
      </c>
      <c r="G50" t="str">
        <f>"60121.2"</f>
        <v>60121.2</v>
      </c>
      <c r="H50" t="str">
        <f>""</f>
        <v/>
      </c>
      <c r="I50" t="str">
        <f>""</f>
        <v/>
      </c>
      <c r="J50" t="str">
        <f>""</f>
        <v/>
      </c>
      <c r="K50" t="str">
        <f>""</f>
        <v/>
      </c>
      <c r="L50" t="str">
        <f>""</f>
        <v/>
      </c>
      <c r="M50" t="str">
        <f>""</f>
        <v/>
      </c>
      <c r="N50" t="str">
        <f>""</f>
        <v/>
      </c>
      <c r="O50" t="str">
        <f>""</f>
        <v/>
      </c>
      <c r="P50" t="str">
        <f>""</f>
        <v/>
      </c>
      <c r="Q50" t="str">
        <f>""</f>
        <v/>
      </c>
      <c r="R50" t="str">
        <f>""</f>
        <v/>
      </c>
      <c r="S50" t="str">
        <f>""</f>
        <v/>
      </c>
    </row>
    <row r="51" spans="1:19">
      <c r="A51" t="str">
        <f>""</f>
        <v/>
      </c>
      <c r="B51" t="str">
        <f>""</f>
        <v/>
      </c>
      <c r="C51" t="str">
        <f>""</f>
        <v/>
      </c>
      <c r="D51" t="str">
        <f>""</f>
        <v/>
      </c>
      <c r="E51" t="str">
        <f>""</f>
        <v/>
      </c>
      <c r="F51" t="str">
        <f>"(6.43)"</f>
        <v>(6.43)</v>
      </c>
      <c r="G51" t="str">
        <f>"(5.87)"</f>
        <v>(5.87)</v>
      </c>
      <c r="H51" t="str">
        <f>""</f>
        <v/>
      </c>
      <c r="I51" t="str">
        <f>""</f>
        <v/>
      </c>
      <c r="J51" t="str">
        <f>""</f>
        <v/>
      </c>
      <c r="K51" t="str">
        <f>""</f>
        <v/>
      </c>
      <c r="L51" t="str">
        <f>""</f>
        <v/>
      </c>
      <c r="M51" t="str">
        <f>""</f>
        <v/>
      </c>
      <c r="N51" t="str">
        <f>""</f>
        <v/>
      </c>
      <c r="O51" t="str">
        <f>""</f>
        <v/>
      </c>
      <c r="P51" t="str">
        <f>""</f>
        <v/>
      </c>
      <c r="Q51" t="str">
        <f>""</f>
        <v/>
      </c>
      <c r="R51" t="str">
        <f>""</f>
        <v/>
      </c>
      <c r="S51" t="str">
        <f>""</f>
        <v/>
      </c>
    </row>
    <row r="53" spans="1:19">
      <c r="A53" t="str">
        <f>"freeartpc"</f>
        <v>freeartpc</v>
      </c>
      <c r="B53" t="str">
        <f>""</f>
        <v/>
      </c>
      <c r="C53" t="str">
        <f>""</f>
        <v/>
      </c>
      <c r="D53" t="str">
        <f>""</f>
        <v/>
      </c>
      <c r="E53" t="str">
        <f>""</f>
        <v/>
      </c>
      <c r="F53" t="str">
        <f>"-135238.1"</f>
        <v>-135238.1</v>
      </c>
      <c r="G53" t="str">
        <f>"-146232.2"</f>
        <v>-146232.2</v>
      </c>
      <c r="H53" t="str">
        <f>""</f>
        <v/>
      </c>
      <c r="I53" t="str">
        <f>""</f>
        <v/>
      </c>
      <c r="J53" t="str">
        <f>""</f>
        <v/>
      </c>
      <c r="K53" t="str">
        <f>""</f>
        <v/>
      </c>
      <c r="L53" t="str">
        <f>"-256067026.0"</f>
        <v>-256067026.0</v>
      </c>
      <c r="M53" t="str">
        <f>"-218662706.3"</f>
        <v>-218662706.3</v>
      </c>
      <c r="N53" t="str">
        <f>""</f>
        <v/>
      </c>
      <c r="O53" t="str">
        <f>""</f>
        <v/>
      </c>
      <c r="P53" t="str">
        <f>""</f>
        <v/>
      </c>
      <c r="Q53" t="str">
        <f>""</f>
        <v/>
      </c>
      <c r="R53" t="str">
        <f>""</f>
        <v/>
      </c>
      <c r="S53" t="str">
        <f>""</f>
        <v/>
      </c>
    </row>
    <row r="54" spans="1:19">
      <c r="A54" t="str">
        <f>""</f>
        <v/>
      </c>
      <c r="B54" t="str">
        <f>""</f>
        <v/>
      </c>
      <c r="C54" t="str">
        <f>""</f>
        <v/>
      </c>
      <c r="D54" t="str">
        <f>""</f>
        <v/>
      </c>
      <c r="E54" t="str">
        <f>""</f>
        <v/>
      </c>
      <c r="F54" t="str">
        <f>"(-2.91)"</f>
        <v>(-2.91)</v>
      </c>
      <c r="G54" t="str">
        <f>"(-3.14)"</f>
        <v>(-3.14)</v>
      </c>
      <c r="H54" t="str">
        <f>""</f>
        <v/>
      </c>
      <c r="I54" t="str">
        <f>""</f>
        <v/>
      </c>
      <c r="J54" t="str">
        <f>""</f>
        <v/>
      </c>
      <c r="K54" t="str">
        <f>""</f>
        <v/>
      </c>
      <c r="L54" t="str">
        <f>"(-3.70)"</f>
        <v>(-3.70)</v>
      </c>
      <c r="M54" t="str">
        <f>"(-2.73)"</f>
        <v>(-2.73)</v>
      </c>
      <c r="N54" t="str">
        <f>""</f>
        <v/>
      </c>
      <c r="O54" t="str">
        <f>""</f>
        <v/>
      </c>
      <c r="P54" t="str">
        <f>""</f>
        <v/>
      </c>
      <c r="Q54" t="str">
        <f>""</f>
        <v/>
      </c>
      <c r="R54" t="str">
        <f>""</f>
        <v/>
      </c>
      <c r="S54" t="str">
        <f>""</f>
        <v/>
      </c>
    </row>
    <row r="56" spans="1:19">
      <c r="A56" t="str">
        <f>"aptasqmiles"</f>
        <v>aptasqmiles</v>
      </c>
      <c r="B56" t="str">
        <f>""</f>
        <v/>
      </c>
      <c r="C56" t="str">
        <f>""</f>
        <v/>
      </c>
      <c r="D56" t="str">
        <f>""</f>
        <v/>
      </c>
      <c r="E56" t="str">
        <f>""</f>
        <v/>
      </c>
      <c r="F56" t="str">
        <f>""</f>
        <v/>
      </c>
      <c r="G56" t="str">
        <f>""</f>
        <v/>
      </c>
      <c r="H56" t="str">
        <f>"5039.5"</f>
        <v>5039.5</v>
      </c>
      <c r="I56" t="str">
        <f>"52554.7"</f>
        <v>52554.7</v>
      </c>
      <c r="J56" t="str">
        <f>""</f>
        <v/>
      </c>
      <c r="K56" t="str">
        <f>""</f>
        <v/>
      </c>
      <c r="L56" t="str">
        <f>""</f>
        <v/>
      </c>
      <c r="M56" t="str">
        <f>""</f>
        <v/>
      </c>
      <c r="N56" t="str">
        <f>""</f>
        <v/>
      </c>
      <c r="O56" t="str">
        <f>""</f>
        <v/>
      </c>
      <c r="P56" t="str">
        <f>""</f>
        <v/>
      </c>
      <c r="Q56" t="str">
        <f>""</f>
        <v/>
      </c>
      <c r="R56" t="str">
        <f>""</f>
        <v/>
      </c>
      <c r="S56" t="str">
        <f>""</f>
        <v/>
      </c>
    </row>
    <row r="57" spans="1:19">
      <c r="A57" t="str">
        <f>""</f>
        <v/>
      </c>
      <c r="B57" t="str">
        <f>""</f>
        <v/>
      </c>
      <c r="C57" t="str">
        <f>""</f>
        <v/>
      </c>
      <c r="D57" t="str">
        <f>""</f>
        <v/>
      </c>
      <c r="E57" t="str">
        <f>""</f>
        <v/>
      </c>
      <c r="F57" t="str">
        <f>""</f>
        <v/>
      </c>
      <c r="G57" t="str">
        <f>""</f>
        <v/>
      </c>
      <c r="H57" t="str">
        <f>"(0.98)"</f>
        <v>(0.98)</v>
      </c>
      <c r="I57" t="str">
        <f>"(2.64)"</f>
        <v>(2.64)</v>
      </c>
      <c r="J57" t="str">
        <f>""</f>
        <v/>
      </c>
      <c r="K57" t="str">
        <f>""</f>
        <v/>
      </c>
      <c r="L57" t="str">
        <f>""</f>
        <v/>
      </c>
      <c r="M57" t="str">
        <f>""</f>
        <v/>
      </c>
      <c r="N57" t="str">
        <f>""</f>
        <v/>
      </c>
      <c r="O57" t="str">
        <f>""</f>
        <v/>
      </c>
      <c r="P57" t="str">
        <f>""</f>
        <v/>
      </c>
      <c r="Q57" t="str">
        <f>""</f>
        <v/>
      </c>
      <c r="R57" t="str">
        <f>""</f>
        <v/>
      </c>
      <c r="S57" t="str">
        <f>""</f>
        <v/>
      </c>
    </row>
    <row r="59" spans="1:19">
      <c r="A59" t="str">
        <f>"aptauza"</f>
        <v>aptauza</v>
      </c>
      <c r="B59" t="str">
        <f>""</f>
        <v/>
      </c>
      <c r="C59" t="str">
        <f>""</f>
        <v/>
      </c>
      <c r="D59" t="str">
        <f>""</f>
        <v/>
      </c>
      <c r="E59" t="str">
        <f>""</f>
        <v/>
      </c>
      <c r="F59" t="str">
        <f>""</f>
        <v/>
      </c>
      <c r="G59" t="str">
        <f>""</f>
        <v/>
      </c>
      <c r="H59" t="str">
        <f>""</f>
        <v/>
      </c>
      <c r="I59" t="str">
        <f>""</f>
        <v/>
      </c>
      <c r="J59" t="str">
        <f>"15854133.2"</f>
        <v>15854133.2</v>
      </c>
      <c r="K59" t="str">
        <f>"41952921.7"</f>
        <v>41952921.7</v>
      </c>
      <c r="L59" t="str">
        <f>""</f>
        <v/>
      </c>
      <c r="M59" t="str">
        <f>""</f>
        <v/>
      </c>
      <c r="N59" t="str">
        <f>""</f>
        <v/>
      </c>
      <c r="O59" t="str">
        <f>""</f>
        <v/>
      </c>
      <c r="P59" t="str">
        <f>""</f>
        <v/>
      </c>
      <c r="Q59" t="str">
        <f>""</f>
        <v/>
      </c>
      <c r="R59" t="str">
        <f>""</f>
        <v/>
      </c>
      <c r="S59" t="str">
        <f>""</f>
        <v/>
      </c>
    </row>
    <row r="60" spans="1:19">
      <c r="A60" t="str">
        <f>""</f>
        <v/>
      </c>
      <c r="B60" t="str">
        <f>""</f>
        <v/>
      </c>
      <c r="C60" t="str">
        <f>""</f>
        <v/>
      </c>
      <c r="D60" t="str">
        <f>""</f>
        <v/>
      </c>
      <c r="E60" t="str">
        <f>""</f>
        <v/>
      </c>
      <c r="F60" t="str">
        <f>""</f>
        <v/>
      </c>
      <c r="G60" t="str">
        <f>""</f>
        <v/>
      </c>
      <c r="H60" t="str">
        <f>""</f>
        <v/>
      </c>
      <c r="I60" t="str">
        <f>""</f>
        <v/>
      </c>
      <c r="J60" t="str">
        <f>"(10.87)"</f>
        <v>(10.87)</v>
      </c>
      <c r="K60" t="str">
        <f>"(8.94)"</f>
        <v>(8.94)</v>
      </c>
      <c r="L60" t="str">
        <f>""</f>
        <v/>
      </c>
      <c r="M60" t="str">
        <f>""</f>
        <v/>
      </c>
      <c r="N60" t="str">
        <f>""</f>
        <v/>
      </c>
      <c r="O60" t="str">
        <f>""</f>
        <v/>
      </c>
      <c r="P60" t="str">
        <f>""</f>
        <v/>
      </c>
      <c r="Q60" t="str">
        <f>""</f>
        <v/>
      </c>
      <c r="R60" t="str">
        <f>""</f>
        <v/>
      </c>
      <c r="S60" t="str">
        <f>""</f>
        <v/>
      </c>
    </row>
    <row r="62" spans="1:19">
      <c r="A62" t="str">
        <f>"freeartuza"</f>
        <v>freeartuza</v>
      </c>
      <c r="B62" t="str">
        <f>""</f>
        <v/>
      </c>
      <c r="C62" t="str">
        <f>""</f>
        <v/>
      </c>
      <c r="D62" t="str">
        <f>""</f>
        <v/>
      </c>
      <c r="E62" t="str">
        <f>""</f>
        <v/>
      </c>
      <c r="F62" t="str">
        <f>""</f>
        <v/>
      </c>
      <c r="G62" t="str">
        <f>""</f>
        <v/>
      </c>
      <c r="H62" t="str">
        <f>""</f>
        <v/>
      </c>
      <c r="I62" t="str">
        <f>""</f>
        <v/>
      </c>
      <c r="J62" t="str">
        <f>"-103796.6"</f>
        <v>-103796.6</v>
      </c>
      <c r="K62" t="str">
        <f>"-102965.8"</f>
        <v>-102965.8</v>
      </c>
      <c r="L62" t="str">
        <f>""</f>
        <v/>
      </c>
      <c r="M62" t="str">
        <f>""</f>
        <v/>
      </c>
      <c r="N62" t="str">
        <f>""</f>
        <v/>
      </c>
      <c r="O62" t="str">
        <f>""</f>
        <v/>
      </c>
      <c r="P62" t="str">
        <f>""</f>
        <v/>
      </c>
      <c r="Q62" t="str">
        <f>""</f>
        <v/>
      </c>
      <c r="R62" t="str">
        <f>""</f>
        <v/>
      </c>
      <c r="S62" t="str">
        <f>""</f>
        <v/>
      </c>
    </row>
    <row r="63" spans="1:19">
      <c r="A63" t="str">
        <f>""</f>
        <v/>
      </c>
      <c r="B63" t="str">
        <f>""</f>
        <v/>
      </c>
      <c r="C63" t="str">
        <f>""</f>
        <v/>
      </c>
      <c r="D63" t="str">
        <f>""</f>
        <v/>
      </c>
      <c r="E63" t="str">
        <f>""</f>
        <v/>
      </c>
      <c r="F63" t="str">
        <f>""</f>
        <v/>
      </c>
      <c r="G63" t="str">
        <f>""</f>
        <v/>
      </c>
      <c r="H63" t="str">
        <f>""</f>
        <v/>
      </c>
      <c r="I63" t="str">
        <f>""</f>
        <v/>
      </c>
      <c r="J63" t="str">
        <f>"(-3.76)"</f>
        <v>(-3.76)</v>
      </c>
      <c r="K63" t="str">
        <f>"(-2.63)"</f>
        <v>(-2.63)</v>
      </c>
      <c r="L63" t="str">
        <f>""</f>
        <v/>
      </c>
      <c r="M63" t="str">
        <f>""</f>
        <v/>
      </c>
      <c r="N63" t="str">
        <f>""</f>
        <v/>
      </c>
      <c r="O63" t="str">
        <f>""</f>
        <v/>
      </c>
      <c r="P63" t="str">
        <f>""</f>
        <v/>
      </c>
      <c r="Q63" t="str">
        <f>""</f>
        <v/>
      </c>
      <c r="R63" t="str">
        <f>""</f>
        <v/>
      </c>
      <c r="S63" t="str">
        <f>""</f>
        <v/>
      </c>
    </row>
    <row r="65" spans="1:19">
      <c r="A65" t="str">
        <f>"aptapc"</f>
        <v>aptapc</v>
      </c>
      <c r="B65" t="str">
        <f>""</f>
        <v/>
      </c>
      <c r="C65" t="str">
        <f>""</f>
        <v/>
      </c>
      <c r="D65" t="str">
        <f>""</f>
        <v/>
      </c>
      <c r="E65" t="str">
        <f>""</f>
        <v/>
      </c>
      <c r="F65" t="str">
        <f>""</f>
        <v/>
      </c>
      <c r="G65" t="str">
        <f>""</f>
        <v/>
      </c>
      <c r="H65" t="str">
        <f>""</f>
        <v/>
      </c>
      <c r="I65" t="str">
        <f>""</f>
        <v/>
      </c>
      <c r="J65" t="str">
        <f>""</f>
        <v/>
      </c>
      <c r="K65" t="str">
        <f>""</f>
        <v/>
      </c>
      <c r="L65" t="str">
        <f>"5.27010e+10"</f>
        <v>5.27010e+10</v>
      </c>
      <c r="M65" t="str">
        <f>"1.10493e+11"</f>
        <v>1.10493e+11</v>
      </c>
      <c r="N65" t="str">
        <f>""</f>
        <v/>
      </c>
      <c r="O65" t="str">
        <f>""</f>
        <v/>
      </c>
      <c r="P65" t="str">
        <f>""</f>
        <v/>
      </c>
      <c r="Q65" t="str">
        <f>""</f>
        <v/>
      </c>
      <c r="R65" t="str">
        <f>""</f>
        <v/>
      </c>
      <c r="S65" t="str">
        <f>""</f>
        <v/>
      </c>
    </row>
    <row r="66" spans="1:19">
      <c r="A66" t="str">
        <f>""</f>
        <v/>
      </c>
      <c r="B66" t="str">
        <f>""</f>
        <v/>
      </c>
      <c r="C66" t="str">
        <f>""</f>
        <v/>
      </c>
      <c r="D66" t="str">
        <f>""</f>
        <v/>
      </c>
      <c r="E66" t="str">
        <f>""</f>
        <v/>
      </c>
      <c r="F66" t="str">
        <f>""</f>
        <v/>
      </c>
      <c r="G66" t="str">
        <f>""</f>
        <v/>
      </c>
      <c r="H66" t="str">
        <f>""</f>
        <v/>
      </c>
      <c r="I66" t="str">
        <f>""</f>
        <v/>
      </c>
      <c r="J66" t="str">
        <f>""</f>
        <v/>
      </c>
      <c r="K66" t="str">
        <f>""</f>
        <v/>
      </c>
      <c r="L66" t="str">
        <f>"(9.97)"</f>
        <v>(9.97)</v>
      </c>
      <c r="M66" t="str">
        <f>"(.)"</f>
        <v>(.)</v>
      </c>
      <c r="N66" t="str">
        <f>""</f>
        <v/>
      </c>
      <c r="O66" t="str">
        <f>""</f>
        <v/>
      </c>
      <c r="P66" t="str">
        <f>""</f>
        <v/>
      </c>
      <c r="Q66" t="str">
        <f>""</f>
        <v/>
      </c>
      <c r="R66" t="str">
        <f>""</f>
        <v/>
      </c>
      <c r="S66" t="str">
        <f>""</f>
        <v/>
      </c>
    </row>
    <row r="68" spans="1:19">
      <c r="A68" t="str">
        <f>"lneden_pcity"</f>
        <v>lneden_pcity</v>
      </c>
      <c r="B68" t="str">
        <f>""</f>
        <v/>
      </c>
      <c r="C68" t="str">
        <f>""</f>
        <v/>
      </c>
      <c r="D68" t="str">
        <f>""</f>
        <v/>
      </c>
      <c r="E68" t="str">
        <f>""</f>
        <v/>
      </c>
      <c r="F68" t="str">
        <f>""</f>
        <v/>
      </c>
      <c r="G68" t="str">
        <f>""</f>
        <v/>
      </c>
      <c r="H68" t="str">
        <f>""</f>
        <v/>
      </c>
      <c r="I68" t="str">
        <f>""</f>
        <v/>
      </c>
      <c r="J68" t="str">
        <f>""</f>
        <v/>
      </c>
      <c r="K68" t="str">
        <f>""</f>
        <v/>
      </c>
      <c r="L68" t="str">
        <f>""</f>
        <v/>
      </c>
      <c r="M68" t="str">
        <f>""</f>
        <v/>
      </c>
      <c r="N68" t="str">
        <f>""</f>
        <v/>
      </c>
      <c r="O68" t="str">
        <f>""</f>
        <v/>
      </c>
      <c r="P68" t="str">
        <f>"0.00481"</f>
        <v>0.00481</v>
      </c>
      <c r="Q68" t="str">
        <f>"0.00125"</f>
        <v>0.00125</v>
      </c>
      <c r="R68" t="str">
        <f>"0.112"</f>
        <v>0.112</v>
      </c>
      <c r="S68" t="str">
        <f>"-0.373"</f>
        <v>-0.373</v>
      </c>
    </row>
    <row r="69" spans="1:19">
      <c r="A69" t="str">
        <f>""</f>
        <v/>
      </c>
      <c r="B69" t="str">
        <f>""</f>
        <v/>
      </c>
      <c r="C69" t="str">
        <f>""</f>
        <v/>
      </c>
      <c r="D69" t="str">
        <f>""</f>
        <v/>
      </c>
      <c r="E69" t="str">
        <f>""</f>
        <v/>
      </c>
      <c r="F69" t="str">
        <f>""</f>
        <v/>
      </c>
      <c r="G69" t="str">
        <f>""</f>
        <v/>
      </c>
      <c r="H69" t="str">
        <f>""</f>
        <v/>
      </c>
      <c r="I69" t="str">
        <f>""</f>
        <v/>
      </c>
      <c r="J69" t="str">
        <f>""</f>
        <v/>
      </c>
      <c r="K69" t="str">
        <f>""</f>
        <v/>
      </c>
      <c r="L69" t="str">
        <f>""</f>
        <v/>
      </c>
      <c r="M69" t="str">
        <f>""</f>
        <v/>
      </c>
      <c r="N69" t="str">
        <f>""</f>
        <v/>
      </c>
      <c r="O69" t="str">
        <f>""</f>
        <v/>
      </c>
      <c r="P69" t="str">
        <f>"(0.35)"</f>
        <v>(0.35)</v>
      </c>
      <c r="Q69" t="str">
        <f>"(0.01)"</f>
        <v>(0.01)</v>
      </c>
      <c r="R69" t="str">
        <f>"(2.77)"</f>
        <v>(2.77)</v>
      </c>
      <c r="S69" t="str">
        <f>"(-0.97)"</f>
        <v>(-0.97)</v>
      </c>
    </row>
    <row r="71" spans="1:19">
      <c r="A71" t="str">
        <f>"lnhc"</f>
        <v>lnhc</v>
      </c>
      <c r="B71" t="str">
        <f>""</f>
        <v/>
      </c>
      <c r="C71" t="str">
        <f>""</f>
        <v/>
      </c>
      <c r="D71" t="str">
        <f>""</f>
        <v/>
      </c>
      <c r="E71" t="str">
        <f>""</f>
        <v/>
      </c>
      <c r="F71" t="str">
        <f>""</f>
        <v/>
      </c>
      <c r="G71" t="str">
        <f>""</f>
        <v/>
      </c>
      <c r="H71" t="str">
        <f>""</f>
        <v/>
      </c>
      <c r="I71" t="str">
        <f>""</f>
        <v/>
      </c>
      <c r="J71" t="str">
        <f>""</f>
        <v/>
      </c>
      <c r="K71" t="str">
        <f>""</f>
        <v/>
      </c>
      <c r="L71" t="str">
        <f>""</f>
        <v/>
      </c>
      <c r="M71" t="str">
        <f>""</f>
        <v/>
      </c>
      <c r="N71" t="str">
        <f>""</f>
        <v/>
      </c>
      <c r="O71" t="str">
        <f>""</f>
        <v/>
      </c>
      <c r="P71" t="str">
        <f>"0.246"</f>
        <v>0.246</v>
      </c>
      <c r="Q71" t="str">
        <f>"0.245"</f>
        <v>0.245</v>
      </c>
      <c r="R71" t="str">
        <f>"1.156"</f>
        <v>1.156</v>
      </c>
      <c r="S71" t="str">
        <f>"1.060"</f>
        <v>1.060</v>
      </c>
    </row>
    <row r="72" spans="1:19">
      <c r="A72" t="str">
        <f>""</f>
        <v/>
      </c>
      <c r="B72" t="str">
        <f>""</f>
        <v/>
      </c>
      <c r="C72" t="str">
        <f>""</f>
        <v/>
      </c>
      <c r="D72" t="str">
        <f>""</f>
        <v/>
      </c>
      <c r="E72" t="str">
        <f>""</f>
        <v/>
      </c>
      <c r="F72" t="str">
        <f>""</f>
        <v/>
      </c>
      <c r="G72" t="str">
        <f>""</f>
        <v/>
      </c>
      <c r="H72" t="str">
        <f>""</f>
        <v/>
      </c>
      <c r="I72" t="str">
        <f>""</f>
        <v/>
      </c>
      <c r="J72" t="str">
        <f>""</f>
        <v/>
      </c>
      <c r="K72" t="str">
        <f>""</f>
        <v/>
      </c>
      <c r="L72" t="str">
        <f>""</f>
        <v/>
      </c>
      <c r="M72" t="str">
        <f>""</f>
        <v/>
      </c>
      <c r="N72" t="str">
        <f>""</f>
        <v/>
      </c>
      <c r="O72" t="str">
        <f>""</f>
        <v/>
      </c>
      <c r="P72" t="str">
        <f>"(4.61)"</f>
        <v>(4.61)</v>
      </c>
      <c r="Q72" t="str">
        <f>"(4.35)"</f>
        <v>(4.35)</v>
      </c>
      <c r="R72" t="str">
        <f>"(7.45)"</f>
        <v>(7.45)</v>
      </c>
      <c r="S72" t="str">
        <f>"(5.33)"</f>
        <v>(5.33)</v>
      </c>
    </row>
    <row r="74" spans="1:19">
      <c r="A74" t="str">
        <f>"lnpop"</f>
        <v>lnpop</v>
      </c>
      <c r="B74" t="str">
        <f>""</f>
        <v/>
      </c>
      <c r="C74" t="str">
        <f>""</f>
        <v/>
      </c>
      <c r="D74" t="str">
        <f>""</f>
        <v/>
      </c>
      <c r="E74" t="str">
        <f>""</f>
        <v/>
      </c>
      <c r="F74" t="str">
        <f>""</f>
        <v/>
      </c>
      <c r="G74" t="str">
        <f>""</f>
        <v/>
      </c>
      <c r="H74" t="str">
        <f>""</f>
        <v/>
      </c>
      <c r="I74" t="str">
        <f>""</f>
        <v/>
      </c>
      <c r="J74" t="str">
        <f>""</f>
        <v/>
      </c>
      <c r="K74" t="str">
        <f>""</f>
        <v/>
      </c>
      <c r="L74" t="str">
        <f>""</f>
        <v/>
      </c>
      <c r="M74" t="str">
        <f>""</f>
        <v/>
      </c>
      <c r="N74" t="str">
        <f>""</f>
        <v/>
      </c>
      <c r="O74" t="str">
        <f>""</f>
        <v/>
      </c>
      <c r="P74" t="str">
        <f>"0.0395"</f>
        <v>0.0395</v>
      </c>
      <c r="Q74" t="str">
        <f>"0.0402"</f>
        <v>0.0402</v>
      </c>
      <c r="R74" t="str">
        <f>"0.0599"</f>
        <v>0.0599</v>
      </c>
      <c r="S74" t="str">
        <f>"0.145"</f>
        <v>0.145</v>
      </c>
    </row>
    <row r="75" spans="1:19">
      <c r="A75" t="str">
        <f>""</f>
        <v/>
      </c>
      <c r="B75" t="str">
        <f>""</f>
        <v/>
      </c>
      <c r="C75" t="str">
        <f>""</f>
        <v/>
      </c>
      <c r="D75" t="str">
        <f>""</f>
        <v/>
      </c>
      <c r="E75" t="str">
        <f>""</f>
        <v/>
      </c>
      <c r="F75" t="str">
        <f>""</f>
        <v/>
      </c>
      <c r="G75" t="str">
        <f>""</f>
        <v/>
      </c>
      <c r="H75" t="str">
        <f>""</f>
        <v/>
      </c>
      <c r="I75" t="str">
        <f>""</f>
        <v/>
      </c>
      <c r="J75" t="str">
        <f>""</f>
        <v/>
      </c>
      <c r="K75" t="str">
        <f>""</f>
        <v/>
      </c>
      <c r="L75" t="str">
        <f>""</f>
        <v/>
      </c>
      <c r="M75" t="str">
        <f>""</f>
        <v/>
      </c>
      <c r="N75" t="str">
        <f>""</f>
        <v/>
      </c>
      <c r="O75" t="str">
        <f>""</f>
        <v/>
      </c>
      <c r="P75" t="str">
        <f>"(4.81)"</f>
        <v>(4.81)</v>
      </c>
      <c r="Q75" t="str">
        <f>"(1.95)"</f>
        <v>(1.95)</v>
      </c>
      <c r="R75" t="str">
        <f>"(2.50)"</f>
        <v>(2.50)</v>
      </c>
      <c r="S75" t="str">
        <f>"(1.99)"</f>
        <v>(1.99)</v>
      </c>
    </row>
    <row r="77" spans="1:19">
      <c r="A77" t="str">
        <f>"lnfreeartpc"</f>
        <v>lnfreeartpc</v>
      </c>
      <c r="B77" t="str">
        <f>""</f>
        <v/>
      </c>
      <c r="C77" t="str">
        <f>""</f>
        <v/>
      </c>
      <c r="D77" t="str">
        <f>""</f>
        <v/>
      </c>
      <c r="E77" t="str">
        <f>""</f>
        <v/>
      </c>
      <c r="F77" t="str">
        <f>""</f>
        <v/>
      </c>
      <c r="G77" t="str">
        <f>""</f>
        <v/>
      </c>
      <c r="H77" t="str">
        <f>""</f>
        <v/>
      </c>
      <c r="I77" t="str">
        <f>""</f>
        <v/>
      </c>
      <c r="J77" t="str">
        <f>""</f>
        <v/>
      </c>
      <c r="K77" t="str">
        <f>""</f>
        <v/>
      </c>
      <c r="L77" t="str">
        <f>""</f>
        <v/>
      </c>
      <c r="M77" t="str">
        <f>""</f>
        <v/>
      </c>
      <c r="N77" t="str">
        <f>""</f>
        <v/>
      </c>
      <c r="O77" t="str">
        <f>""</f>
        <v/>
      </c>
      <c r="P77" t="str">
        <f>"0.0105"</f>
        <v>0.0105</v>
      </c>
      <c r="Q77" t="str">
        <f>"0.0104"</f>
        <v>0.0104</v>
      </c>
      <c r="R77" t="str">
        <f>"0.147"</f>
        <v>0.147</v>
      </c>
      <c r="S77" t="str">
        <f>"0.130"</f>
        <v>0.130</v>
      </c>
    </row>
    <row r="78" spans="1:19">
      <c r="A78" t="str">
        <f>""</f>
        <v/>
      </c>
      <c r="B78" t="str">
        <f>""</f>
        <v/>
      </c>
      <c r="C78" t="str">
        <f>""</f>
        <v/>
      </c>
      <c r="D78" t="str">
        <f>""</f>
        <v/>
      </c>
      <c r="E78" t="str">
        <f>""</f>
        <v/>
      </c>
      <c r="F78" t="str">
        <f>""</f>
        <v/>
      </c>
      <c r="G78" t="str">
        <f>""</f>
        <v/>
      </c>
      <c r="H78" t="str">
        <f>""</f>
        <v/>
      </c>
      <c r="I78" t="str">
        <f>""</f>
        <v/>
      </c>
      <c r="J78" t="str">
        <f>""</f>
        <v/>
      </c>
      <c r="K78" t="str">
        <f>""</f>
        <v/>
      </c>
      <c r="L78" t="str">
        <f>""</f>
        <v/>
      </c>
      <c r="M78" t="str">
        <f>""</f>
        <v/>
      </c>
      <c r="N78" t="str">
        <f>""</f>
        <v/>
      </c>
      <c r="O78" t="str">
        <f>""</f>
        <v/>
      </c>
      <c r="P78" t="str">
        <f>"(0.83)"</f>
        <v>(0.83)</v>
      </c>
      <c r="Q78" t="str">
        <f>"(0.80)"</f>
        <v>(0.80)</v>
      </c>
      <c r="R78" t="str">
        <f>"(3.98)"</f>
        <v>(3.98)</v>
      </c>
      <c r="S78" t="str">
        <f>"(2.83)"</f>
        <v>(2.83)</v>
      </c>
    </row>
    <row r="80" spans="1:19">
      <c r="A80" t="str">
        <f>"lnaptapc"</f>
        <v>lnaptapc</v>
      </c>
      <c r="B80" t="str">
        <f>""</f>
        <v/>
      </c>
      <c r="C80" t="str">
        <f>""</f>
        <v/>
      </c>
      <c r="D80" t="str">
        <f>""</f>
        <v/>
      </c>
      <c r="E80" t="str">
        <f>""</f>
        <v/>
      </c>
      <c r="F80" t="str">
        <f>""</f>
        <v/>
      </c>
      <c r="G80" t="str">
        <f>""</f>
        <v/>
      </c>
      <c r="H80" t="str">
        <f>""</f>
        <v/>
      </c>
      <c r="I80" t="str">
        <f>""</f>
        <v/>
      </c>
      <c r="J80" t="str">
        <f>""</f>
        <v/>
      </c>
      <c r="K80" t="str">
        <f>""</f>
        <v/>
      </c>
      <c r="L80" t="str">
        <f>""</f>
        <v/>
      </c>
      <c r="M80" t="str">
        <f>""</f>
        <v/>
      </c>
      <c r="N80" t="str">
        <f>""</f>
        <v/>
      </c>
      <c r="O80" t="str">
        <f>""</f>
        <v/>
      </c>
      <c r="P80" t="str">
        <f>"0.00302"</f>
        <v>0.00302</v>
      </c>
      <c r="Q80" t="str">
        <f>"0.00305"</f>
        <v>0.00305</v>
      </c>
      <c r="R80" t="str">
        <f>"0.00520"</f>
        <v>0.00520</v>
      </c>
      <c r="S80" t="str">
        <f>"0.00968"</f>
        <v>0.00968</v>
      </c>
    </row>
    <row r="81" spans="1:19">
      <c r="A81" t="str">
        <f>""</f>
        <v/>
      </c>
      <c r="B81" t="str">
        <f>""</f>
        <v/>
      </c>
      <c r="C81" t="str">
        <f>""</f>
        <v/>
      </c>
      <c r="D81" t="str">
        <f>""</f>
        <v/>
      </c>
      <c r="E81" t="str">
        <f>""</f>
        <v/>
      </c>
      <c r="F81" t="str">
        <f>""</f>
        <v/>
      </c>
      <c r="G81" t="str">
        <f>""</f>
        <v/>
      </c>
      <c r="H81" t="str">
        <f>""</f>
        <v/>
      </c>
      <c r="I81" t="str">
        <f>""</f>
        <v/>
      </c>
      <c r="J81" t="str">
        <f>""</f>
        <v/>
      </c>
      <c r="K81" t="str">
        <f>""</f>
        <v/>
      </c>
      <c r="L81" t="str">
        <f>""</f>
        <v/>
      </c>
      <c r="M81" t="str">
        <f>""</f>
        <v/>
      </c>
      <c r="N81" t="str">
        <f>""</f>
        <v/>
      </c>
      <c r="O81" t="str">
        <f>""</f>
        <v/>
      </c>
      <c r="P81" t="str">
        <f>"(2.82)"</f>
        <v>(2.82)</v>
      </c>
      <c r="Q81" t="str">
        <f>"(2.11)"</f>
        <v>(2.11)</v>
      </c>
      <c r="R81" t="str">
        <f>"(1.67)"</f>
        <v>(1.67)</v>
      </c>
      <c r="S81" t="str">
        <f>"(1.89)"</f>
        <v>(1.89)</v>
      </c>
    </row>
    <row r="83" spans="1:19">
      <c r="A83" t="str">
        <f>"_cons"</f>
        <v>_cons</v>
      </c>
      <c r="B83" t="str">
        <f>"5341.8"</f>
        <v>5341.8</v>
      </c>
      <c r="C83" t="str">
        <f>"4774.6"</f>
        <v>4774.6</v>
      </c>
      <c r="D83" t="str">
        <f>"4405.0"</f>
        <v>4405.0</v>
      </c>
      <c r="E83" t="str">
        <f>"4118.7"</f>
        <v>4118.7</v>
      </c>
      <c r="F83" t="str">
        <f>"4946.4"</f>
        <v>4946.4</v>
      </c>
      <c r="G83" t="str">
        <f>"4920.0"</f>
        <v>4920.0</v>
      </c>
      <c r="H83" t="str">
        <f>"4392.6"</f>
        <v>4392.6</v>
      </c>
      <c r="I83" t="str">
        <f>"3425.5"</f>
        <v>3425.5</v>
      </c>
      <c r="J83" t="str">
        <f>"-1716310.3"</f>
        <v>-1716310.3</v>
      </c>
      <c r="K83" t="str">
        <f>"-4194209.4"</f>
        <v>-4194209.4</v>
      </c>
      <c r="L83" t="str">
        <f>"-324053.4"</f>
        <v>-324053.4</v>
      </c>
      <c r="M83" t="str">
        <f>"-1378748.1"</f>
        <v>-1378748.1</v>
      </c>
      <c r="N83" t="str">
        <f>"-3770660.9"</f>
        <v>-3770660.9</v>
      </c>
      <c r="O83" t="str">
        <f>"-3625283.2"</f>
        <v>-3625283.2</v>
      </c>
      <c r="P83" t="str">
        <f>"11.08"</f>
        <v>11.08</v>
      </c>
      <c r="Q83" t="str">
        <f>"11.11"</f>
        <v>11.11</v>
      </c>
      <c r="R83" t="str">
        <f>"0.769"</f>
        <v>0.769</v>
      </c>
      <c r="S83" t="str">
        <f>"4.315"</f>
        <v>4.315</v>
      </c>
    </row>
    <row r="84" spans="1:19">
      <c r="A84" t="str">
        <f>""</f>
        <v/>
      </c>
      <c r="B84" t="str">
        <f>"(3.61)"</f>
        <v>(3.61)</v>
      </c>
      <c r="C84" t="str">
        <f>"(3.12)"</f>
        <v>(3.12)</v>
      </c>
      <c r="D84" t="str">
        <f>"(2.69)"</f>
        <v>(2.69)</v>
      </c>
      <c r="E84" t="str">
        <f>"(2.48)"</f>
        <v>(2.48)</v>
      </c>
      <c r="F84" t="str">
        <f>"(3.21)"</f>
        <v>(3.21)</v>
      </c>
      <c r="G84" t="str">
        <f>"(3.21)"</f>
        <v>(3.21)</v>
      </c>
      <c r="H84" t="str">
        <f>"(2.99)"</f>
        <v>(2.99)</v>
      </c>
      <c r="I84" t="str">
        <f>"(2.03)"</f>
        <v>(2.03)</v>
      </c>
      <c r="J84" t="str">
        <f>"(-0.84)"</f>
        <v>(-0.84)</v>
      </c>
      <c r="K84" t="str">
        <f>"(-1.45)"</f>
        <v>(-1.45)</v>
      </c>
      <c r="L84" t="str">
        <f>"(-0.16)"</f>
        <v>(-0.16)</v>
      </c>
      <c r="M84" t="str">
        <f>"(-0.57)"</f>
        <v>(-0.57)</v>
      </c>
      <c r="N84" t="str">
        <f>"(-1.82)"</f>
        <v>(-1.82)</v>
      </c>
      <c r="O84" t="str">
        <f>"(-1.75)"</f>
        <v>(-1.75)</v>
      </c>
      <c r="P84" t="str">
        <f>"(37.32)"</f>
        <v>(37.32)</v>
      </c>
      <c r="Q84" t="str">
        <f>"(13.16)"</f>
        <v>(13.16)</v>
      </c>
      <c r="R84" t="str">
        <f>"(0.89)"</f>
        <v>(0.89)</v>
      </c>
      <c r="S84" t="str">
        <f>"(1.45)"</f>
        <v>(1.45)</v>
      </c>
    </row>
    <row r="86" spans="1:19">
      <c r="A86" t="str">
        <f>"N"</f>
        <v>N</v>
      </c>
      <c r="B86" t="str">
        <f>"324"</f>
        <v>324</v>
      </c>
      <c r="C86" t="str">
        <f>"322"</f>
        <v>322</v>
      </c>
      <c r="D86" t="str">
        <f>"293"</f>
        <v>293</v>
      </c>
      <c r="E86" t="str">
        <f>"293"</f>
        <v>293</v>
      </c>
      <c r="F86" t="str">
        <f>"294"</f>
        <v>294</v>
      </c>
      <c r="G86" t="str">
        <f>"294"</f>
        <v>294</v>
      </c>
      <c r="H86" t="str">
        <f>"324"</f>
        <v>324</v>
      </c>
      <c r="I86" t="str">
        <f>"322"</f>
        <v>322</v>
      </c>
      <c r="J86" t="str">
        <f>"324"</f>
        <v>324</v>
      </c>
      <c r="K86" t="str">
        <f>"322"</f>
        <v>322</v>
      </c>
      <c r="L86" t="str">
        <f>"334"</f>
        <v>334</v>
      </c>
      <c r="M86" t="str">
        <f>"332"</f>
        <v>332</v>
      </c>
      <c r="N86" t="str">
        <f>"302"</f>
        <v>302</v>
      </c>
      <c r="O86" t="str">
        <f>"302"</f>
        <v>302</v>
      </c>
      <c r="P86" t="str">
        <f>"322"</f>
        <v>322</v>
      </c>
      <c r="Q86" t="str">
        <f>"322"</f>
        <v>322</v>
      </c>
      <c r="R86" t="str">
        <f>"322"</f>
        <v>322</v>
      </c>
      <c r="S86" t="str">
        <f>"322"</f>
        <v>322</v>
      </c>
    </row>
    <row r="87" spans="1:19">
      <c r="A87" t="str">
        <f>"r2_a"</f>
        <v>r2_a</v>
      </c>
      <c r="B87" t="str">
        <f>"0.377"</f>
        <v>0.377</v>
      </c>
      <c r="C87" t="str">
        <f>"0.322"</f>
        <v>0.322</v>
      </c>
      <c r="D87" t="str">
        <f>"0.420"</f>
        <v>0.420</v>
      </c>
      <c r="E87" t="str">
        <f>"0.382"</f>
        <v>0.382</v>
      </c>
      <c r="F87" t="str">
        <f>"0.488"</f>
        <v>0.488</v>
      </c>
      <c r="G87" t="str">
        <f>"0.469"</f>
        <v>0.469</v>
      </c>
      <c r="H87" t="str">
        <f>"0.401"</f>
        <v>0.401</v>
      </c>
      <c r="I87" t="str">
        <f>"0.238"</f>
        <v>0.238</v>
      </c>
      <c r="J87" t="str">
        <f>"0.442"</f>
        <v>0.442</v>
      </c>
      <c r="K87" t="str">
        <f>"-0.132"</f>
        <v>-0.132</v>
      </c>
      <c r="L87" t="str">
        <f>"0.414"</f>
        <v>0.414</v>
      </c>
      <c r="M87" t="str">
        <f>"0.233"</f>
        <v>0.233</v>
      </c>
      <c r="N87" t="str">
        <f>"0.582"</f>
        <v>0.582</v>
      </c>
      <c r="O87" t="str">
        <f>"0.563"</f>
        <v>0.563</v>
      </c>
      <c r="P87" t="str">
        <f>"0.719"</f>
        <v>0.719</v>
      </c>
      <c r="Q87" t="str">
        <f>"0.719"</f>
        <v>0.719</v>
      </c>
      <c r="R87" t="str">
        <f>"0.516"</f>
        <v>0.516</v>
      </c>
      <c r="S87" t="str">
        <f>"0.287"</f>
        <v>0.287</v>
      </c>
    </row>
    <row r="88" spans="1:19">
      <c r="A88" t="str">
        <f>"widstat"</f>
        <v>widstat</v>
      </c>
      <c r="B88" t="str">
        <f>""</f>
        <v/>
      </c>
      <c r="C88" t="str">
        <f>"48.34"</f>
        <v>48.34</v>
      </c>
      <c r="D88" t="str">
        <f>""</f>
        <v/>
      </c>
      <c r="E88" t="str">
        <f>"33.86"</f>
        <v>33.86</v>
      </c>
      <c r="F88" t="str">
        <f>""</f>
        <v/>
      </c>
      <c r="G88" t="str">
        <f>"36.17"</f>
        <v>36.17</v>
      </c>
      <c r="H88" t="str">
        <f>""</f>
        <v/>
      </c>
      <c r="I88" t="str">
        <f>"10.63"</f>
        <v>10.63</v>
      </c>
      <c r="J88" t="str">
        <f>""</f>
        <v/>
      </c>
      <c r="K88" t="str">
        <f>"24.05"</f>
        <v>24.05</v>
      </c>
      <c r="L88" t="str">
        <f>""</f>
        <v/>
      </c>
      <c r="M88" t="str">
        <f>"58.58"</f>
        <v>58.58</v>
      </c>
      <c r="N88" t="str">
        <f>""</f>
        <v/>
      </c>
      <c r="O88" t="str">
        <f>"96.55"</f>
        <v>96.55</v>
      </c>
      <c r="P88" t="str">
        <f>""</f>
        <v/>
      </c>
      <c r="Q88" t="str">
        <f>"3.232"</f>
        <v>3.232</v>
      </c>
      <c r="R88" t="str">
        <f>""</f>
        <v/>
      </c>
      <c r="S88" t="str">
        <f>"3.232"</f>
        <v>3.232</v>
      </c>
    </row>
    <row r="89" spans="1:19">
      <c r="A89" t="str">
        <f>"sargan"</f>
        <v>sargan</v>
      </c>
      <c r="B89" t="str">
        <f>""</f>
        <v/>
      </c>
      <c r="C89" t="str">
        <f>"1.613"</f>
        <v>1.613</v>
      </c>
      <c r="D89" t="str">
        <f>""</f>
        <v/>
      </c>
      <c r="E89" t="str">
        <f>"0.676"</f>
        <v>0.676</v>
      </c>
      <c r="F89" t="str">
        <f>""</f>
        <v/>
      </c>
      <c r="G89" t="str">
        <f>"0.177"</f>
        <v>0.177</v>
      </c>
      <c r="H89" t="str">
        <f>""</f>
        <v/>
      </c>
      <c r="I89" t="str">
        <f>"0.226"</f>
        <v>0.226</v>
      </c>
      <c r="J89" t="str">
        <f>""</f>
        <v/>
      </c>
      <c r="K89" t="str">
        <f>"1.776"</f>
        <v>1.776</v>
      </c>
      <c r="L89" t="str">
        <f>""</f>
        <v/>
      </c>
      <c r="M89" t="str">
        <f>"118.3"</f>
        <v>118.3</v>
      </c>
      <c r="N89" t="str">
        <f>""</f>
        <v/>
      </c>
      <c r="O89" t="str">
        <f>"8.571"</f>
        <v>8.571</v>
      </c>
      <c r="P89" t="str">
        <f>""</f>
        <v/>
      </c>
      <c r="Q89" t="str">
        <f>"2.121"</f>
        <v>2.121</v>
      </c>
      <c r="R89" t="str">
        <f>""</f>
        <v/>
      </c>
      <c r="S89" t="str">
        <f>"3.330"</f>
        <v>3.330</v>
      </c>
    </row>
    <row r="90" spans="1:19">
      <c r="A90" t="str">
        <f>"sarganp"</f>
        <v>sarganp</v>
      </c>
      <c r="B90" t="str">
        <f>""</f>
        <v/>
      </c>
      <c r="C90" t="str">
        <f>"0.446"</f>
        <v>0.446</v>
      </c>
      <c r="D90" t="str">
        <f>""</f>
        <v/>
      </c>
      <c r="E90" t="str">
        <f>"0.713"</f>
        <v>0.713</v>
      </c>
      <c r="F90" t="str">
        <f>""</f>
        <v/>
      </c>
      <c r="G90" t="str">
        <f>"0.915"</f>
        <v>0.915</v>
      </c>
      <c r="H90" t="str">
        <f>""</f>
        <v/>
      </c>
      <c r="I90" t="str">
        <f>"0.893"</f>
        <v>0.893</v>
      </c>
      <c r="J90" t="str">
        <f>""</f>
        <v/>
      </c>
      <c r="K90" t="str">
        <f>"0.411"</f>
        <v>0.411</v>
      </c>
      <c r="L90" t="str">
        <f>""</f>
        <v/>
      </c>
      <c r="M90" t="str">
        <f>"2.02e-26"</f>
        <v>2.02e-26</v>
      </c>
      <c r="N90" t="str">
        <f>""</f>
        <v/>
      </c>
      <c r="O90" t="str">
        <f>"0.0138"</f>
        <v>0.0138</v>
      </c>
      <c r="P90" t="str">
        <f>""</f>
        <v/>
      </c>
      <c r="Q90" t="str">
        <f>"0.346"</f>
        <v>0.346</v>
      </c>
      <c r="R90" t="str">
        <f>""</f>
        <v/>
      </c>
      <c r="S90" t="str">
        <f>"0.189"</f>
        <v>0.189</v>
      </c>
    </row>
    <row r="92" spans="1:19">
      <c r="A92" t="str">
        <f>"t statistics in parentheses"</f>
        <v>t statistics in parentheses</v>
      </c>
    </row>
  </sheetData>
  <pageMargins left="0.7" right="0.7" top="0.75" bottom="0.75" header="0.3" footer="0.3"/>
  <pageSetup orientation="portrait" verticalDpi="0" r:id="rId1"/>
</worksheet>
</file>

<file path=xl/worksheets/sheet27.xml><?xml version="1.0" encoding="utf-8"?>
<worksheet xmlns="http://schemas.openxmlformats.org/spreadsheetml/2006/main" xmlns:r="http://schemas.openxmlformats.org/officeDocument/2006/relationships">
  <dimension ref="A1:I33"/>
  <sheetViews>
    <sheetView workbookViewId="0"/>
  </sheetViews>
  <sheetFormatPr defaultColWidth="14.85546875" defaultRowHeight="15"/>
  <sheetData>
    <row r="1" spans="1:9">
      <c r="A1" t="s">
        <v>0</v>
      </c>
    </row>
    <row r="2" spans="1:9">
      <c r="A2" t="str">
        <f>""</f>
        <v/>
      </c>
      <c r="B2" s="2" t="str">
        <f>"(1)"</f>
        <v>(1)</v>
      </c>
      <c r="C2" s="2" t="str">
        <f>"(2)"</f>
        <v>(2)</v>
      </c>
      <c r="D2" s="2" t="str">
        <f>"(3)"</f>
        <v>(3)</v>
      </c>
      <c r="E2" s="2" t="str">
        <f>"(4)"</f>
        <v>(4)</v>
      </c>
      <c r="F2" s="2" t="str">
        <f>"(5)"</f>
        <v>(5)</v>
      </c>
      <c r="G2" s="2" t="str">
        <f>"(6)"</f>
        <v>(6)</v>
      </c>
      <c r="H2" s="2" t="str">
        <f>"(7)"</f>
        <v>(7)</v>
      </c>
      <c r="I2" s="2" t="str">
        <f>"(8)"</f>
        <v>(8)</v>
      </c>
    </row>
    <row r="3" spans="1:9">
      <c r="A3" t="str">
        <f>""</f>
        <v/>
      </c>
      <c r="B3" t="str">
        <f>"lnwage"</f>
        <v>lnwage</v>
      </c>
      <c r="C3" t="str">
        <f>"lnwage"</f>
        <v>lnwage</v>
      </c>
      <c r="D3" t="str">
        <f>"lngdppc00"</f>
        <v>lngdppc00</v>
      </c>
      <c r="E3" t="str">
        <f>"lngdppc00"</f>
        <v>lngdppc00</v>
      </c>
      <c r="F3" t="str">
        <f>"lnwage"</f>
        <v>lnwage</v>
      </c>
      <c r="G3" t="str">
        <f>"lnwage"</f>
        <v>lnwage</v>
      </c>
      <c r="H3" t="str">
        <f>"lngdppc00"</f>
        <v>lngdppc00</v>
      </c>
      <c r="I3" t="str">
        <f>"lngdppc00"</f>
        <v>lngdppc00</v>
      </c>
    </row>
    <row r="4" spans="1:9">
      <c r="B4" t="s">
        <v>1</v>
      </c>
      <c r="C4" t="s">
        <v>1</v>
      </c>
      <c r="D4" t="s">
        <v>1</v>
      </c>
      <c r="E4" t="s">
        <v>1</v>
      </c>
      <c r="F4" t="s">
        <v>2</v>
      </c>
      <c r="G4" t="s">
        <v>2</v>
      </c>
      <c r="H4" t="s">
        <v>2</v>
      </c>
      <c r="I4" t="s">
        <v>2</v>
      </c>
    </row>
    <row r="5" spans="1:9">
      <c r="A5" t="str">
        <f>"L2.lneden_pcity"</f>
        <v>L2.lneden_pcity</v>
      </c>
      <c r="B5" t="s">
        <v>3</v>
      </c>
      <c r="C5" t="s">
        <v>4</v>
      </c>
      <c r="D5" t="s">
        <v>5</v>
      </c>
      <c r="E5" t="s">
        <v>4</v>
      </c>
      <c r="F5" t="s">
        <v>6</v>
      </c>
      <c r="G5" t="s">
        <v>4</v>
      </c>
      <c r="H5" t="s">
        <v>7</v>
      </c>
      <c r="I5" t="s">
        <v>4</v>
      </c>
    </row>
    <row r="6" spans="1:9">
      <c r="A6" t="str">
        <f>""</f>
        <v/>
      </c>
      <c r="B6" t="s">
        <v>8</v>
      </c>
      <c r="C6" t="s">
        <v>4</v>
      </c>
      <c r="D6" t="s">
        <v>9</v>
      </c>
      <c r="E6" t="s">
        <v>4</v>
      </c>
      <c r="F6" t="s">
        <v>10</v>
      </c>
      <c r="G6" t="s">
        <v>4</v>
      </c>
      <c r="H6" t="s">
        <v>11</v>
      </c>
      <c r="I6" t="s">
        <v>4</v>
      </c>
    </row>
    <row r="8" spans="1:9">
      <c r="A8" t="str">
        <f>"L4.lneden_pcity"</f>
        <v>L4.lneden_pcity</v>
      </c>
      <c r="B8" t="s">
        <v>4</v>
      </c>
      <c r="C8" t="s">
        <v>12</v>
      </c>
      <c r="D8" t="s">
        <v>4</v>
      </c>
      <c r="E8" t="s">
        <v>13</v>
      </c>
      <c r="F8" t="s">
        <v>4</v>
      </c>
      <c r="G8" t="s">
        <v>14</v>
      </c>
      <c r="H8" t="s">
        <v>4</v>
      </c>
      <c r="I8" t="s">
        <v>15</v>
      </c>
    </row>
    <row r="9" spans="1:9">
      <c r="A9" t="str">
        <f>""</f>
        <v/>
      </c>
      <c r="B9" t="s">
        <v>4</v>
      </c>
      <c r="C9" t="s">
        <v>16</v>
      </c>
      <c r="D9" t="s">
        <v>4</v>
      </c>
      <c r="E9" t="s">
        <v>17</v>
      </c>
      <c r="F9" t="s">
        <v>4</v>
      </c>
      <c r="G9" t="s">
        <v>18</v>
      </c>
      <c r="H9" t="s">
        <v>4</v>
      </c>
      <c r="I9" t="s">
        <v>19</v>
      </c>
    </row>
    <row r="11" spans="1:9">
      <c r="A11" t="str">
        <f>"lnhc"</f>
        <v>lnhc</v>
      </c>
      <c r="B11" t="s">
        <v>20</v>
      </c>
      <c r="C11" t="s">
        <v>20</v>
      </c>
      <c r="D11" t="s">
        <v>21</v>
      </c>
      <c r="E11" t="s">
        <v>22</v>
      </c>
      <c r="F11" t="s">
        <v>23</v>
      </c>
      <c r="G11" t="s">
        <v>24</v>
      </c>
      <c r="H11" t="s">
        <v>25</v>
      </c>
      <c r="I11" t="s">
        <v>26</v>
      </c>
    </row>
    <row r="12" spans="1:9">
      <c r="A12" t="str">
        <f>""</f>
        <v/>
      </c>
      <c r="B12" t="s">
        <v>27</v>
      </c>
      <c r="C12" t="s">
        <v>28</v>
      </c>
      <c r="D12" t="s">
        <v>29</v>
      </c>
      <c r="E12" t="s">
        <v>30</v>
      </c>
      <c r="F12" t="s">
        <v>31</v>
      </c>
      <c r="G12" t="s">
        <v>32</v>
      </c>
      <c r="H12" t="s">
        <v>33</v>
      </c>
      <c r="I12" t="s">
        <v>34</v>
      </c>
    </row>
    <row r="14" spans="1:9">
      <c r="A14" t="str">
        <f>"lnpop"</f>
        <v>lnpop</v>
      </c>
      <c r="B14" t="s">
        <v>35</v>
      </c>
      <c r="C14" t="s">
        <v>36</v>
      </c>
      <c r="D14" t="s">
        <v>37</v>
      </c>
      <c r="E14" t="s">
        <v>38</v>
      </c>
      <c r="F14" t="s">
        <v>39</v>
      </c>
      <c r="G14" t="s">
        <v>40</v>
      </c>
      <c r="H14" t="s">
        <v>41</v>
      </c>
      <c r="I14" t="s">
        <v>42</v>
      </c>
    </row>
    <row r="15" spans="1:9">
      <c r="A15" t="str">
        <f>""</f>
        <v/>
      </c>
      <c r="B15" t="s">
        <v>43</v>
      </c>
      <c r="C15" t="s">
        <v>44</v>
      </c>
      <c r="D15" t="s">
        <v>45</v>
      </c>
      <c r="E15" t="s">
        <v>46</v>
      </c>
      <c r="F15" t="s">
        <v>46</v>
      </c>
      <c r="G15" t="s">
        <v>47</v>
      </c>
      <c r="H15" t="s">
        <v>48</v>
      </c>
      <c r="I15" t="s">
        <v>49</v>
      </c>
    </row>
    <row r="17" spans="1:9">
      <c r="A17" t="str">
        <f>"L2.lnfwypc"</f>
        <v>L2.lnfwypc</v>
      </c>
      <c r="B17" t="s">
        <v>50</v>
      </c>
      <c r="C17" t="s">
        <v>4</v>
      </c>
      <c r="D17" t="s">
        <v>51</v>
      </c>
      <c r="E17" t="s">
        <v>4</v>
      </c>
      <c r="F17" t="s">
        <v>52</v>
      </c>
      <c r="G17" t="s">
        <v>4</v>
      </c>
      <c r="H17" t="s">
        <v>53</v>
      </c>
      <c r="I17" t="s">
        <v>4</v>
      </c>
    </row>
    <row r="18" spans="1:9">
      <c r="A18" t="str">
        <f>""</f>
        <v/>
      </c>
      <c r="B18" t="s">
        <v>54</v>
      </c>
      <c r="C18" t="s">
        <v>4</v>
      </c>
      <c r="D18" t="s">
        <v>55</v>
      </c>
      <c r="E18" t="s">
        <v>4</v>
      </c>
      <c r="F18" t="s">
        <v>56</v>
      </c>
      <c r="G18" t="s">
        <v>4</v>
      </c>
      <c r="H18" t="s">
        <v>57</v>
      </c>
      <c r="I18" t="s">
        <v>4</v>
      </c>
    </row>
    <row r="20" spans="1:9">
      <c r="A20" t="str">
        <f>"L4.lnfwypc"</f>
        <v>L4.lnfwypc</v>
      </c>
      <c r="B20" t="s">
        <v>4</v>
      </c>
      <c r="C20" t="s">
        <v>58</v>
      </c>
      <c r="D20" t="s">
        <v>4</v>
      </c>
      <c r="E20" t="s">
        <v>59</v>
      </c>
      <c r="F20" t="s">
        <v>4</v>
      </c>
      <c r="G20" t="s">
        <v>60</v>
      </c>
      <c r="H20" t="s">
        <v>4</v>
      </c>
      <c r="I20" t="s">
        <v>61</v>
      </c>
    </row>
    <row r="21" spans="1:9">
      <c r="A21" t="str">
        <f>""</f>
        <v/>
      </c>
      <c r="B21" t="s">
        <v>4</v>
      </c>
      <c r="C21" t="s">
        <v>62</v>
      </c>
      <c r="D21" t="s">
        <v>4</v>
      </c>
      <c r="E21" t="s">
        <v>63</v>
      </c>
      <c r="F21" t="s">
        <v>4</v>
      </c>
      <c r="G21" t="s">
        <v>64</v>
      </c>
      <c r="H21" t="s">
        <v>4</v>
      </c>
      <c r="I21" t="s">
        <v>65</v>
      </c>
    </row>
    <row r="23" spans="1:9">
      <c r="A23" t="str">
        <f>"L2.lnapta2"</f>
        <v>L2.lnapta2</v>
      </c>
      <c r="B23" t="s">
        <v>66</v>
      </c>
      <c r="C23" t="s">
        <v>4</v>
      </c>
      <c r="D23" t="s">
        <v>67</v>
      </c>
      <c r="E23" t="s">
        <v>4</v>
      </c>
      <c r="F23" t="s">
        <v>68</v>
      </c>
      <c r="G23" t="s">
        <v>4</v>
      </c>
      <c r="H23" t="s">
        <v>69</v>
      </c>
      <c r="I23" t="s">
        <v>4</v>
      </c>
    </row>
    <row r="24" spans="1:9">
      <c r="A24" t="str">
        <f>""</f>
        <v/>
      </c>
      <c r="B24" t="s">
        <v>70</v>
      </c>
      <c r="C24" t="s">
        <v>4</v>
      </c>
      <c r="D24" t="s">
        <v>71</v>
      </c>
      <c r="E24" t="s">
        <v>4</v>
      </c>
      <c r="F24" t="s">
        <v>72</v>
      </c>
      <c r="G24" t="s">
        <v>4</v>
      </c>
      <c r="H24" t="s">
        <v>73</v>
      </c>
      <c r="I24" t="s">
        <v>4</v>
      </c>
    </row>
    <row r="26" spans="1:9">
      <c r="A26" t="str">
        <f>"L4.lnapta2"</f>
        <v>L4.lnapta2</v>
      </c>
      <c r="B26" t="s">
        <v>4</v>
      </c>
      <c r="C26" t="s">
        <v>74</v>
      </c>
      <c r="D26" t="s">
        <v>4</v>
      </c>
      <c r="E26" t="s">
        <v>75</v>
      </c>
      <c r="F26" t="s">
        <v>4</v>
      </c>
      <c r="G26" t="s">
        <v>76</v>
      </c>
      <c r="H26" t="s">
        <v>4</v>
      </c>
      <c r="I26" t="s">
        <v>77</v>
      </c>
    </row>
    <row r="27" spans="1:9">
      <c r="A27" t="str">
        <f>""</f>
        <v/>
      </c>
      <c r="B27" t="s">
        <v>4</v>
      </c>
      <c r="C27" t="s">
        <v>78</v>
      </c>
      <c r="D27" t="s">
        <v>4</v>
      </c>
      <c r="E27" t="s">
        <v>79</v>
      </c>
      <c r="F27" t="s">
        <v>4</v>
      </c>
      <c r="G27" t="s">
        <v>80</v>
      </c>
      <c r="H27" t="s">
        <v>4</v>
      </c>
      <c r="I27" t="s">
        <v>81</v>
      </c>
    </row>
    <row r="29" spans="1:9">
      <c r="A29" t="str">
        <f>"_cons"</f>
        <v>_cons</v>
      </c>
      <c r="B29" t="s">
        <v>82</v>
      </c>
      <c r="C29" t="s">
        <v>83</v>
      </c>
      <c r="D29" t="s">
        <v>84</v>
      </c>
      <c r="E29" t="s">
        <v>85</v>
      </c>
      <c r="F29" t="s">
        <v>86</v>
      </c>
      <c r="G29" t="s">
        <v>87</v>
      </c>
      <c r="H29" t="s">
        <v>88</v>
      </c>
      <c r="I29" t="s">
        <v>89</v>
      </c>
    </row>
    <row r="30" spans="1:9">
      <c r="A30" t="str">
        <f>""</f>
        <v/>
      </c>
      <c r="B30" t="s">
        <v>90</v>
      </c>
      <c r="C30" t="s">
        <v>91</v>
      </c>
      <c r="D30" t="s">
        <v>92</v>
      </c>
      <c r="E30" t="s">
        <v>93</v>
      </c>
      <c r="F30" t="s">
        <v>94</v>
      </c>
      <c r="G30" t="s">
        <v>95</v>
      </c>
      <c r="H30" t="s">
        <v>96</v>
      </c>
      <c r="I30" t="s">
        <v>97</v>
      </c>
    </row>
    <row r="32" spans="1:9">
      <c r="A32" t="str">
        <f>"N"</f>
        <v>N</v>
      </c>
      <c r="B32" t="s">
        <v>98</v>
      </c>
      <c r="C32" t="s">
        <v>98</v>
      </c>
      <c r="D32" t="s">
        <v>98</v>
      </c>
      <c r="E32" t="s">
        <v>98</v>
      </c>
      <c r="F32" t="s">
        <v>98</v>
      </c>
      <c r="G32" t="s">
        <v>98</v>
      </c>
      <c r="H32" t="s">
        <v>98</v>
      </c>
      <c r="I32" t="s">
        <v>98</v>
      </c>
    </row>
    <row r="33" spans="1:9">
      <c r="A33" t="str">
        <f>"r2_a"</f>
        <v>r2_a</v>
      </c>
      <c r="B33" t="s">
        <v>99</v>
      </c>
      <c r="C33" t="s">
        <v>100</v>
      </c>
      <c r="D33" t="s">
        <v>101</v>
      </c>
      <c r="E33" t="s">
        <v>102</v>
      </c>
      <c r="F33" t="s">
        <v>103</v>
      </c>
      <c r="G33" t="s">
        <v>104</v>
      </c>
      <c r="H33" t="s">
        <v>105</v>
      </c>
      <c r="I33" t="s">
        <v>102</v>
      </c>
    </row>
  </sheetData>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dimension ref="A2:S92"/>
  <sheetViews>
    <sheetView workbookViewId="0">
      <selection activeCell="E4" sqref="E4"/>
    </sheetView>
  </sheetViews>
  <sheetFormatPr defaultRowHeight="15"/>
  <sheetData>
    <row r="2" spans="1:19">
      <c r="A2" t="str">
        <f>""</f>
        <v/>
      </c>
      <c r="B2" t="str">
        <f>"(1)"</f>
        <v>(1)</v>
      </c>
      <c r="C2" t="str">
        <f>"(2)"</f>
        <v>(2)</v>
      </c>
      <c r="D2" t="str">
        <f>"(3)"</f>
        <v>(3)</v>
      </c>
      <c r="E2" t="str">
        <f>"(4)"</f>
        <v>(4)</v>
      </c>
      <c r="F2" t="str">
        <f>"(5)"</f>
        <v>(5)</v>
      </c>
      <c r="G2" t="str">
        <f>"(6)"</f>
        <v>(6)</v>
      </c>
      <c r="H2" t="str">
        <f>"(7)"</f>
        <v>(7)</v>
      </c>
      <c r="I2" t="str">
        <f>"(8)"</f>
        <v>(8)</v>
      </c>
      <c r="J2" t="str">
        <f>"(9)"</f>
        <v>(9)</v>
      </c>
      <c r="K2" t="str">
        <f>"(10)"</f>
        <v>(10)</v>
      </c>
      <c r="L2" t="str">
        <f>"(11)"</f>
        <v>(11)</v>
      </c>
      <c r="M2" t="str">
        <f>"(12)"</f>
        <v>(12)</v>
      </c>
      <c r="N2" t="str">
        <f>"(13)"</f>
        <v>(13)</v>
      </c>
      <c r="O2" t="str">
        <f>"(14)"</f>
        <v>(14)</v>
      </c>
      <c r="P2" t="str">
        <f>"(15)"</f>
        <v>(15)</v>
      </c>
      <c r="Q2" t="str">
        <f>"(16)"</f>
        <v>(16)</v>
      </c>
      <c r="R2" t="str">
        <f>"(17)"</f>
        <v>(17)</v>
      </c>
      <c r="S2" t="str">
        <f>"(18)"</f>
        <v>(18)</v>
      </c>
    </row>
    <row r="3" spans="1:19">
      <c r="A3" t="str">
        <f>""</f>
        <v/>
      </c>
      <c r="B3" t="str">
        <f t="shared" ref="B3:I3" si="0">"eden_pcity"</f>
        <v>eden_pcity</v>
      </c>
      <c r="C3" t="str">
        <f t="shared" si="0"/>
        <v>eden_pcity</v>
      </c>
      <c r="D3" t="str">
        <f t="shared" si="0"/>
        <v>eden_pcity</v>
      </c>
      <c r="E3" t="str">
        <f t="shared" si="0"/>
        <v>eden_pcity</v>
      </c>
      <c r="F3" t="str">
        <f t="shared" si="0"/>
        <v>eden_pcity</v>
      </c>
      <c r="G3" t="str">
        <f t="shared" si="0"/>
        <v>eden_pcity</v>
      </c>
      <c r="H3" t="str">
        <f t="shared" si="0"/>
        <v>eden_pcity</v>
      </c>
      <c r="I3" t="str">
        <f t="shared" si="0"/>
        <v>eden_pcity</v>
      </c>
      <c r="J3" t="str">
        <f t="shared" ref="J3:O3" si="1">"population"</f>
        <v>population</v>
      </c>
      <c r="K3" t="str">
        <f t="shared" si="1"/>
        <v>population</v>
      </c>
      <c r="L3" t="str">
        <f t="shared" si="1"/>
        <v>population</v>
      </c>
      <c r="M3" t="str">
        <f t="shared" si="1"/>
        <v>population</v>
      </c>
      <c r="N3" t="str">
        <f t="shared" si="1"/>
        <v>population</v>
      </c>
      <c r="O3" t="str">
        <f t="shared" si="1"/>
        <v>population</v>
      </c>
      <c r="P3" t="str">
        <f>"lnwage"</f>
        <v>lnwage</v>
      </c>
      <c r="Q3" t="str">
        <f>"lnwage"</f>
        <v>lnwage</v>
      </c>
      <c r="R3" t="str">
        <f>"lngdppc00"</f>
        <v>lngdppc00</v>
      </c>
      <c r="S3" t="str">
        <f>"lngdppc00"</f>
        <v>lngdppc00</v>
      </c>
    </row>
    <row r="5" spans="1:19">
      <c r="A5" t="str">
        <f>"apta_cleaned"</f>
        <v>apta_cleaned</v>
      </c>
      <c r="B5" t="str">
        <f>"1.806"</f>
        <v>1.806</v>
      </c>
      <c r="C5" t="str">
        <f>"5.983"</f>
        <v>5.983</v>
      </c>
      <c r="D5" t="str">
        <f>""</f>
        <v/>
      </c>
      <c r="E5" t="str">
        <f>""</f>
        <v/>
      </c>
      <c r="F5" t="str">
        <f>""</f>
        <v/>
      </c>
      <c r="G5" t="str">
        <f>""</f>
        <v/>
      </c>
      <c r="H5" t="str">
        <f>""</f>
        <v/>
      </c>
      <c r="I5" t="str">
        <f>""</f>
        <v/>
      </c>
      <c r="J5" t="str">
        <f>""</f>
        <v/>
      </c>
      <c r="K5" t="str">
        <f>""</f>
        <v/>
      </c>
      <c r="L5" t="str">
        <f>""</f>
        <v/>
      </c>
      <c r="M5" t="str">
        <f>""</f>
        <v/>
      </c>
      <c r="N5" t="str">
        <f>""</f>
        <v/>
      </c>
      <c r="O5" t="str">
        <f>""</f>
        <v/>
      </c>
      <c r="P5" t="str">
        <f>""</f>
        <v/>
      </c>
      <c r="Q5" t="str">
        <f>""</f>
        <v/>
      </c>
      <c r="R5" t="str">
        <f>""</f>
        <v/>
      </c>
      <c r="S5" t="str">
        <f>""</f>
        <v/>
      </c>
    </row>
    <row r="6" spans="1:19">
      <c r="A6" t="str">
        <f>""</f>
        <v/>
      </c>
      <c r="B6" t="str">
        <f>"(1.83)"</f>
        <v>(1.83)</v>
      </c>
      <c r="C6" t="str">
        <f>"(4.21)"</f>
        <v>(4.21)</v>
      </c>
      <c r="D6" t="str">
        <f>""</f>
        <v/>
      </c>
      <c r="E6" t="str">
        <f>""</f>
        <v/>
      </c>
      <c r="F6" t="str">
        <f>""</f>
        <v/>
      </c>
      <c r="G6" t="str">
        <f>""</f>
        <v/>
      </c>
      <c r="H6" t="str">
        <f>""</f>
        <v/>
      </c>
      <c r="I6" t="str">
        <f>""</f>
        <v/>
      </c>
      <c r="J6" t="str">
        <f>""</f>
        <v/>
      </c>
      <c r="K6" t="str">
        <f>""</f>
        <v/>
      </c>
      <c r="L6" t="str">
        <f>""</f>
        <v/>
      </c>
      <c r="M6" t="str">
        <f>""</f>
        <v/>
      </c>
      <c r="N6" t="str">
        <f>""</f>
        <v/>
      </c>
      <c r="O6" t="str">
        <f>""</f>
        <v/>
      </c>
      <c r="P6" t="str">
        <f>""</f>
        <v/>
      </c>
      <c r="Q6" t="str">
        <f>""</f>
        <v/>
      </c>
      <c r="R6" t="str">
        <f>""</f>
        <v/>
      </c>
      <c r="S6" t="str">
        <f>""</f>
        <v/>
      </c>
    </row>
    <row r="8" spans="1:19">
      <c r="A8" t="str">
        <f>"freeart"</f>
        <v>freeart</v>
      </c>
      <c r="B8" t="str">
        <f>"0.0277"</f>
        <v>0.0277</v>
      </c>
      <c r="C8" t="str">
        <f>"0.365"</f>
        <v>0.365</v>
      </c>
      <c r="D8" t="str">
        <f>""</f>
        <v/>
      </c>
      <c r="E8" t="str">
        <f>""</f>
        <v/>
      </c>
      <c r="F8" t="str">
        <f>""</f>
        <v/>
      </c>
      <c r="G8" t="str">
        <f>""</f>
        <v/>
      </c>
      <c r="H8" t="str">
        <f>""</f>
        <v/>
      </c>
      <c r="I8" t="str">
        <f>""</f>
        <v/>
      </c>
      <c r="J8" t="str">
        <f>""</f>
        <v/>
      </c>
      <c r="K8" t="str">
        <f>""</f>
        <v/>
      </c>
      <c r="L8" t="str">
        <f>""</f>
        <v/>
      </c>
      <c r="M8" t="str">
        <f>""</f>
        <v/>
      </c>
      <c r="N8" t="str">
        <f>""</f>
        <v/>
      </c>
      <c r="O8" t="str">
        <f>""</f>
        <v/>
      </c>
      <c r="P8" t="str">
        <f>""</f>
        <v/>
      </c>
      <c r="Q8" t="str">
        <f>""</f>
        <v/>
      </c>
      <c r="R8" t="str">
        <f>""</f>
        <v/>
      </c>
      <c r="S8" t="str">
        <f>""</f>
        <v/>
      </c>
    </row>
    <row r="9" spans="1:19">
      <c r="A9" t="str">
        <f>""</f>
        <v/>
      </c>
      <c r="B9" t="str">
        <f>"(0.15)"</f>
        <v>(0.15)</v>
      </c>
      <c r="C9" t="str">
        <f>"(1.81)"</f>
        <v>(1.81)</v>
      </c>
      <c r="D9" t="str">
        <f>""</f>
        <v/>
      </c>
      <c r="E9" t="str">
        <f>""</f>
        <v/>
      </c>
      <c r="F9" t="str">
        <f>""</f>
        <v/>
      </c>
      <c r="G9" t="str">
        <f>""</f>
        <v/>
      </c>
      <c r="H9" t="str">
        <f>""</f>
        <v/>
      </c>
      <c r="I9" t="str">
        <f>""</f>
        <v/>
      </c>
      <c r="J9" t="str">
        <f>""</f>
        <v/>
      </c>
      <c r="K9" t="str">
        <f>""</f>
        <v/>
      </c>
      <c r="L9" t="str">
        <f>""</f>
        <v/>
      </c>
      <c r="M9" t="str">
        <f>""</f>
        <v/>
      </c>
      <c r="N9" t="str">
        <f>""</f>
        <v/>
      </c>
      <c r="O9" t="str">
        <f>""</f>
        <v/>
      </c>
      <c r="P9" t="str">
        <f>""</f>
        <v/>
      </c>
      <c r="Q9" t="str">
        <f>""</f>
        <v/>
      </c>
      <c r="R9" t="str">
        <f>""</f>
        <v/>
      </c>
      <c r="S9" t="str">
        <f>""</f>
        <v/>
      </c>
    </row>
    <row r="11" spans="1:19">
      <c r="A11" t="str">
        <f>"population"</f>
        <v>population</v>
      </c>
      <c r="B11" t="str">
        <f>"0.000180"</f>
        <v>0.000180</v>
      </c>
      <c r="C11" t="str">
        <f>"-0.000126"</f>
        <v>-0.000126</v>
      </c>
      <c r="D11" t="str">
        <f>"0.000133"</f>
        <v>0.000133</v>
      </c>
      <c r="E11" t="str">
        <f>"0.0000600"</f>
        <v>0.0000600</v>
      </c>
      <c r="F11" t="str">
        <f>"0.000165"</f>
        <v>0.000165</v>
      </c>
      <c r="G11" t="str">
        <f>"0.0000573"</f>
        <v>0.0000573</v>
      </c>
      <c r="H11" t="str">
        <f>"0.000166"</f>
        <v>0.000166</v>
      </c>
      <c r="I11" t="str">
        <f>"-0.0000997"</f>
        <v>-0.0000997</v>
      </c>
      <c r="J11" t="str">
        <f>""</f>
        <v/>
      </c>
      <c r="K11" t="str">
        <f>""</f>
        <v/>
      </c>
      <c r="L11" t="str">
        <f>""</f>
        <v/>
      </c>
      <c r="M11" t="str">
        <f>""</f>
        <v/>
      </c>
      <c r="N11" t="str">
        <f>""</f>
        <v/>
      </c>
      <c r="O11" t="str">
        <f>""</f>
        <v/>
      </c>
      <c r="P11" t="str">
        <f>""</f>
        <v/>
      </c>
      <c r="Q11" t="str">
        <f>""</f>
        <v/>
      </c>
      <c r="R11" t="str">
        <f>""</f>
        <v/>
      </c>
      <c r="S11" t="str">
        <f>""</f>
        <v/>
      </c>
    </row>
    <row r="12" spans="1:19">
      <c r="A12" t="str">
        <f>""</f>
        <v/>
      </c>
      <c r="B12" t="str">
        <f>"(1.96)"</f>
        <v>(1.96)</v>
      </c>
      <c r="C12" t="str">
        <f>"(-1.06)"</f>
        <v>(-1.06)</v>
      </c>
      <c r="D12" t="str">
        <f>"(2.99)"</f>
        <v>(2.99)</v>
      </c>
      <c r="E12" t="str">
        <f>"(1.15)"</f>
        <v>(1.15)</v>
      </c>
      <c r="F12" t="str">
        <f>"(4.80)"</f>
        <v>(4.80)</v>
      </c>
      <c r="G12" t="str">
        <f>"(1.18)"</f>
        <v>(1.18)</v>
      </c>
      <c r="H12" t="str">
        <f>"(3.64)"</f>
        <v>(3.64)</v>
      </c>
      <c r="I12" t="str">
        <f>"(-1.10)"</f>
        <v>(-1.10)</v>
      </c>
      <c r="J12" t="str">
        <f>""</f>
        <v/>
      </c>
      <c r="K12" t="str">
        <f>""</f>
        <v/>
      </c>
      <c r="L12" t="str">
        <f>""</f>
        <v/>
      </c>
      <c r="M12" t="str">
        <f>""</f>
        <v/>
      </c>
      <c r="N12" t="str">
        <f>""</f>
        <v/>
      </c>
      <c r="O12" t="str">
        <f>""</f>
        <v/>
      </c>
      <c r="P12" t="str">
        <f>""</f>
        <v/>
      </c>
      <c r="Q12" t="str">
        <f>""</f>
        <v/>
      </c>
      <c r="R12" t="str">
        <f>""</f>
        <v/>
      </c>
      <c r="S12" t="str">
        <f>""</f>
        <v/>
      </c>
    </row>
    <row r="14" spans="1:19">
      <c r="A14" t="str">
        <f>"pct18under0507"</f>
        <v>pct18under0507</v>
      </c>
      <c r="B14" t="str">
        <f>"-77.48"</f>
        <v>-77.48</v>
      </c>
      <c r="C14" t="str">
        <f>"-77.91"</f>
        <v>-77.91</v>
      </c>
      <c r="D14" t="str">
        <f>"-66.03"</f>
        <v>-66.03</v>
      </c>
      <c r="E14" t="str">
        <f>"-64.71"</f>
        <v>-64.71</v>
      </c>
      <c r="F14" t="str">
        <f>"-59.87"</f>
        <v>-59.87</v>
      </c>
      <c r="G14" t="str">
        <f>"-61.75"</f>
        <v>-61.75</v>
      </c>
      <c r="H14" t="str">
        <f>"-64.18"</f>
        <v>-64.18</v>
      </c>
      <c r="I14" t="str">
        <f>"-65.80"</f>
        <v>-65.80</v>
      </c>
      <c r="J14" t="str">
        <f>"-9304.5"</f>
        <v>-9304.5</v>
      </c>
      <c r="K14" t="str">
        <f>"-26593.4"</f>
        <v>-26593.4</v>
      </c>
      <c r="L14" t="str">
        <f>"-318.0"</f>
        <v>-318.0</v>
      </c>
      <c r="M14" t="str">
        <f>"2123.7"</f>
        <v>2123.7</v>
      </c>
      <c r="N14" t="str">
        <f>"33883.9"</f>
        <v>33883.9</v>
      </c>
      <c r="O14" t="str">
        <f>"31544.3"</f>
        <v>31544.3</v>
      </c>
      <c r="P14" t="str">
        <f>"-0.00683"</f>
        <v>-0.00683</v>
      </c>
      <c r="Q14" t="str">
        <f>"-0.00204"</f>
        <v>-0.00204</v>
      </c>
      <c r="R14" t="str">
        <f>"-0.00242"</f>
        <v>-0.00242</v>
      </c>
      <c r="S14" t="str">
        <f>"-0.0140"</f>
        <v>-0.0140</v>
      </c>
    </row>
    <row r="15" spans="1:19">
      <c r="A15" t="str">
        <f>""</f>
        <v/>
      </c>
      <c r="B15" t="str">
        <f>"(-3.09)"</f>
        <v>(-3.09)</v>
      </c>
      <c r="C15" t="str">
        <f>"(-3.08)"</f>
        <v>(-3.08)</v>
      </c>
      <c r="D15" t="str">
        <f>"(-2.50)"</f>
        <v>(-2.50)</v>
      </c>
      <c r="E15" t="str">
        <f>"(-2.48)"</f>
        <v>(-2.48)</v>
      </c>
      <c r="F15" t="str">
        <f>"(-2.38)"</f>
        <v>(-2.38)</v>
      </c>
      <c r="G15" t="str">
        <f>"(-2.42)"</f>
        <v>(-2.42)</v>
      </c>
      <c r="H15" t="str">
        <f>"(-2.57)"</f>
        <v>(-2.57)</v>
      </c>
      <c r="I15" t="str">
        <f>"(-2.47)"</f>
        <v>(-2.47)</v>
      </c>
      <c r="J15" t="str">
        <f>"(-0.23)"</f>
        <v>(-0.23)</v>
      </c>
      <c r="K15" t="str">
        <f>"(-0.47)"</f>
        <v>(-0.47)</v>
      </c>
      <c r="L15" t="str">
        <f>"(-0.01)"</f>
        <v>(-0.01)</v>
      </c>
      <c r="M15" t="str">
        <f>"(0.03)"</f>
        <v>(0.03)</v>
      </c>
      <c r="N15" t="str">
        <f>"(0.99)"</f>
        <v>(0.99)</v>
      </c>
      <c r="O15" t="str">
        <f>"(0.93)"</f>
        <v>(0.93)</v>
      </c>
      <c r="P15" t="str">
        <f>"(-2.19)"</f>
        <v>(-2.19)</v>
      </c>
      <c r="Q15" t="str">
        <f>"(-0.41)"</f>
        <v>(-0.41)</v>
      </c>
      <c r="R15" t="str">
        <f>"(-0.27)"</f>
        <v>(-0.27)</v>
      </c>
      <c r="S15" t="str">
        <f>"(-1.01)"</f>
        <v>(-1.01)</v>
      </c>
    </row>
    <row r="17" spans="1:19">
      <c r="A17" t="str">
        <f>"pct65plus0507"</f>
        <v>pct65plus0507</v>
      </c>
      <c r="B17" t="str">
        <f>"-13.14"</f>
        <v>-13.14</v>
      </c>
      <c r="C17" t="str">
        <f>"-13.22"</f>
        <v>-13.22</v>
      </c>
      <c r="D17" t="str">
        <f>"-10.79"</f>
        <v>-10.79</v>
      </c>
      <c r="E17" t="str">
        <f>"-11.24"</f>
        <v>-11.24</v>
      </c>
      <c r="F17" t="str">
        <f>"-2.353"</f>
        <v>-2.353</v>
      </c>
      <c r="G17" t="str">
        <f>"-9.852"</f>
        <v>-9.852</v>
      </c>
      <c r="H17" t="str">
        <f>"-21.08"</f>
        <v>-21.08</v>
      </c>
      <c r="I17" t="str">
        <f>"-26.13"</f>
        <v>-26.13</v>
      </c>
      <c r="J17" t="str">
        <f>"-9257.2"</f>
        <v>-9257.2</v>
      </c>
      <c r="K17" t="str">
        <f>"-67834.3"</f>
        <v>-67834.3</v>
      </c>
      <c r="L17" t="str">
        <f>"5189.4"</f>
        <v>5189.4</v>
      </c>
      <c r="M17" t="str">
        <f>"-45427.2"</f>
        <v>-45427.2</v>
      </c>
      <c r="N17" t="str">
        <f>"-6894.7"</f>
        <v>-6894.7</v>
      </c>
      <c r="O17" t="str">
        <f>"-7025.3"</f>
        <v>-7025.3</v>
      </c>
      <c r="P17" t="str">
        <f>"-0.00879"</f>
        <v>-0.00879</v>
      </c>
      <c r="Q17" t="str">
        <f>"-0.00665"</f>
        <v>-0.00665</v>
      </c>
      <c r="R17" t="str">
        <f>"-0.0202"</f>
        <v>-0.0202</v>
      </c>
      <c r="S17" t="str">
        <f>"-0.0253"</f>
        <v>-0.0253</v>
      </c>
    </row>
    <row r="18" spans="1:19">
      <c r="A18" t="str">
        <f>""</f>
        <v/>
      </c>
      <c r="B18" t="str">
        <f>"(-0.66)"</f>
        <v>(-0.66)</v>
      </c>
      <c r="C18" t="str">
        <f>"(-0.66)"</f>
        <v>(-0.66)</v>
      </c>
      <c r="D18" t="str">
        <f>"(-0.53)"</f>
        <v>(-0.53)</v>
      </c>
      <c r="E18" t="str">
        <f>"(-0.56)"</f>
        <v>(-0.56)</v>
      </c>
      <c r="F18" t="str">
        <f>"(-0.12)"</f>
        <v>(-0.12)</v>
      </c>
      <c r="G18" t="str">
        <f>"(-0.50)"</f>
        <v>(-0.50)</v>
      </c>
      <c r="H18" t="str">
        <f>"(-1.08)"</f>
        <v>(-1.08)</v>
      </c>
      <c r="I18" t="str">
        <f>"(-1.24)"</f>
        <v>(-1.24)</v>
      </c>
      <c r="J18" t="str">
        <f>"(-0.28)"</f>
        <v>(-0.28)</v>
      </c>
      <c r="K18" t="str">
        <f>"(-1.47)"</f>
        <v>(-1.47)</v>
      </c>
      <c r="L18" t="str">
        <f>"(0.15)"</f>
        <v>(0.15)</v>
      </c>
      <c r="M18" t="str">
        <f>"(-0.94)"</f>
        <v>(-0.94)</v>
      </c>
      <c r="N18" t="str">
        <f>"(-0.27)"</f>
        <v>(-0.27)</v>
      </c>
      <c r="O18" t="str">
        <f>"(-0.27)"</f>
        <v>(-0.27)</v>
      </c>
      <c r="P18" t="str">
        <f>"(-3.04)"</f>
        <v>(-3.04)</v>
      </c>
      <c r="Q18" t="str">
        <f>"(-1.90)"</f>
        <v>(-1.90)</v>
      </c>
      <c r="R18" t="str">
        <f>"(-2.41)"</f>
        <v>(-2.41)</v>
      </c>
      <c r="S18" t="str">
        <f>"(-2.57)"</f>
        <v>(-2.57)</v>
      </c>
    </row>
    <row r="20" spans="1:19">
      <c r="A20" t="str">
        <f>"hsdippct0507"</f>
        <v>hsdippct0507</v>
      </c>
      <c r="B20" t="str">
        <f>"-53.52"</f>
        <v>-53.52</v>
      </c>
      <c r="C20" t="str">
        <f>"-48.54"</f>
        <v>-48.54</v>
      </c>
      <c r="D20" t="str">
        <f>"-48.07"</f>
        <v>-48.07</v>
      </c>
      <c r="E20" t="str">
        <f>"-45.72"</f>
        <v>-45.72</v>
      </c>
      <c r="F20" t="str">
        <f>"-57.43"</f>
        <v>-57.43</v>
      </c>
      <c r="G20" t="str">
        <f>"-49.02"</f>
        <v>-49.02</v>
      </c>
      <c r="H20" t="str">
        <f>"-41.63"</f>
        <v>-41.63</v>
      </c>
      <c r="I20" t="str">
        <f>"-30.84"</f>
        <v>-30.84</v>
      </c>
      <c r="J20" t="str">
        <f>"31472.8"</f>
        <v>31472.8</v>
      </c>
      <c r="K20" t="str">
        <f>"87826.6"</f>
        <v>87826.6</v>
      </c>
      <c r="L20" t="str">
        <f>"19017.6"</f>
        <v>19017.6</v>
      </c>
      <c r="M20" t="str">
        <f>"78081.9"</f>
        <v>78081.9</v>
      </c>
      <c r="N20" t="str">
        <f>"39343.4"</f>
        <v>39343.4</v>
      </c>
      <c r="O20" t="str">
        <f>"38658.2"</f>
        <v>38658.2</v>
      </c>
      <c r="P20" t="str">
        <f>"-0.00809"</f>
        <v>-0.00809</v>
      </c>
      <c r="Q20" t="str">
        <f>"-0.00448"</f>
        <v>-0.00448</v>
      </c>
      <c r="R20" t="str">
        <f>"-0.0266"</f>
        <v>-0.0266</v>
      </c>
      <c r="S20" t="str">
        <f>"-0.0353"</f>
        <v>-0.0353</v>
      </c>
    </row>
    <row r="21" spans="1:19">
      <c r="A21" t="str">
        <f>""</f>
        <v/>
      </c>
      <c r="B21" t="str">
        <f>"(-3.34)"</f>
        <v>(-3.34)</v>
      </c>
      <c r="C21" t="str">
        <f>"(-2.96)"</f>
        <v>(-2.96)</v>
      </c>
      <c r="D21" t="str">
        <f>"(-2.69)"</f>
        <v>(-2.69)</v>
      </c>
      <c r="E21" t="str">
        <f>"(-2.60)"</f>
        <v>(-2.60)</v>
      </c>
      <c r="F21" t="str">
        <f>"(-3.44)"</f>
        <v>(-3.44)</v>
      </c>
      <c r="G21" t="str">
        <f>"(-2.86)"</f>
        <v>(-2.86)</v>
      </c>
      <c r="H21" t="str">
        <f>"(-2.59)"</f>
        <v>(-2.59)</v>
      </c>
      <c r="I21" t="str">
        <f>"(-1.75)"</f>
        <v>(-1.75)</v>
      </c>
      <c r="J21" t="str">
        <f>"(1.20)"</f>
        <v>(1.20)</v>
      </c>
      <c r="K21" t="str">
        <f>"(2.36)"</f>
        <v>(2.36)</v>
      </c>
      <c r="L21" t="str">
        <f>"(0.68)"</f>
        <v>(0.68)</v>
      </c>
      <c r="M21" t="str">
        <f>"(1.97)"</f>
        <v>(1.97)</v>
      </c>
      <c r="N21" t="str">
        <f>"(1.69)"</f>
        <v>(1.69)</v>
      </c>
      <c r="O21" t="str">
        <f>"(1.69)"</f>
        <v>(1.69)</v>
      </c>
      <c r="P21" t="str">
        <f>"(-4.04)"</f>
        <v>(-4.04)</v>
      </c>
      <c r="Q21" t="str">
        <f>"(-1.29)"</f>
        <v>(-1.29)</v>
      </c>
      <c r="R21" t="str">
        <f>"(-4.59)"</f>
        <v>(-4.59)</v>
      </c>
      <c r="S21" t="str">
        <f>"(-3.62)"</f>
        <v>(-3.62)</v>
      </c>
    </row>
    <row r="23" spans="1:19">
      <c r="A23" t="str">
        <f>"collegepct0507"</f>
        <v>collegepct0507</v>
      </c>
      <c r="B23" t="str">
        <f>"29.54"</f>
        <v>29.54</v>
      </c>
      <c r="C23" t="str">
        <f>"27.92"</f>
        <v>27.92</v>
      </c>
      <c r="D23" t="str">
        <f>"31.19"</f>
        <v>31.19</v>
      </c>
      <c r="E23" t="str">
        <f>"31.03"</f>
        <v>31.03</v>
      </c>
      <c r="F23" t="str">
        <f>"15.50"</f>
        <v>15.50</v>
      </c>
      <c r="G23" t="str">
        <f>"13.35"</f>
        <v>13.35</v>
      </c>
      <c r="H23" t="str">
        <f>"27.82"</f>
        <v>27.82</v>
      </c>
      <c r="I23" t="str">
        <f>"23.86"</f>
        <v>23.86</v>
      </c>
      <c r="J23" t="str">
        <f>"-1131.9"</f>
        <v>-1131.9</v>
      </c>
      <c r="K23" t="str">
        <f>"-37073.3"</f>
        <v>-37073.3</v>
      </c>
      <c r="L23" t="str">
        <f>"4563.2"</f>
        <v>4563.2</v>
      </c>
      <c r="M23" t="str">
        <f>"-30762.2"</f>
        <v>-30762.2</v>
      </c>
      <c r="N23" t="str">
        <f>"3977.0"</f>
        <v>3977.0</v>
      </c>
      <c r="O23" t="str">
        <f>"2973.2"</f>
        <v>2973.2</v>
      </c>
      <c r="P23" t="str">
        <f>"-0.00672"</f>
        <v>-0.00672</v>
      </c>
      <c r="Q23" t="str">
        <f>"-0.00917"</f>
        <v>-0.00917</v>
      </c>
      <c r="R23" t="str">
        <f>"-0.0259"</f>
        <v>-0.0259</v>
      </c>
      <c r="S23" t="str">
        <f>"-0.0201"</f>
        <v>-0.0201</v>
      </c>
    </row>
    <row r="24" spans="1:19">
      <c r="A24" t="str">
        <f>""</f>
        <v/>
      </c>
      <c r="B24" t="str">
        <f>"(2.77)"</f>
        <v>(2.77)</v>
      </c>
      <c r="C24" t="str">
        <f>"(2.59)"</f>
        <v>(2.59)</v>
      </c>
      <c r="D24" t="str">
        <f>"(2.87)"</f>
        <v>(2.87)</v>
      </c>
      <c r="E24" t="str">
        <f>"(2.89)"</f>
        <v>(2.89)</v>
      </c>
      <c r="F24" t="str">
        <f>"(1.46)"</f>
        <v>(1.46)</v>
      </c>
      <c r="G24" t="str">
        <f>"(1.24)"</f>
        <v>(1.24)</v>
      </c>
      <c r="H24" t="str">
        <f>"(2.66)"</f>
        <v>(2.66)</v>
      </c>
      <c r="I24" t="str">
        <f>"(2.13)"</f>
        <v>(2.13)</v>
      </c>
      <c r="J24" t="str">
        <f>"(-0.07)"</f>
        <v>(-0.07)</v>
      </c>
      <c r="K24" t="str">
        <f>"(-1.52)"</f>
        <v>(-1.52)</v>
      </c>
      <c r="L24" t="str">
        <f>"(0.25)"</f>
        <v>(0.25)</v>
      </c>
      <c r="M24" t="str">
        <f>"(-1.18)"</f>
        <v>(-1.18)</v>
      </c>
      <c r="N24" t="str">
        <f>"(0.28)"</f>
        <v>(0.28)</v>
      </c>
      <c r="O24" t="str">
        <f>"(0.21)"</f>
        <v>(0.21)</v>
      </c>
      <c r="P24" t="str">
        <f>"(-2.96)"</f>
        <v>(-2.96)</v>
      </c>
      <c r="Q24" t="str">
        <f>"(-3.00)"</f>
        <v>(-3.00)</v>
      </c>
      <c r="R24" t="str">
        <f>"(-3.95)"</f>
        <v>(-3.95)</v>
      </c>
      <c r="S24" t="str">
        <f>"(-2.33)"</f>
        <v>(-2.33)</v>
      </c>
    </row>
    <row r="26" spans="1:19">
      <c r="A26" t="str">
        <f>"whitepct0507"</f>
        <v>whitepct0507</v>
      </c>
      <c r="B26" t="str">
        <f>"0.726"</f>
        <v>0.726</v>
      </c>
      <c r="C26" t="str">
        <f>"1.394"</f>
        <v>1.394</v>
      </c>
      <c r="D26" t="str">
        <f>"2.461"</f>
        <v>2.461</v>
      </c>
      <c r="E26" t="str">
        <f>"2.055"</f>
        <v>2.055</v>
      </c>
      <c r="F26" t="str">
        <f>"10.78"</f>
        <v>10.78</v>
      </c>
      <c r="G26" t="str">
        <f>"10.19"</f>
        <v>10.19</v>
      </c>
      <c r="H26" t="str">
        <f>"0.707"</f>
        <v>0.707</v>
      </c>
      <c r="I26" t="str">
        <f>"3.931"</f>
        <v>3.931</v>
      </c>
      <c r="J26" t="str">
        <f>"-114.1"</f>
        <v>-114.1</v>
      </c>
      <c r="K26" t="str">
        <f>"31620.5"</f>
        <v>31620.5</v>
      </c>
      <c r="L26" t="str">
        <f>"-15031.7"</f>
        <v>-15031.7</v>
      </c>
      <c r="M26" t="str">
        <f>"9481.7"</f>
        <v>9481.7</v>
      </c>
      <c r="N26" t="str">
        <f>"-14814.6"</f>
        <v>-14814.6</v>
      </c>
      <c r="O26" t="str">
        <f>"-13697.1"</f>
        <v>-13697.1</v>
      </c>
      <c r="P26" t="str">
        <f>"-0.000644"</f>
        <v>-0.000644</v>
      </c>
      <c r="Q26" t="str">
        <f>"-0.00108"</f>
        <v>-0.00108</v>
      </c>
      <c r="R26" t="str">
        <f>"-0.00102"</f>
        <v>-0.00102</v>
      </c>
      <c r="S26" t="str">
        <f>"0.0000321"</f>
        <v>0.0000321</v>
      </c>
    </row>
    <row r="27" spans="1:19">
      <c r="A27" t="str">
        <f>""</f>
        <v/>
      </c>
      <c r="B27" t="str">
        <f>"(0.10)"</f>
        <v>(0.10)</v>
      </c>
      <c r="C27" t="str">
        <f>"(0.19)"</f>
        <v>(0.19)</v>
      </c>
      <c r="D27" t="str">
        <f>"(0.35)"</f>
        <v>(0.35)</v>
      </c>
      <c r="E27" t="str">
        <f>"(0.29)"</f>
        <v>(0.29)</v>
      </c>
      <c r="F27" t="str">
        <f>"(1.57)"</f>
        <v>(1.57)</v>
      </c>
      <c r="G27" t="str">
        <f>"(1.46)"</f>
        <v>(1.46)</v>
      </c>
      <c r="H27" t="str">
        <f>"(0.10)"</f>
        <v>(0.10)</v>
      </c>
      <c r="I27" t="str">
        <f>"(0.51)"</f>
        <v>(0.51)</v>
      </c>
      <c r="J27" t="str">
        <f>"(-0.01)"</f>
        <v>(-0.01)</v>
      </c>
      <c r="K27" t="str">
        <f>"(1.85)"</f>
        <v>(1.85)</v>
      </c>
      <c r="L27" t="str">
        <f>"(-1.17)"</f>
        <v>(-1.17)</v>
      </c>
      <c r="M27" t="str">
        <f>"(0.52)"</f>
        <v>(0.52)</v>
      </c>
      <c r="N27" t="str">
        <f>"(-1.60)"</f>
        <v>(-1.60)</v>
      </c>
      <c r="O27" t="str">
        <f>"(-1.50)"</f>
        <v>(-1.50)</v>
      </c>
      <c r="P27" t="str">
        <f>"(-0.72)"</f>
        <v>(-0.72)</v>
      </c>
      <c r="Q27" t="str">
        <f>"(-1.06)"</f>
        <v>(-1.06)</v>
      </c>
      <c r="R27" t="str">
        <f>"(-0.39)"</f>
        <v>(-0.39)</v>
      </c>
      <c r="S27" t="str">
        <f>"(0.01)"</f>
        <v>(0.01)</v>
      </c>
    </row>
    <row r="29" spans="1:19">
      <c r="A29" t="str">
        <f>"blackpct0507"</f>
        <v>blackpct0507</v>
      </c>
      <c r="B29" t="str">
        <f>"-13.99"</f>
        <v>-13.99</v>
      </c>
      <c r="C29" t="str">
        <f>"-11.98"</f>
        <v>-11.98</v>
      </c>
      <c r="D29" t="str">
        <f>"-14.73"</f>
        <v>-14.73</v>
      </c>
      <c r="E29" t="str">
        <f>"-14.21"</f>
        <v>-14.21</v>
      </c>
      <c r="F29" t="str">
        <f>"-8.567"</f>
        <v>-8.567</v>
      </c>
      <c r="G29" t="str">
        <f>"-9.625"</f>
        <v>-9.625</v>
      </c>
      <c r="H29" t="str">
        <f>"-15.90"</f>
        <v>-15.90</v>
      </c>
      <c r="I29" t="str">
        <f>"-11.25"</f>
        <v>-11.25</v>
      </c>
      <c r="J29" t="str">
        <f>"15619.1"</f>
        <v>15619.1</v>
      </c>
      <c r="K29" t="str">
        <f>"29561.4"</f>
        <v>29561.4</v>
      </c>
      <c r="L29" t="str">
        <f>"4618.0"</f>
        <v>4618.0</v>
      </c>
      <c r="M29" t="str">
        <f>"7419.0"</f>
        <v>7419.0</v>
      </c>
      <c r="N29" t="str">
        <f>"4799.8"</f>
        <v>4799.8</v>
      </c>
      <c r="O29" t="str">
        <f>"5074.3"</f>
        <v>5074.3</v>
      </c>
      <c r="P29" t="str">
        <f>"-0.00112"</f>
        <v>-0.00112</v>
      </c>
      <c r="Q29" t="str">
        <f>"0.0000924"</f>
        <v>0.0000924</v>
      </c>
      <c r="R29" t="str">
        <f>"-0.00328"</f>
        <v>-0.00328</v>
      </c>
      <c r="S29" t="str">
        <f>"-0.00620"</f>
        <v>-0.00620</v>
      </c>
    </row>
    <row r="30" spans="1:19">
      <c r="A30" t="str">
        <f>""</f>
        <v/>
      </c>
      <c r="B30" t="str">
        <f>"(-1.72)"</f>
        <v>(-1.72)</v>
      </c>
      <c r="C30" t="str">
        <f>"(-1.46)"</f>
        <v>(-1.46)</v>
      </c>
      <c r="D30" t="str">
        <f>"(-1.86)"</f>
        <v>(-1.86)</v>
      </c>
      <c r="E30" t="str">
        <f>"(-1.82)"</f>
        <v>(-1.82)</v>
      </c>
      <c r="F30" t="str">
        <f>"(-1.11)"</f>
        <v>(-1.11)</v>
      </c>
      <c r="G30" t="str">
        <f>"(-1.23)"</f>
        <v>(-1.23)</v>
      </c>
      <c r="H30" t="str">
        <f>"(-1.99)"</f>
        <v>(-1.99)</v>
      </c>
      <c r="I30" t="str">
        <f>"(-1.30)"</f>
        <v>(-1.30)</v>
      </c>
      <c r="J30" t="str">
        <f>"(1.17)"</f>
        <v>(1.17)</v>
      </c>
      <c r="K30" t="str">
        <f>"(1.58)"</f>
        <v>(1.58)</v>
      </c>
      <c r="L30" t="str">
        <f>"(0.32)"</f>
        <v>(0.32)</v>
      </c>
      <c r="M30" t="str">
        <f>"(0.36)"</f>
        <v>(0.36)</v>
      </c>
      <c r="N30" t="str">
        <f>"(0.46)"</f>
        <v>(0.46)</v>
      </c>
      <c r="O30" t="str">
        <f>"(0.49)"</f>
        <v>(0.49)</v>
      </c>
      <c r="P30" t="str">
        <f>"(-1.10)"</f>
        <v>(-1.10)</v>
      </c>
      <c r="Q30" t="str">
        <f>"(0.06)"</f>
        <v>(0.06)</v>
      </c>
      <c r="R30" t="str">
        <f>"(-1.12)"</f>
        <v>(-1.12)</v>
      </c>
      <c r="S30" t="str">
        <f>"(-1.55)"</f>
        <v>(-1.55)</v>
      </c>
    </row>
    <row r="32" spans="1:19">
      <c r="A32" t="str">
        <f>"hisppct0507"</f>
        <v>hisppct0507</v>
      </c>
      <c r="B32" t="str">
        <f>"-5.813"</f>
        <v>-5.813</v>
      </c>
      <c r="C32" t="str">
        <f>"-2.497"</f>
        <v>-2.497</v>
      </c>
      <c r="D32" t="str">
        <f>"-3.397"</f>
        <v>-3.397</v>
      </c>
      <c r="E32" t="str">
        <f>"-2.039"</f>
        <v>-2.039</v>
      </c>
      <c r="F32" t="str">
        <f>"-8.572"</f>
        <v>-8.572</v>
      </c>
      <c r="G32" t="str">
        <f>"-6.605"</f>
        <v>-6.605</v>
      </c>
      <c r="H32" t="str">
        <f>"-3.876"</f>
        <v>-3.876</v>
      </c>
      <c r="I32" t="str">
        <f>"1.711"</f>
        <v>1.711</v>
      </c>
      <c r="J32" t="str">
        <f>"21619.2"</f>
        <v>21619.2</v>
      </c>
      <c r="K32" t="str">
        <f>"33804.3"</f>
        <v>33804.3</v>
      </c>
      <c r="L32" t="str">
        <f>"13857.4"</f>
        <v>13857.4</v>
      </c>
      <c r="M32" t="str">
        <f>"22415.5"</f>
        <v>22415.5</v>
      </c>
      <c r="N32" t="str">
        <f>"21148.7"</f>
        <v>21148.7</v>
      </c>
      <c r="O32" t="str">
        <f>"20867.4"</f>
        <v>20867.4</v>
      </c>
      <c r="P32" t="str">
        <f>"-0.00215"</f>
        <v>-0.00215</v>
      </c>
      <c r="Q32" t="str">
        <f>"-0.00148"</f>
        <v>-0.00148</v>
      </c>
      <c r="R32" t="str">
        <f>"-0.00781"</f>
        <v>-0.00781</v>
      </c>
      <c r="S32" t="str">
        <f>"-0.00941"</f>
        <v>-0.00941</v>
      </c>
    </row>
    <row r="33" spans="1:19">
      <c r="A33" t="str">
        <f>""</f>
        <v/>
      </c>
      <c r="B33" t="str">
        <f>"(-1.00)"</f>
        <v>(-1.00)</v>
      </c>
      <c r="C33" t="str">
        <f>"(-0.42)"</f>
        <v>(-0.42)</v>
      </c>
      <c r="D33" t="str">
        <f>"(-0.57)"</f>
        <v>(-0.57)</v>
      </c>
      <c r="E33" t="str">
        <f>"(-0.35)"</f>
        <v>(-0.35)</v>
      </c>
      <c r="F33" t="str">
        <f>"(-1.52)"</f>
        <v>(-1.52)</v>
      </c>
      <c r="G33" t="str">
        <f>"(-1.15)"</f>
        <v>(-1.15)</v>
      </c>
      <c r="H33" t="str">
        <f>"(-0.68)"</f>
        <v>(-0.68)</v>
      </c>
      <c r="I33" t="str">
        <f>"(0.27)"</f>
        <v>(0.27)</v>
      </c>
      <c r="J33" t="str">
        <f>"(2.32)"</f>
        <v>(2.32)</v>
      </c>
      <c r="K33" t="str">
        <f>"(2.59)"</f>
        <v>(2.59)</v>
      </c>
      <c r="L33" t="str">
        <f>"(1.37)"</f>
        <v>(1.37)</v>
      </c>
      <c r="M33" t="str">
        <f>"(1.56)"</f>
        <v>(1.56)</v>
      </c>
      <c r="N33" t="str">
        <f>"(2.73)"</f>
        <v>(2.73)</v>
      </c>
      <c r="O33" t="str">
        <f>"(2.74)"</f>
        <v>(2.74)</v>
      </c>
      <c r="P33" t="str">
        <f>"(-3.04)"</f>
        <v>(-3.04)</v>
      </c>
      <c r="Q33" t="str">
        <f>"(-1.63)"</f>
        <v>(-1.63)</v>
      </c>
      <c r="R33" t="str">
        <f>"(-3.82)"</f>
        <v>(-3.82)</v>
      </c>
      <c r="S33" t="str">
        <f>"(-3.67)"</f>
        <v>(-3.67)</v>
      </c>
    </row>
    <row r="35" spans="1:19">
      <c r="A35" t="str">
        <f>"medhhinc0507"</f>
        <v>medhhinc0507</v>
      </c>
      <c r="B35" t="str">
        <f>"0.0508"</f>
        <v>0.0508</v>
      </c>
      <c r="C35" t="str">
        <f>"0.0513"</f>
        <v>0.0513</v>
      </c>
      <c r="D35" t="str">
        <f>"0.0425"</f>
        <v>0.0425</v>
      </c>
      <c r="E35" t="str">
        <f>"0.0438"</f>
        <v>0.0438</v>
      </c>
      <c r="F35" t="str">
        <f>"0.0395"</f>
        <v>0.0395</v>
      </c>
      <c r="G35" t="str">
        <f>"0.0332"</f>
        <v>0.0332</v>
      </c>
      <c r="H35" t="str">
        <f>"0.0378"</f>
        <v>0.0378</v>
      </c>
      <c r="I35" t="str">
        <f>"0.0403"</f>
        <v>0.0403</v>
      </c>
      <c r="J35" t="str">
        <f>"11.11"</f>
        <v>11.11</v>
      </c>
      <c r="K35" t="str">
        <f>"-40.34"</f>
        <v>-40.34</v>
      </c>
      <c r="L35" t="str">
        <f>"5.028"</f>
        <v>5.028</v>
      </c>
      <c r="M35" t="str">
        <f>"-64.84"</f>
        <v>-64.84</v>
      </c>
      <c r="N35" t="str">
        <f>"9.193"</f>
        <v>9.193</v>
      </c>
      <c r="O35" t="str">
        <f>"10.04"</f>
        <v>10.04</v>
      </c>
      <c r="P35" t="str">
        <f>"0.0000137"</f>
        <v>0.0000137</v>
      </c>
      <c r="Q35" t="str">
        <f>"0.0000118"</f>
        <v>0.0000118</v>
      </c>
      <c r="R35" t="str">
        <f>"0.0000180"</f>
        <v>0.0000180</v>
      </c>
      <c r="S35" t="str">
        <f>"0.0000226"</f>
        <v>0.0000226</v>
      </c>
    </row>
    <row r="36" spans="1:19">
      <c r="A36" t="str">
        <f>""</f>
        <v/>
      </c>
      <c r="B36" t="str">
        <f>"(5.31)"</f>
        <v>(5.31)</v>
      </c>
      <c r="C36" t="str">
        <f>"(5.28)"</f>
        <v>(5.28)</v>
      </c>
      <c r="D36" t="str">
        <f>"(4.15)"</f>
        <v>(4.15)</v>
      </c>
      <c r="E36" t="str">
        <f>"(4.32)"</f>
        <v>(4.32)</v>
      </c>
      <c r="F36" t="str">
        <f>"(4.20)"</f>
        <v>(4.20)</v>
      </c>
      <c r="G36" t="str">
        <f>"(3.41)"</f>
        <v>(3.41)</v>
      </c>
      <c r="H36" t="str">
        <f>"(3.80)"</f>
        <v>(3.80)</v>
      </c>
      <c r="I36" t="str">
        <f>"(3.77)"</f>
        <v>(3.77)</v>
      </c>
      <c r="J36" t="str">
        <f>"(0.71)"</f>
        <v>(0.71)</v>
      </c>
      <c r="K36" t="str">
        <f>"(-1.78)"</f>
        <v>(-1.78)</v>
      </c>
      <c r="L36" t="str">
        <f>"(0.31)"</f>
        <v>(0.31)</v>
      </c>
      <c r="M36" t="str">
        <f>"(-2.87)"</f>
        <v>(-2.87)</v>
      </c>
      <c r="N36" t="str">
        <f>"(0.71)"</f>
        <v>(0.71)</v>
      </c>
      <c r="O36" t="str">
        <f>"(0.78)"</f>
        <v>(0.78)</v>
      </c>
      <c r="P36" t="str">
        <f>"(10.98)"</f>
        <v>(10.98)</v>
      </c>
      <c r="Q36" t="str">
        <f>"(5.95)"</f>
        <v>(5.95)</v>
      </c>
      <c r="R36" t="str">
        <f>"(4.98)"</f>
        <v>(4.98)</v>
      </c>
      <c r="S36" t="str">
        <f>"(4.06)"</f>
        <v>(4.06)</v>
      </c>
    </row>
    <row r="38" spans="1:19">
      <c r="A38" t="str">
        <f>"oohmedval0507"</f>
        <v>oohmedval0507</v>
      </c>
      <c r="B38" t="str">
        <f>"-0.00196"</f>
        <v>-0.00196</v>
      </c>
      <c r="C38" t="str">
        <f>"-0.00195"</f>
        <v>-0.00195</v>
      </c>
      <c r="D38" t="str">
        <f>"-0.00164"</f>
        <v>-0.00164</v>
      </c>
      <c r="E38" t="str">
        <f>"-0.00172"</f>
        <v>-0.00172</v>
      </c>
      <c r="F38" t="str">
        <f>"-0.00172"</f>
        <v>-0.00172</v>
      </c>
      <c r="G38" t="str">
        <f>"-0.00169"</f>
        <v>-0.00169</v>
      </c>
      <c r="H38" t="str">
        <f>"-0.00157"</f>
        <v>-0.00157</v>
      </c>
      <c r="I38" t="str">
        <f>"-0.00223"</f>
        <v>-0.00223</v>
      </c>
      <c r="J38" t="str">
        <f>"-1.171"</f>
        <v>-1.171</v>
      </c>
      <c r="K38" t="str">
        <f>"-2.602"</f>
        <v>-2.602</v>
      </c>
      <c r="L38" t="str">
        <f>"-0.205"</f>
        <v>-0.205</v>
      </c>
      <c r="M38" t="str">
        <f>"-0.505"</f>
        <v>-0.505</v>
      </c>
      <c r="N38" t="str">
        <f>"0.0544"</f>
        <v>0.0544</v>
      </c>
      <c r="O38" t="str">
        <f>"-0.0947"</f>
        <v>-0.0947</v>
      </c>
      <c r="P38" t="str">
        <f>"-0.000000169"</f>
        <v>-0.000000169</v>
      </c>
      <c r="Q38" t="str">
        <f>"-0.000000101"</f>
        <v>-0.000000101</v>
      </c>
      <c r="R38" t="str">
        <f>"-0.000000450"</f>
        <v>-0.000000450</v>
      </c>
      <c r="S38" t="str">
        <f>"-0.000000614"</f>
        <v>-0.000000614</v>
      </c>
    </row>
    <row r="39" spans="1:19">
      <c r="A39" t="str">
        <f>""</f>
        <v/>
      </c>
      <c r="B39" t="str">
        <f>"(-3.01)"</f>
        <v>(-3.01)</v>
      </c>
      <c r="C39" t="str">
        <f>"(-2.96)"</f>
        <v>(-2.96)</v>
      </c>
      <c r="D39" t="str">
        <f>"(-2.54)"</f>
        <v>(-2.54)</v>
      </c>
      <c r="E39" t="str">
        <f>"(-2.69)"</f>
        <v>(-2.69)</v>
      </c>
      <c r="F39" t="str">
        <f>"(-2.87)"</f>
        <v>(-2.87)</v>
      </c>
      <c r="G39" t="str">
        <f>"(-2.76)"</f>
        <v>(-2.76)</v>
      </c>
      <c r="H39" t="str">
        <f>"(-2.44)"</f>
        <v>(-2.44)</v>
      </c>
      <c r="I39" t="str">
        <f>"(-3.12)"</f>
        <v>(-3.12)</v>
      </c>
      <c r="J39" t="str">
        <f>"(-1.13)"</f>
        <v>(-1.13)</v>
      </c>
      <c r="K39" t="str">
        <f>"(-1.80)"</f>
        <v>(-1.80)</v>
      </c>
      <c r="L39" t="str">
        <f>"(-0.19)"</f>
        <v>(-0.19)</v>
      </c>
      <c r="M39" t="str">
        <f>"(-0.32)"</f>
        <v>(-0.32)</v>
      </c>
      <c r="N39" t="str">
        <f>"(0.06)"</f>
        <v>(0.06)</v>
      </c>
      <c r="O39" t="str">
        <f>"(-0.11)"</f>
        <v>(-0.11)</v>
      </c>
      <c r="P39" t="str">
        <f>"(-2.15)"</f>
        <v>(-2.15)</v>
      </c>
      <c r="Q39" t="str">
        <f>"(-1.02)"</f>
        <v>(-1.02)</v>
      </c>
      <c r="R39" t="str">
        <f>"(-1.98)"</f>
        <v>(-1.98)</v>
      </c>
      <c r="S39" t="str">
        <f>"(-2.20)"</f>
        <v>(-2.20)</v>
      </c>
    </row>
    <row r="41" spans="1:19">
      <c r="A41" t="str">
        <f>"railrevmiles"</f>
        <v>railrevmiles</v>
      </c>
      <c r="B41" t="str">
        <f>""</f>
        <v/>
      </c>
      <c r="C41" t="str">
        <f>""</f>
        <v/>
      </c>
      <c r="D41" t="str">
        <f>"0.0000503"</f>
        <v>0.0000503</v>
      </c>
      <c r="E41" t="str">
        <f>"0.0000831"</f>
        <v>0.0000831</v>
      </c>
      <c r="F41" t="str">
        <f>""</f>
        <v/>
      </c>
      <c r="G41" t="str">
        <f>""</f>
        <v/>
      </c>
      <c r="H41" t="str">
        <f>""</f>
        <v/>
      </c>
      <c r="I41" t="str">
        <f>""</f>
        <v/>
      </c>
      <c r="J41" t="str">
        <f>""</f>
        <v/>
      </c>
      <c r="K41" t="str">
        <f>""</f>
        <v/>
      </c>
      <c r="L41" t="str">
        <f>""</f>
        <v/>
      </c>
      <c r="M41" t="str">
        <f>""</f>
        <v/>
      </c>
      <c r="N41" t="str">
        <f>"0.264"</f>
        <v>0.264</v>
      </c>
      <c r="O41" t="str">
        <f>"0.287"</f>
        <v>0.287</v>
      </c>
      <c r="P41" t="str">
        <f>""</f>
        <v/>
      </c>
      <c r="Q41" t="str">
        <f>""</f>
        <v/>
      </c>
      <c r="R41" t="str">
        <f>""</f>
        <v/>
      </c>
      <c r="S41" t="str">
        <f>""</f>
        <v/>
      </c>
    </row>
    <row r="42" spans="1:19">
      <c r="A42" t="str">
        <f>""</f>
        <v/>
      </c>
      <c r="B42" t="str">
        <f>""</f>
        <v/>
      </c>
      <c r="C42" t="str">
        <f>""</f>
        <v/>
      </c>
      <c r="D42" t="str">
        <f>"(3.31)"</f>
        <v>(3.31)</v>
      </c>
      <c r="E42" t="str">
        <f>"(4.23)"</f>
        <v>(4.23)</v>
      </c>
      <c r="F42" t="str">
        <f>""</f>
        <v/>
      </c>
      <c r="G42" t="str">
        <f>""</f>
        <v/>
      </c>
      <c r="H42" t="str">
        <f>""</f>
        <v/>
      </c>
      <c r="I42" t="str">
        <f>""</f>
        <v/>
      </c>
      <c r="J42" t="str">
        <f>""</f>
        <v/>
      </c>
      <c r="K42" t="str">
        <f>""</f>
        <v/>
      </c>
      <c r="L42" t="str">
        <f>""</f>
        <v/>
      </c>
      <c r="M42" t="str">
        <f>""</f>
        <v/>
      </c>
      <c r="N42" t="str">
        <f>"(20.49)"</f>
        <v>(20.49)</v>
      </c>
      <c r="O42" t="str">
        <f>"(20.23)"</f>
        <v>(20.23)</v>
      </c>
      <c r="P42" t="str">
        <f>""</f>
        <v/>
      </c>
      <c r="Q42" t="str">
        <f>""</f>
        <v/>
      </c>
      <c r="R42" t="str">
        <f>""</f>
        <v/>
      </c>
      <c r="S42" t="str">
        <f>""</f>
        <v/>
      </c>
    </row>
    <row r="44" spans="1:19">
      <c r="A44" t="str">
        <f>"freeartsqm"</f>
        <v>freeartsqm</v>
      </c>
      <c r="B44" t="str">
        <f>""</f>
        <v/>
      </c>
      <c r="C44" t="str">
        <f>""</f>
        <v/>
      </c>
      <c r="D44" t="str">
        <f>"1399.2"</f>
        <v>1399.2</v>
      </c>
      <c r="E44" t="str">
        <f>"1442.4"</f>
        <v>1442.4</v>
      </c>
      <c r="F44" t="str">
        <f>""</f>
        <v/>
      </c>
      <c r="G44" t="str">
        <f>""</f>
        <v/>
      </c>
      <c r="H44" t="str">
        <f>"1265.2"</f>
        <v>1265.2</v>
      </c>
      <c r="I44" t="str">
        <f>"912.6"</f>
        <v>912.6</v>
      </c>
      <c r="J44" t="str">
        <f>""</f>
        <v/>
      </c>
      <c r="K44" t="str">
        <f>""</f>
        <v/>
      </c>
      <c r="L44" t="str">
        <f>""</f>
        <v/>
      </c>
      <c r="M44" t="str">
        <f>""</f>
        <v/>
      </c>
      <c r="N44" t="str">
        <f>"2991103.5"</f>
        <v>2991103.5</v>
      </c>
      <c r="O44" t="str">
        <f>"2673313.5"</f>
        <v>2673313.5</v>
      </c>
      <c r="P44" t="str">
        <f>""</f>
        <v/>
      </c>
      <c r="Q44" t="str">
        <f>""</f>
        <v/>
      </c>
      <c r="R44" t="str">
        <f>""</f>
        <v/>
      </c>
      <c r="S44" t="str">
        <f>""</f>
        <v/>
      </c>
    </row>
    <row r="45" spans="1:19">
      <c r="A45" t="str">
        <f>""</f>
        <v/>
      </c>
      <c r="B45" t="str">
        <f>""</f>
        <v/>
      </c>
      <c r="C45" t="str">
        <f>""</f>
        <v/>
      </c>
      <c r="D45" t="str">
        <f>"(3.22)"</f>
        <v>(3.22)</v>
      </c>
      <c r="E45" t="str">
        <f>"(3.36)"</f>
        <v>(3.36)</v>
      </c>
      <c r="F45" t="str">
        <f>""</f>
        <v/>
      </c>
      <c r="G45" t="str">
        <f>""</f>
        <v/>
      </c>
      <c r="H45" t="str">
        <f>"(3.08)"</f>
        <v>(3.08)</v>
      </c>
      <c r="I45" t="str">
        <f>"(2.03)"</f>
        <v>(2.03)</v>
      </c>
      <c r="J45" t="str">
        <f>""</f>
        <v/>
      </c>
      <c r="K45" t="str">
        <f>""</f>
        <v/>
      </c>
      <c r="L45" t="str">
        <f>""</f>
        <v/>
      </c>
      <c r="M45" t="str">
        <f>""</f>
        <v/>
      </c>
      <c r="N45" t="str">
        <f>"(5.57)"</f>
        <v>(5.57)</v>
      </c>
      <c r="O45" t="str">
        <f>"(4.99)"</f>
        <v>(4.99)</v>
      </c>
      <c r="P45" t="str">
        <f>""</f>
        <v/>
      </c>
      <c r="Q45" t="str">
        <f>""</f>
        <v/>
      </c>
      <c r="R45" t="str">
        <f>""</f>
        <v/>
      </c>
      <c r="S45" t="str">
        <f>""</f>
        <v/>
      </c>
    </row>
    <row r="47" spans="1:19">
      <c r="A47" t="str">
        <f>"railseatcappc"</f>
        <v>railseatcappc</v>
      </c>
      <c r="B47" t="str">
        <f>""</f>
        <v/>
      </c>
      <c r="C47" t="str">
        <f>""</f>
        <v/>
      </c>
      <c r="D47" t="str">
        <f>""</f>
        <v/>
      </c>
      <c r="E47" t="str">
        <f>""</f>
        <v/>
      </c>
      <c r="F47" t="str">
        <f>"41410.0"</f>
        <v>41410.0</v>
      </c>
      <c r="G47" t="str">
        <f>"129861.3"</f>
        <v>129861.3</v>
      </c>
      <c r="H47" t="str">
        <f>""</f>
        <v/>
      </c>
      <c r="I47" t="str">
        <f>""</f>
        <v/>
      </c>
      <c r="J47" t="str">
        <f>""</f>
        <v/>
      </c>
      <c r="K47" t="str">
        <f>""</f>
        <v/>
      </c>
      <c r="L47" t="str">
        <f>""</f>
        <v/>
      </c>
      <c r="M47" t="str">
        <f>""</f>
        <v/>
      </c>
      <c r="N47" t="str">
        <f>""</f>
        <v/>
      </c>
      <c r="O47" t="str">
        <f>""</f>
        <v/>
      </c>
      <c r="P47" t="str">
        <f>""</f>
        <v/>
      </c>
      <c r="Q47" t="str">
        <f>""</f>
        <v/>
      </c>
      <c r="R47" t="str">
        <f>""</f>
        <v/>
      </c>
      <c r="S47" t="str">
        <f>""</f>
        <v/>
      </c>
    </row>
    <row r="48" spans="1:19">
      <c r="A48" t="str">
        <f>""</f>
        <v/>
      </c>
      <c r="B48" t="str">
        <f>""</f>
        <v/>
      </c>
      <c r="C48" t="str">
        <f>""</f>
        <v/>
      </c>
      <c r="D48" t="str">
        <f>""</f>
        <v/>
      </c>
      <c r="E48" t="str">
        <f>""</f>
        <v/>
      </c>
      <c r="F48" t="str">
        <f>"(2.27)"</f>
        <v>(2.27)</v>
      </c>
      <c r="G48" t="str">
        <f>"(3.91)"</f>
        <v>(3.91)</v>
      </c>
      <c r="H48" t="str">
        <f>""</f>
        <v/>
      </c>
      <c r="I48" t="str">
        <f>""</f>
        <v/>
      </c>
      <c r="J48" t="str">
        <f>""</f>
        <v/>
      </c>
      <c r="K48" t="str">
        <f>""</f>
        <v/>
      </c>
      <c r="L48" t="str">
        <f>""</f>
        <v/>
      </c>
      <c r="M48" t="str">
        <f>""</f>
        <v/>
      </c>
      <c r="N48" t="str">
        <f>""</f>
        <v/>
      </c>
      <c r="O48" t="str">
        <f>""</f>
        <v/>
      </c>
      <c r="P48" t="str">
        <f>""</f>
        <v/>
      </c>
      <c r="Q48" t="str">
        <f>""</f>
        <v/>
      </c>
      <c r="R48" t="str">
        <f>""</f>
        <v/>
      </c>
      <c r="S48" t="str">
        <f>""</f>
        <v/>
      </c>
    </row>
    <row r="50" spans="1:19">
      <c r="A50" t="str">
        <f>"MBseatpc"</f>
        <v>MBseatpc</v>
      </c>
      <c r="B50" t="str">
        <f>""</f>
        <v/>
      </c>
      <c r="C50" t="str">
        <f>""</f>
        <v/>
      </c>
      <c r="D50" t="str">
        <f>""</f>
        <v/>
      </c>
      <c r="E50" t="str">
        <f>""</f>
        <v/>
      </c>
      <c r="F50" t="str">
        <f>"63709.2"</f>
        <v>63709.2</v>
      </c>
      <c r="G50" t="str">
        <f>"57130.9"</f>
        <v>57130.9</v>
      </c>
      <c r="H50" t="str">
        <f>""</f>
        <v/>
      </c>
      <c r="I50" t="str">
        <f>""</f>
        <v/>
      </c>
      <c r="J50" t="str">
        <f>""</f>
        <v/>
      </c>
      <c r="K50" t="str">
        <f>""</f>
        <v/>
      </c>
      <c r="L50" t="str">
        <f>""</f>
        <v/>
      </c>
      <c r="M50" t="str">
        <f>""</f>
        <v/>
      </c>
      <c r="N50" t="str">
        <f>""</f>
        <v/>
      </c>
      <c r="O50" t="str">
        <f>""</f>
        <v/>
      </c>
      <c r="P50" t="str">
        <f>""</f>
        <v/>
      </c>
      <c r="Q50" t="str">
        <f>""</f>
        <v/>
      </c>
      <c r="R50" t="str">
        <f>""</f>
        <v/>
      </c>
      <c r="S50" t="str">
        <f>""</f>
        <v/>
      </c>
    </row>
    <row r="51" spans="1:19">
      <c r="A51" t="str">
        <f>""</f>
        <v/>
      </c>
      <c r="B51" t="str">
        <f>""</f>
        <v/>
      </c>
      <c r="C51" t="str">
        <f>""</f>
        <v/>
      </c>
      <c r="D51" t="str">
        <f>""</f>
        <v/>
      </c>
      <c r="E51" t="str">
        <f>""</f>
        <v/>
      </c>
      <c r="F51" t="str">
        <f>"(6.27)"</f>
        <v>(6.27)</v>
      </c>
      <c r="G51" t="str">
        <f>"(5.43)"</f>
        <v>(5.43)</v>
      </c>
      <c r="H51" t="str">
        <f>""</f>
        <v/>
      </c>
      <c r="I51" t="str">
        <f>""</f>
        <v/>
      </c>
      <c r="J51" t="str">
        <f>""</f>
        <v/>
      </c>
      <c r="K51" t="str">
        <f>""</f>
        <v/>
      </c>
      <c r="L51" t="str">
        <f>""</f>
        <v/>
      </c>
      <c r="M51" t="str">
        <f>""</f>
        <v/>
      </c>
      <c r="N51" t="str">
        <f>""</f>
        <v/>
      </c>
      <c r="O51" t="str">
        <f>""</f>
        <v/>
      </c>
      <c r="P51" t="str">
        <f>""</f>
        <v/>
      </c>
      <c r="Q51" t="str">
        <f>""</f>
        <v/>
      </c>
      <c r="R51" t="str">
        <f>""</f>
        <v/>
      </c>
      <c r="S51" t="str">
        <f>""</f>
        <v/>
      </c>
    </row>
    <row r="53" spans="1:19">
      <c r="A53" t="str">
        <f>"freeartpc"</f>
        <v>freeartpc</v>
      </c>
      <c r="B53" t="str">
        <f>""</f>
        <v/>
      </c>
      <c r="C53" t="str">
        <f>""</f>
        <v/>
      </c>
      <c r="D53" t="str">
        <f>""</f>
        <v/>
      </c>
      <c r="E53" t="str">
        <f>""</f>
        <v/>
      </c>
      <c r="F53" t="str">
        <f>"-123935.7"</f>
        <v>-123935.7</v>
      </c>
      <c r="G53" t="str">
        <f>"-146804.4"</f>
        <v>-146804.4</v>
      </c>
      <c r="H53" t="str">
        <f>""</f>
        <v/>
      </c>
      <c r="I53" t="str">
        <f>""</f>
        <v/>
      </c>
      <c r="J53" t="str">
        <f>""</f>
        <v/>
      </c>
      <c r="K53" t="str">
        <f>""</f>
        <v/>
      </c>
      <c r="L53" t="str">
        <f>"-264958992.7"</f>
        <v>-264958992.7</v>
      </c>
      <c r="M53" t="str">
        <f>"-175960292.8"</f>
        <v>-175960292.8</v>
      </c>
      <c r="N53" t="str">
        <f>""</f>
        <v/>
      </c>
      <c r="O53" t="str">
        <f>""</f>
        <v/>
      </c>
      <c r="P53" t="str">
        <f>""</f>
        <v/>
      </c>
      <c r="Q53" t="str">
        <f>""</f>
        <v/>
      </c>
      <c r="R53" t="str">
        <f>""</f>
        <v/>
      </c>
      <c r="S53" t="str">
        <f>""</f>
        <v/>
      </c>
    </row>
    <row r="54" spans="1:19">
      <c r="A54" t="str">
        <f>""</f>
        <v/>
      </c>
      <c r="B54" t="str">
        <f>""</f>
        <v/>
      </c>
      <c r="C54" t="str">
        <f>""</f>
        <v/>
      </c>
      <c r="D54" t="str">
        <f>""</f>
        <v/>
      </c>
      <c r="E54" t="str">
        <f>""</f>
        <v/>
      </c>
      <c r="F54" t="str">
        <f>"(-2.64)"</f>
        <v>(-2.64)</v>
      </c>
      <c r="G54" t="str">
        <f>"(-3.05)"</f>
        <v>(-3.05)</v>
      </c>
      <c r="H54" t="str">
        <f>""</f>
        <v/>
      </c>
      <c r="I54" t="str">
        <f>""</f>
        <v/>
      </c>
      <c r="J54" t="str">
        <f>""</f>
        <v/>
      </c>
      <c r="K54" t="str">
        <f>""</f>
        <v/>
      </c>
      <c r="L54" t="str">
        <f>"(-3.03)"</f>
        <v>(-3.03)</v>
      </c>
      <c r="M54" t="str">
        <f>"(-1.41)"</f>
        <v>(-1.41)</v>
      </c>
      <c r="N54" t="str">
        <f>""</f>
        <v/>
      </c>
      <c r="O54" t="str">
        <f>""</f>
        <v/>
      </c>
      <c r="P54" t="str">
        <f>""</f>
        <v/>
      </c>
      <c r="Q54" t="str">
        <f>""</f>
        <v/>
      </c>
      <c r="R54" t="str">
        <f>""</f>
        <v/>
      </c>
      <c r="S54" t="str">
        <f>""</f>
        <v/>
      </c>
    </row>
    <row r="56" spans="1:19">
      <c r="A56" t="str">
        <f>"aptasqmiles"</f>
        <v>aptasqmiles</v>
      </c>
      <c r="B56" t="str">
        <f>""</f>
        <v/>
      </c>
      <c r="C56" t="str">
        <f>""</f>
        <v/>
      </c>
      <c r="D56" t="str">
        <f>""</f>
        <v/>
      </c>
      <c r="E56" t="str">
        <f>""</f>
        <v/>
      </c>
      <c r="F56" t="str">
        <f>""</f>
        <v/>
      </c>
      <c r="G56" t="str">
        <f>""</f>
        <v/>
      </c>
      <c r="H56" t="str">
        <f>"9931.3"</f>
        <v>9931.3</v>
      </c>
      <c r="I56" t="str">
        <f>"46120.0"</f>
        <v>46120.0</v>
      </c>
      <c r="J56" t="str">
        <f>""</f>
        <v/>
      </c>
      <c r="K56" t="str">
        <f>""</f>
        <v/>
      </c>
      <c r="L56" t="str">
        <f>""</f>
        <v/>
      </c>
      <c r="M56" t="str">
        <f>""</f>
        <v/>
      </c>
      <c r="N56" t="str">
        <f>""</f>
        <v/>
      </c>
      <c r="O56" t="str">
        <f>""</f>
        <v/>
      </c>
      <c r="P56" t="str">
        <f>""</f>
        <v/>
      </c>
      <c r="Q56" t="str">
        <f>""</f>
        <v/>
      </c>
      <c r="R56" t="str">
        <f>""</f>
        <v/>
      </c>
      <c r="S56" t="str">
        <f>""</f>
        <v/>
      </c>
    </row>
    <row r="57" spans="1:19">
      <c r="A57" t="str">
        <f>""</f>
        <v/>
      </c>
      <c r="B57" t="str">
        <f>""</f>
        <v/>
      </c>
      <c r="C57" t="str">
        <f>""</f>
        <v/>
      </c>
      <c r="D57" t="str">
        <f>""</f>
        <v/>
      </c>
      <c r="E57" t="str">
        <f>""</f>
        <v/>
      </c>
      <c r="F57" t="str">
        <f>""</f>
        <v/>
      </c>
      <c r="G57" t="str">
        <f>""</f>
        <v/>
      </c>
      <c r="H57" t="str">
        <f>"(2.06)"</f>
        <v>(2.06)</v>
      </c>
      <c r="I57" t="str">
        <f>"(3.96)"</f>
        <v>(3.96)</v>
      </c>
      <c r="J57" t="str">
        <f>""</f>
        <v/>
      </c>
      <c r="K57" t="str">
        <f>""</f>
        <v/>
      </c>
      <c r="L57" t="str">
        <f>""</f>
        <v/>
      </c>
      <c r="M57" t="str">
        <f>""</f>
        <v/>
      </c>
      <c r="N57" t="str">
        <f>""</f>
        <v/>
      </c>
      <c r="O57" t="str">
        <f>""</f>
        <v/>
      </c>
      <c r="P57" t="str">
        <f>""</f>
        <v/>
      </c>
      <c r="Q57" t="str">
        <f>""</f>
        <v/>
      </c>
      <c r="R57" t="str">
        <f>""</f>
        <v/>
      </c>
      <c r="S57" t="str">
        <f>""</f>
        <v/>
      </c>
    </row>
    <row r="59" spans="1:19">
      <c r="A59" t="str">
        <f>"aptauza"</f>
        <v>aptauza</v>
      </c>
      <c r="B59" t="str">
        <f>""</f>
        <v/>
      </c>
      <c r="C59" t="str">
        <f>""</f>
        <v/>
      </c>
      <c r="D59" t="str">
        <f>""</f>
        <v/>
      </c>
      <c r="E59" t="str">
        <f>""</f>
        <v/>
      </c>
      <c r="F59" t="str">
        <f>""</f>
        <v/>
      </c>
      <c r="G59" t="str">
        <f>""</f>
        <v/>
      </c>
      <c r="H59" t="str">
        <f>""</f>
        <v/>
      </c>
      <c r="I59" t="str">
        <f>""</f>
        <v/>
      </c>
      <c r="J59" t="str">
        <f>"22718912.2"</f>
        <v>22718912.2</v>
      </c>
      <c r="K59" t="str">
        <f>"50652398.2"</f>
        <v>50652398.2</v>
      </c>
      <c r="L59" t="str">
        <f>""</f>
        <v/>
      </c>
      <c r="M59" t="str">
        <f>""</f>
        <v/>
      </c>
      <c r="N59" t="str">
        <f>""</f>
        <v/>
      </c>
      <c r="O59" t="str">
        <f>""</f>
        <v/>
      </c>
      <c r="P59" t="str">
        <f>""</f>
        <v/>
      </c>
      <c r="Q59" t="str">
        <f>""</f>
        <v/>
      </c>
      <c r="R59" t="str">
        <f>""</f>
        <v/>
      </c>
      <c r="S59" t="str">
        <f>""</f>
        <v/>
      </c>
    </row>
    <row r="60" spans="1:19">
      <c r="A60" t="str">
        <f>""</f>
        <v/>
      </c>
      <c r="B60" t="str">
        <f>""</f>
        <v/>
      </c>
      <c r="C60" t="str">
        <f>""</f>
        <v/>
      </c>
      <c r="D60" t="str">
        <f>""</f>
        <v/>
      </c>
      <c r="E60" t="str">
        <f>""</f>
        <v/>
      </c>
      <c r="F60" t="str">
        <f>""</f>
        <v/>
      </c>
      <c r="G60" t="str">
        <f>""</f>
        <v/>
      </c>
      <c r="H60" t="str">
        <f>""</f>
        <v/>
      </c>
      <c r="I60" t="str">
        <f>""</f>
        <v/>
      </c>
      <c r="J60" t="str">
        <f>"(14.32)"</f>
        <v>(14.32)</v>
      </c>
      <c r="K60" t="str">
        <f>"(12.98)"</f>
        <v>(12.98)</v>
      </c>
      <c r="L60" t="str">
        <f>""</f>
        <v/>
      </c>
      <c r="M60" t="str">
        <f>""</f>
        <v/>
      </c>
      <c r="N60" t="str">
        <f>""</f>
        <v/>
      </c>
      <c r="O60" t="str">
        <f>""</f>
        <v/>
      </c>
      <c r="P60" t="str">
        <f>""</f>
        <v/>
      </c>
      <c r="Q60" t="str">
        <f>""</f>
        <v/>
      </c>
      <c r="R60" t="str">
        <f>""</f>
        <v/>
      </c>
      <c r="S60" t="str">
        <f>""</f>
        <v/>
      </c>
    </row>
    <row r="62" spans="1:19">
      <c r="A62" t="str">
        <f>"freeartuza"</f>
        <v>freeartuza</v>
      </c>
      <c r="B62" t="str">
        <f>""</f>
        <v/>
      </c>
      <c r="C62" t="str">
        <f>""</f>
        <v/>
      </c>
      <c r="D62" t="str">
        <f>""</f>
        <v/>
      </c>
      <c r="E62" t="str">
        <f>""</f>
        <v/>
      </c>
      <c r="F62" t="str">
        <f>""</f>
        <v/>
      </c>
      <c r="G62" t="str">
        <f>""</f>
        <v/>
      </c>
      <c r="H62" t="str">
        <f>""</f>
        <v/>
      </c>
      <c r="I62" t="str">
        <f>""</f>
        <v/>
      </c>
      <c r="J62" t="str">
        <f>"-105103.7"</f>
        <v>-105103.7</v>
      </c>
      <c r="K62" t="str">
        <f>"-102384.7"</f>
        <v>-102384.7</v>
      </c>
      <c r="L62" t="str">
        <f>""</f>
        <v/>
      </c>
      <c r="M62" t="str">
        <f>""</f>
        <v/>
      </c>
      <c r="N62" t="str">
        <f>""</f>
        <v/>
      </c>
      <c r="O62" t="str">
        <f>""</f>
        <v/>
      </c>
      <c r="P62" t="str">
        <f>""</f>
        <v/>
      </c>
      <c r="Q62" t="str">
        <f>""</f>
        <v/>
      </c>
      <c r="R62" t="str">
        <f>""</f>
        <v/>
      </c>
      <c r="S62" t="str">
        <f>""</f>
        <v/>
      </c>
    </row>
    <row r="63" spans="1:19">
      <c r="A63" t="str">
        <f>""</f>
        <v/>
      </c>
      <c r="B63" t="str">
        <f>""</f>
        <v/>
      </c>
      <c r="C63" t="str">
        <f>""</f>
        <v/>
      </c>
      <c r="D63" t="str">
        <f>""</f>
        <v/>
      </c>
      <c r="E63" t="str">
        <f>""</f>
        <v/>
      </c>
      <c r="F63" t="str">
        <f>""</f>
        <v/>
      </c>
      <c r="G63" t="str">
        <f>""</f>
        <v/>
      </c>
      <c r="H63" t="str">
        <f>""</f>
        <v/>
      </c>
      <c r="I63" t="str">
        <f>""</f>
        <v/>
      </c>
      <c r="J63" t="str">
        <f>"(-3.19)"</f>
        <v>(-3.19)</v>
      </c>
      <c r="K63" t="str">
        <f>"(-2.21)"</f>
        <v>(-2.21)</v>
      </c>
      <c r="L63" t="str">
        <f>""</f>
        <v/>
      </c>
      <c r="M63" t="str">
        <f>""</f>
        <v/>
      </c>
      <c r="N63" t="str">
        <f>""</f>
        <v/>
      </c>
      <c r="O63" t="str">
        <f>""</f>
        <v/>
      </c>
      <c r="P63" t="str">
        <f>""</f>
        <v/>
      </c>
      <c r="Q63" t="str">
        <f>""</f>
        <v/>
      </c>
      <c r="R63" t="str">
        <f>""</f>
        <v/>
      </c>
      <c r="S63" t="str">
        <f>""</f>
        <v/>
      </c>
    </row>
    <row r="65" spans="1:19">
      <c r="A65" t="str">
        <f>"aptapc"</f>
        <v>aptapc</v>
      </c>
      <c r="B65" t="str">
        <f>""</f>
        <v/>
      </c>
      <c r="C65" t="str">
        <f>""</f>
        <v/>
      </c>
      <c r="D65" t="str">
        <f>""</f>
        <v/>
      </c>
      <c r="E65" t="str">
        <f>""</f>
        <v/>
      </c>
      <c r="F65" t="str">
        <f>""</f>
        <v/>
      </c>
      <c r="G65" t="str">
        <f>""</f>
        <v/>
      </c>
      <c r="H65" t="str">
        <f>""</f>
        <v/>
      </c>
      <c r="I65" t="str">
        <f>""</f>
        <v/>
      </c>
      <c r="J65" t="str">
        <f>""</f>
        <v/>
      </c>
      <c r="K65" t="str">
        <f>""</f>
        <v/>
      </c>
      <c r="L65" t="str">
        <f>"7.16411e+10"</f>
        <v>7.16411e+10</v>
      </c>
      <c r="M65" t="str">
        <f>"1.92112e+11"</f>
        <v>1.92112e+11</v>
      </c>
      <c r="N65" t="str">
        <f>""</f>
        <v/>
      </c>
      <c r="O65" t="str">
        <f>""</f>
        <v/>
      </c>
      <c r="P65" t="str">
        <f>""</f>
        <v/>
      </c>
      <c r="Q65" t="str">
        <f>""</f>
        <v/>
      </c>
      <c r="R65" t="str">
        <f>""</f>
        <v/>
      </c>
      <c r="S65" t="str">
        <f>""</f>
        <v/>
      </c>
    </row>
    <row r="66" spans="1:19">
      <c r="A66" t="str">
        <f>""</f>
        <v/>
      </c>
      <c r="B66" t="str">
        <f>""</f>
        <v/>
      </c>
      <c r="C66" t="str">
        <f>""</f>
        <v/>
      </c>
      <c r="D66" t="str">
        <f>""</f>
        <v/>
      </c>
      <c r="E66" t="str">
        <f>""</f>
        <v/>
      </c>
      <c r="F66" t="str">
        <f>""</f>
        <v/>
      </c>
      <c r="G66" t="str">
        <f>""</f>
        <v/>
      </c>
      <c r="H66" t="str">
        <f>""</f>
        <v/>
      </c>
      <c r="I66" t="str">
        <f>""</f>
        <v/>
      </c>
      <c r="J66" t="str">
        <f>""</f>
        <v/>
      </c>
      <c r="K66" t="str">
        <f>""</f>
        <v/>
      </c>
      <c r="L66" t="str">
        <f>"(11.09)"</f>
        <v>(11.09)</v>
      </c>
      <c r="M66" t="str">
        <f>"(.)"</f>
        <v>(.)</v>
      </c>
      <c r="N66" t="str">
        <f>""</f>
        <v/>
      </c>
      <c r="O66" t="str">
        <f>""</f>
        <v/>
      </c>
      <c r="P66" t="str">
        <f>""</f>
        <v/>
      </c>
      <c r="Q66" t="str">
        <f>""</f>
        <v/>
      </c>
      <c r="R66" t="str">
        <f>""</f>
        <v/>
      </c>
      <c r="S66" t="str">
        <f>""</f>
        <v/>
      </c>
    </row>
    <row r="68" spans="1:19">
      <c r="A68" t="str">
        <f>"lneden_pcity"</f>
        <v>lneden_pcity</v>
      </c>
      <c r="B68" t="str">
        <f>""</f>
        <v/>
      </c>
      <c r="C68" t="str">
        <f>""</f>
        <v/>
      </c>
      <c r="D68" t="str">
        <f>""</f>
        <v/>
      </c>
      <c r="E68" t="str">
        <f>""</f>
        <v/>
      </c>
      <c r="F68" t="str">
        <f>""</f>
        <v/>
      </c>
      <c r="G68" t="str">
        <f>""</f>
        <v/>
      </c>
      <c r="H68" t="str">
        <f>""</f>
        <v/>
      </c>
      <c r="I68" t="str">
        <f>""</f>
        <v/>
      </c>
      <c r="J68" t="str">
        <f>""</f>
        <v/>
      </c>
      <c r="K68" t="str">
        <f>""</f>
        <v/>
      </c>
      <c r="L68" t="str">
        <f>""</f>
        <v/>
      </c>
      <c r="M68" t="str">
        <f>""</f>
        <v/>
      </c>
      <c r="N68" t="str">
        <f>""</f>
        <v/>
      </c>
      <c r="O68" t="str">
        <f>""</f>
        <v/>
      </c>
      <c r="P68" t="str">
        <f>"0.00834"</f>
        <v>0.00834</v>
      </c>
      <c r="Q68" t="str">
        <f>"0.119"</f>
        <v>0.119</v>
      </c>
      <c r="R68" t="str">
        <f>"0.111"</f>
        <v>0.111</v>
      </c>
      <c r="S68" t="str">
        <f>"-0.155"</f>
        <v>-0.155</v>
      </c>
    </row>
    <row r="69" spans="1:19">
      <c r="A69" t="str">
        <f>""</f>
        <v/>
      </c>
      <c r="B69" t="str">
        <f>""</f>
        <v/>
      </c>
      <c r="C69" t="str">
        <f>""</f>
        <v/>
      </c>
      <c r="D69" t="str">
        <f>""</f>
        <v/>
      </c>
      <c r="E69" t="str">
        <f>""</f>
        <v/>
      </c>
      <c r="F69" t="str">
        <f>""</f>
        <v/>
      </c>
      <c r="G69" t="str">
        <f>""</f>
        <v/>
      </c>
      <c r="H69" t="str">
        <f>""</f>
        <v/>
      </c>
      <c r="I69" t="str">
        <f>""</f>
        <v/>
      </c>
      <c r="J69" t="str">
        <f>""</f>
        <v/>
      </c>
      <c r="K69" t="str">
        <f>""</f>
        <v/>
      </c>
      <c r="L69" t="str">
        <f>""</f>
        <v/>
      </c>
      <c r="M69" t="str">
        <f>""</f>
        <v/>
      </c>
      <c r="N69" t="str">
        <f>""</f>
        <v/>
      </c>
      <c r="O69" t="str">
        <f>""</f>
        <v/>
      </c>
      <c r="P69" t="str">
        <f>"(0.60)"</f>
        <v>(0.60)</v>
      </c>
      <c r="Q69" t="str">
        <f>"(1.40)"</f>
        <v>(1.40)</v>
      </c>
      <c r="R69" t="str">
        <f>"(2.78)"</f>
        <v>(2.78)</v>
      </c>
      <c r="S69" t="str">
        <f>"(-0.65)"</f>
        <v>(-0.65)</v>
      </c>
    </row>
    <row r="71" spans="1:19">
      <c r="A71" t="str">
        <f>"lnhc"</f>
        <v>lnhc</v>
      </c>
      <c r="B71" t="str">
        <f>""</f>
        <v/>
      </c>
      <c r="C71" t="str">
        <f>""</f>
        <v/>
      </c>
      <c r="D71" t="str">
        <f>""</f>
        <v/>
      </c>
      <c r="E71" t="str">
        <f>""</f>
        <v/>
      </c>
      <c r="F71" t="str">
        <f>""</f>
        <v/>
      </c>
      <c r="G71" t="str">
        <f>""</f>
        <v/>
      </c>
      <c r="H71" t="str">
        <f>""</f>
        <v/>
      </c>
      <c r="I71" t="str">
        <f>""</f>
        <v/>
      </c>
      <c r="J71" t="str">
        <f>""</f>
        <v/>
      </c>
      <c r="K71" t="str">
        <f>""</f>
        <v/>
      </c>
      <c r="L71" t="str">
        <f>""</f>
        <v/>
      </c>
      <c r="M71" t="str">
        <f>""</f>
        <v/>
      </c>
      <c r="N71" t="str">
        <f>""</f>
        <v/>
      </c>
      <c r="O71" t="str">
        <f>""</f>
        <v/>
      </c>
      <c r="P71" t="str">
        <f>"0.242"</f>
        <v>0.242</v>
      </c>
      <c r="Q71" t="str">
        <f>"0.266"</f>
        <v>0.266</v>
      </c>
      <c r="R71" t="str">
        <f>"1.157"</f>
        <v>1.157</v>
      </c>
      <c r="S71" t="str">
        <f>"1.099"</f>
        <v>1.099</v>
      </c>
    </row>
    <row r="72" spans="1:19">
      <c r="A72" t="str">
        <f>""</f>
        <v/>
      </c>
      <c r="B72" t="str">
        <f>""</f>
        <v/>
      </c>
      <c r="C72" t="str">
        <f>""</f>
        <v/>
      </c>
      <c r="D72" t="str">
        <f>""</f>
        <v/>
      </c>
      <c r="E72" t="str">
        <f>""</f>
        <v/>
      </c>
      <c r="F72" t="str">
        <f>""</f>
        <v/>
      </c>
      <c r="G72" t="str">
        <f>""</f>
        <v/>
      </c>
      <c r="H72" t="str">
        <f>""</f>
        <v/>
      </c>
      <c r="I72" t="str">
        <f>""</f>
        <v/>
      </c>
      <c r="J72" t="str">
        <f>""</f>
        <v/>
      </c>
      <c r="K72" t="str">
        <f>""</f>
        <v/>
      </c>
      <c r="L72" t="str">
        <f>""</f>
        <v/>
      </c>
      <c r="M72" t="str">
        <f>""</f>
        <v/>
      </c>
      <c r="N72" t="str">
        <f>""</f>
        <v/>
      </c>
      <c r="O72" t="str">
        <f>""</f>
        <v/>
      </c>
      <c r="P72" t="str">
        <f>"(4.52)"</f>
        <v>(4.52)</v>
      </c>
      <c r="Q72" t="str">
        <f>"(4.41)"</f>
        <v>(4.41)</v>
      </c>
      <c r="R72" t="str">
        <f>"(7.48)"</f>
        <v>(7.48)</v>
      </c>
      <c r="S72" t="str">
        <f>"(6.48)"</f>
        <v>(6.48)</v>
      </c>
    </row>
    <row r="74" spans="1:19">
      <c r="A74" t="str">
        <f>"lnpop"</f>
        <v>lnpop</v>
      </c>
      <c r="B74" t="str">
        <f>""</f>
        <v/>
      </c>
      <c r="C74" t="str">
        <f>""</f>
        <v/>
      </c>
      <c r="D74" t="str">
        <f>""</f>
        <v/>
      </c>
      <c r="E74" t="str">
        <f>""</f>
        <v/>
      </c>
      <c r="F74" t="str">
        <f>""</f>
        <v/>
      </c>
      <c r="G74" t="str">
        <f>""</f>
        <v/>
      </c>
      <c r="H74" t="str">
        <f>""</f>
        <v/>
      </c>
      <c r="I74" t="str">
        <f>""</f>
        <v/>
      </c>
      <c r="J74" t="str">
        <f>""</f>
        <v/>
      </c>
      <c r="K74" t="str">
        <f>""</f>
        <v/>
      </c>
      <c r="L74" t="str">
        <f>""</f>
        <v/>
      </c>
      <c r="M74" t="str">
        <f>""</f>
        <v/>
      </c>
      <c r="N74" t="str">
        <f>""</f>
        <v/>
      </c>
      <c r="O74" t="str">
        <f>""</f>
        <v/>
      </c>
      <c r="P74" t="str">
        <f>"0.0410"</f>
        <v>0.0410</v>
      </c>
      <c r="Q74" t="str">
        <f>"0.0206"</f>
        <v>0.0206</v>
      </c>
      <c r="R74" t="str">
        <f>"0.0596"</f>
        <v>0.0596</v>
      </c>
      <c r="S74" t="str">
        <f>"0.109"</f>
        <v>0.109</v>
      </c>
    </row>
    <row r="75" spans="1:19">
      <c r="A75" t="str">
        <f>""</f>
        <v/>
      </c>
      <c r="B75" t="str">
        <f>""</f>
        <v/>
      </c>
      <c r="C75" t="str">
        <f>""</f>
        <v/>
      </c>
      <c r="D75" t="str">
        <f>""</f>
        <v/>
      </c>
      <c r="E75" t="str">
        <f>""</f>
        <v/>
      </c>
      <c r="F75" t="str">
        <f>""</f>
        <v/>
      </c>
      <c r="G75" t="str">
        <f>""</f>
        <v/>
      </c>
      <c r="H75" t="str">
        <f>""</f>
        <v/>
      </c>
      <c r="I75" t="str">
        <f>""</f>
        <v/>
      </c>
      <c r="J75" t="str">
        <f>""</f>
        <v/>
      </c>
      <c r="K75" t="str">
        <f>""</f>
        <v/>
      </c>
      <c r="L75" t="str">
        <f>""</f>
        <v/>
      </c>
      <c r="M75" t="str">
        <f>""</f>
        <v/>
      </c>
      <c r="N75" t="str">
        <f>""</f>
        <v/>
      </c>
      <c r="O75" t="str">
        <f>""</f>
        <v/>
      </c>
      <c r="P75" t="str">
        <f>"(4.98)"</f>
        <v>(4.98)</v>
      </c>
      <c r="Q75" t="str">
        <f>"(1.16)"</f>
        <v>(1.16)</v>
      </c>
      <c r="R75" t="str">
        <f>"(2.50)"</f>
        <v>(2.50)</v>
      </c>
      <c r="S75" t="str">
        <f>"(2.17)"</f>
        <v>(2.17)</v>
      </c>
    </row>
    <row r="77" spans="1:19">
      <c r="A77" t="str">
        <f>"lnfreeartpc"</f>
        <v>lnfreeartpc</v>
      </c>
      <c r="B77" t="str">
        <f>""</f>
        <v/>
      </c>
      <c r="C77" t="str">
        <f>""</f>
        <v/>
      </c>
      <c r="D77" t="str">
        <f>""</f>
        <v/>
      </c>
      <c r="E77" t="str">
        <f>""</f>
        <v/>
      </c>
      <c r="F77" t="str">
        <f>""</f>
        <v/>
      </c>
      <c r="G77" t="str">
        <f>""</f>
        <v/>
      </c>
      <c r="H77" t="str">
        <f>""</f>
        <v/>
      </c>
      <c r="I77" t="str">
        <f>""</f>
        <v/>
      </c>
      <c r="J77" t="str">
        <f>""</f>
        <v/>
      </c>
      <c r="K77" t="str">
        <f>""</f>
        <v/>
      </c>
      <c r="L77" t="str">
        <f>""</f>
        <v/>
      </c>
      <c r="M77" t="str">
        <f>""</f>
        <v/>
      </c>
      <c r="N77" t="str">
        <f>""</f>
        <v/>
      </c>
      <c r="O77" t="str">
        <f>""</f>
        <v/>
      </c>
      <c r="P77" t="str">
        <f>"0.0114"</f>
        <v>0.0114</v>
      </c>
      <c r="Q77" t="str">
        <f>"0.0149"</f>
        <v>0.0149</v>
      </c>
      <c r="R77" t="str">
        <f>"0.147"</f>
        <v>0.147</v>
      </c>
      <c r="S77" t="str">
        <f>"0.138"</f>
        <v>0.138</v>
      </c>
    </row>
    <row r="78" spans="1:19">
      <c r="A78" t="str">
        <f>""</f>
        <v/>
      </c>
      <c r="B78" t="str">
        <f>""</f>
        <v/>
      </c>
      <c r="C78" t="str">
        <f>""</f>
        <v/>
      </c>
      <c r="D78" t="str">
        <f>""</f>
        <v/>
      </c>
      <c r="E78" t="str">
        <f>""</f>
        <v/>
      </c>
      <c r="F78" t="str">
        <f>""</f>
        <v/>
      </c>
      <c r="G78" t="str">
        <f>""</f>
        <v/>
      </c>
      <c r="H78" t="str">
        <f>""</f>
        <v/>
      </c>
      <c r="I78" t="str">
        <f>""</f>
        <v/>
      </c>
      <c r="J78" t="str">
        <f>""</f>
        <v/>
      </c>
      <c r="K78" t="str">
        <f>""</f>
        <v/>
      </c>
      <c r="L78" t="str">
        <f>""</f>
        <v/>
      </c>
      <c r="M78" t="str">
        <f>""</f>
        <v/>
      </c>
      <c r="N78" t="str">
        <f>""</f>
        <v/>
      </c>
      <c r="O78" t="str">
        <f>""</f>
        <v/>
      </c>
      <c r="P78" t="str">
        <f>"(0.90)"</f>
        <v>(0.90)</v>
      </c>
      <c r="Q78" t="str">
        <f>"(1.07)"</f>
        <v>(1.07)</v>
      </c>
      <c r="R78" t="str">
        <f>"(3.99)"</f>
        <v>(3.99)</v>
      </c>
      <c r="S78" t="str">
        <f>"(3.53)"</f>
        <v>(3.53)</v>
      </c>
    </row>
    <row r="80" spans="1:19">
      <c r="A80" t="str">
        <f>"lnaptapc"</f>
        <v>lnaptapc</v>
      </c>
      <c r="B80" t="str">
        <f>""</f>
        <v/>
      </c>
      <c r="C80" t="str">
        <f>""</f>
        <v/>
      </c>
      <c r="D80" t="str">
        <f>""</f>
        <v/>
      </c>
      <c r="E80" t="str">
        <f>""</f>
        <v/>
      </c>
      <c r="F80" t="str">
        <f>""</f>
        <v/>
      </c>
      <c r="G80" t="str">
        <f>""</f>
        <v/>
      </c>
      <c r="H80" t="str">
        <f>""</f>
        <v/>
      </c>
      <c r="I80" t="str">
        <f>""</f>
        <v/>
      </c>
      <c r="J80" t="str">
        <f>""</f>
        <v/>
      </c>
      <c r="K80" t="str">
        <f>""</f>
        <v/>
      </c>
      <c r="L80" t="str">
        <f>""</f>
        <v/>
      </c>
      <c r="M80" t="str">
        <f>""</f>
        <v/>
      </c>
      <c r="N80" t="str">
        <f>""</f>
        <v/>
      </c>
      <c r="O80" t="str">
        <f>""</f>
        <v/>
      </c>
      <c r="P80" t="str">
        <f>"0.00313"</f>
        <v>0.00313</v>
      </c>
      <c r="Q80" t="str">
        <f>"0.00204"</f>
        <v>0.00204</v>
      </c>
      <c r="R80" t="str">
        <f>"0.00517"</f>
        <v>0.00517</v>
      </c>
      <c r="S80" t="str">
        <f>"0.00780"</f>
        <v>0.00780</v>
      </c>
    </row>
    <row r="81" spans="1:19">
      <c r="A81" t="str">
        <f>""</f>
        <v/>
      </c>
      <c r="B81" t="str">
        <f>""</f>
        <v/>
      </c>
      <c r="C81" t="str">
        <f>""</f>
        <v/>
      </c>
      <c r="D81" t="str">
        <f>""</f>
        <v/>
      </c>
      <c r="E81" t="str">
        <f>""</f>
        <v/>
      </c>
      <c r="F81" t="str">
        <f>""</f>
        <v/>
      </c>
      <c r="G81" t="str">
        <f>""</f>
        <v/>
      </c>
      <c r="H81" t="str">
        <f>""</f>
        <v/>
      </c>
      <c r="I81" t="str">
        <f>""</f>
        <v/>
      </c>
      <c r="J81" t="str">
        <f>""</f>
        <v/>
      </c>
      <c r="K81" t="str">
        <f>""</f>
        <v/>
      </c>
      <c r="L81" t="str">
        <f>""</f>
        <v/>
      </c>
      <c r="M81" t="str">
        <f>""</f>
        <v/>
      </c>
      <c r="N81" t="str">
        <f>""</f>
        <v/>
      </c>
      <c r="O81" t="str">
        <f>""</f>
        <v/>
      </c>
      <c r="P81" t="str">
        <f>"(2.92)"</f>
        <v>(2.92)</v>
      </c>
      <c r="Q81" t="str">
        <f>"(1.44)"</f>
        <v>(1.44)</v>
      </c>
      <c r="R81" t="str">
        <f>"(1.67)"</f>
        <v>(1.67)</v>
      </c>
      <c r="S81" t="str">
        <f>"(1.96)"</f>
        <v>(1.96)</v>
      </c>
    </row>
    <row r="83" spans="1:19">
      <c r="A83" t="str">
        <f>"_cons"</f>
        <v>_cons</v>
      </c>
      <c r="B83" t="str">
        <f>"5309.9"</f>
        <v>5309.9</v>
      </c>
      <c r="C83" t="str">
        <f>"4814.6"</f>
        <v>4814.6</v>
      </c>
      <c r="D83" t="str">
        <f>"4399.0"</f>
        <v>4399.0</v>
      </c>
      <c r="E83" t="str">
        <f>"4172.5"</f>
        <v>4172.5</v>
      </c>
      <c r="F83" t="str">
        <f>"5019.6"</f>
        <v>5019.6</v>
      </c>
      <c r="G83" t="str">
        <f>"4941.5"</f>
        <v>4941.5</v>
      </c>
      <c r="H83" t="str">
        <f>"4416.4"</f>
        <v>4416.4</v>
      </c>
      <c r="I83" t="str">
        <f>"3537.9"</f>
        <v>3537.9</v>
      </c>
      <c r="J83" t="str">
        <f>"-2139235.8"</f>
        <v>-2139235.8</v>
      </c>
      <c r="K83" t="str">
        <f>"-4975595.0"</f>
        <v>-4975595.0</v>
      </c>
      <c r="L83" t="str">
        <f>"-180373.9"</f>
        <v>-180373.9</v>
      </c>
      <c r="M83" t="str">
        <f>"-2582972.7"</f>
        <v>-2582972.7</v>
      </c>
      <c r="N83" t="str">
        <f>"-3850820.1"</f>
        <v>-3850820.1</v>
      </c>
      <c r="O83" t="str">
        <f>"-3744515.5"</f>
        <v>-3744515.5</v>
      </c>
      <c r="P83" t="str">
        <f>"11.03"</f>
        <v>11.03</v>
      </c>
      <c r="Q83" t="str">
        <f>"10.24"</f>
        <v>10.24</v>
      </c>
      <c r="R83" t="str">
        <f>"0.781"</f>
        <v>0.781</v>
      </c>
      <c r="S83" t="str">
        <f>"2.698"</f>
        <v>2.698</v>
      </c>
    </row>
    <row r="84" spans="1:19">
      <c r="A84" t="str">
        <f>""</f>
        <v/>
      </c>
      <c r="B84" t="str">
        <f>"(3.57)"</f>
        <v>(3.57)</v>
      </c>
      <c r="C84" t="str">
        <f>"(3.18)"</f>
        <v>(3.18)</v>
      </c>
      <c r="D84" t="str">
        <f>"(2.69)"</f>
        <v>(2.69)</v>
      </c>
      <c r="E84" t="str">
        <f>"(2.58)"</f>
        <v>(2.58)</v>
      </c>
      <c r="F84" t="str">
        <f>"(3.22)"</f>
        <v>(3.22)</v>
      </c>
      <c r="G84" t="str">
        <f>"(3.12)"</f>
        <v>(3.12)</v>
      </c>
      <c r="H84" t="str">
        <f>"(2.98)"</f>
        <v>(2.98)</v>
      </c>
      <c r="I84" t="str">
        <f>"(2.20)"</f>
        <v>(2.20)</v>
      </c>
      <c r="J84" t="str">
        <f>"(-0.88)"</f>
        <v>(-0.88)</v>
      </c>
      <c r="K84" t="str">
        <f>"(-1.46)"</f>
        <v>(-1.46)</v>
      </c>
      <c r="L84" t="str">
        <f>"(-0.07)"</f>
        <v>(-0.07)</v>
      </c>
      <c r="M84" t="str">
        <f>"(-0.69)"</f>
        <v>(-0.69)</v>
      </c>
      <c r="N84" t="str">
        <f>"(-1.81)"</f>
        <v>(-1.81)</v>
      </c>
      <c r="O84" t="str">
        <f>"(-1.78)"</f>
        <v>(-1.78)</v>
      </c>
      <c r="P84" t="str">
        <f>"(37.08)"</f>
        <v>(37.08)</v>
      </c>
      <c r="Q84" t="str">
        <f>"(15.03)"</f>
        <v>(15.03)</v>
      </c>
      <c r="R84" t="str">
        <f>"(0.91)"</f>
        <v>(0.91)</v>
      </c>
      <c r="S84" t="str">
        <f>"(1.41)"</f>
        <v>(1.41)</v>
      </c>
    </row>
    <row r="86" spans="1:19">
      <c r="A86" t="str">
        <f>"N"</f>
        <v>N</v>
      </c>
      <c r="B86" t="str">
        <f>"325"</f>
        <v>325</v>
      </c>
      <c r="C86" t="str">
        <f>"323"</f>
        <v>323</v>
      </c>
      <c r="D86" t="str">
        <f>"294"</f>
        <v>294</v>
      </c>
      <c r="E86" t="str">
        <f>"294"</f>
        <v>294</v>
      </c>
      <c r="F86" t="str">
        <f>"295"</f>
        <v>295</v>
      </c>
      <c r="G86" t="str">
        <f>"295"</f>
        <v>295</v>
      </c>
      <c r="H86" t="str">
        <f>"325"</f>
        <v>325</v>
      </c>
      <c r="I86" t="str">
        <f>"323"</f>
        <v>323</v>
      </c>
      <c r="J86" t="str">
        <f>"325"</f>
        <v>325</v>
      </c>
      <c r="K86" t="str">
        <f>"323"</f>
        <v>323</v>
      </c>
      <c r="L86" t="str">
        <f>"335"</f>
        <v>335</v>
      </c>
      <c r="M86" t="str">
        <f>"333"</f>
        <v>333</v>
      </c>
      <c r="N86" t="str">
        <f>"303"</f>
        <v>303</v>
      </c>
      <c r="O86" t="str">
        <f>"303"</f>
        <v>303</v>
      </c>
      <c r="P86" t="str">
        <f>"323"</f>
        <v>323</v>
      </c>
      <c r="Q86" t="str">
        <f>"323"</f>
        <v>323</v>
      </c>
      <c r="R86" t="str">
        <f>"323"</f>
        <v>323</v>
      </c>
      <c r="S86" t="str">
        <f>"323"</f>
        <v>323</v>
      </c>
    </row>
    <row r="87" spans="1:19">
      <c r="A87" t="str">
        <f>"r2_a"</f>
        <v>r2_a</v>
      </c>
      <c r="B87" t="str">
        <f>"0.470"</f>
        <v>0.470</v>
      </c>
      <c r="C87" t="str">
        <f>"0.439"</f>
        <v>0.439</v>
      </c>
      <c r="D87" t="str">
        <f>"0.524"</f>
        <v>0.524</v>
      </c>
      <c r="E87" t="str">
        <f>"0.516"</f>
        <v>0.516</v>
      </c>
      <c r="F87" t="str">
        <f>"0.569"</f>
        <v>0.569</v>
      </c>
      <c r="G87" t="str">
        <f>"0.533"</f>
        <v>0.533</v>
      </c>
      <c r="H87" t="str">
        <f>"0.488"</f>
        <v>0.488</v>
      </c>
      <c r="I87" t="str">
        <f>"0.396"</f>
        <v>0.396</v>
      </c>
      <c r="J87" t="str">
        <f>"0.515"</f>
        <v>0.515</v>
      </c>
      <c r="K87" t="str">
        <f>"0.0339"</f>
        <v>0.0339</v>
      </c>
      <c r="L87" t="str">
        <f>"0.421"</f>
        <v>0.421</v>
      </c>
      <c r="M87" t="str">
        <f>"0.200"</f>
        <v>0.200</v>
      </c>
      <c r="N87" t="str">
        <f>"0.729"</f>
        <v>0.729</v>
      </c>
      <c r="O87" t="str">
        <f>"0.726"</f>
        <v>0.726</v>
      </c>
      <c r="P87" t="str">
        <f>"0.726"</f>
        <v>0.726</v>
      </c>
      <c r="Q87" t="str">
        <f>"0.668"</f>
        <v>0.668</v>
      </c>
      <c r="R87" t="str">
        <f>"0.520"</f>
        <v>0.520</v>
      </c>
      <c r="S87" t="str">
        <f>"0.451"</f>
        <v>0.451</v>
      </c>
    </row>
    <row r="88" spans="1:19">
      <c r="A88" t="str">
        <f>"widstat"</f>
        <v>widstat</v>
      </c>
      <c r="B88" t="str">
        <f>""</f>
        <v/>
      </c>
      <c r="C88" t="str">
        <f>"99.74"</f>
        <v>99.74</v>
      </c>
      <c r="D88" t="str">
        <f>""</f>
        <v/>
      </c>
      <c r="E88" t="str">
        <f>"125.8"</f>
        <v>125.8</v>
      </c>
      <c r="F88" t="str">
        <f>""</f>
        <v/>
      </c>
      <c r="G88" t="str">
        <f>"44.92"</f>
        <v>44.92</v>
      </c>
      <c r="H88" t="str">
        <f>""</f>
        <v/>
      </c>
      <c r="I88" t="str">
        <f>"26.32"</f>
        <v>26.32</v>
      </c>
      <c r="J88" t="str">
        <f>""</f>
        <v/>
      </c>
      <c r="K88" t="str">
        <f>"48.32"</f>
        <v>48.32</v>
      </c>
      <c r="L88" t="str">
        <f>""</f>
        <v/>
      </c>
      <c r="M88" t="str">
        <f>"49.56"</f>
        <v>49.56</v>
      </c>
      <c r="N88" t="str">
        <f>""</f>
        <v/>
      </c>
      <c r="O88" t="str">
        <f>"379.0"</f>
        <v>379.0</v>
      </c>
      <c r="P88" t="str">
        <f>""</f>
        <v/>
      </c>
      <c r="Q88" t="str">
        <f>"4.371"</f>
        <v>4.371</v>
      </c>
      <c r="R88" t="str">
        <f>""</f>
        <v/>
      </c>
      <c r="S88" t="str">
        <f>"4.371"</f>
        <v>4.371</v>
      </c>
    </row>
    <row r="89" spans="1:19">
      <c r="A89" t="str">
        <f>"sargan"</f>
        <v>sargan</v>
      </c>
      <c r="B89" t="str">
        <f>""</f>
        <v/>
      </c>
      <c r="C89" t="str">
        <f>"1.622"</f>
        <v>1.622</v>
      </c>
      <c r="D89" t="str">
        <f>""</f>
        <v/>
      </c>
      <c r="E89" t="str">
        <f>"0.976"</f>
        <v>0.976</v>
      </c>
      <c r="F89" t="str">
        <f>""</f>
        <v/>
      </c>
      <c r="G89" t="str">
        <f>"0.0998"</f>
        <v>0.0998</v>
      </c>
      <c r="H89" t="str">
        <f>""</f>
        <v/>
      </c>
      <c r="I89" t="str">
        <f>"0.170"</f>
        <v>0.170</v>
      </c>
      <c r="J89" t="str">
        <f>""</f>
        <v/>
      </c>
      <c r="K89" t="str">
        <f>"1.533"</f>
        <v>1.533</v>
      </c>
      <c r="L89" t="str">
        <f>""</f>
        <v/>
      </c>
      <c r="M89" t="str">
        <f>"139.0"</f>
        <v>139.0</v>
      </c>
      <c r="N89" t="str">
        <f>""</f>
        <v/>
      </c>
      <c r="O89" t="str">
        <f>"13.55"</f>
        <v>13.55</v>
      </c>
      <c r="P89" t="str">
        <f>""</f>
        <v/>
      </c>
      <c r="Q89" t="str">
        <f>"1.029"</f>
        <v>1.029</v>
      </c>
      <c r="R89" t="str">
        <f>""</f>
        <v/>
      </c>
      <c r="S89" t="str">
        <f>"3.025"</f>
        <v>3.025</v>
      </c>
    </row>
    <row r="90" spans="1:19">
      <c r="A90" t="str">
        <f>"sarganp"</f>
        <v>sarganp</v>
      </c>
      <c r="B90" t="str">
        <f>""</f>
        <v/>
      </c>
      <c r="C90" t="str">
        <f>"0.445"</f>
        <v>0.445</v>
      </c>
      <c r="D90" t="str">
        <f>""</f>
        <v/>
      </c>
      <c r="E90" t="str">
        <f>"0.614"</f>
        <v>0.614</v>
      </c>
      <c r="F90" t="str">
        <f>""</f>
        <v/>
      </c>
      <c r="G90" t="str">
        <f>"0.951"</f>
        <v>0.951</v>
      </c>
      <c r="H90" t="str">
        <f>""</f>
        <v/>
      </c>
      <c r="I90" t="str">
        <f>"0.919"</f>
        <v>0.919</v>
      </c>
      <c r="J90" t="str">
        <f>""</f>
        <v/>
      </c>
      <c r="K90" t="str">
        <f>"0.465"</f>
        <v>0.465</v>
      </c>
      <c r="L90" t="str">
        <f>""</f>
        <v/>
      </c>
      <c r="M90" t="str">
        <f>"6.67e-31"</f>
        <v>6.67e-31</v>
      </c>
      <c r="N90" t="str">
        <f>""</f>
        <v/>
      </c>
      <c r="O90" t="str">
        <f>"0.00114"</f>
        <v>0.00114</v>
      </c>
      <c r="P90" t="str">
        <f>""</f>
        <v/>
      </c>
      <c r="Q90" t="str">
        <f>"0.598"</f>
        <v>0.598</v>
      </c>
      <c r="R90" t="str">
        <f>""</f>
        <v/>
      </c>
      <c r="S90" t="str">
        <f>"0.220"</f>
        <v>0.220</v>
      </c>
    </row>
    <row r="92" spans="1:19">
      <c r="A92" t="str">
        <f>"t statistics in parentheses"</f>
        <v>t statistics in parentheses</v>
      </c>
    </row>
  </sheetData>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dimension ref="A1:BH344"/>
  <sheetViews>
    <sheetView workbookViewId="0">
      <pane xSplit="2" ySplit="1" topLeftCell="C2" activePane="bottomRight" state="frozen"/>
      <selection pane="topRight" activeCell="C1" sqref="C1"/>
      <selection pane="bottomLeft" activeCell="A2" sqref="A2"/>
      <selection pane="bottomRight"/>
    </sheetView>
  </sheetViews>
  <sheetFormatPr defaultRowHeight="15"/>
  <cols>
    <col min="1" max="1" width="10.140625" bestFit="1" customWidth="1"/>
    <col min="2" max="2" width="50.140625" bestFit="1" customWidth="1"/>
    <col min="3" max="4" width="9" customWidth="1"/>
    <col min="5" max="5" width="10.7109375" customWidth="1"/>
    <col min="6" max="7" width="10" customWidth="1"/>
    <col min="8" max="8" width="17.5703125" bestFit="1" customWidth="1"/>
    <col min="9" max="9" width="17.5703125" customWidth="1"/>
    <col min="10" max="10" width="9" bestFit="1" customWidth="1"/>
    <col min="11" max="11" width="10" bestFit="1" customWidth="1"/>
    <col min="12" max="12" width="12.5703125" bestFit="1" customWidth="1"/>
    <col min="13" max="13" width="10.7109375" bestFit="1" customWidth="1"/>
    <col min="14" max="14" width="9" bestFit="1" customWidth="1"/>
    <col min="15" max="16" width="10" bestFit="1" customWidth="1"/>
    <col min="17" max="17" width="10.140625" bestFit="1" customWidth="1"/>
    <col min="18" max="18" width="10.85546875" bestFit="1" customWidth="1"/>
    <col min="19" max="19" width="7.85546875" bestFit="1" customWidth="1"/>
    <col min="20" max="20" width="12.85546875" bestFit="1" customWidth="1"/>
    <col min="21" max="21" width="9" hidden="1" customWidth="1"/>
    <col min="22" max="22" width="10.7109375" hidden="1" customWidth="1"/>
    <col min="23" max="24" width="10" hidden="1" customWidth="1"/>
    <col min="25" max="25" width="11.7109375" hidden="1" customWidth="1"/>
    <col min="26" max="26" width="14.140625" hidden="1" customWidth="1"/>
    <col min="27" max="27" width="10.5703125" hidden="1" customWidth="1"/>
    <col min="28" max="28" width="11.5703125" hidden="1" customWidth="1"/>
    <col min="29" max="30" width="9.5703125" hidden="1" customWidth="1"/>
    <col min="31" max="31" width="10" hidden="1" customWidth="1"/>
    <col min="32" max="32" width="10.140625" hidden="1" customWidth="1"/>
    <col min="33" max="52" width="9" hidden="1" customWidth="1"/>
    <col min="53" max="53" width="11.5703125" bestFit="1" customWidth="1"/>
    <col min="54" max="54" width="11.5703125" customWidth="1"/>
    <col min="55" max="55" width="11.28515625" bestFit="1" customWidth="1"/>
    <col min="56" max="56" width="9.7109375" bestFit="1" customWidth="1"/>
    <col min="57" max="57" width="18.28515625" bestFit="1" customWidth="1"/>
    <col min="58" max="58" width="23.7109375" bestFit="1" customWidth="1"/>
    <col min="59" max="59" width="15.42578125" bestFit="1" customWidth="1"/>
    <col min="60" max="60" width="13.140625" bestFit="1" customWidth="1"/>
  </cols>
  <sheetData>
    <row r="1" spans="1:60">
      <c r="A1" t="s">
        <v>1342</v>
      </c>
      <c r="B1" t="s">
        <v>274</v>
      </c>
      <c r="C1" t="s">
        <v>1196</v>
      </c>
      <c r="D1" t="s">
        <v>1197</v>
      </c>
      <c r="E1" t="s">
        <v>130</v>
      </c>
      <c r="F1" t="s">
        <v>1255</v>
      </c>
      <c r="G1" t="s">
        <v>1343</v>
      </c>
      <c r="H1" t="s">
        <v>1256</v>
      </c>
      <c r="I1" t="s">
        <v>1377</v>
      </c>
      <c r="J1" t="s">
        <v>1294</v>
      </c>
      <c r="K1" t="s">
        <v>1341</v>
      </c>
      <c r="L1" t="s">
        <v>1340</v>
      </c>
      <c r="M1" t="s">
        <v>1339</v>
      </c>
      <c r="N1" t="s">
        <v>1338</v>
      </c>
      <c r="O1" t="s">
        <v>1337</v>
      </c>
      <c r="P1" t="s">
        <v>1336</v>
      </c>
      <c r="Q1" t="s">
        <v>1335</v>
      </c>
      <c r="R1" t="s">
        <v>124</v>
      </c>
      <c r="S1" t="s">
        <v>1334</v>
      </c>
      <c r="T1" t="s">
        <v>1333</v>
      </c>
      <c r="U1" t="s">
        <v>1332</v>
      </c>
      <c r="V1" t="s">
        <v>130</v>
      </c>
      <c r="W1" t="s">
        <v>1331</v>
      </c>
      <c r="X1" t="s">
        <v>1330</v>
      </c>
      <c r="Y1" t="s">
        <v>1329</v>
      </c>
      <c r="Z1" t="s">
        <v>1328</v>
      </c>
      <c r="AA1" t="s">
        <v>1327</v>
      </c>
      <c r="AB1" t="s">
        <v>1326</v>
      </c>
      <c r="AC1" t="s">
        <v>1325</v>
      </c>
      <c r="AD1" t="s">
        <v>1324</v>
      </c>
      <c r="AE1" t="s">
        <v>1323</v>
      </c>
      <c r="AF1" t="s">
        <v>1322</v>
      </c>
      <c r="AG1" t="s">
        <v>1321</v>
      </c>
      <c r="AH1" t="s">
        <v>1320</v>
      </c>
      <c r="AI1" t="s">
        <v>1319</v>
      </c>
      <c r="AJ1" t="s">
        <v>1318</v>
      </c>
      <c r="AK1" t="s">
        <v>1317</v>
      </c>
      <c r="AL1" t="s">
        <v>1316</v>
      </c>
      <c r="AM1" t="s">
        <v>1315</v>
      </c>
      <c r="AN1" t="s">
        <v>1314</v>
      </c>
      <c r="AO1" t="s">
        <v>1313</v>
      </c>
      <c r="AP1" t="s">
        <v>1312</v>
      </c>
      <c r="AQ1" t="s">
        <v>1311</v>
      </c>
      <c r="AR1" t="s">
        <v>1310</v>
      </c>
      <c r="AS1" t="s">
        <v>1309</v>
      </c>
      <c r="AT1" t="s">
        <v>1308</v>
      </c>
      <c r="AU1" t="s">
        <v>1307</v>
      </c>
      <c r="AV1" t="s">
        <v>1306</v>
      </c>
      <c r="AW1" t="s">
        <v>1305</v>
      </c>
      <c r="AX1" t="s">
        <v>1304</v>
      </c>
      <c r="AY1" t="s">
        <v>1303</v>
      </c>
      <c r="AZ1" t="s">
        <v>1302</v>
      </c>
      <c r="BA1" t="s">
        <v>1301</v>
      </c>
      <c r="BB1" s="1" t="s">
        <v>1383</v>
      </c>
      <c r="BC1" t="s">
        <v>1300</v>
      </c>
      <c r="BD1" t="s">
        <v>1299</v>
      </c>
      <c r="BE1" t="s">
        <v>1298</v>
      </c>
      <c r="BF1" t="s">
        <v>1297</v>
      </c>
      <c r="BG1" t="s">
        <v>1296</v>
      </c>
      <c r="BH1" t="s">
        <v>1295</v>
      </c>
    </row>
    <row r="2" spans="1:60">
      <c r="A2">
        <v>10180</v>
      </c>
      <c r="B2" t="s">
        <v>279</v>
      </c>
      <c r="C2">
        <v>30197.81</v>
      </c>
      <c r="D2">
        <v>101226</v>
      </c>
      <c r="E2">
        <v>159059</v>
      </c>
      <c r="F2">
        <v>2.7637499999999999E-2</v>
      </c>
      <c r="G2">
        <f>F2*1000000</f>
        <v>27637.5</v>
      </c>
      <c r="H2" s="51">
        <f>+F2*E2*1000000</f>
        <v>4395993112.499999</v>
      </c>
      <c r="I2">
        <v>53.696089999999998</v>
      </c>
      <c r="J2">
        <v>10.315530000000001</v>
      </c>
      <c r="K2">
        <v>-3.5885799999999999</v>
      </c>
      <c r="L2">
        <v>6.8310680000000001</v>
      </c>
      <c r="M2">
        <v>-1.7067159999999999</v>
      </c>
      <c r="N2">
        <v>11.977029999999999</v>
      </c>
      <c r="O2">
        <v>2.0941000000000002E-3</v>
      </c>
      <c r="P2">
        <v>0</v>
      </c>
      <c r="Q2">
        <v>842.14689999999996</v>
      </c>
      <c r="R2">
        <v>926.17930000000001</v>
      </c>
      <c r="S2">
        <v>0</v>
      </c>
      <c r="T2">
        <v>0</v>
      </c>
      <c r="U2">
        <v>333.44060000000002</v>
      </c>
      <c r="V2">
        <v>159059</v>
      </c>
      <c r="W2">
        <v>0</v>
      </c>
      <c r="X2">
        <v>2.0963000000000002E-3</v>
      </c>
      <c r="Y2">
        <v>0</v>
      </c>
      <c r="Z2">
        <v>0.1214615</v>
      </c>
      <c r="AB2">
        <v>124</v>
      </c>
      <c r="AE2">
        <v>0</v>
      </c>
      <c r="AF2">
        <v>6.2097740000000003</v>
      </c>
      <c r="AG2">
        <v>10.60361</v>
      </c>
      <c r="AH2">
        <v>11.010870000000001</v>
      </c>
      <c r="AI2">
        <v>11.21026</v>
      </c>
      <c r="AJ2">
        <v>10.75056</v>
      </c>
      <c r="AK2">
        <v>10.444800000000001</v>
      </c>
      <c r="AL2">
        <v>10.62656</v>
      </c>
      <c r="AM2">
        <v>10.00403</v>
      </c>
      <c r="AN2">
        <v>10.498290000000001</v>
      </c>
      <c r="AO2">
        <v>10.595359999999999</v>
      </c>
      <c r="AP2">
        <v>10.55307</v>
      </c>
      <c r="AQ2">
        <v>10.49686</v>
      </c>
      <c r="AR2">
        <v>10.63313</v>
      </c>
      <c r="AT2">
        <v>10.07893</v>
      </c>
      <c r="AU2">
        <v>9.8848160000000007</v>
      </c>
      <c r="AV2">
        <v>10.36834</v>
      </c>
      <c r="AW2">
        <v>9.4908040000000007</v>
      </c>
      <c r="AX2">
        <v>9.4189550000000004</v>
      </c>
      <c r="AY2">
        <v>9.7411949999999994</v>
      </c>
      <c r="BA2">
        <v>0</v>
      </c>
      <c r="BB2" t="str">
        <f>IF(T2&gt;0,BA2/T2,"")</f>
        <v/>
      </c>
      <c r="BC2">
        <v>422323</v>
      </c>
      <c r="BD2">
        <v>2745.2370000000001</v>
      </c>
      <c r="BE2">
        <v>122704203</v>
      </c>
      <c r="BF2">
        <v>47.376359999999998</v>
      </c>
      <c r="BG2">
        <v>2757.7017000000001</v>
      </c>
      <c r="BH2">
        <v>47.376359659999999</v>
      </c>
    </row>
    <row r="3" spans="1:60">
      <c r="A3">
        <v>10420</v>
      </c>
      <c r="B3" t="s">
        <v>968</v>
      </c>
      <c r="C3">
        <v>38704.769999999997</v>
      </c>
      <c r="D3">
        <v>424392</v>
      </c>
      <c r="E3">
        <v>699954</v>
      </c>
      <c r="F3">
        <v>3.5646600000000001E-2</v>
      </c>
      <c r="G3">
        <f t="shared" ref="G3:G61" si="0">F3*1000000</f>
        <v>35646.6</v>
      </c>
      <c r="H3" s="51">
        <f t="shared" ref="H3:H61" si="1">+F3*E3*1000000</f>
        <v>24950980256.400002</v>
      </c>
      <c r="I3">
        <v>336.77550000000002</v>
      </c>
      <c r="J3">
        <v>10.56372</v>
      </c>
      <c r="K3">
        <v>-3.334101</v>
      </c>
      <c r="L3">
        <v>7.4532559999999997</v>
      </c>
      <c r="M3">
        <v>-1.421252</v>
      </c>
      <c r="N3">
        <v>13.458769999999999</v>
      </c>
      <c r="O3">
        <v>6.3489999999999998E-4</v>
      </c>
      <c r="P3">
        <v>0</v>
      </c>
      <c r="Q3">
        <v>726.92340000000002</v>
      </c>
      <c r="R3">
        <v>1725.472</v>
      </c>
      <c r="S3">
        <v>0</v>
      </c>
      <c r="T3">
        <v>0</v>
      </c>
      <c r="U3">
        <v>444.52350000000001</v>
      </c>
      <c r="V3">
        <v>699954</v>
      </c>
      <c r="W3">
        <v>0</v>
      </c>
      <c r="X3">
        <v>6.3509999999999999E-4</v>
      </c>
      <c r="Y3">
        <v>0</v>
      </c>
      <c r="Z3">
        <v>0.49112489999999998</v>
      </c>
      <c r="AE3">
        <v>0</v>
      </c>
      <c r="AF3">
        <v>1.3199399999999999</v>
      </c>
      <c r="AH3">
        <v>10.897360000000001</v>
      </c>
      <c r="AJ3">
        <v>10.88639</v>
      </c>
      <c r="AK3">
        <v>10.68713</v>
      </c>
      <c r="AL3">
        <v>10.880039999999999</v>
      </c>
      <c r="AM3">
        <v>10.026529999999999</v>
      </c>
      <c r="AN3">
        <v>10.682040000000001</v>
      </c>
      <c r="AO3">
        <v>10.92273</v>
      </c>
      <c r="AP3">
        <v>10.823740000000001</v>
      </c>
      <c r="AQ3">
        <v>10.295249999999999</v>
      </c>
      <c r="AR3">
        <v>10.85308</v>
      </c>
      <c r="AS3">
        <v>11.36318</v>
      </c>
      <c r="AT3">
        <v>10.269539999999999</v>
      </c>
      <c r="AU3">
        <v>10.179830000000001</v>
      </c>
      <c r="AV3">
        <v>10.51342</v>
      </c>
      <c r="AW3">
        <v>9.7705110000000008</v>
      </c>
      <c r="AX3">
        <v>9.3561519999999998</v>
      </c>
      <c r="AY3">
        <v>10.03148</v>
      </c>
      <c r="BB3" t="str">
        <f t="shared" ref="BB3:BB61" si="2">IF(T3&gt;0,BA3/T3,"")</f>
        <v/>
      </c>
      <c r="BD3">
        <v>905.11300000000006</v>
      </c>
      <c r="BE3">
        <v>157908539</v>
      </c>
      <c r="BF3">
        <v>60.968829999999997</v>
      </c>
      <c r="BG3">
        <v>924.35717</v>
      </c>
      <c r="BH3">
        <v>60.968830359999998</v>
      </c>
    </row>
    <row r="4" spans="1:60">
      <c r="A4">
        <v>10500</v>
      </c>
      <c r="B4" t="s">
        <v>281</v>
      </c>
      <c r="C4">
        <v>29913.37</v>
      </c>
      <c r="D4">
        <v>82255</v>
      </c>
      <c r="E4">
        <v>164488</v>
      </c>
      <c r="F4">
        <v>2.2481899999999999E-2</v>
      </c>
      <c r="G4">
        <f t="shared" si="0"/>
        <v>22481.899999999998</v>
      </c>
      <c r="H4" s="51">
        <f t="shared" si="1"/>
        <v>3698002767.1999998</v>
      </c>
      <c r="I4">
        <v>73.02319</v>
      </c>
      <c r="J4">
        <v>10.30606</v>
      </c>
      <c r="K4">
        <v>-3.795045</v>
      </c>
      <c r="L4">
        <v>6.6299279999999996</v>
      </c>
      <c r="M4">
        <v>-1.9273340000000001</v>
      </c>
      <c r="N4">
        <v>12.010590000000001</v>
      </c>
      <c r="O4">
        <v>2.3083000000000001E-3</v>
      </c>
      <c r="P4">
        <v>0</v>
      </c>
      <c r="Q4">
        <v>553.09820000000002</v>
      </c>
      <c r="R4">
        <v>757.42729999999995</v>
      </c>
      <c r="S4">
        <v>0</v>
      </c>
      <c r="T4">
        <v>0</v>
      </c>
      <c r="U4">
        <v>380.11829999999998</v>
      </c>
      <c r="V4">
        <v>164488</v>
      </c>
      <c r="W4">
        <v>0</v>
      </c>
      <c r="X4">
        <v>2.3108999999999998E-3</v>
      </c>
      <c r="Y4">
        <v>0</v>
      </c>
      <c r="Z4">
        <v>0.19657720000000001</v>
      </c>
      <c r="AB4">
        <v>190</v>
      </c>
      <c r="AE4">
        <v>0</v>
      </c>
      <c r="AF4">
        <v>5.2054460000000002</v>
      </c>
      <c r="AG4">
        <v>10.90842</v>
      </c>
      <c r="AJ4">
        <v>10.50558</v>
      </c>
      <c r="AK4">
        <v>10.780519999999999</v>
      </c>
      <c r="AL4">
        <v>10.586209999999999</v>
      </c>
      <c r="AM4">
        <v>9.8917380000000001</v>
      </c>
      <c r="AN4">
        <v>10.442299999999999</v>
      </c>
      <c r="AO4">
        <v>10.464729999999999</v>
      </c>
      <c r="AP4">
        <v>10.618130000000001</v>
      </c>
      <c r="AQ4">
        <v>10.12393</v>
      </c>
      <c r="AR4">
        <v>10.69201</v>
      </c>
      <c r="AS4">
        <v>11.440530000000001</v>
      </c>
      <c r="AT4">
        <v>9.9819770000000005</v>
      </c>
      <c r="AV4">
        <v>10.50717</v>
      </c>
      <c r="AW4">
        <v>8.5913009999999996</v>
      </c>
      <c r="AX4">
        <v>9.2563999999999993</v>
      </c>
      <c r="AY4">
        <v>9.9509340000000002</v>
      </c>
      <c r="BA4">
        <v>0</v>
      </c>
      <c r="BB4" t="str">
        <f t="shared" si="2"/>
        <v/>
      </c>
      <c r="BC4">
        <v>532011</v>
      </c>
      <c r="BD4">
        <v>1933.684</v>
      </c>
      <c r="BE4">
        <v>115642526</v>
      </c>
      <c r="BF4">
        <v>44.649830000000001</v>
      </c>
      <c r="BG4">
        <v>1957.7</v>
      </c>
      <c r="BH4">
        <v>44.649830809999997</v>
      </c>
    </row>
    <row r="5" spans="1:60">
      <c r="A5">
        <v>10580</v>
      </c>
      <c r="B5" t="s">
        <v>283</v>
      </c>
      <c r="C5">
        <v>39400.06</v>
      </c>
      <c r="D5">
        <v>554009</v>
      </c>
      <c r="E5">
        <v>854301</v>
      </c>
      <c r="F5">
        <v>3.6542199999999997E-2</v>
      </c>
      <c r="G5">
        <f t="shared" si="0"/>
        <v>36542.199999999997</v>
      </c>
      <c r="H5" s="51">
        <f t="shared" si="1"/>
        <v>31218038002.200001</v>
      </c>
      <c r="I5">
        <v>339.45240000000001</v>
      </c>
      <c r="J5">
        <v>10.581519999999999</v>
      </c>
      <c r="K5">
        <v>-3.3092890000000001</v>
      </c>
      <c r="L5">
        <v>8.2000860000000007</v>
      </c>
      <c r="M5">
        <v>-1.2294350000000001</v>
      </c>
      <c r="N5">
        <v>13.65804</v>
      </c>
      <c r="O5">
        <v>1.0614999999999999E-3</v>
      </c>
      <c r="P5">
        <v>0</v>
      </c>
      <c r="Q5">
        <v>1007.62</v>
      </c>
      <c r="R5">
        <v>3641.2629999999999</v>
      </c>
      <c r="S5">
        <v>0</v>
      </c>
      <c r="T5">
        <v>0</v>
      </c>
      <c r="U5">
        <v>907.3066</v>
      </c>
      <c r="V5">
        <v>854301</v>
      </c>
      <c r="W5">
        <v>0</v>
      </c>
      <c r="X5">
        <v>1.062E-3</v>
      </c>
      <c r="Y5">
        <v>0</v>
      </c>
      <c r="Z5">
        <v>0.32203929999999997</v>
      </c>
      <c r="AB5">
        <v>669</v>
      </c>
      <c r="AE5">
        <v>0</v>
      </c>
      <c r="AF5">
        <v>2.6728540000000001</v>
      </c>
      <c r="AG5">
        <v>10.755699999999999</v>
      </c>
      <c r="AI5">
        <v>11.46672</v>
      </c>
      <c r="AJ5">
        <v>10.90171</v>
      </c>
      <c r="AK5">
        <v>10.90455</v>
      </c>
      <c r="AL5">
        <v>10.850099999999999</v>
      </c>
      <c r="AM5">
        <v>10.047470000000001</v>
      </c>
      <c r="AN5">
        <v>10.509270000000001</v>
      </c>
      <c r="AO5">
        <v>11.008509999999999</v>
      </c>
      <c r="AP5">
        <v>10.982659999999999</v>
      </c>
      <c r="AQ5">
        <v>10.413320000000001</v>
      </c>
      <c r="AR5">
        <v>10.96557</v>
      </c>
      <c r="AS5">
        <v>11.009040000000001</v>
      </c>
      <c r="AT5">
        <v>10.29144</v>
      </c>
      <c r="AU5">
        <v>10.41018</v>
      </c>
      <c r="AV5">
        <v>10.53411</v>
      </c>
      <c r="AW5">
        <v>9.8127519999999997</v>
      </c>
      <c r="AX5">
        <v>9.5766740000000006</v>
      </c>
      <c r="AY5">
        <v>10.32727</v>
      </c>
      <c r="AZ5">
        <v>11.17605</v>
      </c>
      <c r="BA5">
        <v>0</v>
      </c>
      <c r="BB5" t="str">
        <f t="shared" si="2"/>
        <v/>
      </c>
      <c r="BC5">
        <v>7290739</v>
      </c>
      <c r="BD5">
        <v>2817.3789999999999</v>
      </c>
      <c r="BE5">
        <v>107065964</v>
      </c>
      <c r="BF5">
        <v>41.3384</v>
      </c>
      <c r="BG5">
        <v>2878.1116000000002</v>
      </c>
      <c r="BH5">
        <v>41.338401570000002</v>
      </c>
    </row>
    <row r="6" spans="1:60">
      <c r="A6">
        <v>10740</v>
      </c>
      <c r="B6" t="s">
        <v>278</v>
      </c>
      <c r="C6">
        <v>35760.019999999997</v>
      </c>
      <c r="D6">
        <v>512994</v>
      </c>
      <c r="E6">
        <v>846582</v>
      </c>
      <c r="F6">
        <v>3.3948300000000001E-2</v>
      </c>
      <c r="G6">
        <f t="shared" si="0"/>
        <v>33948.300000000003</v>
      </c>
      <c r="H6" s="51">
        <f t="shared" si="1"/>
        <v>28740019710.600002</v>
      </c>
      <c r="I6">
        <v>280.51440000000002</v>
      </c>
      <c r="J6">
        <v>10.484590000000001</v>
      </c>
      <c r="K6">
        <v>-3.382917</v>
      </c>
      <c r="L6">
        <v>7.6587370000000004</v>
      </c>
      <c r="M6">
        <v>-1.316759</v>
      </c>
      <c r="N6">
        <v>13.648960000000001</v>
      </c>
      <c r="O6">
        <v>8.7810000000000004E-4</v>
      </c>
      <c r="P6">
        <v>4.9599999999999999E-5</v>
      </c>
      <c r="Q6">
        <v>1153.0820000000001</v>
      </c>
      <c r="R6">
        <v>2119.08</v>
      </c>
      <c r="S6">
        <v>1</v>
      </c>
      <c r="T6">
        <v>42</v>
      </c>
      <c r="U6">
        <v>743.68960000000004</v>
      </c>
      <c r="V6">
        <v>846582</v>
      </c>
      <c r="W6">
        <v>4.9599999999999999E-5</v>
      </c>
      <c r="X6">
        <v>8.7850000000000005E-4</v>
      </c>
      <c r="Y6">
        <v>4.5221000000000003E-3</v>
      </c>
      <c r="Z6">
        <v>8.0071600000000007E-2</v>
      </c>
      <c r="AB6">
        <v>279</v>
      </c>
      <c r="AE6">
        <v>0.14972489999999999</v>
      </c>
      <c r="AF6">
        <v>2.6511640000000001</v>
      </c>
      <c r="AG6">
        <v>9.8824339999999999</v>
      </c>
      <c r="AH6">
        <v>11.017340000000001</v>
      </c>
      <c r="AI6">
        <v>10.89832</v>
      </c>
      <c r="AJ6">
        <v>10.61102</v>
      </c>
      <c r="AK6">
        <v>10.780860000000001</v>
      </c>
      <c r="AL6">
        <v>10.71364</v>
      </c>
      <c r="AM6">
        <v>10.082179999999999</v>
      </c>
      <c r="AN6">
        <v>10.46292</v>
      </c>
      <c r="AO6">
        <v>10.62542</v>
      </c>
      <c r="AP6">
        <v>10.777060000000001</v>
      </c>
      <c r="AQ6">
        <v>10.32389</v>
      </c>
      <c r="AR6">
        <v>10.952120000000001</v>
      </c>
      <c r="AS6">
        <v>10.84816</v>
      </c>
      <c r="AT6">
        <v>10.1907</v>
      </c>
      <c r="AU6">
        <v>10.363849999999999</v>
      </c>
      <c r="AV6">
        <v>10.64202</v>
      </c>
      <c r="AW6">
        <v>10.009639999999999</v>
      </c>
      <c r="AX6">
        <v>9.5515860000000004</v>
      </c>
      <c r="AY6">
        <v>10.114050000000001</v>
      </c>
      <c r="BB6">
        <f t="shared" si="2"/>
        <v>0</v>
      </c>
      <c r="BC6">
        <v>5068244</v>
      </c>
      <c r="BD6">
        <v>9287.8109999999997</v>
      </c>
      <c r="BE6">
        <v>323797461</v>
      </c>
      <c r="BF6">
        <v>125.0189</v>
      </c>
      <c r="BG6">
        <v>9297.0892999999996</v>
      </c>
      <c r="BH6">
        <v>125.0189039</v>
      </c>
    </row>
    <row r="7" spans="1:60">
      <c r="A7">
        <v>10780</v>
      </c>
      <c r="B7" t="s">
        <v>286</v>
      </c>
      <c r="C7">
        <v>30911.47</v>
      </c>
      <c r="D7">
        <v>85873</v>
      </c>
      <c r="E7">
        <v>153451</v>
      </c>
      <c r="F7">
        <v>2.6633899999999999E-2</v>
      </c>
      <c r="G7">
        <f t="shared" si="0"/>
        <v>26633.899999999998</v>
      </c>
      <c r="H7" s="51">
        <f t="shared" si="1"/>
        <v>4086998588.9000001</v>
      </c>
      <c r="I7">
        <v>58.594140000000003</v>
      </c>
      <c r="J7">
        <v>10.33888</v>
      </c>
      <c r="K7">
        <v>-3.6255700000000002</v>
      </c>
      <c r="L7">
        <v>7.1253929999999999</v>
      </c>
      <c r="M7">
        <v>-1.8777349999999999</v>
      </c>
      <c r="N7">
        <v>11.941140000000001</v>
      </c>
      <c r="O7">
        <v>2.1310000000000001E-3</v>
      </c>
      <c r="P7">
        <v>0</v>
      </c>
      <c r="Q7">
        <v>743.52139999999997</v>
      </c>
      <c r="R7">
        <v>1243.1369999999999</v>
      </c>
      <c r="S7">
        <v>0</v>
      </c>
      <c r="T7">
        <v>0</v>
      </c>
      <c r="U7">
        <v>327.35570000000001</v>
      </c>
      <c r="V7">
        <v>153451</v>
      </c>
      <c r="W7">
        <v>0</v>
      </c>
      <c r="X7">
        <v>2.1332999999999999E-3</v>
      </c>
      <c r="Y7">
        <v>0</v>
      </c>
      <c r="Z7">
        <v>0.1663684</v>
      </c>
      <c r="AB7">
        <v>99</v>
      </c>
      <c r="AE7">
        <v>0</v>
      </c>
      <c r="AF7">
        <v>5.5868330000000004</v>
      </c>
      <c r="AG7">
        <v>10.61002</v>
      </c>
      <c r="AJ7">
        <v>10.63669</v>
      </c>
      <c r="AK7">
        <v>10.53711</v>
      </c>
      <c r="AL7">
        <v>10.572929999999999</v>
      </c>
      <c r="AM7">
        <v>10.01787</v>
      </c>
      <c r="AN7">
        <v>10.53701</v>
      </c>
      <c r="AO7">
        <v>10.459540000000001</v>
      </c>
      <c r="AP7">
        <v>10.540889999999999</v>
      </c>
      <c r="AQ7">
        <v>10.14922</v>
      </c>
      <c r="AR7">
        <v>10.59366</v>
      </c>
      <c r="AS7">
        <v>11.08995</v>
      </c>
      <c r="AT7">
        <v>9.9846430000000002</v>
      </c>
      <c r="AU7">
        <v>9.825958</v>
      </c>
      <c r="AV7">
        <v>10.49647</v>
      </c>
      <c r="AW7">
        <v>9.3543500000000002</v>
      </c>
      <c r="AX7">
        <v>9.3542769999999997</v>
      </c>
      <c r="AY7">
        <v>9.8202560000000005</v>
      </c>
      <c r="BA7">
        <v>0</v>
      </c>
      <c r="BB7" t="str">
        <f t="shared" si="2"/>
        <v/>
      </c>
      <c r="BC7">
        <v>520402</v>
      </c>
      <c r="BD7">
        <v>1967.6559999999999</v>
      </c>
      <c r="BE7">
        <v>67209329</v>
      </c>
      <c r="BF7">
        <v>25.949670000000001</v>
      </c>
      <c r="BG7">
        <v>2026.3101999999999</v>
      </c>
      <c r="BH7">
        <v>25.949668110000001</v>
      </c>
    </row>
    <row r="8" spans="1:60">
      <c r="A8">
        <v>10900</v>
      </c>
      <c r="B8" t="s">
        <v>288</v>
      </c>
      <c r="C8">
        <v>41078.980000000003</v>
      </c>
      <c r="D8">
        <v>434311</v>
      </c>
      <c r="E8">
        <v>811669</v>
      </c>
      <c r="F8">
        <v>3.3315299999999999E-2</v>
      </c>
      <c r="G8">
        <f t="shared" si="0"/>
        <v>33315.299999999996</v>
      </c>
      <c r="H8" s="51">
        <f t="shared" si="1"/>
        <v>27040996235.700001</v>
      </c>
      <c r="I8">
        <v>296.30939999999998</v>
      </c>
      <c r="J8">
        <v>10.623250000000001</v>
      </c>
      <c r="K8">
        <v>-3.4017379999999999</v>
      </c>
      <c r="L8">
        <v>7.754556</v>
      </c>
      <c r="M8">
        <v>-1.4797180000000001</v>
      </c>
      <c r="N8">
        <v>13.60685</v>
      </c>
      <c r="O8">
        <v>7.3800000000000005E-4</v>
      </c>
      <c r="P8">
        <v>0</v>
      </c>
      <c r="Q8">
        <v>791.86810000000003</v>
      </c>
      <c r="R8">
        <v>2332.174</v>
      </c>
      <c r="S8">
        <v>0</v>
      </c>
      <c r="T8">
        <v>0</v>
      </c>
      <c r="U8">
        <v>599.20460000000003</v>
      </c>
      <c r="V8">
        <v>811669</v>
      </c>
      <c r="W8">
        <v>0</v>
      </c>
      <c r="X8">
        <v>7.3820000000000005E-4</v>
      </c>
      <c r="Y8">
        <v>0</v>
      </c>
      <c r="Z8">
        <v>0.41059329999999999</v>
      </c>
      <c r="AB8">
        <v>419</v>
      </c>
      <c r="AE8">
        <v>0</v>
      </c>
      <c r="AF8">
        <v>2.0222259999999999</v>
      </c>
      <c r="AG8">
        <v>11.6685</v>
      </c>
      <c r="AH8">
        <v>10.80171</v>
      </c>
      <c r="AI8">
        <v>11.511480000000001</v>
      </c>
      <c r="AJ8">
        <v>10.826689999999999</v>
      </c>
      <c r="AK8">
        <v>10.79754</v>
      </c>
      <c r="AL8">
        <v>11.136480000000001</v>
      </c>
      <c r="AM8">
        <v>10.003690000000001</v>
      </c>
      <c r="AN8">
        <v>10.470090000000001</v>
      </c>
      <c r="AO8">
        <v>10.80963</v>
      </c>
      <c r="AP8">
        <v>10.80819</v>
      </c>
      <c r="AQ8">
        <v>10.37457</v>
      </c>
      <c r="AR8">
        <v>10.9704</v>
      </c>
      <c r="AS8">
        <v>11.58661</v>
      </c>
      <c r="AT8">
        <v>10.294549999999999</v>
      </c>
      <c r="AU8">
        <v>10.316039999999999</v>
      </c>
      <c r="AV8">
        <v>10.680300000000001</v>
      </c>
      <c r="AW8">
        <v>9.8905849999999997</v>
      </c>
      <c r="AX8">
        <v>9.5124279999999999</v>
      </c>
      <c r="AY8">
        <v>10.03145</v>
      </c>
      <c r="AZ8">
        <v>9.7409689999999998</v>
      </c>
      <c r="BA8">
        <v>0</v>
      </c>
      <c r="BB8" t="str">
        <f t="shared" si="2"/>
        <v/>
      </c>
      <c r="BC8">
        <v>2369621</v>
      </c>
      <c r="BD8">
        <v>1459.3630000000001</v>
      </c>
      <c r="BE8">
        <v>87814250</v>
      </c>
      <c r="BF8">
        <v>33.905270000000002</v>
      </c>
      <c r="BG8">
        <v>1475.8996999999999</v>
      </c>
      <c r="BH8">
        <v>33.905272920000002</v>
      </c>
    </row>
    <row r="9" spans="1:60">
      <c r="A9">
        <v>11020</v>
      </c>
      <c r="B9" t="s">
        <v>290</v>
      </c>
      <c r="C9">
        <v>30581.5</v>
      </c>
      <c r="D9">
        <v>75556</v>
      </c>
      <c r="E9">
        <v>125923</v>
      </c>
      <c r="F9">
        <v>2.92719E-2</v>
      </c>
      <c r="G9">
        <f t="shared" si="0"/>
        <v>29271.9</v>
      </c>
      <c r="H9" s="51">
        <f t="shared" si="1"/>
        <v>3686005463.6999998</v>
      </c>
      <c r="I9">
        <v>44.762619999999998</v>
      </c>
      <c r="J9">
        <v>10.328150000000001</v>
      </c>
      <c r="K9">
        <v>-3.531129</v>
      </c>
      <c r="L9">
        <v>7.8118930000000004</v>
      </c>
      <c r="M9">
        <v>-1.909518</v>
      </c>
      <c r="N9">
        <v>11.74343</v>
      </c>
      <c r="O9">
        <v>1.1858999999999999E-3</v>
      </c>
      <c r="P9">
        <v>0</v>
      </c>
      <c r="Q9">
        <v>1062.7619999999999</v>
      </c>
      <c r="R9">
        <v>2469.8020000000001</v>
      </c>
      <c r="S9">
        <v>0</v>
      </c>
      <c r="T9">
        <v>0</v>
      </c>
      <c r="U9">
        <v>149.4195</v>
      </c>
      <c r="V9">
        <v>125923</v>
      </c>
      <c r="W9">
        <v>0</v>
      </c>
      <c r="X9">
        <v>1.1865999999999999E-3</v>
      </c>
      <c r="Y9">
        <v>0</v>
      </c>
      <c r="Z9">
        <v>0.28417429999999999</v>
      </c>
      <c r="AB9">
        <v>321</v>
      </c>
      <c r="AE9">
        <v>0</v>
      </c>
      <c r="AF9">
        <v>3.3380420000000002</v>
      </c>
      <c r="AJ9">
        <v>10.49619</v>
      </c>
      <c r="AK9">
        <v>10.53485</v>
      </c>
      <c r="AL9">
        <v>10.54702</v>
      </c>
      <c r="AM9">
        <v>9.9257960000000001</v>
      </c>
      <c r="AN9">
        <v>10.565860000000001</v>
      </c>
      <c r="AO9">
        <v>10.427670000000001</v>
      </c>
      <c r="AP9">
        <v>10.661809999999999</v>
      </c>
      <c r="AQ9">
        <v>10.20655</v>
      </c>
      <c r="AR9">
        <v>10.47907</v>
      </c>
      <c r="AS9">
        <v>11.098850000000001</v>
      </c>
      <c r="AT9">
        <v>9.7303920000000002</v>
      </c>
      <c r="AU9">
        <v>9.7271780000000003</v>
      </c>
      <c r="AV9">
        <v>10.578989999999999</v>
      </c>
      <c r="AW9">
        <v>9.8622809999999994</v>
      </c>
      <c r="AX9">
        <v>9.3770880000000005</v>
      </c>
      <c r="AY9">
        <v>9.7938899999999993</v>
      </c>
      <c r="BA9">
        <v>0</v>
      </c>
      <c r="BB9" t="str">
        <f t="shared" si="2"/>
        <v/>
      </c>
      <c r="BC9">
        <v>445692</v>
      </c>
      <c r="BD9">
        <v>525.80229999999995</v>
      </c>
      <c r="BE9">
        <v>25211932</v>
      </c>
      <c r="BF9">
        <v>9.7343820000000001</v>
      </c>
      <c r="BG9">
        <v>526.86380999999994</v>
      </c>
      <c r="BH9">
        <v>9.7343817809999997</v>
      </c>
    </row>
    <row r="10" spans="1:60">
      <c r="A10">
        <v>11100</v>
      </c>
      <c r="B10" t="s">
        <v>292</v>
      </c>
      <c r="C10">
        <v>34160.629999999997</v>
      </c>
      <c r="D10">
        <v>158038</v>
      </c>
      <c r="E10">
        <v>243682</v>
      </c>
      <c r="F10">
        <v>3.5226199999999999E-2</v>
      </c>
      <c r="G10">
        <f t="shared" si="0"/>
        <v>35226.199999999997</v>
      </c>
      <c r="H10" s="51">
        <f t="shared" si="1"/>
        <v>8583990868.4000006</v>
      </c>
      <c r="I10">
        <v>85.360079999999996</v>
      </c>
      <c r="J10">
        <v>10.438829999999999</v>
      </c>
      <c r="K10">
        <v>-3.3459639999999999</v>
      </c>
      <c r="L10">
        <v>7.0367879999999996</v>
      </c>
      <c r="M10">
        <v>-1.623464</v>
      </c>
      <c r="N10">
        <v>12.40362</v>
      </c>
      <c r="O10">
        <v>1.5043000000000001E-3</v>
      </c>
      <c r="P10">
        <v>0</v>
      </c>
      <c r="Q10">
        <v>1006.466</v>
      </c>
      <c r="R10">
        <v>1137.7270000000001</v>
      </c>
      <c r="S10">
        <v>0</v>
      </c>
      <c r="T10">
        <v>0</v>
      </c>
      <c r="U10">
        <v>366.8537</v>
      </c>
      <c r="V10">
        <v>243682</v>
      </c>
      <c r="W10">
        <v>0</v>
      </c>
      <c r="X10">
        <v>1.5054999999999999E-3</v>
      </c>
      <c r="Y10">
        <v>0</v>
      </c>
      <c r="Z10">
        <v>0.10021960000000001</v>
      </c>
      <c r="AB10">
        <v>53</v>
      </c>
      <c r="AE10">
        <v>0</v>
      </c>
      <c r="AF10">
        <v>4.2977189999999998</v>
      </c>
      <c r="AH10">
        <v>11.30687</v>
      </c>
      <c r="AJ10">
        <v>10.563969999999999</v>
      </c>
      <c r="AK10">
        <v>10.612220000000001</v>
      </c>
      <c r="AL10">
        <v>10.669269999999999</v>
      </c>
      <c r="AM10">
        <v>10.017049999999999</v>
      </c>
      <c r="AN10">
        <v>10.54982</v>
      </c>
      <c r="AO10">
        <v>10.633430000000001</v>
      </c>
      <c r="AP10">
        <v>10.68436</v>
      </c>
      <c r="AQ10">
        <v>10.288830000000001</v>
      </c>
      <c r="AR10">
        <v>10.83459</v>
      </c>
      <c r="AS10">
        <v>10.92714</v>
      </c>
      <c r="AT10">
        <v>9.9721810000000009</v>
      </c>
      <c r="AU10">
        <v>9.8020689999999995</v>
      </c>
      <c r="AV10">
        <v>10.61178</v>
      </c>
      <c r="AW10">
        <v>9.6429329999999993</v>
      </c>
      <c r="AX10">
        <v>9.3841780000000004</v>
      </c>
      <c r="AY10">
        <v>9.9301619999999993</v>
      </c>
      <c r="BA10">
        <v>0</v>
      </c>
      <c r="BB10" t="str">
        <f t="shared" si="2"/>
        <v/>
      </c>
      <c r="BC10">
        <v>655128</v>
      </c>
      <c r="BD10">
        <v>3660.498</v>
      </c>
      <c r="BE10">
        <v>181304052</v>
      </c>
      <c r="BF10">
        <v>70.00188</v>
      </c>
      <c r="BG10">
        <v>3682.3442</v>
      </c>
      <c r="BH10">
        <v>70.001888809999997</v>
      </c>
    </row>
    <row r="11" spans="1:60">
      <c r="A11">
        <v>11180</v>
      </c>
      <c r="B11" t="s">
        <v>294</v>
      </c>
      <c r="C11">
        <v>30557.7</v>
      </c>
      <c r="D11">
        <v>57218</v>
      </c>
      <c r="E11">
        <v>86219</v>
      </c>
      <c r="F11">
        <v>3.0503700000000002E-2</v>
      </c>
      <c r="G11">
        <f t="shared" si="0"/>
        <v>30503.7</v>
      </c>
      <c r="H11" s="51">
        <f t="shared" si="1"/>
        <v>2629998510.3000002</v>
      </c>
      <c r="I11">
        <v>18.30555</v>
      </c>
      <c r="J11">
        <v>10.32737</v>
      </c>
      <c r="K11">
        <v>-3.4899070000000001</v>
      </c>
      <c r="L11">
        <v>7.3452520000000003</v>
      </c>
      <c r="M11">
        <v>-1.1575169999999999</v>
      </c>
      <c r="N11">
        <v>11.364649999999999</v>
      </c>
      <c r="O11">
        <v>1.4345E-3</v>
      </c>
      <c r="P11">
        <v>0</v>
      </c>
      <c r="Q11">
        <v>1409.9549999999999</v>
      </c>
      <c r="R11">
        <v>1548.825</v>
      </c>
      <c r="S11">
        <v>0</v>
      </c>
      <c r="T11">
        <v>0</v>
      </c>
      <c r="U11">
        <v>123.7714</v>
      </c>
      <c r="V11">
        <v>86219</v>
      </c>
      <c r="W11">
        <v>0</v>
      </c>
      <c r="X11">
        <v>1.4354999999999999E-3</v>
      </c>
      <c r="Y11">
        <v>0</v>
      </c>
      <c r="Z11">
        <v>0.21605859999999999</v>
      </c>
      <c r="AB11">
        <v>769</v>
      </c>
      <c r="AE11">
        <v>0</v>
      </c>
      <c r="AF11">
        <v>6.7614140000000003</v>
      </c>
      <c r="AG11">
        <v>10.916700000000001</v>
      </c>
      <c r="AI11">
        <v>10.54128</v>
      </c>
      <c r="AJ11">
        <v>10.686120000000001</v>
      </c>
      <c r="AK11">
        <v>10.745799999999999</v>
      </c>
      <c r="AL11">
        <v>10.908149999999999</v>
      </c>
      <c r="AM11">
        <v>9.9030290000000001</v>
      </c>
      <c r="AN11">
        <v>10.308719999999999</v>
      </c>
      <c r="AO11">
        <v>10.23882</v>
      </c>
      <c r="AP11">
        <v>10.57667</v>
      </c>
      <c r="AQ11">
        <v>10.226150000000001</v>
      </c>
      <c r="AR11">
        <v>10.693149999999999</v>
      </c>
      <c r="AS11">
        <v>10.81386</v>
      </c>
      <c r="AT11">
        <v>10.05531</v>
      </c>
      <c r="AU11">
        <v>9.739217</v>
      </c>
      <c r="AV11">
        <v>10.581770000000001</v>
      </c>
      <c r="AX11">
        <v>9.2597810000000003</v>
      </c>
      <c r="AY11">
        <v>10.0268</v>
      </c>
      <c r="AZ11">
        <v>9.2495609999999999</v>
      </c>
      <c r="BA11">
        <v>0</v>
      </c>
      <c r="BB11" t="str">
        <f t="shared" si="2"/>
        <v/>
      </c>
      <c r="BC11">
        <v>1093276</v>
      </c>
      <c r="BD11">
        <v>572.86009999999999</v>
      </c>
      <c r="BE11">
        <v>38867599</v>
      </c>
      <c r="BF11">
        <v>15.00686</v>
      </c>
      <c r="BG11">
        <v>573.64936999999998</v>
      </c>
      <c r="BH11">
        <v>15.00686451</v>
      </c>
    </row>
    <row r="12" spans="1:60">
      <c r="A12">
        <v>11260</v>
      </c>
      <c r="B12" t="s">
        <v>296</v>
      </c>
      <c r="C12">
        <v>52499.14</v>
      </c>
      <c r="D12">
        <v>236261</v>
      </c>
      <c r="E12">
        <v>365790</v>
      </c>
      <c r="F12">
        <v>6.0696E-2</v>
      </c>
      <c r="G12">
        <f t="shared" si="0"/>
        <v>60696</v>
      </c>
      <c r="H12" s="51">
        <f t="shared" si="1"/>
        <v>22201989840</v>
      </c>
      <c r="I12">
        <v>117.7265</v>
      </c>
      <c r="J12">
        <v>10.868550000000001</v>
      </c>
      <c r="K12">
        <v>-2.8018770000000002</v>
      </c>
      <c r="L12">
        <v>7.2183469999999996</v>
      </c>
      <c r="M12">
        <v>-1.444329</v>
      </c>
      <c r="N12">
        <v>12.809810000000001</v>
      </c>
      <c r="O12">
        <v>1.0682000000000001E-3</v>
      </c>
      <c r="P12">
        <v>0</v>
      </c>
      <c r="Q12">
        <v>1183.1410000000001</v>
      </c>
      <c r="R12">
        <v>1364.231</v>
      </c>
      <c r="S12">
        <v>0</v>
      </c>
      <c r="T12">
        <v>0</v>
      </c>
      <c r="U12">
        <v>390.95030000000003</v>
      </c>
      <c r="V12">
        <v>365790</v>
      </c>
      <c r="W12">
        <v>0</v>
      </c>
      <c r="X12">
        <v>1.0688E-3</v>
      </c>
      <c r="Y12">
        <v>0</v>
      </c>
      <c r="Z12">
        <v>1.4820699999999999E-2</v>
      </c>
      <c r="AB12">
        <v>142</v>
      </c>
      <c r="AE12">
        <v>0</v>
      </c>
      <c r="AF12">
        <v>3.3208359999999999</v>
      </c>
      <c r="AG12">
        <v>11.143219999999999</v>
      </c>
      <c r="AH12">
        <v>11.650069999999999</v>
      </c>
      <c r="AJ12">
        <v>11.38668</v>
      </c>
      <c r="AK12">
        <v>10.925879999999999</v>
      </c>
      <c r="AL12">
        <v>10.83286</v>
      </c>
      <c r="AM12">
        <v>10.246169999999999</v>
      </c>
      <c r="AN12">
        <v>11.0778</v>
      </c>
      <c r="AO12">
        <v>10.97925</v>
      </c>
      <c r="AP12">
        <v>11.03105</v>
      </c>
      <c r="AQ12">
        <v>10.389989999999999</v>
      </c>
      <c r="AR12">
        <v>11.122260000000001</v>
      </c>
      <c r="AS12">
        <v>11.52901</v>
      </c>
      <c r="AT12">
        <v>10.734830000000001</v>
      </c>
      <c r="AU12">
        <v>10.20153</v>
      </c>
      <c r="AV12">
        <v>10.804169999999999</v>
      </c>
      <c r="AW12">
        <v>9.7728470000000005</v>
      </c>
      <c r="AX12">
        <v>10.025</v>
      </c>
      <c r="AY12">
        <v>10.33215</v>
      </c>
      <c r="AZ12">
        <v>10.08581</v>
      </c>
      <c r="BA12">
        <v>0</v>
      </c>
      <c r="BB12" t="str">
        <f t="shared" si="2"/>
        <v/>
      </c>
      <c r="BC12">
        <v>2150344</v>
      </c>
      <c r="BD12">
        <v>26378.75</v>
      </c>
      <c r="BE12">
        <v>242094350</v>
      </c>
      <c r="BF12">
        <v>93.473150000000004</v>
      </c>
      <c r="BG12">
        <v>27219.782999999999</v>
      </c>
      <c r="BH12">
        <v>93.473155090000006</v>
      </c>
    </row>
    <row r="13" spans="1:60">
      <c r="A13">
        <v>11300</v>
      </c>
      <c r="B13" t="s">
        <v>298</v>
      </c>
      <c r="C13">
        <v>29337.73</v>
      </c>
      <c r="D13">
        <v>53469</v>
      </c>
      <c r="E13">
        <v>131253</v>
      </c>
      <c r="F13">
        <v>2.1508099999999999E-2</v>
      </c>
      <c r="G13">
        <f t="shared" si="0"/>
        <v>21508.1</v>
      </c>
      <c r="H13" s="51">
        <f t="shared" si="1"/>
        <v>2823002649.3000002</v>
      </c>
      <c r="I13">
        <v>64.371319999999997</v>
      </c>
      <c r="J13">
        <v>10.286630000000001</v>
      </c>
      <c r="K13">
        <v>-3.8393269999999999</v>
      </c>
      <c r="L13">
        <v>6.3805870000000002</v>
      </c>
      <c r="M13">
        <v>-1.911354</v>
      </c>
      <c r="N13">
        <v>11.784879999999999</v>
      </c>
      <c r="O13">
        <v>1.0998E-3</v>
      </c>
      <c r="P13">
        <v>0</v>
      </c>
      <c r="Q13">
        <v>424.36599999999999</v>
      </c>
      <c r="R13">
        <v>590.27369999999996</v>
      </c>
      <c r="S13">
        <v>0</v>
      </c>
      <c r="T13">
        <v>0</v>
      </c>
      <c r="U13">
        <v>144.42509999999999</v>
      </c>
      <c r="V13">
        <v>131253</v>
      </c>
      <c r="W13">
        <v>0</v>
      </c>
      <c r="X13">
        <v>1.1004000000000001E-3</v>
      </c>
      <c r="Y13">
        <v>0</v>
      </c>
      <c r="Z13">
        <v>0.31943290000000002</v>
      </c>
      <c r="AB13">
        <v>214</v>
      </c>
      <c r="AE13">
        <v>0</v>
      </c>
      <c r="AF13">
        <v>2.2436259999999999</v>
      </c>
      <c r="AJ13">
        <v>10.59333</v>
      </c>
      <c r="AK13">
        <v>10.610799999999999</v>
      </c>
      <c r="AL13">
        <v>10.88142</v>
      </c>
      <c r="AM13">
        <v>9.9315630000000006</v>
      </c>
      <c r="AN13">
        <v>10.634080000000001</v>
      </c>
      <c r="AO13">
        <v>10.572649999999999</v>
      </c>
      <c r="AP13">
        <v>10.487780000000001</v>
      </c>
      <c r="AQ13">
        <v>9.9501849999999994</v>
      </c>
      <c r="AR13">
        <v>10.219860000000001</v>
      </c>
      <c r="AS13">
        <v>11.444559999999999</v>
      </c>
      <c r="AT13">
        <v>10.111129999999999</v>
      </c>
      <c r="AU13">
        <v>9.6506279999999993</v>
      </c>
      <c r="AV13">
        <v>10.467779999999999</v>
      </c>
      <c r="AW13">
        <v>10.306990000000001</v>
      </c>
      <c r="AX13">
        <v>9.3001280000000008</v>
      </c>
      <c r="AY13">
        <v>9.7628740000000001</v>
      </c>
      <c r="AZ13">
        <v>9.4727049999999995</v>
      </c>
      <c r="BA13">
        <v>0</v>
      </c>
      <c r="BB13" t="str">
        <f t="shared" si="2"/>
        <v/>
      </c>
      <c r="BC13">
        <v>294900</v>
      </c>
      <c r="BD13">
        <v>452.12990000000002</v>
      </c>
      <c r="BE13">
        <v>87601920</v>
      </c>
      <c r="BF13">
        <v>33.82329</v>
      </c>
      <c r="BG13">
        <v>452.90440999999998</v>
      </c>
      <c r="BH13">
        <v>33.823291849999997</v>
      </c>
    </row>
    <row r="14" spans="1:60">
      <c r="A14">
        <v>11340</v>
      </c>
      <c r="B14" t="s">
        <v>1198</v>
      </c>
      <c r="C14">
        <v>30150.93</v>
      </c>
      <c r="D14">
        <v>90035</v>
      </c>
      <c r="E14">
        <v>182937</v>
      </c>
      <c r="F14">
        <v>2.1061900000000001E-2</v>
      </c>
      <c r="G14">
        <f t="shared" si="0"/>
        <v>21061.9</v>
      </c>
      <c r="H14" s="51">
        <f t="shared" si="1"/>
        <v>3853000800.3000002</v>
      </c>
      <c r="I14">
        <v>104.28489999999999</v>
      </c>
      <c r="J14">
        <v>10.313969999999999</v>
      </c>
      <c r="K14">
        <v>-3.86029</v>
      </c>
      <c r="L14">
        <v>7.24491</v>
      </c>
      <c r="M14">
        <v>-1.8212759999999999</v>
      </c>
      <c r="N14">
        <v>12.116899999999999</v>
      </c>
      <c r="O14">
        <v>1.2995999999999999E-3</v>
      </c>
      <c r="P14">
        <v>0</v>
      </c>
      <c r="Q14">
        <v>411.56490000000002</v>
      </c>
      <c r="R14">
        <v>1400.9549999999999</v>
      </c>
      <c r="S14">
        <v>0</v>
      </c>
      <c r="T14">
        <v>0</v>
      </c>
      <c r="U14">
        <v>237.8937</v>
      </c>
      <c r="V14">
        <v>182937</v>
      </c>
      <c r="W14">
        <v>0</v>
      </c>
      <c r="X14">
        <v>1.3004E-3</v>
      </c>
      <c r="Y14">
        <v>0</v>
      </c>
      <c r="Z14">
        <v>0.33132020000000001</v>
      </c>
      <c r="AE14">
        <v>0</v>
      </c>
      <c r="AF14">
        <v>2.2811910000000002</v>
      </c>
      <c r="AG14">
        <v>10.273479999999999</v>
      </c>
      <c r="AH14">
        <v>11.035159999999999</v>
      </c>
      <c r="AI14">
        <v>11.120340000000001</v>
      </c>
      <c r="AJ14">
        <v>10.32654</v>
      </c>
      <c r="AK14">
        <v>10.576599999999999</v>
      </c>
      <c r="AL14">
        <v>10.715719999999999</v>
      </c>
      <c r="AM14">
        <v>9.9488959999999995</v>
      </c>
      <c r="AN14">
        <v>10.51535</v>
      </c>
      <c r="AO14">
        <v>10.59919</v>
      </c>
      <c r="AP14">
        <v>10.52885</v>
      </c>
      <c r="AQ14">
        <v>10.15794</v>
      </c>
      <c r="AR14">
        <v>10.37411</v>
      </c>
      <c r="AS14">
        <v>11.27148</v>
      </c>
      <c r="AT14">
        <v>10.27059</v>
      </c>
      <c r="AV14">
        <v>10.51107</v>
      </c>
      <c r="AW14">
        <v>9.5867959999999997</v>
      </c>
      <c r="AX14">
        <v>9.2996099999999995</v>
      </c>
      <c r="AY14">
        <v>10.06789</v>
      </c>
      <c r="AZ14">
        <v>9.3926619999999996</v>
      </c>
      <c r="BB14" t="str">
        <f t="shared" si="2"/>
        <v/>
      </c>
      <c r="BD14">
        <v>718.01760000000002</v>
      </c>
      <c r="BE14">
        <v>45968670</v>
      </c>
      <c r="BF14">
        <v>17.7486</v>
      </c>
      <c r="BG14">
        <v>757.41483000000005</v>
      </c>
      <c r="BH14">
        <v>17.748603469999999</v>
      </c>
    </row>
    <row r="15" spans="1:60">
      <c r="A15">
        <v>11460</v>
      </c>
      <c r="B15" t="s">
        <v>300</v>
      </c>
      <c r="C15">
        <v>49048.7</v>
      </c>
      <c r="D15">
        <v>240701</v>
      </c>
      <c r="E15">
        <v>344767</v>
      </c>
      <c r="F15">
        <v>3.8515899999999999E-2</v>
      </c>
      <c r="G15">
        <f t="shared" si="0"/>
        <v>38515.9</v>
      </c>
      <c r="H15" s="51">
        <f t="shared" si="1"/>
        <v>13279011295.299999</v>
      </c>
      <c r="I15">
        <v>111.2299</v>
      </c>
      <c r="J15">
        <v>10.80057</v>
      </c>
      <c r="K15">
        <v>-3.2566850000000001</v>
      </c>
      <c r="L15">
        <v>8.1531409999999997</v>
      </c>
      <c r="M15">
        <v>-0.91645489999999996</v>
      </c>
      <c r="N15">
        <v>12.75062</v>
      </c>
      <c r="O15">
        <v>5.509E-4</v>
      </c>
      <c r="P15">
        <v>0</v>
      </c>
      <c r="Q15">
        <v>1425.2370000000001</v>
      </c>
      <c r="R15">
        <v>3474.2750000000001</v>
      </c>
      <c r="S15">
        <v>0</v>
      </c>
      <c r="T15">
        <v>0</v>
      </c>
      <c r="U15">
        <v>189.97</v>
      </c>
      <c r="V15">
        <v>344767</v>
      </c>
      <c r="W15">
        <v>0</v>
      </c>
      <c r="X15">
        <v>5.5099999999999995E-4</v>
      </c>
      <c r="Y15">
        <v>0</v>
      </c>
      <c r="Z15">
        <v>0.2675863</v>
      </c>
      <c r="AB15">
        <v>814</v>
      </c>
      <c r="AE15">
        <v>0</v>
      </c>
      <c r="AF15">
        <v>1.7079040000000001</v>
      </c>
      <c r="AJ15">
        <v>10.987220000000001</v>
      </c>
      <c r="AK15">
        <v>10.95478</v>
      </c>
      <c r="AL15">
        <v>10.90945</v>
      </c>
      <c r="AM15">
        <v>10.027559999999999</v>
      </c>
      <c r="AN15">
        <v>10.74112</v>
      </c>
      <c r="AO15">
        <v>11.08788</v>
      </c>
      <c r="AP15">
        <v>10.98307</v>
      </c>
      <c r="AQ15">
        <v>10.55203</v>
      </c>
      <c r="AR15">
        <v>11.47494</v>
      </c>
      <c r="AS15">
        <v>12.26779</v>
      </c>
      <c r="AT15">
        <v>10.375540000000001</v>
      </c>
      <c r="AU15">
        <v>10.180400000000001</v>
      </c>
      <c r="AV15">
        <v>10.79072</v>
      </c>
      <c r="AW15">
        <v>9.8843870000000003</v>
      </c>
      <c r="AX15">
        <v>9.5194209999999995</v>
      </c>
      <c r="AY15">
        <v>10.209070000000001</v>
      </c>
      <c r="BA15">
        <v>0</v>
      </c>
      <c r="BB15" t="str">
        <f t="shared" si="2"/>
        <v/>
      </c>
      <c r="BC15">
        <v>3302611</v>
      </c>
      <c r="BD15">
        <v>709.93899999999996</v>
      </c>
      <c r="BE15">
        <v>73836397</v>
      </c>
      <c r="BF15">
        <v>28.508389999999999</v>
      </c>
      <c r="BG15">
        <v>722.41907000000003</v>
      </c>
      <c r="BH15">
        <v>28.508393479999999</v>
      </c>
    </row>
    <row r="16" spans="1:60">
      <c r="A16">
        <v>11500</v>
      </c>
      <c r="B16" t="s">
        <v>969</v>
      </c>
      <c r="C16">
        <v>29444.720000000001</v>
      </c>
      <c r="D16">
        <v>66665</v>
      </c>
      <c r="E16">
        <v>113422</v>
      </c>
      <c r="F16">
        <v>2.4818799999999999E-2</v>
      </c>
      <c r="G16">
        <f t="shared" si="0"/>
        <v>24818.799999999999</v>
      </c>
      <c r="H16" s="51">
        <f t="shared" si="1"/>
        <v>2814997933.5999999</v>
      </c>
      <c r="I16">
        <v>76.828630000000004</v>
      </c>
      <c r="J16">
        <v>10.29027</v>
      </c>
      <c r="K16">
        <v>-3.6961529999999998</v>
      </c>
      <c r="L16">
        <v>6.4818090000000002</v>
      </c>
      <c r="M16">
        <v>-1.8821619999999999</v>
      </c>
      <c r="N16">
        <v>11.638870000000001</v>
      </c>
      <c r="O16">
        <v>1.1554E-3</v>
      </c>
      <c r="P16">
        <v>0</v>
      </c>
      <c r="Q16">
        <v>461.3254</v>
      </c>
      <c r="R16">
        <v>653.15139999999997</v>
      </c>
      <c r="S16">
        <v>0</v>
      </c>
      <c r="T16">
        <v>0</v>
      </c>
      <c r="U16">
        <v>131.12209999999999</v>
      </c>
      <c r="V16">
        <v>113422</v>
      </c>
      <c r="W16">
        <v>0</v>
      </c>
      <c r="X16">
        <v>1.1561E-3</v>
      </c>
      <c r="Y16">
        <v>0</v>
      </c>
      <c r="Z16">
        <v>0.21549789999999999</v>
      </c>
      <c r="AE16">
        <v>0</v>
      </c>
      <c r="AF16">
        <v>1.706683</v>
      </c>
      <c r="AI16">
        <v>10.938470000000001</v>
      </c>
      <c r="AJ16">
        <v>10.28965</v>
      </c>
      <c r="AK16">
        <v>10.646839999999999</v>
      </c>
      <c r="AL16">
        <v>10.67089</v>
      </c>
      <c r="AM16">
        <v>9.9021270000000001</v>
      </c>
      <c r="AN16">
        <v>10.371600000000001</v>
      </c>
      <c r="AO16">
        <v>10.44497</v>
      </c>
      <c r="AP16">
        <v>10.58342</v>
      </c>
      <c r="AQ16">
        <v>10.11246</v>
      </c>
      <c r="AR16">
        <v>10.655900000000001</v>
      </c>
      <c r="AT16">
        <v>9.9784459999999999</v>
      </c>
      <c r="AU16">
        <v>10.20795</v>
      </c>
      <c r="AV16">
        <v>10.419</v>
      </c>
      <c r="AW16">
        <v>9.7798020000000001</v>
      </c>
      <c r="AX16">
        <v>9.3488690000000005</v>
      </c>
      <c r="AY16">
        <v>9.9027849999999997</v>
      </c>
      <c r="BB16" t="str">
        <f t="shared" si="2"/>
        <v/>
      </c>
      <c r="BD16">
        <v>608.46140000000003</v>
      </c>
      <c r="BE16">
        <v>106513845</v>
      </c>
      <c r="BF16">
        <v>41.125230000000002</v>
      </c>
      <c r="BG16">
        <v>612.28674999999998</v>
      </c>
      <c r="BH16">
        <v>41.125227219999999</v>
      </c>
    </row>
    <row r="17" spans="1:60">
      <c r="A17">
        <v>11540</v>
      </c>
      <c r="B17" t="s">
        <v>302</v>
      </c>
      <c r="C17">
        <v>37370.67</v>
      </c>
      <c r="D17">
        <v>151240</v>
      </c>
      <c r="E17">
        <v>219780</v>
      </c>
      <c r="F17">
        <v>3.8925300000000003E-2</v>
      </c>
      <c r="G17">
        <f t="shared" si="0"/>
        <v>38925.300000000003</v>
      </c>
      <c r="H17" s="51">
        <f t="shared" si="1"/>
        <v>8555002434</v>
      </c>
      <c r="I17">
        <v>60.028880000000001</v>
      </c>
      <c r="J17">
        <v>10.528639999999999</v>
      </c>
      <c r="K17">
        <v>-3.246111</v>
      </c>
      <c r="L17">
        <v>7.8366199999999999</v>
      </c>
      <c r="M17">
        <v>-1.551121</v>
      </c>
      <c r="N17">
        <v>12.300380000000001</v>
      </c>
      <c r="O17">
        <v>1.2145999999999999E-3</v>
      </c>
      <c r="P17">
        <v>0</v>
      </c>
      <c r="Q17">
        <v>1434.4259999999999</v>
      </c>
      <c r="R17">
        <v>2531.6329999999998</v>
      </c>
      <c r="S17">
        <v>0</v>
      </c>
      <c r="T17">
        <v>0</v>
      </c>
      <c r="U17">
        <v>267.1003</v>
      </c>
      <c r="V17">
        <v>219780</v>
      </c>
      <c r="W17">
        <v>0</v>
      </c>
      <c r="X17">
        <v>1.2153000000000001E-3</v>
      </c>
      <c r="Y17">
        <v>0</v>
      </c>
      <c r="Z17">
        <v>0.27817730000000002</v>
      </c>
      <c r="AB17">
        <v>355</v>
      </c>
      <c r="AE17">
        <v>0</v>
      </c>
      <c r="AF17">
        <v>4.4495300000000002</v>
      </c>
      <c r="AG17">
        <v>10.71613</v>
      </c>
      <c r="AJ17">
        <v>10.990130000000001</v>
      </c>
      <c r="AK17">
        <v>10.745900000000001</v>
      </c>
      <c r="AL17">
        <v>10.77848</v>
      </c>
      <c r="AM17">
        <v>9.9375149999999994</v>
      </c>
      <c r="AN17">
        <v>10.63466</v>
      </c>
      <c r="AO17">
        <v>10.726430000000001</v>
      </c>
      <c r="AP17">
        <v>10.83719</v>
      </c>
      <c r="AQ17">
        <v>10.226800000000001</v>
      </c>
      <c r="AR17">
        <v>10.70233</v>
      </c>
      <c r="AS17">
        <v>11.00055</v>
      </c>
      <c r="AT17">
        <v>10.33525</v>
      </c>
      <c r="AU17">
        <v>9.8941339999999993</v>
      </c>
      <c r="AV17">
        <v>10.6568</v>
      </c>
      <c r="AW17">
        <v>9.3753740000000008</v>
      </c>
      <c r="AX17">
        <v>9.251754</v>
      </c>
      <c r="AY17">
        <v>10.010289999999999</v>
      </c>
      <c r="BA17">
        <v>0</v>
      </c>
      <c r="BB17" t="str">
        <f t="shared" si="2"/>
        <v/>
      </c>
      <c r="BC17">
        <v>1025222</v>
      </c>
      <c r="BD17">
        <v>960.18029999999999</v>
      </c>
      <c r="BE17">
        <v>45932910</v>
      </c>
      <c r="BF17">
        <v>17.7348</v>
      </c>
      <c r="BG17">
        <v>1041.6221</v>
      </c>
      <c r="BH17">
        <v>17.734796450000001</v>
      </c>
    </row>
    <row r="18" spans="1:60">
      <c r="A18">
        <v>12020</v>
      </c>
      <c r="B18" t="s">
        <v>304</v>
      </c>
      <c r="C18">
        <v>30693.91</v>
      </c>
      <c r="D18">
        <v>115868</v>
      </c>
      <c r="E18">
        <v>189926</v>
      </c>
      <c r="F18">
        <v>2.3988300000000001E-2</v>
      </c>
      <c r="G18">
        <f t="shared" si="0"/>
        <v>23988.3</v>
      </c>
      <c r="H18" s="51">
        <f t="shared" si="1"/>
        <v>4556001865.8000002</v>
      </c>
      <c r="I18">
        <v>78.60275</v>
      </c>
      <c r="J18">
        <v>10.33182</v>
      </c>
      <c r="K18">
        <v>-3.7301899999999999</v>
      </c>
      <c r="L18">
        <v>6.8057670000000003</v>
      </c>
      <c r="M18">
        <v>-1.3879980000000001</v>
      </c>
      <c r="N18">
        <v>12.154389999999999</v>
      </c>
      <c r="O18">
        <v>1.1678999999999999E-3</v>
      </c>
      <c r="P18">
        <v>0</v>
      </c>
      <c r="Q18">
        <v>704.94979999999998</v>
      </c>
      <c r="R18">
        <v>903.04</v>
      </c>
      <c r="S18">
        <v>0</v>
      </c>
      <c r="T18">
        <v>0</v>
      </c>
      <c r="U18">
        <v>221.93780000000001</v>
      </c>
      <c r="V18">
        <v>189926</v>
      </c>
      <c r="W18">
        <v>0</v>
      </c>
      <c r="X18">
        <v>1.1685000000000001E-3</v>
      </c>
      <c r="Y18">
        <v>0</v>
      </c>
      <c r="Z18">
        <v>0.21516299999999999</v>
      </c>
      <c r="AB18">
        <v>300</v>
      </c>
      <c r="AE18">
        <v>0</v>
      </c>
      <c r="AF18">
        <v>2.8235380000000001</v>
      </c>
      <c r="AH18">
        <v>10.45819</v>
      </c>
      <c r="AJ18">
        <v>10.47668</v>
      </c>
      <c r="AK18">
        <v>10.558540000000001</v>
      </c>
      <c r="AL18">
        <v>10.59868</v>
      </c>
      <c r="AM18">
        <v>9.937227</v>
      </c>
      <c r="AN18">
        <v>10.56311</v>
      </c>
      <c r="AO18">
        <v>10.477119999999999</v>
      </c>
      <c r="AP18">
        <v>10.86313</v>
      </c>
      <c r="AQ18">
        <v>10.27097</v>
      </c>
      <c r="AR18">
        <v>10.611129999999999</v>
      </c>
      <c r="AS18">
        <v>11.227930000000001</v>
      </c>
      <c r="AT18">
        <v>10.02901</v>
      </c>
      <c r="AU18">
        <v>10.40517</v>
      </c>
      <c r="AV18">
        <v>10.698790000000001</v>
      </c>
      <c r="AW18">
        <v>10.010389999999999</v>
      </c>
      <c r="AX18">
        <v>9.3305720000000001</v>
      </c>
      <c r="AY18">
        <v>9.8747260000000008</v>
      </c>
      <c r="AZ18">
        <v>12.384219999999999</v>
      </c>
      <c r="BA18">
        <v>0</v>
      </c>
      <c r="BB18" t="str">
        <f t="shared" si="2"/>
        <v/>
      </c>
      <c r="BC18">
        <v>771529</v>
      </c>
      <c r="BD18">
        <v>1031.4870000000001</v>
      </c>
      <c r="BE18">
        <v>142701164</v>
      </c>
      <c r="BF18">
        <v>55.097230000000003</v>
      </c>
      <c r="BG18">
        <v>1035.0626</v>
      </c>
      <c r="BH18">
        <v>55.09722979</v>
      </c>
    </row>
    <row r="19" spans="1:60">
      <c r="A19">
        <v>12060</v>
      </c>
      <c r="B19" t="s">
        <v>280</v>
      </c>
      <c r="C19">
        <v>44729.85</v>
      </c>
      <c r="D19">
        <v>3235326</v>
      </c>
      <c r="E19">
        <v>5385586</v>
      </c>
      <c r="F19">
        <v>4.5366499999999997E-2</v>
      </c>
      <c r="G19">
        <f t="shared" si="0"/>
        <v>45366.5</v>
      </c>
      <c r="H19" s="51">
        <f t="shared" si="1"/>
        <v>244325187269</v>
      </c>
      <c r="I19">
        <v>2119.1930000000002</v>
      </c>
      <c r="J19">
        <v>10.708399999999999</v>
      </c>
      <c r="K19">
        <v>-3.0929820000000001</v>
      </c>
      <c r="L19">
        <v>7.8568379999999998</v>
      </c>
      <c r="M19">
        <v>-1.254375</v>
      </c>
      <c r="N19">
        <v>15.49924</v>
      </c>
      <c r="O19">
        <v>4.797E-4</v>
      </c>
      <c r="P19" s="14">
        <v>9.1900000000000001E-6</v>
      </c>
      <c r="Q19">
        <v>872.92430000000002</v>
      </c>
      <c r="R19">
        <v>2583.3389999999999</v>
      </c>
      <c r="S19">
        <v>1</v>
      </c>
      <c r="T19">
        <v>49.5</v>
      </c>
      <c r="U19">
        <v>2584.201</v>
      </c>
      <c r="V19">
        <v>5385586</v>
      </c>
      <c r="W19" s="14">
        <v>9.1900000000000001E-6</v>
      </c>
      <c r="X19">
        <v>4.7980000000000001E-4</v>
      </c>
      <c r="Y19">
        <v>5.9094000000000004E-3</v>
      </c>
      <c r="Z19">
        <v>0.30850650000000002</v>
      </c>
      <c r="AB19">
        <v>1585</v>
      </c>
      <c r="AE19">
        <v>2.3358E-2</v>
      </c>
      <c r="AF19">
        <v>1.219427</v>
      </c>
      <c r="AG19">
        <v>10.874689999999999</v>
      </c>
      <c r="AH19">
        <v>10.86037</v>
      </c>
      <c r="AI19">
        <v>11.000450000000001</v>
      </c>
      <c r="AJ19">
        <v>10.72401</v>
      </c>
      <c r="AK19">
        <v>10.70659</v>
      </c>
      <c r="AL19">
        <v>11.023260000000001</v>
      </c>
      <c r="AM19">
        <v>10.067</v>
      </c>
      <c r="AN19">
        <v>10.672459999999999</v>
      </c>
      <c r="AO19">
        <v>11.211819999999999</v>
      </c>
      <c r="AP19">
        <v>11.186769999999999</v>
      </c>
      <c r="AQ19">
        <v>10.83948</v>
      </c>
      <c r="AR19">
        <v>11.098319999999999</v>
      </c>
      <c r="AS19">
        <v>11.514139999999999</v>
      </c>
      <c r="AT19">
        <v>10.351800000000001</v>
      </c>
      <c r="AU19">
        <v>10.557550000000001</v>
      </c>
      <c r="AV19">
        <v>10.67446</v>
      </c>
      <c r="AW19">
        <v>10.33968</v>
      </c>
      <c r="AX19">
        <v>9.5876040000000007</v>
      </c>
      <c r="AY19">
        <v>10.213620000000001</v>
      </c>
      <c r="AZ19">
        <v>11.09338</v>
      </c>
      <c r="BA19">
        <v>4349928</v>
      </c>
      <c r="BB19">
        <f t="shared" si="2"/>
        <v>87877.333333333328</v>
      </c>
      <c r="BC19" s="14">
        <v>40400000</v>
      </c>
      <c r="BD19">
        <v>8376.4879999999994</v>
      </c>
      <c r="BE19">
        <v>554227795</v>
      </c>
      <c r="BF19">
        <v>213.98849999999999</v>
      </c>
      <c r="BG19">
        <v>8481.0810000000001</v>
      </c>
      <c r="BH19">
        <v>213.98855710000001</v>
      </c>
    </row>
    <row r="20" spans="1:60">
      <c r="A20">
        <v>12100</v>
      </c>
      <c r="B20" t="s">
        <v>1200</v>
      </c>
      <c r="C20">
        <v>35148.080000000002</v>
      </c>
      <c r="D20">
        <v>186480</v>
      </c>
      <c r="E20">
        <v>270609</v>
      </c>
      <c r="F20">
        <v>4.4972600000000001E-2</v>
      </c>
      <c r="G20">
        <f t="shared" si="0"/>
        <v>44972.6</v>
      </c>
      <c r="H20" s="51">
        <f t="shared" si="1"/>
        <v>12169990313.4</v>
      </c>
      <c r="I20">
        <v>110.87350000000001</v>
      </c>
      <c r="J20">
        <v>10.46733</v>
      </c>
      <c r="K20">
        <v>-3.1017009999999998</v>
      </c>
      <c r="L20">
        <v>8.5265450000000005</v>
      </c>
      <c r="M20">
        <v>-1.6535310000000001</v>
      </c>
      <c r="N20">
        <v>12.508430000000001</v>
      </c>
      <c r="O20">
        <v>8.4360000000000001E-4</v>
      </c>
      <c r="P20">
        <v>0</v>
      </c>
      <c r="Q20">
        <v>998.10130000000004</v>
      </c>
      <c r="R20">
        <v>5046.9769999999999</v>
      </c>
      <c r="S20">
        <v>0</v>
      </c>
      <c r="T20">
        <v>0</v>
      </c>
      <c r="U20">
        <v>228.37270000000001</v>
      </c>
      <c r="V20">
        <v>270609</v>
      </c>
      <c r="W20">
        <v>0</v>
      </c>
      <c r="X20">
        <v>8.4389999999999997E-4</v>
      </c>
      <c r="Y20">
        <v>0</v>
      </c>
      <c r="Z20">
        <v>0.40702749999999999</v>
      </c>
      <c r="AE20">
        <v>0</v>
      </c>
      <c r="AF20">
        <v>2.0597590000000001</v>
      </c>
      <c r="AG20">
        <v>10.287699999999999</v>
      </c>
      <c r="AI20">
        <v>11.370010000000001</v>
      </c>
      <c r="AJ20">
        <v>10.92306</v>
      </c>
      <c r="AK20">
        <v>10.55133</v>
      </c>
      <c r="AL20">
        <v>10.71823</v>
      </c>
      <c r="AM20">
        <v>10.133229999999999</v>
      </c>
      <c r="AN20">
        <v>10.24957</v>
      </c>
      <c r="AO20">
        <v>10.819900000000001</v>
      </c>
      <c r="AP20">
        <v>10.8965</v>
      </c>
      <c r="AQ20">
        <v>10.56912</v>
      </c>
      <c r="AR20">
        <v>11.08189</v>
      </c>
      <c r="AT20">
        <v>10.18431</v>
      </c>
      <c r="AU20">
        <v>10.23879</v>
      </c>
      <c r="AV20">
        <v>10.672029999999999</v>
      </c>
      <c r="AW20">
        <v>10.01507</v>
      </c>
      <c r="AX20">
        <v>10.27467</v>
      </c>
      <c r="AY20">
        <v>10.14752</v>
      </c>
      <c r="BB20" t="str">
        <f t="shared" si="2"/>
        <v/>
      </c>
      <c r="BD20">
        <v>561.07429999999999</v>
      </c>
      <c r="BE20">
        <v>28007614</v>
      </c>
      <c r="BF20">
        <v>10.813800000000001</v>
      </c>
      <c r="BG20">
        <v>671.82721000000004</v>
      </c>
      <c r="BH20">
        <v>10.81380068</v>
      </c>
    </row>
    <row r="21" spans="1:60">
      <c r="A21">
        <v>12220</v>
      </c>
      <c r="B21" t="s">
        <v>307</v>
      </c>
      <c r="C21">
        <v>26619.3</v>
      </c>
      <c r="D21">
        <v>68995</v>
      </c>
      <c r="E21">
        <v>133105</v>
      </c>
      <c r="F21">
        <v>1.91728E-2</v>
      </c>
      <c r="G21">
        <f t="shared" si="0"/>
        <v>19172.8</v>
      </c>
      <c r="H21" s="51">
        <f t="shared" si="1"/>
        <v>2551995544</v>
      </c>
      <c r="I21">
        <v>63.964280000000002</v>
      </c>
      <c r="J21">
        <v>10.18939</v>
      </c>
      <c r="K21">
        <v>-3.9542609999999998</v>
      </c>
      <c r="L21">
        <v>6.7171849999999997</v>
      </c>
      <c r="M21">
        <v>-1.572441</v>
      </c>
      <c r="N21">
        <v>11.79889</v>
      </c>
      <c r="O21">
        <v>9.4919999999999998E-4</v>
      </c>
      <c r="P21">
        <v>0</v>
      </c>
      <c r="Q21">
        <v>528.27919999999995</v>
      </c>
      <c r="R21">
        <v>826.48789999999997</v>
      </c>
      <c r="S21">
        <v>0</v>
      </c>
      <c r="T21">
        <v>0</v>
      </c>
      <c r="U21">
        <v>126.3995</v>
      </c>
      <c r="V21">
        <v>133105</v>
      </c>
      <c r="W21">
        <v>0</v>
      </c>
      <c r="X21">
        <v>9.4959999999999999E-4</v>
      </c>
      <c r="Y21">
        <v>0</v>
      </c>
      <c r="Z21">
        <v>0.20765130000000001</v>
      </c>
      <c r="AB21">
        <v>180</v>
      </c>
      <c r="AE21">
        <v>0</v>
      </c>
      <c r="AF21">
        <v>1.9760949999999999</v>
      </c>
      <c r="AG21">
        <v>10.140269999999999</v>
      </c>
      <c r="AH21">
        <v>10.97953</v>
      </c>
      <c r="AI21">
        <v>11.2224</v>
      </c>
      <c r="AJ21">
        <v>10.478260000000001</v>
      </c>
      <c r="AK21">
        <v>10.597659999999999</v>
      </c>
      <c r="AL21">
        <v>10.609439999999999</v>
      </c>
      <c r="AM21">
        <v>9.8708950000000009</v>
      </c>
      <c r="AN21">
        <v>10.38382</v>
      </c>
      <c r="AO21">
        <v>10.36449</v>
      </c>
      <c r="AP21">
        <v>10.69136</v>
      </c>
      <c r="AQ21">
        <v>10.094200000000001</v>
      </c>
      <c r="AR21">
        <v>10.326700000000001</v>
      </c>
      <c r="AT21">
        <v>9.6758670000000002</v>
      </c>
      <c r="AU21">
        <v>9.5461510000000001</v>
      </c>
      <c r="AV21">
        <v>10.37201</v>
      </c>
      <c r="AW21">
        <v>9.6253139999999995</v>
      </c>
      <c r="AX21">
        <v>9.2233440000000009</v>
      </c>
      <c r="AY21">
        <v>9.6941600000000001</v>
      </c>
      <c r="BA21">
        <v>0</v>
      </c>
      <c r="BB21" t="str">
        <f t="shared" si="2"/>
        <v/>
      </c>
      <c r="BC21">
        <v>79549</v>
      </c>
      <c r="BD21">
        <v>608.71029999999996</v>
      </c>
      <c r="BE21">
        <v>100360763</v>
      </c>
      <c r="BF21">
        <v>38.749510000000001</v>
      </c>
      <c r="BG21">
        <v>615.8424</v>
      </c>
      <c r="BH21">
        <v>38.74950888</v>
      </c>
    </row>
    <row r="22" spans="1:60">
      <c r="A22">
        <v>12260</v>
      </c>
      <c r="B22" t="s">
        <v>309</v>
      </c>
      <c r="C22">
        <v>34759.18</v>
      </c>
      <c r="D22">
        <v>306044</v>
      </c>
      <c r="E22">
        <v>534612</v>
      </c>
      <c r="F22">
        <v>2.5119200000000001E-2</v>
      </c>
      <c r="G22">
        <f t="shared" si="0"/>
        <v>25119.200000000001</v>
      </c>
      <c r="H22" s="51">
        <f t="shared" si="1"/>
        <v>13429025750.4</v>
      </c>
      <c r="I22">
        <v>247.1086</v>
      </c>
      <c r="J22">
        <v>10.456200000000001</v>
      </c>
      <c r="K22">
        <v>-3.6841249999999999</v>
      </c>
      <c r="L22">
        <v>6.5759080000000001</v>
      </c>
      <c r="M22">
        <v>-1.642487</v>
      </c>
      <c r="N22">
        <v>13.189299999999999</v>
      </c>
      <c r="O22">
        <v>1.3947E-3</v>
      </c>
      <c r="P22">
        <v>0</v>
      </c>
      <c r="Q22">
        <v>614.72580000000005</v>
      </c>
      <c r="R22">
        <v>717.59699999999998</v>
      </c>
      <c r="S22">
        <v>0</v>
      </c>
      <c r="T22">
        <v>0</v>
      </c>
      <c r="U22">
        <v>746.13779999999997</v>
      </c>
      <c r="V22">
        <v>534612</v>
      </c>
      <c r="W22">
        <v>0</v>
      </c>
      <c r="X22">
        <v>1.3956999999999999E-3</v>
      </c>
      <c r="Y22">
        <v>0</v>
      </c>
      <c r="Z22">
        <v>0.2275607</v>
      </c>
      <c r="AB22">
        <v>192</v>
      </c>
      <c r="AE22">
        <v>0</v>
      </c>
      <c r="AF22">
        <v>3.0194740000000002</v>
      </c>
      <c r="AG22">
        <v>10.526260000000001</v>
      </c>
      <c r="AH22">
        <v>10.59891</v>
      </c>
      <c r="AJ22">
        <v>10.423080000000001</v>
      </c>
      <c r="AK22">
        <v>10.78274</v>
      </c>
      <c r="AL22">
        <v>10.83478</v>
      </c>
      <c r="AM22">
        <v>9.9679280000000006</v>
      </c>
      <c r="AN22">
        <v>10.429449999999999</v>
      </c>
      <c r="AO22">
        <v>10.568530000000001</v>
      </c>
      <c r="AP22">
        <v>10.687519999999999</v>
      </c>
      <c r="AQ22">
        <v>10.26474</v>
      </c>
      <c r="AR22">
        <v>10.853870000000001</v>
      </c>
      <c r="AS22">
        <v>10.978400000000001</v>
      </c>
      <c r="AT22">
        <v>10.114140000000001</v>
      </c>
      <c r="AU22">
        <v>10.088419999999999</v>
      </c>
      <c r="AV22">
        <v>10.64692</v>
      </c>
      <c r="AW22">
        <v>9.5128009999999996</v>
      </c>
      <c r="AX22">
        <v>9.3290109999999995</v>
      </c>
      <c r="AY22">
        <v>9.8704719999999995</v>
      </c>
      <c r="AZ22">
        <v>9.4989830000000008</v>
      </c>
      <c r="BA22">
        <v>0</v>
      </c>
      <c r="BB22" t="str">
        <f t="shared" si="2"/>
        <v/>
      </c>
      <c r="BC22">
        <v>570128</v>
      </c>
      <c r="BD22">
        <v>3278.8519999999999</v>
      </c>
      <c r="BE22">
        <v>301549325</v>
      </c>
      <c r="BF22">
        <v>116.4288</v>
      </c>
      <c r="BG22">
        <v>3323.5542</v>
      </c>
      <c r="BH22">
        <v>116.4288502</v>
      </c>
    </row>
    <row r="23" spans="1:60">
      <c r="A23">
        <v>12420</v>
      </c>
      <c r="B23" t="s">
        <v>970</v>
      </c>
      <c r="C23">
        <v>44621.43</v>
      </c>
      <c r="D23">
        <v>1064064</v>
      </c>
      <c r="E23">
        <v>1654100</v>
      </c>
      <c r="F23">
        <v>4.17919E-2</v>
      </c>
      <c r="G23">
        <f t="shared" si="0"/>
        <v>41791.9</v>
      </c>
      <c r="H23" s="51">
        <f t="shared" si="1"/>
        <v>69127981790</v>
      </c>
      <c r="I23">
        <v>424.12540000000001</v>
      </c>
      <c r="J23">
        <v>10.705970000000001</v>
      </c>
      <c r="K23">
        <v>-3.175052</v>
      </c>
      <c r="L23">
        <v>7.7527330000000001</v>
      </c>
      <c r="M23">
        <v>-1.1646920000000001</v>
      </c>
      <c r="N23">
        <v>14.318770000000001</v>
      </c>
      <c r="O23">
        <v>4.706E-4</v>
      </c>
      <c r="P23">
        <v>0</v>
      </c>
      <c r="Q23">
        <v>1507.1510000000001</v>
      </c>
      <c r="R23">
        <v>2327.9270000000001</v>
      </c>
      <c r="S23">
        <v>0</v>
      </c>
      <c r="T23">
        <v>0</v>
      </c>
      <c r="U23">
        <v>778.6232</v>
      </c>
      <c r="V23">
        <v>1654100</v>
      </c>
      <c r="W23">
        <v>0</v>
      </c>
      <c r="X23">
        <v>4.707E-4</v>
      </c>
      <c r="Y23">
        <v>0</v>
      </c>
      <c r="Z23">
        <v>0.1843323</v>
      </c>
      <c r="AE23">
        <v>0</v>
      </c>
      <c r="AF23">
        <v>1.8358319999999999</v>
      </c>
      <c r="AH23">
        <v>11.116540000000001</v>
      </c>
      <c r="AI23">
        <v>11.24625</v>
      </c>
      <c r="AJ23">
        <v>10.69656</v>
      </c>
      <c r="AK23">
        <v>10.95575</v>
      </c>
      <c r="AL23">
        <v>11.17459</v>
      </c>
      <c r="AM23">
        <v>10.11652</v>
      </c>
      <c r="AN23">
        <v>10.54767</v>
      </c>
      <c r="AO23">
        <v>11.19139</v>
      </c>
      <c r="AP23">
        <v>11.097160000000001</v>
      </c>
      <c r="AQ23">
        <v>10.56489</v>
      </c>
      <c r="AR23">
        <v>11.168089999999999</v>
      </c>
      <c r="AS23">
        <v>11.34089</v>
      </c>
      <c r="AT23">
        <v>10.23194</v>
      </c>
      <c r="AU23">
        <v>10.255929999999999</v>
      </c>
      <c r="AV23">
        <v>10.66802</v>
      </c>
      <c r="AW23">
        <v>10.044600000000001</v>
      </c>
      <c r="AX23">
        <v>9.6416439999999994</v>
      </c>
      <c r="AY23">
        <v>10.308</v>
      </c>
      <c r="AZ23">
        <v>9.9302679999999999</v>
      </c>
      <c r="BB23" t="str">
        <f t="shared" si="2"/>
        <v/>
      </c>
      <c r="BD23">
        <v>4224.0200000000004</v>
      </c>
      <c r="BE23">
        <v>599291736</v>
      </c>
      <c r="BF23">
        <v>231.3878</v>
      </c>
      <c r="BG23">
        <v>4280.6136999999999</v>
      </c>
      <c r="BH23">
        <v>231.38784269999999</v>
      </c>
    </row>
    <row r="24" spans="1:60">
      <c r="A24">
        <v>12540</v>
      </c>
      <c r="B24" t="s">
        <v>311</v>
      </c>
      <c r="C24">
        <v>37829.410000000003</v>
      </c>
      <c r="D24">
        <v>370844</v>
      </c>
      <c r="E24">
        <v>797145</v>
      </c>
      <c r="F24">
        <v>2.8834200000000001E-2</v>
      </c>
      <c r="G24">
        <f t="shared" si="0"/>
        <v>28834.2</v>
      </c>
      <c r="H24" s="51">
        <f t="shared" si="1"/>
        <v>22985038359.000004</v>
      </c>
      <c r="I24">
        <v>191.82339999999999</v>
      </c>
      <c r="J24">
        <v>10.540839999999999</v>
      </c>
      <c r="K24">
        <v>-3.546195</v>
      </c>
      <c r="L24">
        <v>7.4017900000000001</v>
      </c>
      <c r="M24">
        <v>-2.1017640000000002</v>
      </c>
      <c r="N24">
        <v>13.588789999999999</v>
      </c>
      <c r="O24">
        <v>1.4379E-3</v>
      </c>
      <c r="P24">
        <v>0</v>
      </c>
      <c r="Q24">
        <v>883.98500000000001</v>
      </c>
      <c r="R24">
        <v>1638.9159999999999</v>
      </c>
      <c r="S24">
        <v>0</v>
      </c>
      <c r="T24">
        <v>0</v>
      </c>
      <c r="U24">
        <v>1147.0119999999999</v>
      </c>
      <c r="V24">
        <v>797145</v>
      </c>
      <c r="W24">
        <v>0</v>
      </c>
      <c r="X24">
        <v>1.4388999999999999E-3</v>
      </c>
      <c r="Y24">
        <v>0</v>
      </c>
      <c r="Z24">
        <v>0.14089389999999999</v>
      </c>
      <c r="AB24">
        <v>188</v>
      </c>
      <c r="AE24">
        <v>0</v>
      </c>
      <c r="AF24">
        <v>5.9795239999999996</v>
      </c>
      <c r="AG24">
        <v>10.11932</v>
      </c>
      <c r="AH24">
        <v>11.36483</v>
      </c>
      <c r="AJ24">
        <v>10.75273</v>
      </c>
      <c r="AK24">
        <v>10.74949</v>
      </c>
      <c r="AL24">
        <v>10.815799999999999</v>
      </c>
      <c r="AM24">
        <v>10.07405</v>
      </c>
      <c r="AN24">
        <v>10.650880000000001</v>
      </c>
      <c r="AO24">
        <v>10.56992</v>
      </c>
      <c r="AP24">
        <v>10.831009999999999</v>
      </c>
      <c r="AQ24">
        <v>10.41212</v>
      </c>
      <c r="AR24">
        <v>10.8688</v>
      </c>
      <c r="AS24">
        <v>11.30325</v>
      </c>
      <c r="AT24">
        <v>10.34141</v>
      </c>
      <c r="AU24">
        <v>10.20149</v>
      </c>
      <c r="AV24">
        <v>10.64701</v>
      </c>
      <c r="AW24">
        <v>9.6760120000000001</v>
      </c>
      <c r="AX24">
        <v>9.5262480000000007</v>
      </c>
      <c r="AY24">
        <v>10.120810000000001</v>
      </c>
      <c r="BA24">
        <v>0</v>
      </c>
      <c r="BB24" t="str">
        <f t="shared" si="2"/>
        <v/>
      </c>
      <c r="BC24">
        <v>3437792</v>
      </c>
      <c r="BD24">
        <v>8140.9639999999999</v>
      </c>
      <c r="BE24">
        <v>168345258</v>
      </c>
      <c r="BF24">
        <v>64.998469999999998</v>
      </c>
      <c r="BG24">
        <v>8163.0676999999996</v>
      </c>
      <c r="BH24">
        <v>64.998470260000005</v>
      </c>
    </row>
    <row r="25" spans="1:60">
      <c r="A25">
        <v>12580</v>
      </c>
      <c r="B25" t="s">
        <v>282</v>
      </c>
      <c r="C25">
        <v>44573.68</v>
      </c>
      <c r="D25">
        <v>1711130</v>
      </c>
      <c r="E25">
        <v>2677712</v>
      </c>
      <c r="F25">
        <v>4.0667599999999998E-2</v>
      </c>
      <c r="G25">
        <f t="shared" si="0"/>
        <v>40667.599999999999</v>
      </c>
      <c r="H25" s="51">
        <f t="shared" si="1"/>
        <v>108896120531.2</v>
      </c>
      <c r="I25">
        <v>856.26570000000004</v>
      </c>
      <c r="J25">
        <v>10.7049</v>
      </c>
      <c r="K25">
        <v>-3.2023250000000001</v>
      </c>
      <c r="L25">
        <v>8.2178290000000001</v>
      </c>
      <c r="M25">
        <v>-1.241581</v>
      </c>
      <c r="N25">
        <v>14.800470000000001</v>
      </c>
      <c r="O25">
        <v>4.4860000000000001E-4</v>
      </c>
      <c r="P25">
        <v>4.0000000000000003E-5</v>
      </c>
      <c r="Q25">
        <v>1159.3820000000001</v>
      </c>
      <c r="R25">
        <v>3706.4470000000001</v>
      </c>
      <c r="S25">
        <v>1</v>
      </c>
      <c r="T25">
        <v>107</v>
      </c>
      <c r="U25">
        <v>1201.423</v>
      </c>
      <c r="V25">
        <v>2677712</v>
      </c>
      <c r="W25">
        <v>4.0000000000000003E-5</v>
      </c>
      <c r="X25">
        <v>4.4870000000000001E-4</v>
      </c>
      <c r="Y25">
        <v>4.1011100000000002E-2</v>
      </c>
      <c r="Z25">
        <v>0.46048329999999998</v>
      </c>
      <c r="AB25">
        <v>655</v>
      </c>
      <c r="AE25">
        <v>0.12496119999999999</v>
      </c>
      <c r="AF25">
        <v>1.4030959999999999</v>
      </c>
      <c r="AG25">
        <v>10.445510000000001</v>
      </c>
      <c r="AH25">
        <v>10.79501</v>
      </c>
      <c r="AJ25">
        <v>10.79805</v>
      </c>
      <c r="AK25">
        <v>10.90916</v>
      </c>
      <c r="AL25">
        <v>10.93295</v>
      </c>
      <c r="AM25">
        <v>10.068250000000001</v>
      </c>
      <c r="AN25">
        <v>10.615830000000001</v>
      </c>
      <c r="AO25">
        <v>11.059480000000001</v>
      </c>
      <c r="AP25">
        <v>11.24611</v>
      </c>
      <c r="AQ25">
        <v>10.754250000000001</v>
      </c>
      <c r="AR25">
        <v>11.179069999999999</v>
      </c>
      <c r="AS25">
        <v>11.24531</v>
      </c>
      <c r="AT25">
        <v>10.43721</v>
      </c>
      <c r="AU25">
        <v>10.6678</v>
      </c>
      <c r="AV25">
        <v>10.68746</v>
      </c>
      <c r="AW25">
        <v>10.332369999999999</v>
      </c>
      <c r="AX25">
        <v>9.6418289999999995</v>
      </c>
      <c r="AY25">
        <v>10.258749999999999</v>
      </c>
      <c r="AZ25">
        <v>10.239129999999999</v>
      </c>
      <c r="BB25">
        <f t="shared" si="2"/>
        <v>0</v>
      </c>
      <c r="BD25">
        <v>2609.0479999999998</v>
      </c>
      <c r="BE25">
        <v>246290294</v>
      </c>
      <c r="BF25">
        <v>95.093220000000002</v>
      </c>
      <c r="BG25">
        <v>3105.0234</v>
      </c>
      <c r="BH25">
        <v>95.093218190000002</v>
      </c>
    </row>
    <row r="26" spans="1:60">
      <c r="A26">
        <v>12620</v>
      </c>
      <c r="B26" t="s">
        <v>314</v>
      </c>
      <c r="C26">
        <v>32412.02</v>
      </c>
      <c r="D26">
        <v>95667</v>
      </c>
      <c r="E26">
        <v>149268</v>
      </c>
      <c r="F26">
        <v>2.9805399999999999E-2</v>
      </c>
      <c r="G26">
        <f t="shared" si="0"/>
        <v>29805.399999999998</v>
      </c>
      <c r="H26" s="51">
        <f t="shared" si="1"/>
        <v>4448992447.1999998</v>
      </c>
      <c r="I26">
        <v>41.926400000000001</v>
      </c>
      <c r="J26">
        <v>10.386279999999999</v>
      </c>
      <c r="K26">
        <v>-3.513064</v>
      </c>
      <c r="L26">
        <v>7.3798209999999997</v>
      </c>
      <c r="M26">
        <v>-1.6312530000000001</v>
      </c>
      <c r="N26">
        <v>11.913500000000001</v>
      </c>
      <c r="O26">
        <v>2.2691E-3</v>
      </c>
      <c r="P26">
        <v>0</v>
      </c>
      <c r="Q26">
        <v>982.9606</v>
      </c>
      <c r="R26">
        <v>1603.3030000000001</v>
      </c>
      <c r="S26">
        <v>0</v>
      </c>
      <c r="T26">
        <v>0</v>
      </c>
      <c r="U26">
        <v>339.09219999999999</v>
      </c>
      <c r="V26">
        <v>149268</v>
      </c>
      <c r="W26">
        <v>0</v>
      </c>
      <c r="X26">
        <v>2.2717000000000002E-3</v>
      </c>
      <c r="Y26">
        <v>0</v>
      </c>
      <c r="Z26">
        <v>9.9858500000000003E-2</v>
      </c>
      <c r="AB26">
        <v>259</v>
      </c>
      <c r="AE26">
        <v>0</v>
      </c>
      <c r="AF26">
        <v>8.0877970000000001</v>
      </c>
      <c r="AG26">
        <v>10.536440000000001</v>
      </c>
      <c r="AI26">
        <v>10.9374</v>
      </c>
      <c r="AJ26">
        <v>10.69244</v>
      </c>
      <c r="AK26">
        <v>10.596909999999999</v>
      </c>
      <c r="AL26">
        <v>10.59097</v>
      </c>
      <c r="AM26">
        <v>10.005549999999999</v>
      </c>
      <c r="AN26">
        <v>10.580159999999999</v>
      </c>
      <c r="AO26">
        <v>10.676629999999999</v>
      </c>
      <c r="AP26">
        <v>10.639290000000001</v>
      </c>
      <c r="AQ26">
        <v>10.21341</v>
      </c>
      <c r="AR26">
        <v>10.68496</v>
      </c>
      <c r="AT26">
        <v>10.01937</v>
      </c>
      <c r="AU26">
        <v>9.8097549999999991</v>
      </c>
      <c r="AV26">
        <v>10.589130000000001</v>
      </c>
      <c r="AW26">
        <v>9.9060260000000007</v>
      </c>
      <c r="AX26">
        <v>9.4749020000000002</v>
      </c>
      <c r="AY26">
        <v>9.9141720000000007</v>
      </c>
      <c r="BA26">
        <v>0</v>
      </c>
      <c r="BB26" t="str">
        <f t="shared" si="2"/>
        <v/>
      </c>
      <c r="BC26">
        <v>540855</v>
      </c>
      <c r="BD26">
        <v>3395.7260000000001</v>
      </c>
      <c r="BE26">
        <v>42916542</v>
      </c>
      <c r="BF26">
        <v>16.570170000000001</v>
      </c>
      <c r="BG26">
        <v>3556.9177</v>
      </c>
      <c r="BH26">
        <v>16.570170210000001</v>
      </c>
    </row>
    <row r="27" spans="1:60">
      <c r="A27">
        <v>12940</v>
      </c>
      <c r="B27" t="s">
        <v>316</v>
      </c>
      <c r="C27">
        <v>38533.21</v>
      </c>
      <c r="D27">
        <v>483553</v>
      </c>
      <c r="E27">
        <v>779340</v>
      </c>
      <c r="F27">
        <v>4.3912800000000002E-2</v>
      </c>
      <c r="G27">
        <f t="shared" si="0"/>
        <v>43912.800000000003</v>
      </c>
      <c r="H27" s="51">
        <f t="shared" si="1"/>
        <v>34223001552</v>
      </c>
      <c r="I27">
        <v>312.09780000000001</v>
      </c>
      <c r="J27">
        <v>10.559279999999999</v>
      </c>
      <c r="K27">
        <v>-3.1255500000000001</v>
      </c>
      <c r="L27">
        <v>7.5047160000000002</v>
      </c>
      <c r="M27">
        <v>-1.59931</v>
      </c>
      <c r="N27">
        <v>13.5662</v>
      </c>
      <c r="O27">
        <v>7.4390000000000003E-4</v>
      </c>
      <c r="P27">
        <v>0</v>
      </c>
      <c r="Q27">
        <v>830.05380000000002</v>
      </c>
      <c r="R27">
        <v>1816.59</v>
      </c>
      <c r="S27">
        <v>0</v>
      </c>
      <c r="T27">
        <v>0</v>
      </c>
      <c r="U27">
        <v>579.96090000000004</v>
      </c>
      <c r="V27">
        <v>779340</v>
      </c>
      <c r="W27">
        <v>0</v>
      </c>
      <c r="X27">
        <v>7.4419999999999998E-4</v>
      </c>
      <c r="Y27">
        <v>0</v>
      </c>
      <c r="Z27">
        <v>0.14391319999999999</v>
      </c>
      <c r="AB27">
        <v>606</v>
      </c>
      <c r="AE27">
        <v>0</v>
      </c>
      <c r="AF27">
        <v>1.858266</v>
      </c>
      <c r="AG27">
        <v>10.523020000000001</v>
      </c>
      <c r="AH27">
        <v>11.012460000000001</v>
      </c>
      <c r="AI27">
        <v>11.271240000000001</v>
      </c>
      <c r="AJ27">
        <v>10.843830000000001</v>
      </c>
      <c r="AK27">
        <v>11.075379999999999</v>
      </c>
      <c r="AL27">
        <v>10.80119</v>
      </c>
      <c r="AM27">
        <v>9.9997349999999994</v>
      </c>
      <c r="AN27">
        <v>10.67859</v>
      </c>
      <c r="AO27">
        <v>10.751239999999999</v>
      </c>
      <c r="AP27">
        <v>10.88072</v>
      </c>
      <c r="AQ27">
        <v>10.41743</v>
      </c>
      <c r="AR27">
        <v>10.97921</v>
      </c>
      <c r="AS27">
        <v>11.31819</v>
      </c>
      <c r="AT27">
        <v>10.247680000000001</v>
      </c>
      <c r="AU27">
        <v>10.07789</v>
      </c>
      <c r="AV27">
        <v>10.42083</v>
      </c>
      <c r="AW27">
        <v>9.7086310000000005</v>
      </c>
      <c r="AX27">
        <v>9.4408809999999992</v>
      </c>
      <c r="AY27">
        <v>10.18036</v>
      </c>
      <c r="BA27">
        <v>0</v>
      </c>
      <c r="BB27" t="str">
        <f t="shared" si="2"/>
        <v/>
      </c>
      <c r="BC27">
        <v>2333836</v>
      </c>
      <c r="BD27">
        <v>4029.9349999999999</v>
      </c>
      <c r="BE27">
        <v>235017894</v>
      </c>
      <c r="BF27">
        <v>90.74091</v>
      </c>
      <c r="BG27">
        <v>4214.5331999999999</v>
      </c>
      <c r="BH27">
        <v>90.740920040000006</v>
      </c>
    </row>
    <row r="28" spans="1:60">
      <c r="A28">
        <v>12980</v>
      </c>
      <c r="B28" t="s">
        <v>318</v>
      </c>
      <c r="C28">
        <v>39451.65</v>
      </c>
      <c r="D28">
        <v>68614</v>
      </c>
      <c r="E28">
        <v>136404</v>
      </c>
      <c r="F28">
        <v>3.0636900000000002E-2</v>
      </c>
      <c r="G28">
        <f t="shared" si="0"/>
        <v>30636.9</v>
      </c>
      <c r="H28" s="51">
        <f t="shared" si="1"/>
        <v>4178995707.5999999</v>
      </c>
      <c r="I28">
        <v>59.865879999999997</v>
      </c>
      <c r="J28">
        <v>10.58283</v>
      </c>
      <c r="K28">
        <v>-3.4855489999999998</v>
      </c>
      <c r="L28">
        <v>6.968655</v>
      </c>
      <c r="M28">
        <v>-1.826516</v>
      </c>
      <c r="N28">
        <v>11.82338</v>
      </c>
      <c r="O28">
        <v>1.5353999999999999E-3</v>
      </c>
      <c r="P28">
        <v>0</v>
      </c>
      <c r="Q28">
        <v>568.43740000000003</v>
      </c>
      <c r="R28">
        <v>1062.7919999999999</v>
      </c>
      <c r="S28">
        <v>0</v>
      </c>
      <c r="T28">
        <v>0</v>
      </c>
      <c r="U28">
        <v>209.5951</v>
      </c>
      <c r="V28">
        <v>136404</v>
      </c>
      <c r="W28">
        <v>0</v>
      </c>
      <c r="X28">
        <v>1.5365999999999999E-3</v>
      </c>
      <c r="Y28">
        <v>0</v>
      </c>
      <c r="Z28">
        <v>0.29573909999999998</v>
      </c>
      <c r="AB28">
        <v>256</v>
      </c>
      <c r="AE28">
        <v>0</v>
      </c>
      <c r="AF28">
        <v>3.5010780000000001</v>
      </c>
      <c r="AH28">
        <v>10.71381</v>
      </c>
      <c r="AJ28">
        <v>10.70801</v>
      </c>
      <c r="AK28">
        <v>10.720269999999999</v>
      </c>
      <c r="AL28">
        <v>10.758900000000001</v>
      </c>
      <c r="AM28">
        <v>9.9564419999999991</v>
      </c>
      <c r="AN28">
        <v>10.590199999999999</v>
      </c>
      <c r="AO28">
        <v>10.401160000000001</v>
      </c>
      <c r="AP28">
        <v>10.93384</v>
      </c>
      <c r="AQ28">
        <v>10.163639999999999</v>
      </c>
      <c r="AR28">
        <v>10.61403</v>
      </c>
      <c r="AT28">
        <v>9.9676019999999994</v>
      </c>
      <c r="AV28">
        <v>10.608219999999999</v>
      </c>
      <c r="AW28">
        <v>9.7836630000000007</v>
      </c>
      <c r="AX28">
        <v>9.4387729999999994</v>
      </c>
      <c r="AY28">
        <v>10.14052</v>
      </c>
      <c r="AZ28">
        <v>9.7699569999999998</v>
      </c>
      <c r="BA28">
        <v>0</v>
      </c>
      <c r="BB28" t="str">
        <f t="shared" si="2"/>
        <v/>
      </c>
      <c r="BC28">
        <v>377440</v>
      </c>
      <c r="BD28">
        <v>708.71619999999996</v>
      </c>
      <c r="BE28">
        <v>59622820</v>
      </c>
      <c r="BF28">
        <v>23.020499999999998</v>
      </c>
      <c r="BG28">
        <v>718.35296000000005</v>
      </c>
      <c r="BH28">
        <v>23.020500479999999</v>
      </c>
    </row>
    <row r="29" spans="1:60">
      <c r="A29">
        <v>13020</v>
      </c>
      <c r="B29" t="s">
        <v>320</v>
      </c>
      <c r="C29">
        <v>36092.14</v>
      </c>
      <c r="D29">
        <v>50175</v>
      </c>
      <c r="E29">
        <v>107597</v>
      </c>
      <c r="F29">
        <v>2.2760900000000001E-2</v>
      </c>
      <c r="G29">
        <f t="shared" si="0"/>
        <v>22760.9</v>
      </c>
      <c r="H29" s="51">
        <f t="shared" si="1"/>
        <v>2449004557.3000002</v>
      </c>
      <c r="I29">
        <v>43.67062</v>
      </c>
      <c r="J29">
        <v>10.493830000000001</v>
      </c>
      <c r="K29">
        <v>-3.7827130000000002</v>
      </c>
      <c r="L29">
        <v>7.1652509999999996</v>
      </c>
      <c r="M29">
        <v>-1.922056</v>
      </c>
      <c r="N29">
        <v>11.58615</v>
      </c>
      <c r="O29">
        <v>1.1229E-3</v>
      </c>
      <c r="P29">
        <v>0</v>
      </c>
      <c r="Q29">
        <v>540.95870000000002</v>
      </c>
      <c r="R29">
        <v>1293.6859999999999</v>
      </c>
      <c r="S29">
        <v>0</v>
      </c>
      <c r="T29">
        <v>0</v>
      </c>
      <c r="U29">
        <v>120.8866</v>
      </c>
      <c r="V29">
        <v>107597</v>
      </c>
      <c r="W29">
        <v>0</v>
      </c>
      <c r="X29">
        <v>1.1234999999999999E-3</v>
      </c>
      <c r="Y29">
        <v>0</v>
      </c>
      <c r="Z29">
        <v>0.27211639999999998</v>
      </c>
      <c r="AB29">
        <v>295</v>
      </c>
      <c r="AE29">
        <v>0</v>
      </c>
      <c r="AF29">
        <v>2.7681460000000002</v>
      </c>
      <c r="AG29">
        <v>10.30617</v>
      </c>
      <c r="AH29">
        <v>11.01024</v>
      </c>
      <c r="AJ29">
        <v>10.77136</v>
      </c>
      <c r="AK29">
        <v>10.89902</v>
      </c>
      <c r="AL29">
        <v>10.53758</v>
      </c>
      <c r="AM29">
        <v>9.9673429999999996</v>
      </c>
      <c r="AN29">
        <v>10.37276</v>
      </c>
      <c r="AO29">
        <v>10.566839999999999</v>
      </c>
      <c r="AP29">
        <v>10.54852</v>
      </c>
      <c r="AQ29">
        <v>9.8850169999999995</v>
      </c>
      <c r="AR29">
        <v>10.4955</v>
      </c>
      <c r="AS29">
        <v>11.710290000000001</v>
      </c>
      <c r="AT29">
        <v>10.34506</v>
      </c>
      <c r="AU29">
        <v>9.6308690000000006</v>
      </c>
      <c r="AV29">
        <v>10.47963</v>
      </c>
      <c r="AW29">
        <v>9.9125029999999992</v>
      </c>
      <c r="AX29">
        <v>9.2818120000000004</v>
      </c>
      <c r="AY29">
        <v>9.8644960000000008</v>
      </c>
      <c r="BA29">
        <v>0</v>
      </c>
      <c r="BB29" t="str">
        <f t="shared" si="2"/>
        <v/>
      </c>
      <c r="BC29">
        <v>1023787</v>
      </c>
      <c r="BD29">
        <v>444.24599999999998</v>
      </c>
      <c r="BE29">
        <v>26340599</v>
      </c>
      <c r="BF29">
        <v>10.170159999999999</v>
      </c>
      <c r="BG29">
        <v>630.71668</v>
      </c>
      <c r="BH29">
        <v>10.17016256</v>
      </c>
    </row>
    <row r="30" spans="1:60">
      <c r="A30">
        <v>13140</v>
      </c>
      <c r="B30" t="s">
        <v>322</v>
      </c>
      <c r="C30">
        <v>41429.879999999997</v>
      </c>
      <c r="D30">
        <v>214052</v>
      </c>
      <c r="E30">
        <v>377477</v>
      </c>
      <c r="F30">
        <v>3.6150500000000002E-2</v>
      </c>
      <c r="G30">
        <f t="shared" si="0"/>
        <v>36150.5</v>
      </c>
      <c r="H30" s="51">
        <f t="shared" si="1"/>
        <v>13645982288.500002</v>
      </c>
      <c r="I30">
        <v>163.98349999999999</v>
      </c>
      <c r="J30">
        <v>10.63176</v>
      </c>
      <c r="K30">
        <v>-3.3200630000000002</v>
      </c>
      <c r="L30">
        <v>7.0134720000000002</v>
      </c>
      <c r="M30">
        <v>-1.9355819999999999</v>
      </c>
      <c r="N30">
        <v>12.84126</v>
      </c>
      <c r="O30">
        <v>1.096E-3</v>
      </c>
      <c r="P30">
        <v>0</v>
      </c>
      <c r="Q30">
        <v>737.06790000000001</v>
      </c>
      <c r="R30">
        <v>1111.5070000000001</v>
      </c>
      <c r="S30">
        <v>0</v>
      </c>
      <c r="T30">
        <v>0</v>
      </c>
      <c r="U30">
        <v>413.93669999999997</v>
      </c>
      <c r="V30">
        <v>377477</v>
      </c>
      <c r="W30">
        <v>0</v>
      </c>
      <c r="X30">
        <v>1.0966000000000001E-3</v>
      </c>
      <c r="Y30">
        <v>0</v>
      </c>
      <c r="Z30">
        <v>0.19214600000000001</v>
      </c>
      <c r="AB30">
        <v>174</v>
      </c>
      <c r="AE30">
        <v>0</v>
      </c>
      <c r="AF30">
        <v>2.524257</v>
      </c>
      <c r="AG30">
        <v>11.16384</v>
      </c>
      <c r="AH30">
        <v>10.81819</v>
      </c>
      <c r="AJ30">
        <v>10.904260000000001</v>
      </c>
      <c r="AK30">
        <v>11.11565</v>
      </c>
      <c r="AL30">
        <v>10.84911</v>
      </c>
      <c r="AM30">
        <v>10.06199</v>
      </c>
      <c r="AN30">
        <v>10.641220000000001</v>
      </c>
      <c r="AO30">
        <v>10.719329999999999</v>
      </c>
      <c r="AP30">
        <v>10.69178</v>
      </c>
      <c r="AQ30">
        <v>10.43779</v>
      </c>
      <c r="AR30">
        <v>11.14542</v>
      </c>
      <c r="AS30">
        <v>11.37884</v>
      </c>
      <c r="AT30">
        <v>10.14847</v>
      </c>
      <c r="AU30">
        <v>9.9009309999999999</v>
      </c>
      <c r="AV30">
        <v>10.43239</v>
      </c>
      <c r="AW30">
        <v>9.4268789999999996</v>
      </c>
      <c r="AX30">
        <v>9.3897720000000007</v>
      </c>
      <c r="AY30">
        <v>9.9602020000000007</v>
      </c>
      <c r="AZ30">
        <v>9.2227630000000005</v>
      </c>
      <c r="BA30">
        <v>0</v>
      </c>
      <c r="BB30" t="str">
        <f t="shared" si="2"/>
        <v/>
      </c>
      <c r="BC30">
        <v>911153</v>
      </c>
      <c r="BD30">
        <v>2154.2820000000002</v>
      </c>
      <c r="BE30">
        <v>188770867</v>
      </c>
      <c r="BF30">
        <v>72.884839999999997</v>
      </c>
      <c r="BG30">
        <v>2389.7864</v>
      </c>
      <c r="BH30">
        <v>72.884842320000004</v>
      </c>
    </row>
    <row r="31" spans="1:60">
      <c r="A31">
        <v>13380</v>
      </c>
      <c r="B31" t="s">
        <v>324</v>
      </c>
      <c r="C31">
        <v>35949.519999999997</v>
      </c>
      <c r="D31">
        <v>116172</v>
      </c>
      <c r="E31">
        <v>196960</v>
      </c>
      <c r="F31">
        <v>3.2707100000000003E-2</v>
      </c>
      <c r="G31">
        <f t="shared" si="0"/>
        <v>32707.100000000002</v>
      </c>
      <c r="H31" s="51">
        <f t="shared" si="1"/>
        <v>6441990416.000001</v>
      </c>
      <c r="I31">
        <v>57.417430000000003</v>
      </c>
      <c r="J31">
        <v>10.48987</v>
      </c>
      <c r="K31">
        <v>-3.4201619999999999</v>
      </c>
      <c r="L31">
        <v>7.4170550000000004</v>
      </c>
      <c r="M31">
        <v>-1.411999</v>
      </c>
      <c r="N31">
        <v>12.190759999999999</v>
      </c>
      <c r="O31">
        <v>8.7169999999999999E-4</v>
      </c>
      <c r="P31">
        <v>0</v>
      </c>
      <c r="Q31">
        <v>846.78129999999999</v>
      </c>
      <c r="R31">
        <v>1664.125</v>
      </c>
      <c r="S31">
        <v>0</v>
      </c>
      <c r="T31">
        <v>0</v>
      </c>
      <c r="U31">
        <v>171.75980000000001</v>
      </c>
      <c r="V31">
        <v>196960</v>
      </c>
      <c r="W31">
        <v>0</v>
      </c>
      <c r="X31">
        <v>8.721E-4</v>
      </c>
      <c r="Y31">
        <v>0</v>
      </c>
      <c r="Z31">
        <v>8.10366E-2</v>
      </c>
      <c r="AB31">
        <v>483</v>
      </c>
      <c r="AE31">
        <v>0</v>
      </c>
      <c r="AF31">
        <v>2.991422</v>
      </c>
      <c r="AG31">
        <v>10.62712</v>
      </c>
      <c r="AH31">
        <v>10.72053</v>
      </c>
      <c r="AJ31">
        <v>10.859780000000001</v>
      </c>
      <c r="AK31">
        <v>10.785439999999999</v>
      </c>
      <c r="AL31">
        <v>10.66793</v>
      </c>
      <c r="AM31">
        <v>10.09979</v>
      </c>
      <c r="AN31">
        <v>10.52427</v>
      </c>
      <c r="AO31">
        <v>10.648350000000001</v>
      </c>
      <c r="AP31">
        <v>10.84163</v>
      </c>
      <c r="AQ31">
        <v>10.175219999999999</v>
      </c>
      <c r="AR31">
        <v>10.817589999999999</v>
      </c>
      <c r="AS31">
        <v>11.122389999999999</v>
      </c>
      <c r="AT31">
        <v>10.3553</v>
      </c>
      <c r="AU31">
        <v>10.025690000000001</v>
      </c>
      <c r="AV31">
        <v>10.57123</v>
      </c>
      <c r="AW31">
        <v>9.8411469999999994</v>
      </c>
      <c r="AX31">
        <v>9.6134920000000008</v>
      </c>
      <c r="AY31">
        <v>10.06593</v>
      </c>
      <c r="BA31">
        <v>0</v>
      </c>
      <c r="BB31" t="str">
        <f t="shared" si="2"/>
        <v/>
      </c>
      <c r="BC31">
        <v>1902962</v>
      </c>
      <c r="BD31">
        <v>2119.5329999999999</v>
      </c>
      <c r="BE31">
        <v>58265670</v>
      </c>
      <c r="BF31">
        <v>22.496500000000001</v>
      </c>
      <c r="BG31">
        <v>2503.4645</v>
      </c>
      <c r="BH31">
        <v>22.496501909999999</v>
      </c>
    </row>
    <row r="32" spans="1:60">
      <c r="A32">
        <v>13460</v>
      </c>
      <c r="B32" t="s">
        <v>326</v>
      </c>
      <c r="C32">
        <v>32447.22</v>
      </c>
      <c r="D32">
        <v>101177</v>
      </c>
      <c r="E32">
        <v>157730</v>
      </c>
      <c r="F32">
        <v>3.5731899999999997E-2</v>
      </c>
      <c r="G32">
        <f t="shared" si="0"/>
        <v>35731.899999999994</v>
      </c>
      <c r="H32" s="51">
        <f t="shared" si="1"/>
        <v>5635992587</v>
      </c>
      <c r="I32">
        <v>43.725960000000001</v>
      </c>
      <c r="J32">
        <v>10.387370000000001</v>
      </c>
      <c r="K32">
        <v>-3.3317100000000002</v>
      </c>
      <c r="L32">
        <v>7.2241790000000004</v>
      </c>
      <c r="M32">
        <v>-1.3831690000000001</v>
      </c>
      <c r="N32">
        <v>11.968640000000001</v>
      </c>
      <c r="O32">
        <v>1.1666000000000001E-3</v>
      </c>
      <c r="P32">
        <v>0</v>
      </c>
      <c r="Q32">
        <v>971.11649999999997</v>
      </c>
      <c r="R32">
        <v>1372.212</v>
      </c>
      <c r="S32">
        <v>0</v>
      </c>
      <c r="T32">
        <v>0</v>
      </c>
      <c r="U32">
        <v>184.12020000000001</v>
      </c>
      <c r="V32">
        <v>157730</v>
      </c>
      <c r="W32">
        <v>0</v>
      </c>
      <c r="X32">
        <v>1.1673E-3</v>
      </c>
      <c r="Y32">
        <v>0</v>
      </c>
      <c r="Z32">
        <v>6.1004200000000001E-2</v>
      </c>
      <c r="AB32">
        <v>186</v>
      </c>
      <c r="AE32">
        <v>0</v>
      </c>
      <c r="AF32">
        <v>4.2107760000000001</v>
      </c>
      <c r="AH32">
        <v>10.336460000000001</v>
      </c>
      <c r="AI32">
        <v>11.193569999999999</v>
      </c>
      <c r="AJ32">
        <v>10.46983</v>
      </c>
      <c r="AK32">
        <v>10.49701</v>
      </c>
      <c r="AL32">
        <v>10.71496</v>
      </c>
      <c r="AM32">
        <v>10.10979</v>
      </c>
      <c r="AN32">
        <v>10.78989</v>
      </c>
      <c r="AO32">
        <v>10.608919999999999</v>
      </c>
      <c r="AP32">
        <v>10.80846</v>
      </c>
      <c r="AQ32">
        <v>10.20797</v>
      </c>
      <c r="AR32">
        <v>10.72395</v>
      </c>
      <c r="AS32">
        <v>11.25487</v>
      </c>
      <c r="AT32">
        <v>10.19374</v>
      </c>
      <c r="AU32">
        <v>10.063829999999999</v>
      </c>
      <c r="AV32">
        <v>10.65047</v>
      </c>
      <c r="AW32">
        <v>9.7085709999999992</v>
      </c>
      <c r="AX32">
        <v>9.6926900000000007</v>
      </c>
      <c r="AY32">
        <v>9.9883790000000001</v>
      </c>
      <c r="AZ32">
        <v>10.545339999999999</v>
      </c>
      <c r="BA32">
        <v>0</v>
      </c>
      <c r="BB32" t="str">
        <f t="shared" si="2"/>
        <v/>
      </c>
      <c r="BC32">
        <v>196682</v>
      </c>
      <c r="BD32">
        <v>3018.154</v>
      </c>
      <c r="BE32">
        <v>71394893</v>
      </c>
      <c r="BF32">
        <v>27.565719999999999</v>
      </c>
      <c r="BG32">
        <v>3054.7379999999998</v>
      </c>
      <c r="BH32">
        <v>27.565723469999998</v>
      </c>
    </row>
    <row r="33" spans="1:60">
      <c r="A33">
        <v>13740</v>
      </c>
      <c r="B33" t="s">
        <v>328</v>
      </c>
      <c r="C33">
        <v>33995.19</v>
      </c>
      <c r="D33">
        <v>110554</v>
      </c>
      <c r="E33">
        <v>152320</v>
      </c>
      <c r="F33">
        <v>3.9607400000000001E-2</v>
      </c>
      <c r="G33">
        <f t="shared" si="0"/>
        <v>39607.4</v>
      </c>
      <c r="H33" s="51">
        <f t="shared" si="1"/>
        <v>6032999168</v>
      </c>
      <c r="I33">
        <v>52.761450000000004</v>
      </c>
      <c r="J33">
        <v>10.43397</v>
      </c>
      <c r="K33">
        <v>-3.228739</v>
      </c>
      <c r="L33">
        <v>7.2207119999999998</v>
      </c>
      <c r="M33">
        <v>-1.344751</v>
      </c>
      <c r="N33">
        <v>11.93374</v>
      </c>
      <c r="O33">
        <v>2.3984000000000002E-3</v>
      </c>
      <c r="P33">
        <v>0</v>
      </c>
      <c r="Q33">
        <v>1082.04</v>
      </c>
      <c r="R33">
        <v>1367.463</v>
      </c>
      <c r="S33">
        <v>0</v>
      </c>
      <c r="T33">
        <v>0</v>
      </c>
      <c r="U33">
        <v>365.76060000000001</v>
      </c>
      <c r="V33">
        <v>152320</v>
      </c>
      <c r="W33">
        <v>0</v>
      </c>
      <c r="X33">
        <v>2.4012999999999999E-3</v>
      </c>
      <c r="Y33">
        <v>0</v>
      </c>
      <c r="Z33">
        <v>7.8101500000000004E-2</v>
      </c>
      <c r="AB33">
        <v>196</v>
      </c>
      <c r="AE33">
        <v>0</v>
      </c>
      <c r="AF33">
        <v>6.9323439999999996</v>
      </c>
      <c r="AG33">
        <v>10.286479999999999</v>
      </c>
      <c r="AH33">
        <v>11.48231</v>
      </c>
      <c r="AI33">
        <v>11.32227</v>
      </c>
      <c r="AJ33">
        <v>10.571960000000001</v>
      </c>
      <c r="AK33">
        <v>10.806839999999999</v>
      </c>
      <c r="AL33">
        <v>10.70491</v>
      </c>
      <c r="AM33">
        <v>10.104469999999999</v>
      </c>
      <c r="AN33">
        <v>10.308299999999999</v>
      </c>
      <c r="AO33">
        <v>10.71884</v>
      </c>
      <c r="AP33">
        <v>10.7807</v>
      </c>
      <c r="AQ33">
        <v>10.321479999999999</v>
      </c>
      <c r="AR33">
        <v>10.73818</v>
      </c>
      <c r="AS33">
        <v>11.337770000000001</v>
      </c>
      <c r="AT33">
        <v>9.9829699999999999</v>
      </c>
      <c r="AU33">
        <v>8.8048749999999991</v>
      </c>
      <c r="AV33">
        <v>10.65741</v>
      </c>
      <c r="AW33">
        <v>9.6557410000000008</v>
      </c>
      <c r="AX33">
        <v>9.5083339999999996</v>
      </c>
      <c r="AY33">
        <v>10.04698</v>
      </c>
      <c r="BA33">
        <v>0</v>
      </c>
      <c r="BB33" t="str">
        <f t="shared" si="2"/>
        <v/>
      </c>
      <c r="BC33">
        <v>582256</v>
      </c>
      <c r="BD33">
        <v>4683.1450000000004</v>
      </c>
      <c r="BE33">
        <v>100632553</v>
      </c>
      <c r="BF33">
        <v>38.85445</v>
      </c>
      <c r="BG33">
        <v>4711.2875000000004</v>
      </c>
      <c r="BH33">
        <v>38.854447589999999</v>
      </c>
    </row>
    <row r="34" spans="1:60">
      <c r="A34">
        <v>13780</v>
      </c>
      <c r="B34" t="s">
        <v>330</v>
      </c>
      <c r="C34">
        <v>36418.5</v>
      </c>
      <c r="D34">
        <v>140905</v>
      </c>
      <c r="E34">
        <v>244870</v>
      </c>
      <c r="F34">
        <v>2.5474699999999999E-2</v>
      </c>
      <c r="G34">
        <f t="shared" si="0"/>
        <v>25474.7</v>
      </c>
      <c r="H34" s="51">
        <f t="shared" si="1"/>
        <v>6237989789</v>
      </c>
      <c r="I34">
        <v>80.47766</v>
      </c>
      <c r="J34">
        <v>10.502829999999999</v>
      </c>
      <c r="K34">
        <v>-3.6700680000000001</v>
      </c>
      <c r="L34">
        <v>7.9562809999999997</v>
      </c>
      <c r="M34">
        <v>-1.4898100000000001</v>
      </c>
      <c r="N34">
        <v>12.408480000000001</v>
      </c>
      <c r="O34">
        <v>1.4090000000000001E-3</v>
      </c>
      <c r="P34">
        <v>0</v>
      </c>
      <c r="Q34">
        <v>1088.0409999999999</v>
      </c>
      <c r="R34">
        <v>2853.44</v>
      </c>
      <c r="S34">
        <v>0</v>
      </c>
      <c r="T34">
        <v>0</v>
      </c>
      <c r="U34">
        <v>345.26569999999998</v>
      </c>
      <c r="V34">
        <v>244870</v>
      </c>
      <c r="W34">
        <v>0</v>
      </c>
      <c r="X34">
        <v>1.41E-3</v>
      </c>
      <c r="Y34">
        <v>0</v>
      </c>
      <c r="Z34">
        <v>0.28173110000000001</v>
      </c>
      <c r="AB34">
        <v>217</v>
      </c>
      <c r="AE34">
        <v>0</v>
      </c>
      <c r="AF34">
        <v>4.2902050000000003</v>
      </c>
      <c r="AH34">
        <v>10.569559999999999</v>
      </c>
      <c r="AJ34">
        <v>10.89527</v>
      </c>
      <c r="AK34">
        <v>10.71523</v>
      </c>
      <c r="AL34">
        <v>10.63547</v>
      </c>
      <c r="AM34">
        <v>9.9204399999999993</v>
      </c>
      <c r="AN34">
        <v>10.373010000000001</v>
      </c>
      <c r="AO34">
        <v>10.57128</v>
      </c>
      <c r="AP34">
        <v>10.72569</v>
      </c>
      <c r="AQ34">
        <v>10.181279999999999</v>
      </c>
      <c r="AR34">
        <v>10.86617</v>
      </c>
      <c r="AS34">
        <v>10.9557</v>
      </c>
      <c r="AT34">
        <v>10.106870000000001</v>
      </c>
      <c r="AU34">
        <v>9.7446850000000005</v>
      </c>
      <c r="AV34">
        <v>10.504009999999999</v>
      </c>
      <c r="AW34">
        <v>9.8178590000000003</v>
      </c>
      <c r="AX34">
        <v>9.4016099999999998</v>
      </c>
      <c r="AY34">
        <v>9.9049859999999992</v>
      </c>
      <c r="BA34">
        <v>0</v>
      </c>
      <c r="BB34" t="str">
        <f t="shared" si="2"/>
        <v/>
      </c>
      <c r="BC34">
        <v>1834049</v>
      </c>
      <c r="BD34">
        <v>1225.5150000000001</v>
      </c>
      <c r="BE34">
        <v>25432061</v>
      </c>
      <c r="BF34">
        <v>9.8193739999999998</v>
      </c>
      <c r="BG34">
        <v>1238.3947000000001</v>
      </c>
      <c r="BH34">
        <v>9.819374067</v>
      </c>
    </row>
    <row r="35" spans="1:60">
      <c r="A35">
        <v>13820</v>
      </c>
      <c r="B35" t="s">
        <v>332</v>
      </c>
      <c r="C35">
        <v>40845.019999999997</v>
      </c>
      <c r="D35">
        <v>683998</v>
      </c>
      <c r="E35">
        <v>1123146</v>
      </c>
      <c r="F35">
        <v>4.3130599999999998E-2</v>
      </c>
      <c r="G35">
        <f t="shared" si="0"/>
        <v>43130.6</v>
      </c>
      <c r="H35" s="51">
        <f t="shared" si="1"/>
        <v>48441960867.599998</v>
      </c>
      <c r="I35">
        <v>449.44150000000002</v>
      </c>
      <c r="J35">
        <v>10.61754</v>
      </c>
      <c r="K35">
        <v>-3.1435219999999999</v>
      </c>
      <c r="L35">
        <v>7.2667570000000001</v>
      </c>
      <c r="M35">
        <v>-1.491598</v>
      </c>
      <c r="N35">
        <v>13.93164</v>
      </c>
      <c r="O35">
        <v>9.7000000000000005E-4</v>
      </c>
      <c r="P35">
        <v>0</v>
      </c>
      <c r="Q35">
        <v>833.72360000000003</v>
      </c>
      <c r="R35">
        <v>1431.8989999999999</v>
      </c>
      <c r="S35">
        <v>0</v>
      </c>
      <c r="T35">
        <v>0</v>
      </c>
      <c r="U35">
        <v>1089.9780000000001</v>
      </c>
      <c r="V35">
        <v>1123146</v>
      </c>
      <c r="W35">
        <v>0</v>
      </c>
      <c r="X35">
        <v>9.7050000000000001E-4</v>
      </c>
      <c r="Y35">
        <v>0</v>
      </c>
      <c r="Z35">
        <v>0.20573250000000001</v>
      </c>
      <c r="AB35">
        <v>242</v>
      </c>
      <c r="AE35">
        <v>0</v>
      </c>
      <c r="AF35">
        <v>2.4251830000000001</v>
      </c>
      <c r="AG35">
        <v>10.73443</v>
      </c>
      <c r="AH35">
        <v>11.05627</v>
      </c>
      <c r="AJ35">
        <v>10.709070000000001</v>
      </c>
      <c r="AK35">
        <v>10.753220000000001</v>
      </c>
      <c r="AL35">
        <v>10.902620000000001</v>
      </c>
      <c r="AM35">
        <v>10.03307</v>
      </c>
      <c r="AN35">
        <v>10.59</v>
      </c>
      <c r="AO35">
        <v>10.90077</v>
      </c>
      <c r="AP35">
        <v>11.14725</v>
      </c>
      <c r="AQ35">
        <v>10.49206</v>
      </c>
      <c r="AR35">
        <v>10.92783</v>
      </c>
      <c r="AS35">
        <v>11.350390000000001</v>
      </c>
      <c r="AT35">
        <v>10.248419999999999</v>
      </c>
      <c r="AU35">
        <v>10.092040000000001</v>
      </c>
      <c r="AV35">
        <v>10.67915</v>
      </c>
      <c r="AW35">
        <v>9.8287030000000009</v>
      </c>
      <c r="AX35">
        <v>9.5107979999999994</v>
      </c>
      <c r="AY35">
        <v>10.052670000000001</v>
      </c>
      <c r="BA35">
        <v>0</v>
      </c>
      <c r="BB35" t="str">
        <f t="shared" si="2"/>
        <v/>
      </c>
      <c r="BC35">
        <v>2791997</v>
      </c>
      <c r="BD35">
        <v>5298.0339999999997</v>
      </c>
      <c r="BE35">
        <v>364336948</v>
      </c>
      <c r="BF35">
        <v>140.6713</v>
      </c>
      <c r="BG35">
        <v>5369.7709000000004</v>
      </c>
      <c r="BH35">
        <v>140.6712881</v>
      </c>
    </row>
    <row r="36" spans="1:60">
      <c r="A36">
        <v>13900</v>
      </c>
      <c r="B36" t="s">
        <v>334</v>
      </c>
      <c r="C36">
        <v>34038.949999999997</v>
      </c>
      <c r="D36">
        <v>79821</v>
      </c>
      <c r="E36">
        <v>104629</v>
      </c>
      <c r="F36">
        <v>3.5592400000000003E-2</v>
      </c>
      <c r="G36">
        <f t="shared" si="0"/>
        <v>35592.400000000001</v>
      </c>
      <c r="H36" s="51">
        <f t="shared" si="1"/>
        <v>3723997219.6000004</v>
      </c>
      <c r="I36">
        <v>34.007989999999999</v>
      </c>
      <c r="J36">
        <v>10.43526</v>
      </c>
      <c r="K36">
        <v>-3.3356219999999999</v>
      </c>
      <c r="L36">
        <v>7.5223519999999997</v>
      </c>
      <c r="M36">
        <v>-1.3973390000000001</v>
      </c>
      <c r="N36">
        <v>11.55818</v>
      </c>
      <c r="O36">
        <v>3.5837E-3</v>
      </c>
      <c r="P36">
        <v>0</v>
      </c>
      <c r="Q36">
        <v>1449.5119999999999</v>
      </c>
      <c r="R36">
        <v>1848.9110000000001</v>
      </c>
      <c r="S36">
        <v>0</v>
      </c>
      <c r="T36">
        <v>0</v>
      </c>
      <c r="U36">
        <v>375.6318</v>
      </c>
      <c r="V36">
        <v>104629</v>
      </c>
      <c r="W36">
        <v>0</v>
      </c>
      <c r="X36">
        <v>3.5901000000000001E-3</v>
      </c>
      <c r="Y36">
        <v>0</v>
      </c>
      <c r="Z36">
        <v>0.10553360000000001</v>
      </c>
      <c r="AB36">
        <v>195</v>
      </c>
      <c r="AE36">
        <v>0</v>
      </c>
      <c r="AF36">
        <v>11.045400000000001</v>
      </c>
      <c r="AG36">
        <v>10.81978</v>
      </c>
      <c r="AH36">
        <v>11.091010000000001</v>
      </c>
      <c r="AJ36">
        <v>10.794600000000001</v>
      </c>
      <c r="AK36">
        <v>10.74043</v>
      </c>
      <c r="AL36">
        <v>10.654719999999999</v>
      </c>
      <c r="AM36">
        <v>10.01726</v>
      </c>
      <c r="AN36">
        <v>10.453279999999999</v>
      </c>
      <c r="AO36">
        <v>10.535589999999999</v>
      </c>
      <c r="AP36">
        <v>10.639699999999999</v>
      </c>
      <c r="AQ36">
        <v>10.034330000000001</v>
      </c>
      <c r="AR36">
        <v>10.630050000000001</v>
      </c>
      <c r="AS36">
        <v>10.870139999999999</v>
      </c>
      <c r="AT36">
        <v>10.039300000000001</v>
      </c>
      <c r="AU36">
        <v>9.9473830000000003</v>
      </c>
      <c r="AV36">
        <v>10.59623</v>
      </c>
      <c r="AW36">
        <v>9.4565459999999995</v>
      </c>
      <c r="AX36">
        <v>9.4140540000000001</v>
      </c>
      <c r="AY36">
        <v>10.056559999999999</v>
      </c>
      <c r="BA36">
        <v>0</v>
      </c>
      <c r="BB36" t="str">
        <f t="shared" si="2"/>
        <v/>
      </c>
      <c r="BC36">
        <v>305000</v>
      </c>
      <c r="BD36">
        <v>3559.3560000000002</v>
      </c>
      <c r="BE36">
        <v>59613220</v>
      </c>
      <c r="BF36">
        <v>23.01679</v>
      </c>
      <c r="BG36">
        <v>3613.741</v>
      </c>
      <c r="BH36">
        <v>23.0167939</v>
      </c>
    </row>
    <row r="37" spans="1:60">
      <c r="A37">
        <v>13980</v>
      </c>
      <c r="B37" t="s">
        <v>336</v>
      </c>
      <c r="C37">
        <v>32417.74</v>
      </c>
      <c r="D37">
        <v>84568</v>
      </c>
      <c r="E37">
        <v>158521</v>
      </c>
      <c r="F37">
        <v>2.35994E-2</v>
      </c>
      <c r="G37">
        <f t="shared" si="0"/>
        <v>23599.399999999998</v>
      </c>
      <c r="H37" s="51">
        <f t="shared" si="1"/>
        <v>3741000487.4000001</v>
      </c>
      <c r="I37">
        <v>46.935189999999999</v>
      </c>
      <c r="J37">
        <v>10.38646</v>
      </c>
      <c r="K37">
        <v>-3.746534</v>
      </c>
      <c r="L37">
        <v>6.9266019999999999</v>
      </c>
      <c r="M37">
        <v>-1.609108</v>
      </c>
      <c r="N37">
        <v>11.97364</v>
      </c>
      <c r="O37">
        <v>5.9750000000000005E-4</v>
      </c>
      <c r="P37">
        <v>0</v>
      </c>
      <c r="Q37">
        <v>871.90440000000001</v>
      </c>
      <c r="R37">
        <v>1019.025</v>
      </c>
      <c r="S37">
        <v>0</v>
      </c>
      <c r="T37">
        <v>0</v>
      </c>
      <c r="U37">
        <v>94.73724</v>
      </c>
      <c r="V37">
        <v>158521</v>
      </c>
      <c r="W37">
        <v>0</v>
      </c>
      <c r="X37">
        <v>5.976E-4</v>
      </c>
      <c r="Y37">
        <v>0</v>
      </c>
      <c r="Z37">
        <v>0.13975209999999999</v>
      </c>
      <c r="AB37">
        <v>341</v>
      </c>
      <c r="AE37">
        <v>0</v>
      </c>
      <c r="AF37">
        <v>2.0184690000000001</v>
      </c>
      <c r="AI37">
        <v>11.19807</v>
      </c>
      <c r="AJ37">
        <v>10.31344</v>
      </c>
      <c r="AK37">
        <v>10.838570000000001</v>
      </c>
      <c r="AL37">
        <v>10.776389999999999</v>
      </c>
      <c r="AM37">
        <v>9.9314780000000003</v>
      </c>
      <c r="AN37">
        <v>10.396570000000001</v>
      </c>
      <c r="AO37">
        <v>10.40793</v>
      </c>
      <c r="AP37">
        <v>10.90315</v>
      </c>
      <c r="AQ37">
        <v>10.24591</v>
      </c>
      <c r="AR37">
        <v>10.83812</v>
      </c>
      <c r="AT37">
        <v>9.7997519999999998</v>
      </c>
      <c r="AU37">
        <v>10.40375</v>
      </c>
      <c r="AV37">
        <v>10.59253</v>
      </c>
      <c r="AW37">
        <v>9.6054700000000004</v>
      </c>
      <c r="AX37">
        <v>9.3360730000000007</v>
      </c>
      <c r="AY37">
        <v>9.8550699999999996</v>
      </c>
      <c r="BA37">
        <v>0</v>
      </c>
      <c r="BB37" t="str">
        <f t="shared" si="2"/>
        <v/>
      </c>
      <c r="BC37">
        <v>710852</v>
      </c>
      <c r="BD37">
        <v>677.89469999999994</v>
      </c>
      <c r="BE37">
        <v>85670828</v>
      </c>
      <c r="BF37">
        <v>33.077689999999997</v>
      </c>
      <c r="BG37">
        <v>1089.4911999999999</v>
      </c>
      <c r="BH37">
        <v>33.077693019999998</v>
      </c>
    </row>
    <row r="38" spans="1:60">
      <c r="A38">
        <v>14020</v>
      </c>
      <c r="B38" t="s">
        <v>338</v>
      </c>
      <c r="C38">
        <v>31276.44</v>
      </c>
      <c r="D38">
        <v>105177</v>
      </c>
      <c r="E38">
        <v>184165</v>
      </c>
      <c r="F38">
        <v>2.4668099999999998E-2</v>
      </c>
      <c r="G38">
        <f t="shared" si="0"/>
        <v>24668.1</v>
      </c>
      <c r="H38" s="51">
        <f t="shared" si="1"/>
        <v>4543000636.5</v>
      </c>
      <c r="I38">
        <v>53.502420000000001</v>
      </c>
      <c r="J38">
        <v>10.350619999999999</v>
      </c>
      <c r="K38">
        <v>-3.702245</v>
      </c>
      <c r="L38">
        <v>7.4988359999999998</v>
      </c>
      <c r="M38">
        <v>-1.459257</v>
      </c>
      <c r="N38">
        <v>12.12359</v>
      </c>
      <c r="O38">
        <v>1.1483999999999999E-3</v>
      </c>
      <c r="P38">
        <v>0</v>
      </c>
      <c r="Q38">
        <v>993.99239999999998</v>
      </c>
      <c r="R38">
        <v>1805.9380000000001</v>
      </c>
      <c r="S38">
        <v>0</v>
      </c>
      <c r="T38">
        <v>0</v>
      </c>
      <c r="U38">
        <v>211.62010000000001</v>
      </c>
      <c r="V38">
        <v>184165</v>
      </c>
      <c r="W38">
        <v>0</v>
      </c>
      <c r="X38">
        <v>1.1490999999999999E-3</v>
      </c>
      <c r="Y38">
        <v>0</v>
      </c>
      <c r="Z38">
        <v>0.16016630000000001</v>
      </c>
      <c r="AB38">
        <v>468</v>
      </c>
      <c r="AE38">
        <v>0</v>
      </c>
      <c r="AF38">
        <v>3.955336</v>
      </c>
      <c r="AG38">
        <v>9.3372329999999994</v>
      </c>
      <c r="AH38">
        <v>12.053269999999999</v>
      </c>
      <c r="AI38">
        <v>10.79161</v>
      </c>
      <c r="AJ38">
        <v>10.76515</v>
      </c>
      <c r="AK38">
        <v>10.66705</v>
      </c>
      <c r="AL38">
        <v>10.80241</v>
      </c>
      <c r="AM38">
        <v>9.859947</v>
      </c>
      <c r="AN38">
        <v>10.439679999999999</v>
      </c>
      <c r="AO38">
        <v>10.693390000000001</v>
      </c>
      <c r="AP38">
        <v>10.53668</v>
      </c>
      <c r="AQ38">
        <v>10.18688</v>
      </c>
      <c r="AR38">
        <v>10.546620000000001</v>
      </c>
      <c r="AS38">
        <v>11.73016</v>
      </c>
      <c r="AT38">
        <v>9.9404800000000009</v>
      </c>
      <c r="AU38">
        <v>9.9513789999999993</v>
      </c>
      <c r="AV38">
        <v>10.510719999999999</v>
      </c>
      <c r="AW38">
        <v>9.534084</v>
      </c>
      <c r="AX38">
        <v>9.3460809999999999</v>
      </c>
      <c r="AY38">
        <v>10.07443</v>
      </c>
      <c r="BA38">
        <v>0</v>
      </c>
      <c r="BB38" t="str">
        <f t="shared" si="2"/>
        <v/>
      </c>
      <c r="BC38">
        <v>976332</v>
      </c>
      <c r="BD38">
        <v>1321.252</v>
      </c>
      <c r="BE38">
        <v>64274334</v>
      </c>
      <c r="BF38">
        <v>24.816459999999999</v>
      </c>
      <c r="BG38">
        <v>1345.0637999999999</v>
      </c>
      <c r="BH38">
        <v>24.816460150000001</v>
      </c>
    </row>
    <row r="39" spans="1:60">
      <c r="A39">
        <v>14060</v>
      </c>
      <c r="B39" t="s">
        <v>339</v>
      </c>
      <c r="C39">
        <v>40334.11</v>
      </c>
      <c r="D39">
        <v>112403</v>
      </c>
      <c r="E39">
        <v>165571</v>
      </c>
      <c r="F39">
        <v>4.5237399999999997E-2</v>
      </c>
      <c r="G39">
        <f t="shared" si="0"/>
        <v>45237.399999999994</v>
      </c>
      <c r="H39" s="51">
        <f t="shared" si="1"/>
        <v>7490001555.3999996</v>
      </c>
      <c r="I39">
        <v>38.742870000000003</v>
      </c>
      <c r="J39">
        <v>10.604950000000001</v>
      </c>
      <c r="K39">
        <v>-3.095831</v>
      </c>
      <c r="L39">
        <v>7.4384870000000003</v>
      </c>
      <c r="M39">
        <v>-1.2174769999999999</v>
      </c>
      <c r="N39">
        <v>12.017160000000001</v>
      </c>
      <c r="O39">
        <v>1.5016999999999999E-3</v>
      </c>
      <c r="P39">
        <v>0</v>
      </c>
      <c r="Q39">
        <v>1620.6849999999999</v>
      </c>
      <c r="R39">
        <v>1700.175</v>
      </c>
      <c r="S39">
        <v>0</v>
      </c>
      <c r="T39">
        <v>0</v>
      </c>
      <c r="U39">
        <v>248.82210000000001</v>
      </c>
      <c r="V39">
        <v>165571</v>
      </c>
      <c r="W39">
        <v>0</v>
      </c>
      <c r="X39">
        <v>1.5028000000000001E-3</v>
      </c>
      <c r="Y39">
        <v>0</v>
      </c>
      <c r="Z39">
        <v>0.2102377</v>
      </c>
      <c r="AB39">
        <v>145</v>
      </c>
      <c r="AE39">
        <v>0</v>
      </c>
      <c r="AF39">
        <v>6.4223980000000003</v>
      </c>
      <c r="AI39">
        <v>11.30916</v>
      </c>
      <c r="AJ39">
        <v>10.686669999999999</v>
      </c>
      <c r="AK39">
        <v>10.76999</v>
      </c>
      <c r="AL39">
        <v>11.023720000000001</v>
      </c>
      <c r="AM39">
        <v>9.9299429999999997</v>
      </c>
      <c r="AN39">
        <v>10.51484</v>
      </c>
      <c r="AO39">
        <v>10.79416</v>
      </c>
      <c r="AP39">
        <v>11.04208</v>
      </c>
      <c r="AQ39">
        <v>10.307130000000001</v>
      </c>
      <c r="AR39">
        <v>10.66892</v>
      </c>
      <c r="AS39">
        <v>10.90103</v>
      </c>
      <c r="AT39">
        <v>10.222429999999999</v>
      </c>
      <c r="AU39">
        <v>9.7377079999999996</v>
      </c>
      <c r="AV39">
        <v>10.58014</v>
      </c>
      <c r="AW39">
        <v>9.3725780000000007</v>
      </c>
      <c r="AX39">
        <v>9.4167240000000003</v>
      </c>
      <c r="AY39">
        <v>10.14456</v>
      </c>
      <c r="AZ39">
        <v>9.3005879999999994</v>
      </c>
      <c r="BA39">
        <v>0</v>
      </c>
      <c r="BB39" t="str">
        <f t="shared" si="2"/>
        <v/>
      </c>
      <c r="BC39">
        <v>1083044</v>
      </c>
      <c r="BD39">
        <v>1183.527</v>
      </c>
      <c r="BE39">
        <v>94503502</v>
      </c>
      <c r="BF39">
        <v>36.488010000000003</v>
      </c>
      <c r="BG39">
        <v>1186.2697000000001</v>
      </c>
      <c r="BH39">
        <v>36.488007670000002</v>
      </c>
    </row>
    <row r="40" spans="1:60">
      <c r="A40">
        <v>14260</v>
      </c>
      <c r="B40" t="s">
        <v>340</v>
      </c>
      <c r="C40">
        <v>36215.620000000003</v>
      </c>
      <c r="D40">
        <v>378922</v>
      </c>
      <c r="E40">
        <v>598719</v>
      </c>
      <c r="F40">
        <v>3.5427300000000002E-2</v>
      </c>
      <c r="G40">
        <f t="shared" si="0"/>
        <v>35427.300000000003</v>
      </c>
      <c r="H40" s="51">
        <f t="shared" si="1"/>
        <v>21210997628.700005</v>
      </c>
      <c r="I40">
        <v>165.65170000000001</v>
      </c>
      <c r="J40">
        <v>10.497249999999999</v>
      </c>
      <c r="K40">
        <v>-3.3402720000000001</v>
      </c>
      <c r="L40">
        <v>7.4859580000000001</v>
      </c>
      <c r="M40">
        <v>-1.4512579999999999</v>
      </c>
      <c r="N40">
        <v>13.30255</v>
      </c>
      <c r="O40">
        <v>9.8259999999999992E-4</v>
      </c>
      <c r="P40">
        <v>0</v>
      </c>
      <c r="Q40">
        <v>1306.0050000000001</v>
      </c>
      <c r="R40">
        <v>1782.8309999999999</v>
      </c>
      <c r="S40">
        <v>0</v>
      </c>
      <c r="T40">
        <v>0</v>
      </c>
      <c r="U40">
        <v>588.57500000000005</v>
      </c>
      <c r="V40">
        <v>598719</v>
      </c>
      <c r="W40">
        <v>0</v>
      </c>
      <c r="X40">
        <v>9.8309999999999999E-4</v>
      </c>
      <c r="Y40">
        <v>0</v>
      </c>
      <c r="Z40">
        <v>4.9931099999999999E-2</v>
      </c>
      <c r="AB40">
        <v>205</v>
      </c>
      <c r="AE40">
        <v>0</v>
      </c>
      <c r="AF40">
        <v>3.5530870000000001</v>
      </c>
      <c r="AG40">
        <v>10.39475</v>
      </c>
      <c r="AH40">
        <v>10.697939999999999</v>
      </c>
      <c r="AJ40">
        <v>10.472250000000001</v>
      </c>
      <c r="AK40">
        <v>10.85923</v>
      </c>
      <c r="AL40">
        <v>10.81391</v>
      </c>
      <c r="AM40">
        <v>10.098839999999999</v>
      </c>
      <c r="AN40">
        <v>10.369590000000001</v>
      </c>
      <c r="AO40">
        <v>10.587680000000001</v>
      </c>
      <c r="AP40">
        <v>10.70534</v>
      </c>
      <c r="AQ40">
        <v>10.36444</v>
      </c>
      <c r="AR40">
        <v>10.825189999999999</v>
      </c>
      <c r="AS40">
        <v>11.58548</v>
      </c>
      <c r="AT40">
        <v>10.13599</v>
      </c>
      <c r="AU40">
        <v>9.9328489999999992</v>
      </c>
      <c r="AV40">
        <v>10.56396</v>
      </c>
      <c r="AW40">
        <v>9.6083490000000005</v>
      </c>
      <c r="AX40">
        <v>9.4227290000000004</v>
      </c>
      <c r="AY40">
        <v>10.06086</v>
      </c>
      <c r="BA40">
        <v>0</v>
      </c>
      <c r="BB40" t="str">
        <f t="shared" si="2"/>
        <v/>
      </c>
      <c r="BC40">
        <v>1375651</v>
      </c>
      <c r="BD40">
        <v>11787.73</v>
      </c>
      <c r="BE40">
        <v>227419072</v>
      </c>
      <c r="BF40">
        <v>87.806989999999999</v>
      </c>
      <c r="BG40">
        <v>11833.053</v>
      </c>
      <c r="BH40">
        <v>87.806998329999999</v>
      </c>
    </row>
    <row r="41" spans="1:60">
      <c r="A41">
        <v>14500</v>
      </c>
      <c r="B41" t="s">
        <v>1203</v>
      </c>
      <c r="C41">
        <v>48276.81</v>
      </c>
      <c r="D41">
        <v>241178</v>
      </c>
      <c r="E41">
        <v>300452</v>
      </c>
      <c r="F41">
        <v>5.24144E-2</v>
      </c>
      <c r="G41">
        <f t="shared" si="0"/>
        <v>52414.400000000001</v>
      </c>
      <c r="H41" s="51">
        <f t="shared" si="1"/>
        <v>15748011308.799999</v>
      </c>
      <c r="I41">
        <v>82.945239999999998</v>
      </c>
      <c r="J41">
        <v>10.78471</v>
      </c>
      <c r="K41">
        <v>-2.9485749999999999</v>
      </c>
      <c r="L41">
        <v>8.1282289999999993</v>
      </c>
      <c r="M41">
        <v>-0.71526509999999999</v>
      </c>
      <c r="N41">
        <v>12.61304</v>
      </c>
      <c r="O41">
        <v>7.6059999999999995E-4</v>
      </c>
      <c r="P41">
        <v>0</v>
      </c>
      <c r="Q41">
        <v>1529.479</v>
      </c>
      <c r="R41">
        <v>3388.7939999999999</v>
      </c>
      <c r="S41">
        <v>0</v>
      </c>
      <c r="T41">
        <v>0</v>
      </c>
      <c r="U41">
        <v>228.62450000000001</v>
      </c>
      <c r="V41">
        <v>300452</v>
      </c>
      <c r="W41">
        <v>0</v>
      </c>
      <c r="X41">
        <v>7.6090000000000001E-4</v>
      </c>
      <c r="Y41">
        <v>0</v>
      </c>
      <c r="Z41">
        <v>0.30792829999999999</v>
      </c>
      <c r="AE41">
        <v>0</v>
      </c>
      <c r="AF41">
        <v>2.7563300000000002</v>
      </c>
      <c r="AG41">
        <v>10.217930000000001</v>
      </c>
      <c r="AJ41">
        <v>10.70134</v>
      </c>
      <c r="AK41">
        <v>10.9712</v>
      </c>
      <c r="AL41">
        <v>11.383319999999999</v>
      </c>
      <c r="AM41">
        <v>10.180149999999999</v>
      </c>
      <c r="AN41">
        <v>10.30728</v>
      </c>
      <c r="AO41">
        <v>11.19993</v>
      </c>
      <c r="AP41">
        <v>11.07117</v>
      </c>
      <c r="AQ41">
        <v>10.41188</v>
      </c>
      <c r="AR41">
        <v>11.22824</v>
      </c>
      <c r="AS41">
        <v>11.224819999999999</v>
      </c>
      <c r="AT41">
        <v>10.30381</v>
      </c>
      <c r="AU41">
        <v>10.015409999999999</v>
      </c>
      <c r="AV41">
        <v>10.66868</v>
      </c>
      <c r="AW41">
        <v>9.6944090000000003</v>
      </c>
      <c r="AX41">
        <v>9.6260150000000007</v>
      </c>
      <c r="AY41">
        <v>10.390140000000001</v>
      </c>
      <c r="AZ41">
        <v>10.459289999999999</v>
      </c>
      <c r="BB41" t="str">
        <f t="shared" si="2"/>
        <v/>
      </c>
      <c r="BD41">
        <v>742.46010000000001</v>
      </c>
      <c r="BE41">
        <v>52355482</v>
      </c>
      <c r="BF41">
        <v>20.214569999999998</v>
      </c>
      <c r="BG41">
        <v>740.36674000000005</v>
      </c>
      <c r="BH41">
        <v>20.21456547</v>
      </c>
    </row>
    <row r="42" spans="1:60">
      <c r="A42">
        <v>14540</v>
      </c>
      <c r="B42" t="s">
        <v>1204</v>
      </c>
      <c r="C42">
        <v>33016.589999999997</v>
      </c>
      <c r="D42">
        <v>75418</v>
      </c>
      <c r="E42">
        <v>118588</v>
      </c>
      <c r="F42">
        <v>3.2887E-2</v>
      </c>
      <c r="G42">
        <f t="shared" si="0"/>
        <v>32887</v>
      </c>
      <c r="H42" s="51">
        <f t="shared" si="1"/>
        <v>3900003556</v>
      </c>
      <c r="I42">
        <v>36.305909999999997</v>
      </c>
      <c r="J42">
        <v>10.404769999999999</v>
      </c>
      <c r="K42">
        <v>-3.414679</v>
      </c>
      <c r="L42">
        <v>7.2407130000000004</v>
      </c>
      <c r="M42">
        <v>-1.63714</v>
      </c>
      <c r="N42">
        <v>11.68341</v>
      </c>
      <c r="O42">
        <v>9.6369999999999995E-4</v>
      </c>
      <c r="P42">
        <v>0</v>
      </c>
      <c r="Q42">
        <v>1108.58</v>
      </c>
      <c r="R42">
        <v>1395.088</v>
      </c>
      <c r="S42">
        <v>0</v>
      </c>
      <c r="T42">
        <v>0</v>
      </c>
      <c r="U42">
        <v>114.34180000000001</v>
      </c>
      <c r="V42">
        <v>118588</v>
      </c>
      <c r="W42">
        <v>0</v>
      </c>
      <c r="X42">
        <v>9.6420000000000002E-4</v>
      </c>
      <c r="Y42">
        <v>0</v>
      </c>
      <c r="Z42">
        <v>0.13486339999999999</v>
      </c>
      <c r="AE42">
        <v>0</v>
      </c>
      <c r="AF42">
        <v>3.1493989999999998</v>
      </c>
      <c r="AH42">
        <v>11.11772</v>
      </c>
      <c r="AJ42">
        <v>10.547940000000001</v>
      </c>
      <c r="AK42">
        <v>10.650040000000001</v>
      </c>
      <c r="AL42">
        <v>10.64512</v>
      </c>
      <c r="AM42">
        <v>9.9141519999999996</v>
      </c>
      <c r="AN42">
        <v>10.415279999999999</v>
      </c>
      <c r="AO42">
        <v>10.4625</v>
      </c>
      <c r="AP42">
        <v>10.709770000000001</v>
      </c>
      <c r="AQ42">
        <v>10.305</v>
      </c>
      <c r="AR42">
        <v>10.90619</v>
      </c>
      <c r="AS42">
        <v>11.06199</v>
      </c>
      <c r="AT42">
        <v>9.9832970000000003</v>
      </c>
      <c r="AU42">
        <v>9.9541810000000002</v>
      </c>
      <c r="AV42">
        <v>10.525130000000001</v>
      </c>
      <c r="AW42">
        <v>9.8092129999999997</v>
      </c>
      <c r="AX42">
        <v>9.3743929999999995</v>
      </c>
      <c r="AY42">
        <v>9.9129760000000005</v>
      </c>
      <c r="BB42" t="str">
        <f t="shared" si="2"/>
        <v/>
      </c>
      <c r="BD42">
        <v>847.83420000000001</v>
      </c>
      <c r="BE42">
        <v>68993325</v>
      </c>
      <c r="BF42">
        <v>26.638470000000002</v>
      </c>
      <c r="BG42">
        <v>855.69497999999999</v>
      </c>
      <c r="BH42">
        <v>26.638472839999999</v>
      </c>
    </row>
    <row r="43" spans="1:60">
      <c r="A43">
        <v>14600</v>
      </c>
      <c r="B43" t="s">
        <v>341</v>
      </c>
      <c r="C43">
        <v>33197.120000000003</v>
      </c>
      <c r="D43">
        <v>390477</v>
      </c>
      <c r="E43">
        <v>685926</v>
      </c>
      <c r="F43">
        <v>3.1687100000000003E-2</v>
      </c>
      <c r="G43">
        <f t="shared" si="0"/>
        <v>31687.100000000002</v>
      </c>
      <c r="H43" s="51">
        <f t="shared" si="1"/>
        <v>21735005754.600002</v>
      </c>
      <c r="I43">
        <v>254.01429999999999</v>
      </c>
      <c r="J43">
        <v>10.410220000000001</v>
      </c>
      <c r="K43">
        <v>-3.4518460000000002</v>
      </c>
      <c r="L43">
        <v>7.6649710000000004</v>
      </c>
      <c r="M43">
        <v>-1.1075550000000001</v>
      </c>
      <c r="N43">
        <v>13.43853</v>
      </c>
      <c r="O43">
        <v>4.7310000000000001E-4</v>
      </c>
      <c r="P43">
        <v>0</v>
      </c>
      <c r="Q43">
        <v>780.35379999999998</v>
      </c>
      <c r="R43">
        <v>2132.3310000000001</v>
      </c>
      <c r="S43">
        <v>0</v>
      </c>
      <c r="T43">
        <v>0</v>
      </c>
      <c r="U43">
        <v>324.57670000000002</v>
      </c>
      <c r="V43">
        <v>685926</v>
      </c>
      <c r="W43">
        <v>0</v>
      </c>
      <c r="X43">
        <v>4.7320000000000001E-4</v>
      </c>
      <c r="Y43">
        <v>0</v>
      </c>
      <c r="Z43">
        <v>0.2472818</v>
      </c>
      <c r="AB43">
        <v>553</v>
      </c>
      <c r="AE43">
        <v>0</v>
      </c>
      <c r="AF43">
        <v>1.2777890000000001</v>
      </c>
      <c r="AG43">
        <v>9.7582450000000005</v>
      </c>
      <c r="AH43">
        <v>10.55231</v>
      </c>
      <c r="AJ43">
        <v>10.549010000000001</v>
      </c>
      <c r="AK43">
        <v>10.69533</v>
      </c>
      <c r="AL43">
        <v>10.75718</v>
      </c>
      <c r="AM43">
        <v>10.06091</v>
      </c>
      <c r="AN43">
        <v>10.437670000000001</v>
      </c>
      <c r="AO43">
        <v>10.78431</v>
      </c>
      <c r="AP43">
        <v>10.98851</v>
      </c>
      <c r="AQ43">
        <v>10.46003</v>
      </c>
      <c r="AR43">
        <v>10.787839999999999</v>
      </c>
      <c r="AS43">
        <v>10.54073</v>
      </c>
      <c r="AT43">
        <v>10.216609999999999</v>
      </c>
      <c r="AU43">
        <v>10.394030000000001</v>
      </c>
      <c r="AV43">
        <v>10.598800000000001</v>
      </c>
      <c r="AW43">
        <v>9.8913080000000004</v>
      </c>
      <c r="AX43">
        <v>9.6232670000000002</v>
      </c>
      <c r="AY43">
        <v>9.9410760000000007</v>
      </c>
      <c r="BA43">
        <v>0</v>
      </c>
      <c r="BB43" t="str">
        <f t="shared" si="2"/>
        <v/>
      </c>
      <c r="BC43">
        <v>3677745</v>
      </c>
      <c r="BD43">
        <v>1312.578</v>
      </c>
      <c r="BE43">
        <v>107066999</v>
      </c>
      <c r="BF43">
        <v>41.338799999999999</v>
      </c>
      <c r="BG43">
        <v>1618.0171</v>
      </c>
      <c r="BH43">
        <v>41.338801179999997</v>
      </c>
    </row>
    <row r="44" spans="1:60">
      <c r="A44">
        <v>14740</v>
      </c>
      <c r="B44" t="s">
        <v>342</v>
      </c>
      <c r="C44">
        <v>33306.449999999997</v>
      </c>
      <c r="D44">
        <v>130123</v>
      </c>
      <c r="E44">
        <v>239865</v>
      </c>
      <c r="F44">
        <v>2.01572E-2</v>
      </c>
      <c r="G44">
        <f t="shared" si="0"/>
        <v>20157.2</v>
      </c>
      <c r="H44" s="51">
        <f t="shared" si="1"/>
        <v>4835006778</v>
      </c>
      <c r="I44">
        <v>130.00800000000001</v>
      </c>
      <c r="J44">
        <v>10.41351</v>
      </c>
      <c r="K44">
        <v>-3.9041950000000001</v>
      </c>
      <c r="L44">
        <v>7.3183610000000003</v>
      </c>
      <c r="M44">
        <v>-1.4248149999999999</v>
      </c>
      <c r="N44">
        <v>12.387829999999999</v>
      </c>
      <c r="O44">
        <v>6.7020000000000003E-4</v>
      </c>
      <c r="P44">
        <v>0</v>
      </c>
      <c r="Q44">
        <v>418.62029999999999</v>
      </c>
      <c r="R44">
        <v>1507.731</v>
      </c>
      <c r="S44">
        <v>0</v>
      </c>
      <c r="T44">
        <v>0</v>
      </c>
      <c r="U44">
        <v>160.81950000000001</v>
      </c>
      <c r="V44">
        <v>239865</v>
      </c>
      <c r="W44">
        <v>0</v>
      </c>
      <c r="X44">
        <v>6.7049999999999998E-4</v>
      </c>
      <c r="Y44">
        <v>0</v>
      </c>
      <c r="Z44">
        <v>0.40613690000000002</v>
      </c>
      <c r="AB44">
        <v>583</v>
      </c>
      <c r="AE44">
        <v>0</v>
      </c>
      <c r="AF44">
        <v>1.2369969999999999</v>
      </c>
      <c r="AG44">
        <v>11.15127</v>
      </c>
      <c r="AJ44">
        <v>10.699540000000001</v>
      </c>
      <c r="AK44">
        <v>10.552210000000001</v>
      </c>
      <c r="AL44">
        <v>10.64091</v>
      </c>
      <c r="AM44">
        <v>10.130420000000001</v>
      </c>
      <c r="AN44">
        <v>10.56204</v>
      </c>
      <c r="AO44">
        <v>10.94406</v>
      </c>
      <c r="AP44">
        <v>10.756640000000001</v>
      </c>
      <c r="AQ44">
        <v>10.283340000000001</v>
      </c>
      <c r="AR44">
        <v>10.8383</v>
      </c>
      <c r="AT44">
        <v>10.22479</v>
      </c>
      <c r="AU44">
        <v>10.22391</v>
      </c>
      <c r="AV44">
        <v>10.62293</v>
      </c>
      <c r="AW44">
        <v>10.010859999999999</v>
      </c>
      <c r="AX44">
        <v>9.6212560000000007</v>
      </c>
      <c r="AY44">
        <v>9.9857479999999992</v>
      </c>
      <c r="AZ44">
        <v>9.5287939999999995</v>
      </c>
      <c r="BA44">
        <v>0</v>
      </c>
      <c r="BB44" t="str">
        <f t="shared" si="2"/>
        <v/>
      </c>
      <c r="BC44">
        <v>2375439</v>
      </c>
      <c r="BD44">
        <v>395.97379999999998</v>
      </c>
      <c r="BE44">
        <v>43929429</v>
      </c>
      <c r="BF44">
        <v>16.96125</v>
      </c>
      <c r="BG44">
        <v>565.92508999999995</v>
      </c>
      <c r="BH44">
        <v>16.961248080000001</v>
      </c>
    </row>
    <row r="45" spans="1:60">
      <c r="A45">
        <v>15180</v>
      </c>
      <c r="B45" t="s">
        <v>343</v>
      </c>
      <c r="C45">
        <v>23255.38</v>
      </c>
      <c r="D45">
        <v>170980</v>
      </c>
      <c r="E45">
        <v>389164</v>
      </c>
      <c r="F45">
        <v>1.48369E-2</v>
      </c>
      <c r="G45">
        <f t="shared" si="0"/>
        <v>14836.9</v>
      </c>
      <c r="H45" s="51">
        <f t="shared" si="1"/>
        <v>5773987351.5999994</v>
      </c>
      <c r="I45">
        <v>123.6033</v>
      </c>
      <c r="J45">
        <v>10.05429</v>
      </c>
      <c r="K45">
        <v>-4.210636</v>
      </c>
      <c r="L45">
        <v>7.0762910000000003</v>
      </c>
      <c r="M45">
        <v>-2.1005449999999999</v>
      </c>
      <c r="N45">
        <v>12.87176</v>
      </c>
      <c r="O45">
        <v>5.061E-4</v>
      </c>
      <c r="P45">
        <v>0</v>
      </c>
      <c r="Q45">
        <v>775.48080000000004</v>
      </c>
      <c r="R45">
        <v>1183.57</v>
      </c>
      <c r="S45">
        <v>0</v>
      </c>
      <c r="T45">
        <v>0</v>
      </c>
      <c r="U45">
        <v>196.99950000000001</v>
      </c>
      <c r="V45">
        <v>389164</v>
      </c>
      <c r="W45">
        <v>0</v>
      </c>
      <c r="X45">
        <v>5.0620000000000005E-4</v>
      </c>
      <c r="Y45">
        <v>0</v>
      </c>
      <c r="Z45">
        <v>0.2174971</v>
      </c>
      <c r="AB45">
        <v>191</v>
      </c>
      <c r="AE45">
        <v>0</v>
      </c>
      <c r="AF45">
        <v>1.593804</v>
      </c>
      <c r="AG45">
        <v>9.996022</v>
      </c>
      <c r="AJ45">
        <v>10.21349</v>
      </c>
      <c r="AK45">
        <v>10.341480000000001</v>
      </c>
      <c r="AL45">
        <v>10.209569999999999</v>
      </c>
      <c r="AM45">
        <v>9.8669630000000002</v>
      </c>
      <c r="AN45">
        <v>10.33112</v>
      </c>
      <c r="AO45">
        <v>10.243119999999999</v>
      </c>
      <c r="AP45">
        <v>10.454420000000001</v>
      </c>
      <c r="AQ45">
        <v>9.8807980000000004</v>
      </c>
      <c r="AR45">
        <v>10.2273</v>
      </c>
      <c r="AS45">
        <v>10.80808</v>
      </c>
      <c r="AT45">
        <v>9.909027</v>
      </c>
      <c r="AU45">
        <v>9.9926999999999992</v>
      </c>
      <c r="AV45">
        <v>10.18008</v>
      </c>
      <c r="AW45">
        <v>9.7416929999999997</v>
      </c>
      <c r="AX45">
        <v>9.3102870000000006</v>
      </c>
      <c r="AY45">
        <v>9.7208520000000007</v>
      </c>
      <c r="AZ45">
        <v>10.59037</v>
      </c>
      <c r="BA45">
        <v>0</v>
      </c>
      <c r="BB45" t="str">
        <f t="shared" si="2"/>
        <v/>
      </c>
      <c r="BC45">
        <v>791934</v>
      </c>
      <c r="BD45">
        <v>905.75670000000002</v>
      </c>
      <c r="BE45">
        <v>180266483</v>
      </c>
      <c r="BF45">
        <v>69.601280000000003</v>
      </c>
      <c r="BG45">
        <v>1276.4599000000001</v>
      </c>
      <c r="BH45">
        <v>69.601281159999999</v>
      </c>
    </row>
    <row r="46" spans="1:60">
      <c r="A46">
        <v>15260</v>
      </c>
      <c r="B46" t="s">
        <v>344</v>
      </c>
      <c r="C46">
        <v>29383.15</v>
      </c>
      <c r="D46">
        <v>59983</v>
      </c>
      <c r="E46">
        <v>103020</v>
      </c>
      <c r="F46">
        <v>2.4131199999999998E-2</v>
      </c>
      <c r="G46">
        <f t="shared" si="0"/>
        <v>24131.199999999997</v>
      </c>
      <c r="H46" s="51">
        <f t="shared" si="1"/>
        <v>2485996224</v>
      </c>
      <c r="I46">
        <v>45.033380000000001</v>
      </c>
      <c r="J46">
        <v>10.288180000000001</v>
      </c>
      <c r="K46">
        <v>-3.7242479999999998</v>
      </c>
      <c r="L46">
        <v>7.3234560000000002</v>
      </c>
      <c r="M46">
        <v>-1.6225879999999999</v>
      </c>
      <c r="N46">
        <v>11.542680000000001</v>
      </c>
      <c r="O46">
        <v>2.4627E-3</v>
      </c>
      <c r="P46">
        <v>0</v>
      </c>
      <c r="Q46">
        <v>643.07849999999996</v>
      </c>
      <c r="R46">
        <v>1515.432</v>
      </c>
      <c r="S46">
        <v>0</v>
      </c>
      <c r="T46">
        <v>0</v>
      </c>
      <c r="U46">
        <v>254.02010000000001</v>
      </c>
      <c r="V46">
        <v>103020</v>
      </c>
      <c r="W46">
        <v>0</v>
      </c>
      <c r="X46">
        <v>2.4656999999999999E-3</v>
      </c>
      <c r="Y46">
        <v>0</v>
      </c>
      <c r="Z46">
        <v>0.19536729999999999</v>
      </c>
      <c r="AB46">
        <v>653</v>
      </c>
      <c r="AE46">
        <v>0</v>
      </c>
      <c r="AF46">
        <v>5.6407069999999999</v>
      </c>
      <c r="AG46">
        <v>10.51928</v>
      </c>
      <c r="AJ46">
        <v>10.31189</v>
      </c>
      <c r="AK46">
        <v>10.877610000000001</v>
      </c>
      <c r="AL46">
        <v>10.56545</v>
      </c>
      <c r="AM46">
        <v>10.034549999999999</v>
      </c>
      <c r="AN46">
        <v>10.352539999999999</v>
      </c>
      <c r="AO46">
        <v>10.39312</v>
      </c>
      <c r="AP46">
        <v>10.88081</v>
      </c>
      <c r="AQ46">
        <v>10.236079999999999</v>
      </c>
      <c r="AR46">
        <v>10.66689</v>
      </c>
      <c r="AT46">
        <v>10.11501</v>
      </c>
      <c r="AU46">
        <v>9.7338480000000001</v>
      </c>
      <c r="AV46">
        <v>10.611039999999999</v>
      </c>
      <c r="AW46">
        <v>9.6608920000000005</v>
      </c>
      <c r="AX46">
        <v>9.9171239999999994</v>
      </c>
      <c r="AY46">
        <v>9.9300119999999996</v>
      </c>
      <c r="BA46">
        <v>379439</v>
      </c>
      <c r="BB46" t="str">
        <f t="shared" si="2"/>
        <v/>
      </c>
      <c r="BC46" s="14">
        <v>10200000</v>
      </c>
      <c r="BD46">
        <v>1300.2180000000001</v>
      </c>
      <c r="BE46">
        <v>23689503</v>
      </c>
      <c r="BF46">
        <v>9.1465680000000003</v>
      </c>
      <c r="BG46">
        <v>1606.3806</v>
      </c>
      <c r="BH46">
        <v>9.1465686329999993</v>
      </c>
    </row>
    <row r="47" spans="1:60">
      <c r="A47">
        <v>15380</v>
      </c>
      <c r="B47" t="s">
        <v>284</v>
      </c>
      <c r="C47">
        <v>35849.879999999997</v>
      </c>
      <c r="D47">
        <v>658725</v>
      </c>
      <c r="E47">
        <v>1124055</v>
      </c>
      <c r="F47">
        <v>3.3409399999999999E-2</v>
      </c>
      <c r="G47">
        <f t="shared" si="0"/>
        <v>33409.4</v>
      </c>
      <c r="H47" s="51">
        <f t="shared" si="1"/>
        <v>37554003117</v>
      </c>
      <c r="I47">
        <v>394.98970000000003</v>
      </c>
      <c r="J47">
        <v>10.4871</v>
      </c>
      <c r="K47">
        <v>-3.3989180000000001</v>
      </c>
      <c r="L47">
        <v>7.6784720000000002</v>
      </c>
      <c r="M47">
        <v>-1.413513</v>
      </c>
      <c r="N47">
        <v>13.932449999999999</v>
      </c>
      <c r="O47">
        <v>7.5250000000000002E-4</v>
      </c>
      <c r="P47" s="14">
        <v>5.6899999999999997E-6</v>
      </c>
      <c r="Q47">
        <v>1111.1579999999999</v>
      </c>
      <c r="R47">
        <v>2161.3150000000001</v>
      </c>
      <c r="S47">
        <v>1</v>
      </c>
      <c r="T47">
        <v>6.4</v>
      </c>
      <c r="U47">
        <v>846.13350000000003</v>
      </c>
      <c r="V47">
        <v>1124055</v>
      </c>
      <c r="W47" s="14">
        <v>5.6899999999999997E-6</v>
      </c>
      <c r="X47">
        <v>7.5279999999999998E-4</v>
      </c>
      <c r="Y47">
        <v>4.0838000000000003E-3</v>
      </c>
      <c r="Z47">
        <v>0.5399159</v>
      </c>
      <c r="AB47">
        <v>536</v>
      </c>
      <c r="AE47">
        <v>1.6202999999999999E-2</v>
      </c>
      <c r="AF47">
        <v>2.142166</v>
      </c>
      <c r="AG47">
        <v>9.8036670000000008</v>
      </c>
      <c r="AH47">
        <v>11.10718</v>
      </c>
      <c r="AI47">
        <v>11.39555</v>
      </c>
      <c r="AJ47">
        <v>10.91056</v>
      </c>
      <c r="AK47">
        <v>10.796939999999999</v>
      </c>
      <c r="AL47">
        <v>10.82485</v>
      </c>
      <c r="AM47">
        <v>9.9447639999999993</v>
      </c>
      <c r="AN47">
        <v>10.44224</v>
      </c>
      <c r="AO47">
        <v>10.85858</v>
      </c>
      <c r="AP47">
        <v>10.85646</v>
      </c>
      <c r="AQ47">
        <v>10.280110000000001</v>
      </c>
      <c r="AR47">
        <v>10.790240000000001</v>
      </c>
      <c r="AS47">
        <v>11.181139999999999</v>
      </c>
      <c r="AT47">
        <v>10.25877</v>
      </c>
      <c r="AU47">
        <v>10.08451</v>
      </c>
      <c r="AV47">
        <v>10.46232</v>
      </c>
      <c r="AW47">
        <v>10.798640000000001</v>
      </c>
      <c r="AX47">
        <v>9.4908760000000001</v>
      </c>
      <c r="AY47">
        <v>9.9693500000000004</v>
      </c>
      <c r="AZ47">
        <v>10.42066</v>
      </c>
      <c r="BB47">
        <f t="shared" si="2"/>
        <v>0</v>
      </c>
      <c r="BD47">
        <v>1567.1579999999999</v>
      </c>
      <c r="BE47">
        <v>242288562</v>
      </c>
      <c r="BF47">
        <v>93.54813</v>
      </c>
      <c r="BG47">
        <v>2366.5252</v>
      </c>
      <c r="BH47">
        <v>93.548140759999995</v>
      </c>
    </row>
    <row r="48" spans="1:60">
      <c r="A48">
        <v>15540</v>
      </c>
      <c r="B48" t="s">
        <v>971</v>
      </c>
      <c r="C48">
        <v>41717.440000000002</v>
      </c>
      <c r="D48">
        <v>153534</v>
      </c>
      <c r="E48">
        <v>207028</v>
      </c>
      <c r="F48">
        <v>4.2535299999999998E-2</v>
      </c>
      <c r="G48">
        <f t="shared" si="0"/>
        <v>42535.299999999996</v>
      </c>
      <c r="H48" s="51">
        <f t="shared" si="1"/>
        <v>8805998088.3999996</v>
      </c>
      <c r="I48">
        <v>68.362849999999995</v>
      </c>
      <c r="J48">
        <v>10.638669999999999</v>
      </c>
      <c r="K48">
        <v>-3.1574209999999998</v>
      </c>
      <c r="L48">
        <v>7.7098360000000001</v>
      </c>
      <c r="M48">
        <v>-1.145896</v>
      </c>
      <c r="N48">
        <v>12.24061</v>
      </c>
      <c r="O48">
        <v>1.3947E-3</v>
      </c>
      <c r="P48">
        <v>0</v>
      </c>
      <c r="Q48">
        <v>1094.9369999999999</v>
      </c>
      <c r="R48">
        <v>2230.1750000000002</v>
      </c>
      <c r="S48">
        <v>0</v>
      </c>
      <c r="T48">
        <v>0</v>
      </c>
      <c r="U48">
        <v>288.94819999999999</v>
      </c>
      <c r="V48">
        <v>207028</v>
      </c>
      <c r="W48">
        <v>0</v>
      </c>
      <c r="X48">
        <v>1.3956999999999999E-3</v>
      </c>
      <c r="Y48">
        <v>0</v>
      </c>
      <c r="Z48">
        <v>0.22955539999999999</v>
      </c>
      <c r="AE48">
        <v>0</v>
      </c>
      <c r="AF48">
        <v>4.2266849999999998</v>
      </c>
      <c r="AG48">
        <v>10.1778</v>
      </c>
      <c r="AH48">
        <v>11.117699999999999</v>
      </c>
      <c r="AJ48">
        <v>10.84604</v>
      </c>
      <c r="AK48">
        <v>10.885899999999999</v>
      </c>
      <c r="AL48">
        <v>10.85496</v>
      </c>
      <c r="AM48">
        <v>10.065060000000001</v>
      </c>
      <c r="AN48">
        <v>10.425240000000001</v>
      </c>
      <c r="AO48">
        <v>10.74952</v>
      </c>
      <c r="AP48">
        <v>11.1891</v>
      </c>
      <c r="AQ48">
        <v>10.43266</v>
      </c>
      <c r="AR48">
        <v>11.181469999999999</v>
      </c>
      <c r="AT48">
        <v>9.9872040000000002</v>
      </c>
      <c r="AU48">
        <v>10.06404</v>
      </c>
      <c r="AV48">
        <v>10.62524</v>
      </c>
      <c r="AW48">
        <v>9.8431149999999992</v>
      </c>
      <c r="AX48">
        <v>9.6722450000000002</v>
      </c>
      <c r="AY48">
        <v>10.1419</v>
      </c>
      <c r="BB48" t="str">
        <f t="shared" si="2"/>
        <v/>
      </c>
      <c r="BD48">
        <v>1258.73</v>
      </c>
      <c r="BE48">
        <v>52461147</v>
      </c>
      <c r="BF48">
        <v>20.25536</v>
      </c>
      <c r="BG48">
        <v>1506.0011</v>
      </c>
      <c r="BH48">
        <v>20.255362959999999</v>
      </c>
    </row>
    <row r="49" spans="1:60">
      <c r="A49">
        <v>15940</v>
      </c>
      <c r="B49" t="s">
        <v>345</v>
      </c>
      <c r="C49">
        <v>32435.34</v>
      </c>
      <c r="D49">
        <v>224848</v>
      </c>
      <c r="E49">
        <v>408782</v>
      </c>
      <c r="F49">
        <v>2.90301E-2</v>
      </c>
      <c r="G49">
        <f t="shared" si="0"/>
        <v>29030.1</v>
      </c>
      <c r="H49" s="51">
        <f t="shared" si="1"/>
        <v>11866982338.199999</v>
      </c>
      <c r="I49">
        <v>189.08199999999999</v>
      </c>
      <c r="J49">
        <v>10.387</v>
      </c>
      <c r="K49">
        <v>-3.5394209999999999</v>
      </c>
      <c r="L49">
        <v>7.1423990000000002</v>
      </c>
      <c r="M49">
        <v>-1.716291</v>
      </c>
      <c r="N49">
        <v>12.92094</v>
      </c>
      <c r="O49">
        <v>8.809E-4</v>
      </c>
      <c r="P49">
        <v>0</v>
      </c>
      <c r="Q49">
        <v>734.88229999999999</v>
      </c>
      <c r="R49">
        <v>1264.4580000000001</v>
      </c>
      <c r="S49">
        <v>0</v>
      </c>
      <c r="T49">
        <v>0</v>
      </c>
      <c r="U49">
        <v>360.2552</v>
      </c>
      <c r="V49">
        <v>408782</v>
      </c>
      <c r="W49">
        <v>0</v>
      </c>
      <c r="X49">
        <v>8.8130000000000001E-4</v>
      </c>
      <c r="Y49">
        <v>0</v>
      </c>
      <c r="Z49">
        <v>0.37108750000000001</v>
      </c>
      <c r="AB49">
        <v>279</v>
      </c>
      <c r="AE49">
        <v>0</v>
      </c>
      <c r="AF49">
        <v>1.9052849999999999</v>
      </c>
      <c r="AG49">
        <v>8.8048749999999991</v>
      </c>
      <c r="AH49">
        <v>10.853479999999999</v>
      </c>
      <c r="AI49">
        <v>11.023949999999999</v>
      </c>
      <c r="AJ49">
        <v>10.71564</v>
      </c>
      <c r="AK49">
        <v>10.70645</v>
      </c>
      <c r="AL49">
        <v>10.700060000000001</v>
      </c>
      <c r="AM49">
        <v>10.00121</v>
      </c>
      <c r="AN49">
        <v>10.426970000000001</v>
      </c>
      <c r="AO49">
        <v>10.591010000000001</v>
      </c>
      <c r="AP49">
        <v>10.611000000000001</v>
      </c>
      <c r="AQ49">
        <v>10.17905</v>
      </c>
      <c r="AR49">
        <v>10.62393</v>
      </c>
      <c r="AS49">
        <v>11.080500000000001</v>
      </c>
      <c r="AT49">
        <v>10.16056</v>
      </c>
      <c r="AU49">
        <v>9.8178429999999999</v>
      </c>
      <c r="AV49">
        <v>10.452400000000001</v>
      </c>
      <c r="AW49">
        <v>9.5644229999999997</v>
      </c>
      <c r="AX49">
        <v>9.3442129999999999</v>
      </c>
      <c r="AY49">
        <v>9.9103150000000007</v>
      </c>
      <c r="BA49">
        <v>0</v>
      </c>
      <c r="BB49" t="str">
        <f t="shared" si="2"/>
        <v/>
      </c>
      <c r="BC49">
        <v>2518231</v>
      </c>
      <c r="BD49">
        <v>970.80930000000001</v>
      </c>
      <c r="BE49">
        <v>125085502</v>
      </c>
      <c r="BF49">
        <v>48.295780000000001</v>
      </c>
      <c r="BG49">
        <v>979.45824000000005</v>
      </c>
      <c r="BH49">
        <v>48.295784380000001</v>
      </c>
    </row>
    <row r="50" spans="1:60">
      <c r="A50">
        <v>15980</v>
      </c>
      <c r="B50" t="s">
        <v>346</v>
      </c>
      <c r="C50">
        <v>32942.61</v>
      </c>
      <c r="D50">
        <v>299691</v>
      </c>
      <c r="E50">
        <v>588709</v>
      </c>
      <c r="F50">
        <v>3.11886E-2</v>
      </c>
      <c r="G50">
        <f t="shared" si="0"/>
        <v>31188.6</v>
      </c>
      <c r="H50" s="51">
        <f t="shared" si="1"/>
        <v>18361009517.400002</v>
      </c>
      <c r="I50">
        <v>231.53790000000001</v>
      </c>
      <c r="J50">
        <v>10.402520000000001</v>
      </c>
      <c r="K50">
        <v>-3.4677030000000002</v>
      </c>
      <c r="L50">
        <v>6.8846639999999999</v>
      </c>
      <c r="M50">
        <v>-1.319591</v>
      </c>
      <c r="N50">
        <v>13.285690000000001</v>
      </c>
      <c r="O50">
        <v>3.2909999999999998E-4</v>
      </c>
      <c r="P50">
        <v>0</v>
      </c>
      <c r="Q50">
        <v>670.17100000000005</v>
      </c>
      <c r="R50">
        <v>977.17349999999999</v>
      </c>
      <c r="S50">
        <v>0</v>
      </c>
      <c r="T50">
        <v>0</v>
      </c>
      <c r="U50">
        <v>193.7764</v>
      </c>
      <c r="V50">
        <v>588709</v>
      </c>
      <c r="W50">
        <v>0</v>
      </c>
      <c r="X50">
        <v>3.2919999999999998E-4</v>
      </c>
      <c r="Y50">
        <v>0</v>
      </c>
      <c r="Z50">
        <v>0.24112620000000001</v>
      </c>
      <c r="AB50">
        <v>318</v>
      </c>
      <c r="AE50">
        <v>0</v>
      </c>
      <c r="AF50">
        <v>0.83690980000000004</v>
      </c>
      <c r="AG50">
        <v>10.267150000000001</v>
      </c>
      <c r="AJ50">
        <v>10.54646</v>
      </c>
      <c r="AK50">
        <v>10.4504</v>
      </c>
      <c r="AL50">
        <v>10.689590000000001</v>
      </c>
      <c r="AM50">
        <v>10.084149999999999</v>
      </c>
      <c r="AN50">
        <v>10.29224</v>
      </c>
      <c r="AO50">
        <v>10.73997</v>
      </c>
      <c r="AP50">
        <v>10.85125</v>
      </c>
      <c r="AQ50">
        <v>10.33183</v>
      </c>
      <c r="AR50">
        <v>10.839320000000001</v>
      </c>
      <c r="AS50">
        <v>11.27355</v>
      </c>
      <c r="AT50">
        <v>10.18755</v>
      </c>
      <c r="AU50">
        <v>10.34883</v>
      </c>
      <c r="AV50">
        <v>10.701750000000001</v>
      </c>
      <c r="AW50">
        <v>10.018000000000001</v>
      </c>
      <c r="AX50">
        <v>9.6417090000000005</v>
      </c>
      <c r="AY50">
        <v>10.00651</v>
      </c>
      <c r="AZ50">
        <v>9.8158259999999995</v>
      </c>
      <c r="BA50">
        <v>0</v>
      </c>
      <c r="BB50" t="str">
        <f t="shared" si="2"/>
        <v/>
      </c>
      <c r="BC50">
        <v>3006028</v>
      </c>
      <c r="BD50">
        <v>803.63040000000001</v>
      </c>
      <c r="BE50">
        <v>203157373</v>
      </c>
      <c r="BF50">
        <v>78.439499999999995</v>
      </c>
      <c r="BG50">
        <v>1212.3751</v>
      </c>
      <c r="BH50">
        <v>78.439503579999993</v>
      </c>
    </row>
    <row r="51" spans="1:60">
      <c r="A51">
        <v>16020</v>
      </c>
      <c r="B51" t="s">
        <v>1207</v>
      </c>
      <c r="C51">
        <v>29763.08</v>
      </c>
      <c r="D51">
        <v>62905</v>
      </c>
      <c r="E51">
        <v>93287</v>
      </c>
      <c r="F51">
        <v>2.8385500000000001E-2</v>
      </c>
      <c r="G51">
        <f t="shared" si="0"/>
        <v>28385.5</v>
      </c>
      <c r="H51" s="51">
        <f t="shared" si="1"/>
        <v>2647998138.5</v>
      </c>
      <c r="I51">
        <v>27.215489999999999</v>
      </c>
      <c r="J51">
        <v>10.301019999999999</v>
      </c>
      <c r="K51">
        <v>-3.5618759999999998</v>
      </c>
      <c r="L51">
        <v>7.2113329999999998</v>
      </c>
      <c r="N51">
        <v>11.443440000000001</v>
      </c>
      <c r="O51">
        <v>2.2905E-3</v>
      </c>
      <c r="P51">
        <v>0</v>
      </c>
      <c r="Q51">
        <v>1144.3109999999999</v>
      </c>
      <c r="R51">
        <v>1354.6959999999999</v>
      </c>
      <c r="S51">
        <v>0</v>
      </c>
      <c r="T51">
        <v>0</v>
      </c>
      <c r="U51">
        <v>213.91419999999999</v>
      </c>
      <c r="V51">
        <v>93287</v>
      </c>
      <c r="W51">
        <v>0</v>
      </c>
      <c r="X51">
        <v>2.2931000000000002E-3</v>
      </c>
      <c r="Y51">
        <v>0</v>
      </c>
      <c r="Z51">
        <v>0.14899200000000001</v>
      </c>
      <c r="AE51">
        <v>0</v>
      </c>
      <c r="AF51">
        <v>7.8600159999999999</v>
      </c>
      <c r="AH51">
        <v>10.350569999999999</v>
      </c>
      <c r="AJ51">
        <v>10.45074</v>
      </c>
      <c r="AK51">
        <v>10.61098</v>
      </c>
      <c r="AL51">
        <v>10.664859999999999</v>
      </c>
      <c r="AM51">
        <v>9.9110569999999996</v>
      </c>
      <c r="AN51">
        <v>10.757770000000001</v>
      </c>
      <c r="AO51">
        <v>10.663349999999999</v>
      </c>
      <c r="AP51">
        <v>10.574680000000001</v>
      </c>
      <c r="AQ51">
        <v>10.200049999999999</v>
      </c>
      <c r="AR51">
        <v>10.3764</v>
      </c>
      <c r="AS51">
        <v>10.40662</v>
      </c>
      <c r="AT51">
        <v>9.4046869999999991</v>
      </c>
      <c r="AU51">
        <v>9.8887070000000001</v>
      </c>
      <c r="AV51">
        <v>10.541980000000001</v>
      </c>
      <c r="AW51">
        <v>9.7443939999999998</v>
      </c>
      <c r="AX51">
        <v>9.3019800000000004</v>
      </c>
      <c r="AY51">
        <v>9.8145399999999992</v>
      </c>
      <c r="BB51" t="str">
        <f t="shared" si="2"/>
        <v/>
      </c>
      <c r="BD51">
        <v>1435.7429999999999</v>
      </c>
      <c r="BE51">
        <v>57613867</v>
      </c>
      <c r="BF51">
        <v>22.24484</v>
      </c>
      <c r="BG51">
        <v>1460.008</v>
      </c>
      <c r="BH51">
        <v>22.24483936</v>
      </c>
    </row>
    <row r="52" spans="1:60">
      <c r="A52">
        <v>16180</v>
      </c>
      <c r="B52" t="s">
        <v>972</v>
      </c>
      <c r="C52">
        <v>37841.300000000003</v>
      </c>
      <c r="D52">
        <v>42179</v>
      </c>
      <c r="E52">
        <v>55274</v>
      </c>
      <c r="F52">
        <v>4.0109300000000001E-2</v>
      </c>
      <c r="G52">
        <f t="shared" si="0"/>
        <v>40109.300000000003</v>
      </c>
      <c r="H52" s="51">
        <f t="shared" si="1"/>
        <v>2217001448.2000003</v>
      </c>
      <c r="I52">
        <v>20.235009999999999</v>
      </c>
      <c r="J52">
        <v>10.54116</v>
      </c>
      <c r="K52">
        <v>-3.216148</v>
      </c>
      <c r="L52">
        <v>7.054017</v>
      </c>
      <c r="M52">
        <v>-1.645996</v>
      </c>
      <c r="N52">
        <v>10.920059999999999</v>
      </c>
      <c r="O52">
        <v>5.1309999999999995E-4</v>
      </c>
      <c r="P52">
        <v>0</v>
      </c>
      <c r="Q52">
        <v>1157.499</v>
      </c>
      <c r="R52">
        <v>1157.499</v>
      </c>
      <c r="S52">
        <v>0</v>
      </c>
      <c r="T52">
        <v>0</v>
      </c>
      <c r="U52">
        <v>28.367159999999998</v>
      </c>
      <c r="V52">
        <v>55274</v>
      </c>
      <c r="W52">
        <v>0</v>
      </c>
      <c r="X52">
        <v>5.1320000000000001E-4</v>
      </c>
      <c r="Y52">
        <v>0</v>
      </c>
      <c r="Z52">
        <v>0.19788140000000001</v>
      </c>
      <c r="AE52">
        <v>0</v>
      </c>
      <c r="AF52">
        <v>1.401885</v>
      </c>
      <c r="AJ52">
        <v>10.54867</v>
      </c>
      <c r="AK52">
        <v>10.75207</v>
      </c>
      <c r="AL52">
        <v>10.881500000000001</v>
      </c>
      <c r="AM52">
        <v>10.24469</v>
      </c>
      <c r="AN52">
        <v>10.32536</v>
      </c>
      <c r="AO52">
        <v>10.922330000000001</v>
      </c>
      <c r="AP52">
        <v>10.79603</v>
      </c>
      <c r="AQ52">
        <v>10.21649</v>
      </c>
      <c r="AR52">
        <v>10.941599999999999</v>
      </c>
      <c r="AS52">
        <v>11.56587</v>
      </c>
      <c r="AT52">
        <v>10.337020000000001</v>
      </c>
      <c r="AV52">
        <v>10.808630000000001</v>
      </c>
      <c r="AW52">
        <v>10.1532</v>
      </c>
      <c r="AX52">
        <v>9.5923130000000008</v>
      </c>
      <c r="AY52">
        <v>10.22756</v>
      </c>
      <c r="AZ52">
        <v>10.43412</v>
      </c>
      <c r="BB52" t="str">
        <f t="shared" si="2"/>
        <v/>
      </c>
      <c r="BD52">
        <v>143.3544</v>
      </c>
      <c r="BE52">
        <v>52408427</v>
      </c>
      <c r="BF52">
        <v>20.235009999999999</v>
      </c>
      <c r="BG52">
        <v>157.24517</v>
      </c>
      <c r="BH52">
        <v>20.23500765</v>
      </c>
    </row>
    <row r="53" spans="1:60">
      <c r="A53">
        <v>16220</v>
      </c>
      <c r="B53" t="s">
        <v>347</v>
      </c>
      <c r="C53">
        <v>39936.980000000003</v>
      </c>
      <c r="D53">
        <v>55922</v>
      </c>
      <c r="E53">
        <v>73057</v>
      </c>
      <c r="F53">
        <v>8.2948900000000006E-2</v>
      </c>
      <c r="G53">
        <f t="shared" si="0"/>
        <v>82948.900000000009</v>
      </c>
      <c r="H53" s="51">
        <f t="shared" si="1"/>
        <v>6059997787.3000011</v>
      </c>
      <c r="I53">
        <v>26.365490000000001</v>
      </c>
      <c r="J53">
        <v>10.59506</v>
      </c>
      <c r="K53">
        <v>-2.4895299999999998</v>
      </c>
      <c r="L53">
        <v>6.9553409999999998</v>
      </c>
      <c r="M53">
        <v>-1.642658</v>
      </c>
      <c r="N53">
        <v>11.199</v>
      </c>
      <c r="O53">
        <v>3.6174000000000002E-3</v>
      </c>
      <c r="P53">
        <v>0</v>
      </c>
      <c r="Q53">
        <v>925.2627</v>
      </c>
      <c r="R53">
        <v>1048.7370000000001</v>
      </c>
      <c r="S53">
        <v>0</v>
      </c>
      <c r="T53">
        <v>0</v>
      </c>
      <c r="U53">
        <v>264.7586</v>
      </c>
      <c r="V53">
        <v>73057</v>
      </c>
      <c r="W53">
        <v>0</v>
      </c>
      <c r="X53">
        <v>3.6240000000000001E-3</v>
      </c>
      <c r="Y53">
        <v>0</v>
      </c>
      <c r="Z53">
        <v>4.9581399999999998E-2</v>
      </c>
      <c r="AB53">
        <v>183</v>
      </c>
      <c r="AE53">
        <v>0</v>
      </c>
      <c r="AF53">
        <v>10.04186</v>
      </c>
      <c r="AH53">
        <v>11.23452</v>
      </c>
      <c r="AJ53">
        <v>10.64077</v>
      </c>
      <c r="AK53">
        <v>10.85614</v>
      </c>
      <c r="AL53">
        <v>11.000489999999999</v>
      </c>
      <c r="AM53">
        <v>10.13462</v>
      </c>
      <c r="AN53">
        <v>10.869730000000001</v>
      </c>
      <c r="AO53">
        <v>10.49197</v>
      </c>
      <c r="AP53">
        <v>10.830220000000001</v>
      </c>
      <c r="AQ53">
        <v>10.73287</v>
      </c>
      <c r="AR53">
        <v>10.778219999999999</v>
      </c>
      <c r="AS53">
        <v>10.90549</v>
      </c>
      <c r="AT53">
        <v>9.8517519999999994</v>
      </c>
      <c r="AV53">
        <v>10.74668</v>
      </c>
      <c r="AW53">
        <v>9.7000349999999997</v>
      </c>
      <c r="AX53">
        <v>9.5524439999999995</v>
      </c>
      <c r="AY53">
        <v>10.233470000000001</v>
      </c>
      <c r="BA53">
        <v>0</v>
      </c>
      <c r="BB53" t="str">
        <f t="shared" si="2"/>
        <v/>
      </c>
      <c r="BC53">
        <v>209197</v>
      </c>
      <c r="BD53">
        <v>5339.8819999999996</v>
      </c>
      <c r="BE53">
        <v>48987525</v>
      </c>
      <c r="BF53">
        <v>18.914190000000001</v>
      </c>
      <c r="BG53">
        <v>5375.6436999999996</v>
      </c>
      <c r="BH53">
        <v>18.914189950000001</v>
      </c>
    </row>
    <row r="54" spans="1:60">
      <c r="A54">
        <v>16300</v>
      </c>
      <c r="B54" t="s">
        <v>348</v>
      </c>
      <c r="C54">
        <v>39152</v>
      </c>
      <c r="D54">
        <v>176099</v>
      </c>
      <c r="E54">
        <v>254911</v>
      </c>
      <c r="F54">
        <v>4.5027499999999998E-2</v>
      </c>
      <c r="G54">
        <f t="shared" si="0"/>
        <v>45027.5</v>
      </c>
      <c r="H54" s="51">
        <f t="shared" si="1"/>
        <v>11478005052.499998</v>
      </c>
      <c r="I54">
        <v>71.295169999999999</v>
      </c>
      <c r="J54">
        <v>10.57521</v>
      </c>
      <c r="K54">
        <v>-3.100482</v>
      </c>
      <c r="L54">
        <v>7.3953220000000002</v>
      </c>
      <c r="M54">
        <v>-1.4068659999999999</v>
      </c>
      <c r="N54">
        <v>12.44867</v>
      </c>
      <c r="O54">
        <v>1.4764000000000001E-3</v>
      </c>
      <c r="P54">
        <v>0</v>
      </c>
      <c r="Q54">
        <v>1413.546</v>
      </c>
      <c r="R54">
        <v>1628.3489999999999</v>
      </c>
      <c r="S54">
        <v>0</v>
      </c>
      <c r="T54">
        <v>0</v>
      </c>
      <c r="U54">
        <v>376.63029999999998</v>
      </c>
      <c r="V54">
        <v>254911</v>
      </c>
      <c r="W54">
        <v>0</v>
      </c>
      <c r="X54">
        <v>1.4775000000000001E-3</v>
      </c>
      <c r="Y54">
        <v>0</v>
      </c>
      <c r="Z54">
        <v>0.1874585</v>
      </c>
      <c r="AB54">
        <v>694</v>
      </c>
      <c r="AE54">
        <v>0</v>
      </c>
      <c r="AF54">
        <v>5.2826909999999998</v>
      </c>
      <c r="AH54">
        <v>10.930389999999999</v>
      </c>
      <c r="AJ54">
        <v>10.93234</v>
      </c>
      <c r="AK54">
        <v>11.005179999999999</v>
      </c>
      <c r="AL54">
        <v>10.76862</v>
      </c>
      <c r="AM54">
        <v>10.03031</v>
      </c>
      <c r="AN54">
        <v>10.164619999999999</v>
      </c>
      <c r="AO54">
        <v>10.70496</v>
      </c>
      <c r="AP54">
        <v>10.939159999999999</v>
      </c>
      <c r="AQ54">
        <v>10.99091</v>
      </c>
      <c r="AR54">
        <v>10.96842</v>
      </c>
      <c r="AS54">
        <v>11.15474</v>
      </c>
      <c r="AT54">
        <v>10.094250000000001</v>
      </c>
      <c r="AU54">
        <v>10.196440000000001</v>
      </c>
      <c r="AV54">
        <v>10.4924</v>
      </c>
      <c r="AW54">
        <v>9.6175149999999991</v>
      </c>
      <c r="AX54">
        <v>9.3533539999999995</v>
      </c>
      <c r="AY54">
        <v>9.9811440000000005</v>
      </c>
      <c r="AZ54">
        <v>9.8285250000000008</v>
      </c>
      <c r="BA54">
        <v>0</v>
      </c>
      <c r="BB54" t="str">
        <f t="shared" si="2"/>
        <v/>
      </c>
      <c r="BC54">
        <v>1041326</v>
      </c>
      <c r="BD54">
        <v>2009.14</v>
      </c>
      <c r="BE54">
        <v>116759893</v>
      </c>
      <c r="BF54">
        <v>45.081249999999997</v>
      </c>
      <c r="BG54">
        <v>2019.9981</v>
      </c>
      <c r="BH54">
        <v>45.081248639999998</v>
      </c>
    </row>
    <row r="55" spans="1:60">
      <c r="A55">
        <v>16580</v>
      </c>
      <c r="B55" t="s">
        <v>349</v>
      </c>
      <c r="C55">
        <v>32163.49</v>
      </c>
      <c r="D55">
        <v>143142</v>
      </c>
      <c r="E55">
        <v>223998</v>
      </c>
      <c r="F55">
        <v>2.7210100000000001E-2</v>
      </c>
      <c r="G55">
        <f t="shared" si="0"/>
        <v>27210.100000000002</v>
      </c>
      <c r="H55" s="51">
        <f t="shared" si="1"/>
        <v>6095007979.8000002</v>
      </c>
      <c r="I55">
        <v>66.050640000000001</v>
      </c>
      <c r="J55">
        <v>10.378590000000001</v>
      </c>
      <c r="K55">
        <v>-3.604168</v>
      </c>
      <c r="L55">
        <v>7.6098619999999997</v>
      </c>
      <c r="M55">
        <v>-1.2749649999999999</v>
      </c>
      <c r="N55">
        <v>12.31939</v>
      </c>
      <c r="O55">
        <v>2.0089000000000001E-3</v>
      </c>
      <c r="P55">
        <v>0</v>
      </c>
      <c r="Q55">
        <v>1102.866</v>
      </c>
      <c r="R55">
        <v>2018</v>
      </c>
      <c r="S55">
        <v>0</v>
      </c>
      <c r="T55">
        <v>0</v>
      </c>
      <c r="U55">
        <v>450.44220000000001</v>
      </c>
      <c r="V55">
        <v>223998</v>
      </c>
      <c r="W55">
        <v>0</v>
      </c>
      <c r="X55">
        <v>2.0108999999999999E-3</v>
      </c>
      <c r="Y55">
        <v>0</v>
      </c>
      <c r="Z55">
        <v>0.2342726</v>
      </c>
      <c r="AB55">
        <v>641</v>
      </c>
      <c r="AE55">
        <v>0</v>
      </c>
      <c r="AF55">
        <v>6.8196490000000001</v>
      </c>
      <c r="AI55">
        <v>11.21495</v>
      </c>
      <c r="AJ55">
        <v>10.87923</v>
      </c>
      <c r="AK55">
        <v>10.546200000000001</v>
      </c>
      <c r="AL55">
        <v>10.67174</v>
      </c>
      <c r="AM55">
        <v>9.9279700000000002</v>
      </c>
      <c r="AN55">
        <v>10.456429999999999</v>
      </c>
      <c r="AO55">
        <v>10.655279999999999</v>
      </c>
      <c r="AP55">
        <v>10.65236</v>
      </c>
      <c r="AQ55">
        <v>10.403879999999999</v>
      </c>
      <c r="AR55">
        <v>10.730600000000001</v>
      </c>
      <c r="AS55">
        <v>11.14907</v>
      </c>
      <c r="AT55">
        <v>9.8988270000000007</v>
      </c>
      <c r="AU55">
        <v>9.5450689999999998</v>
      </c>
      <c r="AV55">
        <v>10.660769999999999</v>
      </c>
      <c r="AW55">
        <v>9.598217</v>
      </c>
      <c r="AX55">
        <v>9.348808</v>
      </c>
      <c r="AY55">
        <v>9.9697089999999999</v>
      </c>
      <c r="AZ55">
        <v>8.8376649999999994</v>
      </c>
      <c r="BA55">
        <v>0</v>
      </c>
      <c r="BB55" t="str">
        <f t="shared" si="2"/>
        <v/>
      </c>
      <c r="BC55">
        <v>3578700</v>
      </c>
      <c r="BD55">
        <v>1922.7270000000001</v>
      </c>
      <c r="BE55">
        <v>77196551</v>
      </c>
      <c r="BF55">
        <v>29.805759999999999</v>
      </c>
      <c r="BG55">
        <v>1924.0994000000001</v>
      </c>
      <c r="BH55">
        <v>29.805756240000001</v>
      </c>
    </row>
    <row r="56" spans="1:60">
      <c r="A56">
        <v>16620</v>
      </c>
      <c r="B56" t="s">
        <v>350</v>
      </c>
      <c r="C56">
        <v>38115.96</v>
      </c>
      <c r="D56">
        <v>182844</v>
      </c>
      <c r="E56">
        <v>303331</v>
      </c>
      <c r="F56">
        <v>4.1410200000000001E-2</v>
      </c>
      <c r="G56">
        <f t="shared" si="0"/>
        <v>41410.200000000004</v>
      </c>
      <c r="H56" s="51">
        <f t="shared" si="1"/>
        <v>12560997376.200001</v>
      </c>
      <c r="I56">
        <v>115.50620000000001</v>
      </c>
      <c r="J56">
        <v>10.548389999999999</v>
      </c>
      <c r="K56">
        <v>-3.1842280000000001</v>
      </c>
      <c r="L56">
        <v>7.6821450000000002</v>
      </c>
      <c r="M56">
        <v>-1.678188</v>
      </c>
      <c r="N56">
        <v>12.622579999999999</v>
      </c>
      <c r="O56">
        <v>1.1783E-3</v>
      </c>
      <c r="P56">
        <v>0</v>
      </c>
      <c r="Q56">
        <v>955.85379999999998</v>
      </c>
      <c r="R56">
        <v>2169.2669999999998</v>
      </c>
      <c r="S56">
        <v>0</v>
      </c>
      <c r="T56">
        <v>0</v>
      </c>
      <c r="U56">
        <v>357.62909999999999</v>
      </c>
      <c r="V56">
        <v>303331</v>
      </c>
      <c r="W56">
        <v>0</v>
      </c>
      <c r="X56">
        <v>1.1789999999999999E-3</v>
      </c>
      <c r="Y56">
        <v>0</v>
      </c>
      <c r="Z56">
        <v>0.14123569999999999</v>
      </c>
      <c r="AB56">
        <v>229</v>
      </c>
      <c r="AE56">
        <v>0</v>
      </c>
      <c r="AF56">
        <v>3.0961910000000001</v>
      </c>
      <c r="AG56">
        <v>10.30444</v>
      </c>
      <c r="AH56">
        <v>11.292960000000001</v>
      </c>
      <c r="AI56">
        <v>11.16194</v>
      </c>
      <c r="AJ56">
        <v>10.83727</v>
      </c>
      <c r="AK56">
        <v>10.95697</v>
      </c>
      <c r="AL56">
        <v>10.79776</v>
      </c>
      <c r="AM56">
        <v>9.907413</v>
      </c>
      <c r="AN56">
        <v>10.69449</v>
      </c>
      <c r="AO56">
        <v>10.80484</v>
      </c>
      <c r="AP56">
        <v>10.77106</v>
      </c>
      <c r="AQ56">
        <v>10.398569999999999</v>
      </c>
      <c r="AR56">
        <v>10.790660000000001</v>
      </c>
      <c r="AS56">
        <v>11.27111</v>
      </c>
      <c r="AT56">
        <v>10.27331</v>
      </c>
      <c r="AU56">
        <v>9.9937760000000004</v>
      </c>
      <c r="AV56">
        <v>10.57263</v>
      </c>
      <c r="AW56">
        <v>9.9497429999999998</v>
      </c>
      <c r="AX56">
        <v>9.4235039999999994</v>
      </c>
      <c r="AY56">
        <v>10.04857</v>
      </c>
      <c r="BA56">
        <v>0</v>
      </c>
      <c r="BB56" t="str">
        <f t="shared" si="2"/>
        <v/>
      </c>
      <c r="BC56">
        <v>2319541</v>
      </c>
      <c r="BD56">
        <v>2532.1439999999998</v>
      </c>
      <c r="BE56">
        <v>72664751</v>
      </c>
      <c r="BF56">
        <v>28.05602</v>
      </c>
      <c r="BG56">
        <v>2546.9331000000002</v>
      </c>
      <c r="BH56">
        <v>28.05601841</v>
      </c>
    </row>
    <row r="57" spans="1:60">
      <c r="A57">
        <v>16700</v>
      </c>
      <c r="B57" t="s">
        <v>351</v>
      </c>
      <c r="C57">
        <v>34801.839999999997</v>
      </c>
      <c r="D57">
        <v>407920</v>
      </c>
      <c r="E57">
        <v>647194</v>
      </c>
      <c r="F57">
        <v>3.2503400000000002E-2</v>
      </c>
      <c r="G57">
        <f t="shared" si="0"/>
        <v>32503.4</v>
      </c>
      <c r="H57" s="51">
        <f t="shared" si="1"/>
        <v>21036005459.600002</v>
      </c>
      <c r="I57">
        <v>237.03659999999999</v>
      </c>
      <c r="J57">
        <v>10.45743</v>
      </c>
      <c r="K57">
        <v>-3.4264109999999999</v>
      </c>
      <c r="L57">
        <v>7.170134</v>
      </c>
      <c r="M57">
        <v>-1.465395</v>
      </c>
      <c r="N57">
        <v>13.3804</v>
      </c>
      <c r="O57">
        <v>7.9359999999999999E-4</v>
      </c>
      <c r="P57">
        <v>0</v>
      </c>
      <c r="Q57">
        <v>890.57989999999995</v>
      </c>
      <c r="R57">
        <v>1300.019</v>
      </c>
      <c r="S57">
        <v>0</v>
      </c>
      <c r="T57">
        <v>0</v>
      </c>
      <c r="U57">
        <v>513.83799999999997</v>
      </c>
      <c r="V57">
        <v>647194</v>
      </c>
      <c r="W57">
        <v>0</v>
      </c>
      <c r="X57">
        <v>7.9390000000000005E-4</v>
      </c>
      <c r="Y57">
        <v>0</v>
      </c>
      <c r="Z57">
        <v>0.19832</v>
      </c>
      <c r="AB57">
        <v>188</v>
      </c>
      <c r="AE57">
        <v>0</v>
      </c>
      <c r="AF57">
        <v>2.1677580000000001</v>
      </c>
      <c r="AG57">
        <v>10.81305</v>
      </c>
      <c r="AH57">
        <v>10.51807</v>
      </c>
      <c r="AJ57">
        <v>10.52754</v>
      </c>
      <c r="AK57">
        <v>10.82052</v>
      </c>
      <c r="AL57">
        <v>10.834759999999999</v>
      </c>
      <c r="AM57">
        <v>10.0327</v>
      </c>
      <c r="AN57">
        <v>10.51878</v>
      </c>
      <c r="AO57">
        <v>10.83778</v>
      </c>
      <c r="AP57">
        <v>10.85482</v>
      </c>
      <c r="AQ57">
        <v>10.47526</v>
      </c>
      <c r="AR57">
        <v>11.037699999999999</v>
      </c>
      <c r="AS57">
        <v>11.30508</v>
      </c>
      <c r="AT57">
        <v>10.00892</v>
      </c>
      <c r="AU57">
        <v>10.090669999999999</v>
      </c>
      <c r="AV57">
        <v>10.707990000000001</v>
      </c>
      <c r="AW57">
        <v>9.7025170000000003</v>
      </c>
      <c r="AX57">
        <v>9.5945470000000004</v>
      </c>
      <c r="AY57">
        <v>10.06335</v>
      </c>
      <c r="BA57">
        <v>0</v>
      </c>
      <c r="BB57" t="str">
        <f t="shared" si="2"/>
        <v/>
      </c>
      <c r="BC57">
        <v>2720358</v>
      </c>
      <c r="BD57">
        <v>2590.9540000000002</v>
      </c>
      <c r="BE57">
        <v>328802145</v>
      </c>
      <c r="BF57">
        <v>126.9512</v>
      </c>
      <c r="BG57">
        <v>3163.0513000000001</v>
      </c>
      <c r="BH57">
        <v>126.9512233</v>
      </c>
    </row>
    <row r="58" spans="1:60">
      <c r="A58">
        <v>16740</v>
      </c>
      <c r="B58" t="s">
        <v>285</v>
      </c>
      <c r="C58">
        <v>44341.88</v>
      </c>
      <c r="D58">
        <v>1111511</v>
      </c>
      <c r="E58">
        <v>1706469</v>
      </c>
      <c r="F58">
        <v>6.4893099999999995E-2</v>
      </c>
      <c r="G58">
        <f t="shared" si="0"/>
        <v>64893.1</v>
      </c>
      <c r="H58" s="51">
        <f t="shared" si="1"/>
        <v>110738063463.89999</v>
      </c>
      <c r="I58">
        <v>700.46709999999996</v>
      </c>
      <c r="J58">
        <v>10.69969</v>
      </c>
      <c r="K58">
        <v>-2.7350140000000001</v>
      </c>
      <c r="L58">
        <v>6.542332</v>
      </c>
      <c r="M58">
        <v>-1.325968</v>
      </c>
      <c r="N58">
        <v>14.34994</v>
      </c>
      <c r="O58">
        <v>5.1979999999999995E-4</v>
      </c>
      <c r="P58" s="14">
        <v>5.6300000000000003E-6</v>
      </c>
      <c r="Q58">
        <v>66.381420000000006</v>
      </c>
      <c r="R58">
        <v>693.90279999999996</v>
      </c>
      <c r="S58">
        <v>1</v>
      </c>
      <c r="T58">
        <v>9.6</v>
      </c>
      <c r="U58">
        <v>887.22199999999998</v>
      </c>
      <c r="V58">
        <v>1706469</v>
      </c>
      <c r="W58" s="14">
        <v>5.6300000000000003E-6</v>
      </c>
      <c r="X58">
        <v>5.1990000000000001E-4</v>
      </c>
      <c r="Y58">
        <v>3.0985000000000001E-3</v>
      </c>
      <c r="Z58">
        <v>0.28636070000000002</v>
      </c>
      <c r="AB58">
        <v>1084</v>
      </c>
      <c r="AE58">
        <v>1.37051E-2</v>
      </c>
      <c r="AF58">
        <v>1.266615</v>
      </c>
      <c r="AG58">
        <v>10.5839</v>
      </c>
      <c r="AH58">
        <v>10.85675</v>
      </c>
      <c r="AI58">
        <v>11.51787</v>
      </c>
      <c r="AJ58">
        <v>10.65357</v>
      </c>
      <c r="AK58">
        <v>10.69496</v>
      </c>
      <c r="AL58">
        <v>10.945589999999999</v>
      </c>
      <c r="AM58">
        <v>10.026350000000001</v>
      </c>
      <c r="AN58">
        <v>10.59146</v>
      </c>
      <c r="AO58">
        <v>11.113960000000001</v>
      </c>
      <c r="AP58">
        <v>11.29501</v>
      </c>
      <c r="AQ58">
        <v>10.66267</v>
      </c>
      <c r="AR58">
        <v>11.04204</v>
      </c>
      <c r="AS58">
        <v>11.5044</v>
      </c>
      <c r="AT58">
        <v>10.361610000000001</v>
      </c>
      <c r="AU58">
        <v>10.23672</v>
      </c>
      <c r="AV58">
        <v>10.70645</v>
      </c>
      <c r="AW58">
        <v>10.496090000000001</v>
      </c>
      <c r="AX58">
        <v>9.5582270000000005</v>
      </c>
      <c r="AY58">
        <v>10.12243</v>
      </c>
      <c r="AZ58">
        <v>10.66052</v>
      </c>
      <c r="BA58">
        <v>347660</v>
      </c>
      <c r="BB58">
        <f t="shared" si="2"/>
        <v>36214.583333333336</v>
      </c>
      <c r="BC58" s="14">
        <v>12100000</v>
      </c>
      <c r="BD58">
        <v>3098.2669999999998</v>
      </c>
      <c r="BE58">
        <v>122903569</v>
      </c>
      <c r="BF58">
        <v>47.453330000000001</v>
      </c>
      <c r="BG58">
        <v>3146.8861999999999</v>
      </c>
      <c r="BH58">
        <v>398.02522210000001</v>
      </c>
    </row>
    <row r="59" spans="1:60">
      <c r="A59">
        <v>16820</v>
      </c>
      <c r="B59" t="s">
        <v>973</v>
      </c>
      <c r="C59">
        <v>38672.86</v>
      </c>
      <c r="D59">
        <v>136767</v>
      </c>
      <c r="E59">
        <v>195012</v>
      </c>
      <c r="F59">
        <v>3.3269699999999999E-2</v>
      </c>
      <c r="G59">
        <f t="shared" si="0"/>
        <v>33269.699999999997</v>
      </c>
      <c r="H59" s="51">
        <f t="shared" si="1"/>
        <v>6487990736.3999996</v>
      </c>
      <c r="I59">
        <v>46.724559999999997</v>
      </c>
      <c r="J59">
        <v>10.562889999999999</v>
      </c>
      <c r="K59">
        <v>-3.4031069999999999</v>
      </c>
      <c r="L59">
        <v>7.8160889999999998</v>
      </c>
      <c r="M59">
        <v>-1.0437590000000001</v>
      </c>
      <c r="N59">
        <v>12.180820000000001</v>
      </c>
      <c r="O59">
        <v>8.4259999999999999E-4</v>
      </c>
      <c r="P59">
        <v>0</v>
      </c>
      <c r="Q59">
        <v>1372.1690000000001</v>
      </c>
      <c r="R59">
        <v>2480.1860000000001</v>
      </c>
      <c r="S59">
        <v>0</v>
      </c>
      <c r="T59">
        <v>0</v>
      </c>
      <c r="U59">
        <v>164.38550000000001</v>
      </c>
      <c r="V59">
        <v>195012</v>
      </c>
      <c r="W59">
        <v>0</v>
      </c>
      <c r="X59">
        <v>8.43E-4</v>
      </c>
      <c r="Y59">
        <v>0</v>
      </c>
      <c r="Z59">
        <v>0.17940049999999999</v>
      </c>
      <c r="AB59">
        <v>0</v>
      </c>
      <c r="AE59">
        <v>0</v>
      </c>
      <c r="AF59">
        <v>3.5181819999999999</v>
      </c>
      <c r="AG59">
        <v>10.188000000000001</v>
      </c>
      <c r="AH59">
        <v>10.881550000000001</v>
      </c>
      <c r="AI59">
        <v>11.28551</v>
      </c>
      <c r="AJ59">
        <v>10.439959999999999</v>
      </c>
      <c r="AK59">
        <v>10.88247</v>
      </c>
      <c r="AL59">
        <v>10.83825</v>
      </c>
      <c r="AM59">
        <v>10.06902</v>
      </c>
      <c r="AN59">
        <v>10.270569999999999</v>
      </c>
      <c r="AO59">
        <v>10.92684</v>
      </c>
      <c r="AP59">
        <v>11.182650000000001</v>
      </c>
      <c r="AQ59">
        <v>10.52735</v>
      </c>
      <c r="AR59">
        <v>11.062620000000001</v>
      </c>
      <c r="AS59">
        <v>11.032299999999999</v>
      </c>
      <c r="AT59">
        <v>10.14653</v>
      </c>
      <c r="AU59">
        <v>10.415990000000001</v>
      </c>
      <c r="AV59">
        <v>10.76614</v>
      </c>
      <c r="AW59">
        <v>10.232469999999999</v>
      </c>
      <c r="AX59">
        <v>9.6359720000000006</v>
      </c>
      <c r="AY59">
        <v>10.445690000000001</v>
      </c>
      <c r="AZ59">
        <v>10.57452</v>
      </c>
      <c r="BA59">
        <v>0</v>
      </c>
      <c r="BB59" t="str">
        <f t="shared" si="2"/>
        <v/>
      </c>
      <c r="BD59">
        <v>916.30430000000001</v>
      </c>
      <c r="BE59">
        <v>27021573</v>
      </c>
      <c r="BF59">
        <v>10.43309</v>
      </c>
      <c r="BG59">
        <v>1658.4602</v>
      </c>
      <c r="BH59">
        <v>10.43308811</v>
      </c>
    </row>
    <row r="60" spans="1:60">
      <c r="A60">
        <v>16860</v>
      </c>
      <c r="B60" t="s">
        <v>352</v>
      </c>
      <c r="C60">
        <v>33600.61</v>
      </c>
      <c r="D60">
        <v>321197</v>
      </c>
      <c r="E60">
        <v>520089</v>
      </c>
      <c r="F60">
        <v>3.4938200000000003E-2</v>
      </c>
      <c r="G60">
        <f t="shared" si="0"/>
        <v>34938.200000000004</v>
      </c>
      <c r="H60" s="51">
        <f t="shared" si="1"/>
        <v>18170973499.800003</v>
      </c>
      <c r="I60">
        <v>303.80029999999999</v>
      </c>
      <c r="J60">
        <v>10.4223</v>
      </c>
      <c r="K60">
        <v>-3.3541729999999998</v>
      </c>
      <c r="L60">
        <v>7.1195500000000003</v>
      </c>
      <c r="M60">
        <v>-1.6353</v>
      </c>
      <c r="N60">
        <v>13.161759999999999</v>
      </c>
      <c r="O60">
        <v>1.0413E-3</v>
      </c>
      <c r="P60">
        <v>0</v>
      </c>
      <c r="Q60">
        <v>607.8895</v>
      </c>
      <c r="R60">
        <v>1235.894</v>
      </c>
      <c r="S60">
        <v>0</v>
      </c>
      <c r="T60">
        <v>0</v>
      </c>
      <c r="U60">
        <v>541.82899999999995</v>
      </c>
      <c r="V60">
        <v>520089</v>
      </c>
      <c r="W60">
        <v>0</v>
      </c>
      <c r="X60">
        <v>1.0418000000000001E-3</v>
      </c>
      <c r="Y60">
        <v>0</v>
      </c>
      <c r="Z60">
        <v>0.25931929999999997</v>
      </c>
      <c r="AB60">
        <v>350</v>
      </c>
      <c r="AE60">
        <v>0</v>
      </c>
      <c r="AF60">
        <v>1.783504</v>
      </c>
      <c r="AG60">
        <v>9.7584619999999997</v>
      </c>
      <c r="AH60">
        <v>11.290940000000001</v>
      </c>
      <c r="AJ60">
        <v>10.70473</v>
      </c>
      <c r="AK60">
        <v>10.58935</v>
      </c>
      <c r="AL60">
        <v>10.73948</v>
      </c>
      <c r="AM60">
        <v>10.01188</v>
      </c>
      <c r="AN60">
        <v>10.372669999999999</v>
      </c>
      <c r="AO60">
        <v>10.587160000000001</v>
      </c>
      <c r="AP60">
        <v>10.93374</v>
      </c>
      <c r="AQ60">
        <v>10.68927</v>
      </c>
      <c r="AR60">
        <v>10.77913</v>
      </c>
      <c r="AS60">
        <v>11.09567</v>
      </c>
      <c r="AT60">
        <v>9.9216490000000004</v>
      </c>
      <c r="AU60">
        <v>10.045579999999999</v>
      </c>
      <c r="AV60">
        <v>10.62365</v>
      </c>
      <c r="AW60">
        <v>9.9272410000000004</v>
      </c>
      <c r="AX60">
        <v>9.4327310000000004</v>
      </c>
      <c r="AY60">
        <v>10.041550000000001</v>
      </c>
      <c r="AZ60">
        <v>9.4812150000000006</v>
      </c>
      <c r="BA60">
        <v>0</v>
      </c>
      <c r="BB60" t="str">
        <f t="shared" si="2"/>
        <v/>
      </c>
      <c r="BC60">
        <v>1972586</v>
      </c>
      <c r="BD60">
        <v>2089.4279999999999</v>
      </c>
      <c r="BE60">
        <v>306969236</v>
      </c>
      <c r="BF60">
        <v>118.5215</v>
      </c>
      <c r="BG60">
        <v>2137.8108000000002</v>
      </c>
      <c r="BH60">
        <v>118.5214897</v>
      </c>
    </row>
    <row r="61" spans="1:60">
      <c r="A61">
        <v>16940</v>
      </c>
      <c r="B61" t="s">
        <v>353</v>
      </c>
      <c r="C61">
        <v>33411.25</v>
      </c>
      <c r="D61">
        <v>63480</v>
      </c>
      <c r="E61">
        <v>87759</v>
      </c>
      <c r="F61">
        <v>3.4366800000000003E-2</v>
      </c>
      <c r="G61">
        <f t="shared" si="0"/>
        <v>34366.800000000003</v>
      </c>
      <c r="H61" s="51">
        <f t="shared" si="1"/>
        <v>3015996001.2000003</v>
      </c>
      <c r="I61">
        <v>33.814390000000003</v>
      </c>
      <c r="J61">
        <v>10.416650000000001</v>
      </c>
      <c r="K61">
        <v>-3.370663</v>
      </c>
      <c r="L61">
        <v>7.331124</v>
      </c>
      <c r="M61">
        <v>-1.486213</v>
      </c>
      <c r="N61">
        <v>11.382350000000001</v>
      </c>
      <c r="O61">
        <v>2.3481999999999999E-3</v>
      </c>
      <c r="P61">
        <v>0</v>
      </c>
      <c r="Q61">
        <v>984.66949999999997</v>
      </c>
      <c r="R61">
        <v>1527.097</v>
      </c>
      <c r="S61">
        <v>0</v>
      </c>
      <c r="T61">
        <v>0</v>
      </c>
      <c r="U61">
        <v>206.3202</v>
      </c>
      <c r="V61">
        <v>87759</v>
      </c>
      <c r="W61">
        <v>0</v>
      </c>
      <c r="X61">
        <v>2.3509999999999998E-3</v>
      </c>
      <c r="Y61">
        <v>0</v>
      </c>
      <c r="Z61">
        <v>7.6811699999999997E-2</v>
      </c>
      <c r="AB61">
        <v>285</v>
      </c>
      <c r="AE61">
        <v>0</v>
      </c>
      <c r="AF61">
        <v>6.1015499999999996</v>
      </c>
      <c r="AJ61">
        <v>10.603669999999999</v>
      </c>
      <c r="AK61">
        <v>10.77666</v>
      </c>
      <c r="AL61">
        <v>10.68191</v>
      </c>
      <c r="AM61">
        <v>10.11219</v>
      </c>
      <c r="AN61">
        <v>10.42671</v>
      </c>
      <c r="AP61">
        <v>10.62989</v>
      </c>
      <c r="AQ61">
        <v>10.29186</v>
      </c>
      <c r="AR61">
        <v>10.72519</v>
      </c>
      <c r="AS61">
        <v>10.884180000000001</v>
      </c>
      <c r="AT61">
        <v>10.238009999999999</v>
      </c>
      <c r="AU61">
        <v>9.9878230000000006</v>
      </c>
      <c r="AV61">
        <v>10.625349999999999</v>
      </c>
      <c r="AW61">
        <v>10.21514</v>
      </c>
      <c r="AX61">
        <v>9.5437609999999999</v>
      </c>
      <c r="AY61">
        <v>10.150550000000001</v>
      </c>
      <c r="AZ61">
        <v>9.9348100000000006</v>
      </c>
      <c r="BA61">
        <v>0</v>
      </c>
      <c r="BB61" t="str">
        <f t="shared" si="2"/>
        <v/>
      </c>
      <c r="BC61">
        <v>382479</v>
      </c>
      <c r="BD61">
        <v>2686.0520000000001</v>
      </c>
      <c r="BE61">
        <v>54410039</v>
      </c>
      <c r="BF61">
        <v>21.007829999999998</v>
      </c>
      <c r="BG61">
        <v>2687.5450999999998</v>
      </c>
      <c r="BH61">
        <v>21.0078344</v>
      </c>
    </row>
    <row r="62" spans="1:60">
      <c r="A62">
        <v>16980</v>
      </c>
      <c r="B62" t="s">
        <v>287</v>
      </c>
      <c r="C62">
        <v>49692.34</v>
      </c>
      <c r="D62">
        <v>5777274</v>
      </c>
      <c r="E62">
        <v>9515636</v>
      </c>
      <c r="F62">
        <v>5.0117000000000002E-2</v>
      </c>
      <c r="G62">
        <f t="shared" ref="G62:G122" si="3">F62*1000000</f>
        <v>50117</v>
      </c>
      <c r="H62" s="51">
        <f t="shared" ref="H62:H122" si="4">+F62*E62*1000000</f>
        <v>476895129412</v>
      </c>
      <c r="I62">
        <v>2395.625</v>
      </c>
      <c r="J62">
        <v>10.813610000000001</v>
      </c>
      <c r="K62">
        <v>-2.993395</v>
      </c>
      <c r="L62">
        <v>8.1290270000000007</v>
      </c>
      <c r="M62">
        <v>-1.2851250000000001</v>
      </c>
      <c r="N62">
        <v>16.068449999999999</v>
      </c>
      <c r="O62">
        <v>3.412E-4</v>
      </c>
      <c r="P62">
        <v>7.2600000000000003E-5</v>
      </c>
      <c r="Q62">
        <v>1545.6679999999999</v>
      </c>
      <c r="R62">
        <v>3391.5</v>
      </c>
      <c r="S62">
        <v>1</v>
      </c>
      <c r="T62">
        <v>691.3</v>
      </c>
      <c r="U62">
        <v>3246.9160000000002</v>
      </c>
      <c r="V62">
        <v>9515636</v>
      </c>
      <c r="W62">
        <v>7.2600000000000003E-5</v>
      </c>
      <c r="X62">
        <v>3.412E-4</v>
      </c>
      <c r="Y62">
        <v>9.5853999999999995E-2</v>
      </c>
      <c r="Z62">
        <v>0.45020959999999999</v>
      </c>
      <c r="AB62">
        <v>2961</v>
      </c>
      <c r="AE62">
        <v>0.28856759999999998</v>
      </c>
      <c r="AF62">
        <v>1.3553519999999999</v>
      </c>
      <c r="AG62">
        <v>10.182550000000001</v>
      </c>
      <c r="AH62">
        <v>13.43144</v>
      </c>
      <c r="AI62">
        <v>11.63514</v>
      </c>
      <c r="AJ62">
        <v>11.040789999999999</v>
      </c>
      <c r="AK62">
        <v>10.8904</v>
      </c>
      <c r="AL62">
        <v>11.08197</v>
      </c>
      <c r="AM62">
        <v>10.129390000000001</v>
      </c>
      <c r="AN62">
        <v>10.667199999999999</v>
      </c>
      <c r="AO62">
        <v>11.20885</v>
      </c>
      <c r="AP62">
        <v>11.497909999999999</v>
      </c>
      <c r="AQ62">
        <v>10.879239999999999</v>
      </c>
      <c r="AR62">
        <v>11.25864</v>
      </c>
      <c r="AS62">
        <v>11.49498</v>
      </c>
      <c r="AT62">
        <v>10.33577</v>
      </c>
      <c r="AU62">
        <v>10.54546</v>
      </c>
      <c r="AV62">
        <v>10.673220000000001</v>
      </c>
      <c r="AW62">
        <v>10.445460000000001</v>
      </c>
      <c r="AX62">
        <v>9.7215030000000002</v>
      </c>
      <c r="AY62">
        <v>10.33539</v>
      </c>
      <c r="AZ62">
        <v>12.39669</v>
      </c>
      <c r="BA62" s="14">
        <v>41200000</v>
      </c>
      <c r="BB62">
        <f t="shared" ref="BB62:BB122" si="5">IF(T62&gt;0,BA62/T62,"")</f>
        <v>59597.85910603212</v>
      </c>
      <c r="BC62" s="14">
        <v>133000000</v>
      </c>
      <c r="BD62">
        <v>7212.0079999999998</v>
      </c>
      <c r="BE62">
        <v>1211863379</v>
      </c>
      <c r="BF62">
        <v>467.90309999999999</v>
      </c>
      <c r="BG62">
        <v>9578.5987000000005</v>
      </c>
      <c r="BH62">
        <v>467.90308640000001</v>
      </c>
    </row>
    <row r="63" spans="1:60">
      <c r="A63">
        <v>17020</v>
      </c>
      <c r="B63" t="s">
        <v>354</v>
      </c>
      <c r="C63">
        <v>30257.82</v>
      </c>
      <c r="D63">
        <v>108520</v>
      </c>
      <c r="E63">
        <v>219503</v>
      </c>
      <c r="F63">
        <v>2.3202400000000001E-2</v>
      </c>
      <c r="G63">
        <f t="shared" si="3"/>
        <v>23202.400000000001</v>
      </c>
      <c r="H63" s="51">
        <f t="shared" si="4"/>
        <v>5092996407.1999998</v>
      </c>
      <c r="I63">
        <v>89.157259999999994</v>
      </c>
      <c r="J63">
        <v>10.31751</v>
      </c>
      <c r="K63">
        <v>-3.7634989999999999</v>
      </c>
      <c r="L63">
        <v>7.2328989999999997</v>
      </c>
      <c r="M63">
        <v>-1.5622560000000001</v>
      </c>
      <c r="N63">
        <v>12.29912</v>
      </c>
      <c r="O63">
        <v>1.0517E-3</v>
      </c>
      <c r="P63">
        <v>0</v>
      </c>
      <c r="Q63">
        <v>602.65419999999995</v>
      </c>
      <c r="R63">
        <v>1384.23</v>
      </c>
      <c r="S63">
        <v>0</v>
      </c>
      <c r="T63">
        <v>0</v>
      </c>
      <c r="U63">
        <v>230.9819</v>
      </c>
      <c r="V63">
        <v>219503</v>
      </c>
      <c r="W63">
        <v>0</v>
      </c>
      <c r="X63">
        <v>1.0522999999999999E-3</v>
      </c>
      <c r="Y63">
        <v>0</v>
      </c>
      <c r="Z63">
        <v>0.1408865</v>
      </c>
      <c r="AB63">
        <v>379</v>
      </c>
      <c r="AE63">
        <v>0</v>
      </c>
      <c r="AF63">
        <v>2.5907239999999998</v>
      </c>
      <c r="AG63">
        <v>10.749779999999999</v>
      </c>
      <c r="AI63">
        <v>10.96766</v>
      </c>
      <c r="AJ63">
        <v>10.60186</v>
      </c>
      <c r="AK63">
        <v>10.55284</v>
      </c>
      <c r="AL63">
        <v>10.63602</v>
      </c>
      <c r="AM63">
        <v>10.095370000000001</v>
      </c>
      <c r="AN63">
        <v>10.41019</v>
      </c>
      <c r="AO63">
        <v>10.783620000000001</v>
      </c>
      <c r="AP63">
        <v>10.67709</v>
      </c>
      <c r="AQ63">
        <v>10.08323</v>
      </c>
      <c r="AR63">
        <v>10.531560000000001</v>
      </c>
      <c r="AS63">
        <v>10.82916</v>
      </c>
      <c r="AT63">
        <v>9.9918420000000001</v>
      </c>
      <c r="AU63">
        <v>10.0318</v>
      </c>
      <c r="AV63">
        <v>10.51657</v>
      </c>
      <c r="AW63">
        <v>9.7236969999999996</v>
      </c>
      <c r="AX63">
        <v>9.4780730000000002</v>
      </c>
      <c r="AY63">
        <v>9.9897790000000004</v>
      </c>
      <c r="BA63">
        <v>0</v>
      </c>
      <c r="BB63" t="str">
        <f t="shared" si="5"/>
        <v/>
      </c>
      <c r="BC63">
        <v>1009113</v>
      </c>
      <c r="BD63">
        <v>1639.4880000000001</v>
      </c>
      <c r="BE63">
        <v>64548104</v>
      </c>
      <c r="BF63">
        <v>24.922160000000002</v>
      </c>
      <c r="BG63">
        <v>1677.1605</v>
      </c>
      <c r="BH63">
        <v>24.922163350000002</v>
      </c>
    </row>
    <row r="64" spans="1:60">
      <c r="A64">
        <v>17140</v>
      </c>
      <c r="B64" t="s">
        <v>355</v>
      </c>
      <c r="C64">
        <v>42040.34</v>
      </c>
      <c r="D64">
        <v>1309385</v>
      </c>
      <c r="E64">
        <v>2158643</v>
      </c>
      <c r="F64">
        <v>4.1543700000000003E-2</v>
      </c>
      <c r="G64">
        <f t="shared" si="3"/>
        <v>41543.700000000004</v>
      </c>
      <c r="H64" s="51">
        <f t="shared" si="4"/>
        <v>89678017199.100006</v>
      </c>
      <c r="I64">
        <v>771.69349999999997</v>
      </c>
      <c r="J64">
        <v>10.64639</v>
      </c>
      <c r="K64">
        <v>-3.1810100000000001</v>
      </c>
      <c r="L64">
        <v>7.7541399999999996</v>
      </c>
      <c r="M64">
        <v>-1.4301889999999999</v>
      </c>
      <c r="N64">
        <v>14.584989999999999</v>
      </c>
      <c r="O64">
        <v>5.5900000000000004E-4</v>
      </c>
      <c r="P64">
        <v>0</v>
      </c>
      <c r="Q64">
        <v>1021.645</v>
      </c>
      <c r="R64">
        <v>2331.203</v>
      </c>
      <c r="S64">
        <v>0</v>
      </c>
      <c r="T64">
        <v>0</v>
      </c>
      <c r="U64">
        <v>1206.9960000000001</v>
      </c>
      <c r="V64">
        <v>2158643</v>
      </c>
      <c r="W64">
        <v>0</v>
      </c>
      <c r="X64">
        <v>5.5909999999999998E-4</v>
      </c>
      <c r="Y64">
        <v>0</v>
      </c>
      <c r="Z64">
        <v>0.27442830000000001</v>
      </c>
      <c r="AB64">
        <v>1345</v>
      </c>
      <c r="AE64">
        <v>0</v>
      </c>
      <c r="AF64">
        <v>1.5640879999999999</v>
      </c>
      <c r="AG64">
        <v>11.011150000000001</v>
      </c>
      <c r="AH64">
        <v>10.827299999999999</v>
      </c>
      <c r="AJ64">
        <v>10.741630000000001</v>
      </c>
      <c r="AK64">
        <v>10.875209999999999</v>
      </c>
      <c r="AL64">
        <v>11.021879999999999</v>
      </c>
      <c r="AM64">
        <v>10.03891</v>
      </c>
      <c r="AN64">
        <v>10.74455</v>
      </c>
      <c r="AO64">
        <v>11.08187</v>
      </c>
      <c r="AP64">
        <v>11.046720000000001</v>
      </c>
      <c r="AQ64">
        <v>10.50384</v>
      </c>
      <c r="AR64">
        <v>11.031929999999999</v>
      </c>
      <c r="AS64">
        <v>11.45552</v>
      </c>
      <c r="AT64">
        <v>10.21515</v>
      </c>
      <c r="AU64">
        <v>10.22348</v>
      </c>
      <c r="AV64">
        <v>10.634829999999999</v>
      </c>
      <c r="AW64">
        <v>10.45215</v>
      </c>
      <c r="AX64">
        <v>9.5047940000000004</v>
      </c>
      <c r="AY64">
        <v>10.09679</v>
      </c>
      <c r="AZ64">
        <v>10.95518</v>
      </c>
      <c r="BA64">
        <v>0</v>
      </c>
      <c r="BB64" t="str">
        <f t="shared" si="5"/>
        <v/>
      </c>
      <c r="BC64" s="14">
        <v>14000000</v>
      </c>
      <c r="BD64">
        <v>4398.22</v>
      </c>
      <c r="BE64">
        <v>256997522</v>
      </c>
      <c r="BF64">
        <v>99.227289999999996</v>
      </c>
      <c r="BG64">
        <v>4465.4045999999998</v>
      </c>
      <c r="BH64">
        <v>99.227302210000005</v>
      </c>
    </row>
    <row r="65" spans="1:60">
      <c r="A65">
        <v>17300</v>
      </c>
      <c r="B65" t="s">
        <v>356</v>
      </c>
      <c r="C65">
        <v>28013.72</v>
      </c>
      <c r="D65">
        <v>147168</v>
      </c>
      <c r="E65">
        <v>261757</v>
      </c>
      <c r="F65">
        <v>1.8983300000000002E-2</v>
      </c>
      <c r="G65">
        <f t="shared" si="3"/>
        <v>18983.300000000003</v>
      </c>
      <c r="H65" s="51">
        <f t="shared" si="4"/>
        <v>4969011658.1000004</v>
      </c>
      <c r="I65">
        <v>98.550060000000002</v>
      </c>
      <c r="J65">
        <v>10.240449999999999</v>
      </c>
      <c r="K65">
        <v>-3.9641980000000001</v>
      </c>
      <c r="L65">
        <v>6.1585700000000001</v>
      </c>
      <c r="M65">
        <v>-1.9398679999999999</v>
      </c>
      <c r="N65">
        <v>12.47517</v>
      </c>
      <c r="O65">
        <v>1.2254E-3</v>
      </c>
      <c r="P65">
        <v>0</v>
      </c>
      <c r="Q65">
        <v>496.90480000000002</v>
      </c>
      <c r="R65">
        <v>472.75170000000003</v>
      </c>
      <c r="S65">
        <v>0</v>
      </c>
      <c r="T65">
        <v>0</v>
      </c>
      <c r="U65">
        <v>320.9461</v>
      </c>
      <c r="V65">
        <v>261757</v>
      </c>
      <c r="W65">
        <v>0</v>
      </c>
      <c r="X65">
        <v>1.2260999999999999E-3</v>
      </c>
      <c r="Y65">
        <v>0</v>
      </c>
      <c r="Z65">
        <v>0.1484355</v>
      </c>
      <c r="AB65">
        <v>134</v>
      </c>
      <c r="AE65">
        <v>0</v>
      </c>
      <c r="AF65">
        <v>3.2566809999999999</v>
      </c>
      <c r="AJ65">
        <v>10.427720000000001</v>
      </c>
      <c r="AK65">
        <v>10.57246</v>
      </c>
      <c r="AL65">
        <v>10.54508</v>
      </c>
      <c r="AM65">
        <v>10.014699999999999</v>
      </c>
      <c r="AN65">
        <v>10.144970000000001</v>
      </c>
      <c r="AO65">
        <v>10.512869999999999</v>
      </c>
      <c r="AP65">
        <v>10.576589999999999</v>
      </c>
      <c r="AQ65">
        <v>10.620810000000001</v>
      </c>
      <c r="AR65">
        <v>10.63128</v>
      </c>
      <c r="AS65">
        <v>10.95618</v>
      </c>
      <c r="AT65">
        <v>10.15907</v>
      </c>
      <c r="AU65">
        <v>9.9344490000000008</v>
      </c>
      <c r="AV65">
        <v>10.373089999999999</v>
      </c>
      <c r="AW65">
        <v>9.4308300000000003</v>
      </c>
      <c r="AX65">
        <v>9.3171230000000005</v>
      </c>
      <c r="AY65">
        <v>9.7168279999999996</v>
      </c>
      <c r="BA65">
        <v>0</v>
      </c>
      <c r="BB65" t="str">
        <f t="shared" si="5"/>
        <v/>
      </c>
      <c r="BC65">
        <v>843433</v>
      </c>
      <c r="BD65">
        <v>2162.192</v>
      </c>
      <c r="BE65">
        <v>170223646</v>
      </c>
      <c r="BF65">
        <v>65.72372</v>
      </c>
      <c r="BG65">
        <v>2241.7042999999999</v>
      </c>
      <c r="BH65">
        <v>65.723719959999997</v>
      </c>
    </row>
    <row r="66" spans="1:60">
      <c r="A66">
        <v>17420</v>
      </c>
      <c r="B66" t="s">
        <v>1208</v>
      </c>
      <c r="C66">
        <v>31243.040000000001</v>
      </c>
      <c r="D66">
        <v>54125</v>
      </c>
      <c r="E66">
        <v>112414</v>
      </c>
      <c r="F66">
        <v>2.8448399999999999E-2</v>
      </c>
      <c r="G66">
        <f t="shared" si="3"/>
        <v>28448.399999999998</v>
      </c>
      <c r="H66" s="51">
        <f t="shared" si="4"/>
        <v>3197998437.5999999</v>
      </c>
      <c r="I66">
        <v>48.494669999999999</v>
      </c>
      <c r="J66">
        <v>10.349550000000001</v>
      </c>
      <c r="K66">
        <v>-3.559663</v>
      </c>
      <c r="L66">
        <v>6.9340320000000002</v>
      </c>
      <c r="M66">
        <v>-1.969733</v>
      </c>
      <c r="N66">
        <v>11.62994</v>
      </c>
      <c r="O66">
        <v>1.4009000000000001E-3</v>
      </c>
      <c r="P66">
        <v>0</v>
      </c>
      <c r="Q66">
        <v>586.99239999999998</v>
      </c>
      <c r="R66">
        <v>1026.625</v>
      </c>
      <c r="S66">
        <v>0</v>
      </c>
      <c r="T66">
        <v>0</v>
      </c>
      <c r="U66">
        <v>157.59649999999999</v>
      </c>
      <c r="V66">
        <v>112414</v>
      </c>
      <c r="W66">
        <v>0</v>
      </c>
      <c r="X66">
        <v>1.4019E-3</v>
      </c>
      <c r="Y66">
        <v>0</v>
      </c>
      <c r="Z66">
        <v>0.2063383</v>
      </c>
      <c r="AE66">
        <v>0</v>
      </c>
      <c r="AF66">
        <v>3.2497699999999998</v>
      </c>
      <c r="AJ66">
        <v>10.502280000000001</v>
      </c>
      <c r="AK66">
        <v>10.54386</v>
      </c>
      <c r="AL66">
        <v>10.520770000000001</v>
      </c>
      <c r="AM66">
        <v>10.00943</v>
      </c>
      <c r="AN66">
        <v>10.531499999999999</v>
      </c>
      <c r="AO66">
        <v>10.418810000000001</v>
      </c>
      <c r="AP66">
        <v>10.39648</v>
      </c>
      <c r="AQ66">
        <v>10.237170000000001</v>
      </c>
      <c r="AR66">
        <v>10.24811</v>
      </c>
      <c r="AT66">
        <v>10.079079999999999</v>
      </c>
      <c r="AV66">
        <v>10.451779999999999</v>
      </c>
      <c r="AW66">
        <v>9.8895400000000002</v>
      </c>
      <c r="AX66">
        <v>9.3307219999999997</v>
      </c>
      <c r="AY66">
        <v>9.9100330000000003</v>
      </c>
      <c r="BB66" t="str">
        <f t="shared" si="5"/>
        <v/>
      </c>
      <c r="BD66">
        <v>763.77739999999994</v>
      </c>
      <c r="BE66">
        <v>67853682</v>
      </c>
      <c r="BF66">
        <v>26.198450000000001</v>
      </c>
      <c r="BG66">
        <v>773.78617999999994</v>
      </c>
      <c r="BH66">
        <v>26.1984542</v>
      </c>
    </row>
    <row r="67" spans="1:60">
      <c r="A67">
        <v>17460</v>
      </c>
      <c r="B67" t="s">
        <v>289</v>
      </c>
      <c r="C67">
        <v>41348.39</v>
      </c>
      <c r="D67">
        <v>1316713</v>
      </c>
      <c r="E67">
        <v>2094051</v>
      </c>
      <c r="F67">
        <v>4.47959E-2</v>
      </c>
      <c r="G67">
        <f t="shared" si="3"/>
        <v>44795.9</v>
      </c>
      <c r="H67" s="51">
        <f t="shared" si="4"/>
        <v>93804899190.900009</v>
      </c>
      <c r="I67">
        <v>716.69780000000003</v>
      </c>
      <c r="J67">
        <v>10.62979</v>
      </c>
      <c r="K67">
        <v>-3.1056379999999999</v>
      </c>
      <c r="L67">
        <v>7.7771939999999997</v>
      </c>
      <c r="M67">
        <v>-1.3935839999999999</v>
      </c>
      <c r="N67">
        <v>14.55461</v>
      </c>
      <c r="O67">
        <v>4.392E-4</v>
      </c>
      <c r="P67">
        <v>1.6500000000000001E-5</v>
      </c>
      <c r="Q67">
        <v>1137.1199999999999</v>
      </c>
      <c r="R67">
        <v>2385.5729999999999</v>
      </c>
      <c r="S67">
        <v>1</v>
      </c>
      <c r="T67">
        <v>34.5</v>
      </c>
      <c r="U67">
        <v>919.82249999999999</v>
      </c>
      <c r="V67">
        <v>2094051</v>
      </c>
      <c r="W67">
        <v>1.6500000000000001E-5</v>
      </c>
      <c r="X67">
        <v>4.393E-4</v>
      </c>
      <c r="Y67">
        <v>1.7212100000000001E-2</v>
      </c>
      <c r="Z67">
        <v>0.45890049999999999</v>
      </c>
      <c r="AB67">
        <v>2368</v>
      </c>
      <c r="AE67">
        <v>4.8137399999999997E-2</v>
      </c>
      <c r="AF67">
        <v>1.2834179999999999</v>
      </c>
      <c r="AG67">
        <v>9.8723050000000008</v>
      </c>
      <c r="AH67">
        <v>11.81387</v>
      </c>
      <c r="AI67">
        <v>11.132949999999999</v>
      </c>
      <c r="AJ67">
        <v>10.846030000000001</v>
      </c>
      <c r="AK67">
        <v>10.776859999999999</v>
      </c>
      <c r="AL67">
        <v>10.885020000000001</v>
      </c>
      <c r="AM67">
        <v>10.005990000000001</v>
      </c>
      <c r="AN67">
        <v>10.57789</v>
      </c>
      <c r="AO67">
        <v>10.965780000000001</v>
      </c>
      <c r="AP67">
        <v>11.075950000000001</v>
      </c>
      <c r="AQ67">
        <v>10.66639</v>
      </c>
      <c r="AR67">
        <v>10.98583</v>
      </c>
      <c r="AS67">
        <v>11.28797</v>
      </c>
      <c r="AT67">
        <v>10.23034</v>
      </c>
      <c r="AU67">
        <v>10.25319</v>
      </c>
      <c r="AV67">
        <v>10.61604</v>
      </c>
      <c r="AW67">
        <v>10.84681</v>
      </c>
      <c r="AX67">
        <v>9.4370790000000007</v>
      </c>
      <c r="AY67">
        <v>10.10805</v>
      </c>
      <c r="AZ67">
        <v>9.8641529999999999</v>
      </c>
      <c r="BA67">
        <v>1969967</v>
      </c>
      <c r="BB67">
        <f t="shared" si="5"/>
        <v>57100.492753623192</v>
      </c>
      <c r="BC67" s="14">
        <v>27000000</v>
      </c>
      <c r="BD67">
        <v>2004.405</v>
      </c>
      <c r="BE67">
        <v>327238271</v>
      </c>
      <c r="BF67">
        <v>126.34739999999999</v>
      </c>
      <c r="BG67">
        <v>3979.4324000000001</v>
      </c>
      <c r="BH67">
        <v>126.3474082</v>
      </c>
    </row>
    <row r="68" spans="1:60">
      <c r="A68">
        <v>17660</v>
      </c>
      <c r="B68" t="s">
        <v>1209</v>
      </c>
      <c r="C68">
        <v>30889.1</v>
      </c>
      <c r="D68">
        <v>79741</v>
      </c>
      <c r="E68">
        <v>136998</v>
      </c>
      <c r="F68">
        <v>2.6212099999999999E-2</v>
      </c>
      <c r="G68">
        <f t="shared" si="3"/>
        <v>26212.1</v>
      </c>
      <c r="H68" s="51">
        <f t="shared" si="4"/>
        <v>3591005275.7999997</v>
      </c>
      <c r="I68">
        <v>44.172069999999998</v>
      </c>
      <c r="J68">
        <v>10.33816</v>
      </c>
      <c r="K68">
        <v>-3.6415359999999999</v>
      </c>
      <c r="L68">
        <v>7.5012040000000004</v>
      </c>
      <c r="M68">
        <v>-1.6818679999999999</v>
      </c>
      <c r="N68">
        <v>11.827719999999999</v>
      </c>
      <c r="O68">
        <v>1.1054999999999999E-3</v>
      </c>
      <c r="P68">
        <v>0</v>
      </c>
      <c r="Q68">
        <v>978.33309999999994</v>
      </c>
      <c r="R68">
        <v>1810.221</v>
      </c>
      <c r="S68">
        <v>0</v>
      </c>
      <c r="T68">
        <v>0</v>
      </c>
      <c r="U68">
        <v>151.5395</v>
      </c>
      <c r="V68">
        <v>136998</v>
      </c>
      <c r="W68">
        <v>0</v>
      </c>
      <c r="X68">
        <v>1.1061000000000001E-3</v>
      </c>
      <c r="Y68">
        <v>0</v>
      </c>
      <c r="Z68">
        <v>0.1217067</v>
      </c>
      <c r="AE68">
        <v>0</v>
      </c>
      <c r="AF68">
        <v>3.4306619999999999</v>
      </c>
      <c r="AG68">
        <v>10.63386</v>
      </c>
      <c r="AH68">
        <v>11.198119999999999</v>
      </c>
      <c r="AI68">
        <v>11.01174</v>
      </c>
      <c r="AJ68">
        <v>10.569979999999999</v>
      </c>
      <c r="AK68">
        <v>10.51136</v>
      </c>
      <c r="AL68">
        <v>10.63735</v>
      </c>
      <c r="AM68">
        <v>10.101889999999999</v>
      </c>
      <c r="AN68">
        <v>10.37412</v>
      </c>
      <c r="AO68">
        <v>10.596030000000001</v>
      </c>
      <c r="AP68">
        <v>10.66981</v>
      </c>
      <c r="AQ68">
        <v>10.23626</v>
      </c>
      <c r="AR68">
        <v>10.59029</v>
      </c>
      <c r="AS68">
        <v>11.124510000000001</v>
      </c>
      <c r="AT68">
        <v>10.20688</v>
      </c>
      <c r="AU68">
        <v>9.9028840000000002</v>
      </c>
      <c r="AV68">
        <v>10.334680000000001</v>
      </c>
      <c r="AW68">
        <v>10.51139</v>
      </c>
      <c r="AX68">
        <v>9.6134850000000007</v>
      </c>
      <c r="AY68">
        <v>9.9179709999999996</v>
      </c>
      <c r="AZ68">
        <v>9.1049799999999994</v>
      </c>
      <c r="BB68" t="str">
        <f t="shared" si="5"/>
        <v/>
      </c>
      <c r="BD68">
        <v>1245.1199999999999</v>
      </c>
      <c r="BE68">
        <v>40679311</v>
      </c>
      <c r="BF68">
        <v>15.70637</v>
      </c>
      <c r="BG68">
        <v>1315.6239</v>
      </c>
      <c r="BH68">
        <v>15.70637045</v>
      </c>
    </row>
    <row r="69" spans="1:60">
      <c r="A69">
        <v>17780</v>
      </c>
      <c r="B69" t="s">
        <v>357</v>
      </c>
      <c r="C69">
        <v>29503.57</v>
      </c>
      <c r="D69">
        <v>121819</v>
      </c>
      <c r="E69">
        <v>207140</v>
      </c>
      <c r="F69">
        <v>2.19706E-2</v>
      </c>
      <c r="G69">
        <f t="shared" si="3"/>
        <v>21970.6</v>
      </c>
      <c r="H69" s="51">
        <f t="shared" si="4"/>
        <v>4550990084</v>
      </c>
      <c r="I69">
        <v>52.891269999999999</v>
      </c>
      <c r="J69">
        <v>10.29227</v>
      </c>
      <c r="K69">
        <v>-3.8180480000000001</v>
      </c>
      <c r="L69">
        <v>6.8290509999999998</v>
      </c>
      <c r="M69">
        <v>-1.543976</v>
      </c>
      <c r="N69">
        <v>12.241149999999999</v>
      </c>
      <c r="O69">
        <v>1.5357999999999999E-3</v>
      </c>
      <c r="P69">
        <v>0</v>
      </c>
      <c r="Q69">
        <v>882.39509999999996</v>
      </c>
      <c r="R69">
        <v>924.31309999999996</v>
      </c>
      <c r="S69">
        <v>0</v>
      </c>
      <c r="T69">
        <v>0</v>
      </c>
      <c r="U69">
        <v>318.37979999999999</v>
      </c>
      <c r="V69">
        <v>207140</v>
      </c>
      <c r="W69">
        <v>0</v>
      </c>
      <c r="X69">
        <v>1.537E-3</v>
      </c>
      <c r="Y69">
        <v>0</v>
      </c>
      <c r="Z69">
        <v>0.1511855</v>
      </c>
      <c r="AB69">
        <v>151</v>
      </c>
      <c r="AE69">
        <v>0</v>
      </c>
      <c r="AF69">
        <v>6.0195150000000002</v>
      </c>
      <c r="AH69">
        <v>11.01191</v>
      </c>
      <c r="AI69">
        <v>10.7021</v>
      </c>
      <c r="AJ69">
        <v>10.538740000000001</v>
      </c>
      <c r="AK69">
        <v>10.504720000000001</v>
      </c>
      <c r="AL69">
        <v>10.65081</v>
      </c>
      <c r="AM69">
        <v>9.9477460000000004</v>
      </c>
      <c r="AN69">
        <v>10.604990000000001</v>
      </c>
      <c r="AO69">
        <v>10.623670000000001</v>
      </c>
      <c r="AP69">
        <v>10.5322</v>
      </c>
      <c r="AQ69">
        <v>10.38409</v>
      </c>
      <c r="AR69">
        <v>10.776960000000001</v>
      </c>
      <c r="AS69">
        <v>11.08447</v>
      </c>
      <c r="AT69">
        <v>9.8917730000000006</v>
      </c>
      <c r="AU69">
        <v>9.6336659999999998</v>
      </c>
      <c r="AV69">
        <v>10.61065</v>
      </c>
      <c r="AW69">
        <v>9.8521359999999998</v>
      </c>
      <c r="AX69">
        <v>9.3799860000000006</v>
      </c>
      <c r="AY69">
        <v>9.8891419999999997</v>
      </c>
      <c r="BA69">
        <v>0</v>
      </c>
      <c r="BB69" t="str">
        <f t="shared" si="5"/>
        <v/>
      </c>
      <c r="BC69">
        <v>1879986</v>
      </c>
      <c r="BD69">
        <v>2105.8890000000001</v>
      </c>
      <c r="BE69">
        <v>124383799</v>
      </c>
      <c r="BF69">
        <v>48.024850000000001</v>
      </c>
      <c r="BG69">
        <v>2133.4047</v>
      </c>
      <c r="BH69">
        <v>48.024855330000001</v>
      </c>
    </row>
    <row r="70" spans="1:60">
      <c r="A70">
        <v>17820</v>
      </c>
      <c r="B70" t="s">
        <v>974</v>
      </c>
      <c r="C70">
        <v>37982.879999999997</v>
      </c>
      <c r="D70">
        <v>382201</v>
      </c>
      <c r="E70">
        <v>616975</v>
      </c>
      <c r="F70">
        <v>2.85522E-2</v>
      </c>
      <c r="G70">
        <f t="shared" si="3"/>
        <v>28552.2</v>
      </c>
      <c r="H70" s="51">
        <f t="shared" si="4"/>
        <v>17615993595</v>
      </c>
      <c r="I70">
        <v>204.83330000000001</v>
      </c>
      <c r="J70">
        <v>10.544890000000001</v>
      </c>
      <c r="K70">
        <v>-3.5560209999999999</v>
      </c>
      <c r="L70">
        <v>7.3153230000000002</v>
      </c>
      <c r="M70">
        <v>-1.245679</v>
      </c>
      <c r="N70">
        <v>13.33258</v>
      </c>
      <c r="O70">
        <v>7.7689999999999996E-4</v>
      </c>
      <c r="P70">
        <v>0</v>
      </c>
      <c r="Q70">
        <v>962.3877</v>
      </c>
      <c r="R70">
        <v>1503.1569999999999</v>
      </c>
      <c r="S70">
        <v>0</v>
      </c>
      <c r="T70">
        <v>0</v>
      </c>
      <c r="U70">
        <v>479.48880000000003</v>
      </c>
      <c r="V70">
        <v>616975</v>
      </c>
      <c r="W70">
        <v>0</v>
      </c>
      <c r="X70">
        <v>7.7720000000000003E-4</v>
      </c>
      <c r="Y70">
        <v>0</v>
      </c>
      <c r="Z70">
        <v>0.17867959999999999</v>
      </c>
      <c r="AE70">
        <v>0</v>
      </c>
      <c r="AF70">
        <v>2.3408739999999999</v>
      </c>
      <c r="AI70">
        <v>11.187709999999999</v>
      </c>
      <c r="AJ70">
        <v>10.62843</v>
      </c>
      <c r="AK70">
        <v>10.83919</v>
      </c>
      <c r="AL70">
        <v>11.03599</v>
      </c>
      <c r="AM70">
        <v>10.135149999999999</v>
      </c>
      <c r="AN70">
        <v>10.69012</v>
      </c>
      <c r="AO70">
        <v>11.078849999999999</v>
      </c>
      <c r="AP70">
        <v>10.74694</v>
      </c>
      <c r="AQ70">
        <v>10.291639999999999</v>
      </c>
      <c r="AR70">
        <v>11.03623</v>
      </c>
      <c r="AS70">
        <v>11.234640000000001</v>
      </c>
      <c r="AT70">
        <v>10.559100000000001</v>
      </c>
      <c r="AU70">
        <v>10.25868</v>
      </c>
      <c r="AV70">
        <v>10.594429999999999</v>
      </c>
      <c r="AW70">
        <v>9.9554399999999994</v>
      </c>
      <c r="AX70">
        <v>9.6240299999999994</v>
      </c>
      <c r="AY70">
        <v>10.259259999999999</v>
      </c>
      <c r="BB70" t="str">
        <f t="shared" si="5"/>
        <v/>
      </c>
      <c r="BD70">
        <v>2683.5120000000002</v>
      </c>
      <c r="BE70">
        <v>304439077</v>
      </c>
      <c r="BF70">
        <v>117.5446</v>
      </c>
      <c r="BG70">
        <v>2688.5255000000002</v>
      </c>
      <c r="BH70">
        <v>117.5445898</v>
      </c>
    </row>
    <row r="71" spans="1:60">
      <c r="A71">
        <v>17860</v>
      </c>
      <c r="B71" t="s">
        <v>358</v>
      </c>
      <c r="C71">
        <v>30922.92</v>
      </c>
      <c r="D71">
        <v>117487</v>
      </c>
      <c r="E71">
        <v>164182</v>
      </c>
      <c r="F71">
        <v>2.5605699999999999E-2</v>
      </c>
      <c r="G71">
        <f t="shared" si="3"/>
        <v>25605.699999999997</v>
      </c>
      <c r="H71" s="51">
        <f t="shared" si="4"/>
        <v>4203995037.4000001</v>
      </c>
      <c r="I71">
        <v>58.069400000000002</v>
      </c>
      <c r="J71">
        <v>10.33925</v>
      </c>
      <c r="K71">
        <v>-3.6649389999999999</v>
      </c>
      <c r="L71">
        <v>7.1741010000000003</v>
      </c>
      <c r="M71">
        <v>-1.134755</v>
      </c>
      <c r="N71">
        <v>12.00873</v>
      </c>
      <c r="O71">
        <v>9.1819999999999998E-4</v>
      </c>
      <c r="P71">
        <v>0</v>
      </c>
      <c r="Q71">
        <v>1123.828</v>
      </c>
      <c r="R71">
        <v>1305.1859999999999</v>
      </c>
      <c r="S71">
        <v>0</v>
      </c>
      <c r="T71">
        <v>0</v>
      </c>
      <c r="U71">
        <v>150.81819999999999</v>
      </c>
      <c r="V71">
        <v>164182</v>
      </c>
      <c r="W71">
        <v>0</v>
      </c>
      <c r="X71">
        <v>9.1859999999999999E-4</v>
      </c>
      <c r="Y71">
        <v>0</v>
      </c>
      <c r="Z71">
        <v>0.1310135</v>
      </c>
      <c r="AB71">
        <v>304</v>
      </c>
      <c r="AE71">
        <v>0</v>
      </c>
      <c r="AF71">
        <v>2.5972059999999999</v>
      </c>
      <c r="AI71">
        <v>11.063029999999999</v>
      </c>
      <c r="AJ71">
        <v>10.50933</v>
      </c>
      <c r="AK71">
        <v>10.56995</v>
      </c>
      <c r="AL71">
        <v>10.72912</v>
      </c>
      <c r="AM71">
        <v>9.9735870000000002</v>
      </c>
      <c r="AN71">
        <v>10.3551</v>
      </c>
      <c r="AO71">
        <v>10.478899999999999</v>
      </c>
      <c r="AP71">
        <v>10.85383</v>
      </c>
      <c r="AQ71">
        <v>10.15165</v>
      </c>
      <c r="AR71">
        <v>10.512890000000001</v>
      </c>
      <c r="AS71">
        <v>10.826090000000001</v>
      </c>
      <c r="AT71">
        <v>9.9612400000000001</v>
      </c>
      <c r="AU71">
        <v>10.04838</v>
      </c>
      <c r="AV71">
        <v>10.577579999999999</v>
      </c>
      <c r="AW71">
        <v>9.6381680000000003</v>
      </c>
      <c r="AX71">
        <v>9.3030810000000006</v>
      </c>
      <c r="AY71">
        <v>10.015560000000001</v>
      </c>
      <c r="BA71">
        <v>0</v>
      </c>
      <c r="BB71" t="str">
        <f t="shared" si="5"/>
        <v/>
      </c>
      <c r="BC71">
        <v>606134</v>
      </c>
      <c r="BD71">
        <v>1151.165</v>
      </c>
      <c r="BE71">
        <v>122559423</v>
      </c>
      <c r="BF71">
        <v>47.320459999999997</v>
      </c>
      <c r="BG71">
        <v>1162.5871999999999</v>
      </c>
      <c r="BH71">
        <v>47.320459790000001</v>
      </c>
    </row>
    <row r="72" spans="1:60">
      <c r="A72">
        <v>17900</v>
      </c>
      <c r="B72" t="s">
        <v>359</v>
      </c>
      <c r="C72">
        <v>34438.730000000003</v>
      </c>
      <c r="D72">
        <v>477256</v>
      </c>
      <c r="E72">
        <v>732558</v>
      </c>
      <c r="F72">
        <v>3.20234E-2</v>
      </c>
      <c r="G72">
        <f t="shared" si="3"/>
        <v>32023.4</v>
      </c>
      <c r="H72" s="51">
        <f t="shared" si="4"/>
        <v>23458997857.200001</v>
      </c>
      <c r="I72">
        <v>298.74360000000001</v>
      </c>
      <c r="J72">
        <v>10.44694</v>
      </c>
      <c r="K72">
        <v>-3.4412880000000001</v>
      </c>
      <c r="L72">
        <v>7.6318900000000003</v>
      </c>
      <c r="M72">
        <v>-1.4001809999999999</v>
      </c>
      <c r="N72">
        <v>13.504300000000001</v>
      </c>
      <c r="O72">
        <v>1.2474999999999999E-3</v>
      </c>
      <c r="P72">
        <v>0</v>
      </c>
      <c r="Q72">
        <v>928.66610000000003</v>
      </c>
      <c r="R72">
        <v>2062.9459999999999</v>
      </c>
      <c r="S72">
        <v>0</v>
      </c>
      <c r="T72">
        <v>0</v>
      </c>
      <c r="U72">
        <v>914.40030000000002</v>
      </c>
      <c r="V72">
        <v>732558</v>
      </c>
      <c r="W72">
        <v>0</v>
      </c>
      <c r="X72">
        <v>1.2482000000000001E-3</v>
      </c>
      <c r="Y72">
        <v>0</v>
      </c>
      <c r="Z72">
        <v>0.24705379999999999</v>
      </c>
      <c r="AB72">
        <v>191</v>
      </c>
      <c r="AE72">
        <v>0</v>
      </c>
      <c r="AF72">
        <v>3.0608200000000001</v>
      </c>
      <c r="AG72">
        <v>10.163919999999999</v>
      </c>
      <c r="AH72">
        <v>10.806139999999999</v>
      </c>
      <c r="AJ72">
        <v>10.49141</v>
      </c>
      <c r="AK72">
        <v>10.59815</v>
      </c>
      <c r="AL72">
        <v>10.882099999999999</v>
      </c>
      <c r="AM72">
        <v>9.9578849999999992</v>
      </c>
      <c r="AN72">
        <v>10.472519999999999</v>
      </c>
      <c r="AO72">
        <v>10.762280000000001</v>
      </c>
      <c r="AP72">
        <v>10.86557</v>
      </c>
      <c r="AQ72">
        <v>10.41281</v>
      </c>
      <c r="AR72">
        <v>10.85313</v>
      </c>
      <c r="AS72">
        <v>11.0375</v>
      </c>
      <c r="AT72">
        <v>10.01919</v>
      </c>
      <c r="AU72">
        <v>10.081</v>
      </c>
      <c r="AV72">
        <v>10.643090000000001</v>
      </c>
      <c r="AW72">
        <v>9.523263</v>
      </c>
      <c r="AX72">
        <v>9.3759759999999996</v>
      </c>
      <c r="AY72">
        <v>10.04946</v>
      </c>
      <c r="BA72">
        <v>0</v>
      </c>
      <c r="BB72" t="str">
        <f t="shared" si="5"/>
        <v/>
      </c>
      <c r="BC72">
        <v>1567272</v>
      </c>
      <c r="BD72">
        <v>3701.2190000000001</v>
      </c>
      <c r="BE72">
        <v>179057846</v>
      </c>
      <c r="BF72">
        <v>69.134619999999998</v>
      </c>
      <c r="BG72">
        <v>3833.9807999999998</v>
      </c>
      <c r="BH72">
        <v>69.134623790000006</v>
      </c>
    </row>
    <row r="73" spans="1:60">
      <c r="A73">
        <v>17980</v>
      </c>
      <c r="B73" t="s">
        <v>360</v>
      </c>
      <c r="C73">
        <v>32899.43</v>
      </c>
      <c r="D73">
        <v>174237</v>
      </c>
      <c r="E73">
        <v>287251</v>
      </c>
      <c r="F73">
        <v>2.58345E-2</v>
      </c>
      <c r="G73">
        <f t="shared" si="3"/>
        <v>25834.5</v>
      </c>
      <c r="H73" s="51">
        <f t="shared" si="4"/>
        <v>7420985959.5</v>
      </c>
      <c r="I73">
        <v>114.5988</v>
      </c>
      <c r="J73">
        <v>10.401210000000001</v>
      </c>
      <c r="K73">
        <v>-3.6560429999999999</v>
      </c>
      <c r="L73">
        <v>6.8815770000000001</v>
      </c>
      <c r="M73">
        <v>-1.7739860000000001</v>
      </c>
      <c r="N73">
        <v>12.568110000000001</v>
      </c>
      <c r="O73">
        <v>1.348E-3</v>
      </c>
      <c r="P73">
        <v>0</v>
      </c>
      <c r="Q73">
        <v>787.86180000000002</v>
      </c>
      <c r="R73">
        <v>974.16110000000003</v>
      </c>
      <c r="S73">
        <v>0</v>
      </c>
      <c r="T73">
        <v>0</v>
      </c>
      <c r="U73">
        <v>387.48309999999998</v>
      </c>
      <c r="V73">
        <v>287251</v>
      </c>
      <c r="W73">
        <v>0</v>
      </c>
      <c r="X73">
        <v>1.3489000000000001E-3</v>
      </c>
      <c r="Y73">
        <v>0</v>
      </c>
      <c r="Z73">
        <v>0.2000391</v>
      </c>
      <c r="AB73">
        <v>298</v>
      </c>
      <c r="AE73">
        <v>0</v>
      </c>
      <c r="AF73">
        <v>3.3812150000000001</v>
      </c>
      <c r="AG73">
        <v>9.9326310000000007</v>
      </c>
      <c r="AI73">
        <v>11.02309</v>
      </c>
      <c r="AJ73">
        <v>10.40602</v>
      </c>
      <c r="AK73">
        <v>10.61519</v>
      </c>
      <c r="AL73">
        <v>10.669140000000001</v>
      </c>
      <c r="AM73">
        <v>9.9147829999999999</v>
      </c>
      <c r="AN73">
        <v>10.4879</v>
      </c>
      <c r="AO73">
        <v>10.62411</v>
      </c>
      <c r="AP73">
        <v>10.473470000000001</v>
      </c>
      <c r="AQ73">
        <v>10.38583</v>
      </c>
      <c r="AR73">
        <v>10.4983</v>
      </c>
      <c r="AS73">
        <v>11.437709999999999</v>
      </c>
      <c r="AT73">
        <v>10.33643</v>
      </c>
      <c r="AU73">
        <v>9.9522779999999997</v>
      </c>
      <c r="AV73">
        <v>10.598190000000001</v>
      </c>
      <c r="AW73">
        <v>9.5564129999999992</v>
      </c>
      <c r="AX73">
        <v>9.4299219999999995</v>
      </c>
      <c r="AY73">
        <v>9.9068959999999997</v>
      </c>
      <c r="AZ73">
        <v>9.0624199999999995</v>
      </c>
      <c r="BA73">
        <v>0</v>
      </c>
      <c r="BB73" t="str">
        <f t="shared" si="5"/>
        <v/>
      </c>
      <c r="BC73">
        <v>919775</v>
      </c>
      <c r="BD73">
        <v>1937.037</v>
      </c>
      <c r="BE73">
        <v>212229585</v>
      </c>
      <c r="BF73">
        <v>81.942300000000003</v>
      </c>
      <c r="BG73">
        <v>1959.8284000000001</v>
      </c>
      <c r="BH73">
        <v>81.942304370000002</v>
      </c>
    </row>
    <row r="74" spans="1:60">
      <c r="A74">
        <v>18020</v>
      </c>
      <c r="B74" t="s">
        <v>975</v>
      </c>
      <c r="C74">
        <v>41014.050000000003</v>
      </c>
      <c r="D74">
        <v>55765</v>
      </c>
      <c r="E74">
        <v>75494</v>
      </c>
      <c r="F74">
        <v>4.9712600000000003E-2</v>
      </c>
      <c r="G74">
        <f t="shared" si="3"/>
        <v>49712.600000000006</v>
      </c>
      <c r="H74" s="51">
        <f t="shared" si="4"/>
        <v>3753003024.4000006</v>
      </c>
      <c r="I74">
        <v>26.07001</v>
      </c>
      <c r="J74">
        <v>10.62167</v>
      </c>
      <c r="K74">
        <v>-3.0014980000000002</v>
      </c>
      <c r="L74">
        <v>7.2019970000000004</v>
      </c>
      <c r="M74">
        <v>-1.5115749999999999</v>
      </c>
      <c r="N74">
        <v>11.231809999999999</v>
      </c>
      <c r="O74">
        <v>1.1862999999999999E-3</v>
      </c>
      <c r="P74">
        <v>0</v>
      </c>
      <c r="Q74">
        <v>998.38869999999997</v>
      </c>
      <c r="R74">
        <v>1342.1089999999999</v>
      </c>
      <c r="S74">
        <v>0</v>
      </c>
      <c r="T74">
        <v>0</v>
      </c>
      <c r="U74">
        <v>89.61327</v>
      </c>
      <c r="V74">
        <v>75494</v>
      </c>
      <c r="W74">
        <v>0</v>
      </c>
      <c r="X74">
        <v>1.1869999999999999E-3</v>
      </c>
      <c r="Y74">
        <v>0</v>
      </c>
      <c r="Z74">
        <v>0.22026760000000001</v>
      </c>
      <c r="AE74">
        <v>0</v>
      </c>
      <c r="AF74">
        <v>3.4374090000000002</v>
      </c>
      <c r="AH74">
        <v>10.79908</v>
      </c>
      <c r="AI74">
        <v>11.29069</v>
      </c>
      <c r="AJ74">
        <v>10.79074</v>
      </c>
      <c r="AK74">
        <v>10.637879999999999</v>
      </c>
      <c r="AL74">
        <v>11.06409</v>
      </c>
      <c r="AM74">
        <v>9.8934189999999997</v>
      </c>
      <c r="AN74">
        <v>10.49156</v>
      </c>
      <c r="AO74">
        <v>10.765639999999999</v>
      </c>
      <c r="AP74">
        <v>10.91764</v>
      </c>
      <c r="AQ74">
        <v>10.273350000000001</v>
      </c>
      <c r="AR74">
        <v>11.02332</v>
      </c>
      <c r="AT74">
        <v>10.130789999999999</v>
      </c>
      <c r="AU74">
        <v>9.8658760000000001</v>
      </c>
      <c r="AV74">
        <v>10.52735</v>
      </c>
      <c r="AW74">
        <v>9.7185649999999999</v>
      </c>
      <c r="AX74">
        <v>9.4467440000000007</v>
      </c>
      <c r="AY74">
        <v>9.8963239999999999</v>
      </c>
      <c r="BB74" t="str">
        <f t="shared" si="5"/>
        <v/>
      </c>
      <c r="BD74">
        <v>406.8383</v>
      </c>
      <c r="BE74">
        <v>47451603</v>
      </c>
      <c r="BF74">
        <v>18.321169999999999</v>
      </c>
      <c r="BG74">
        <v>409.52397999999999</v>
      </c>
      <c r="BH74">
        <v>18.321167129999999</v>
      </c>
    </row>
    <row r="75" spans="1:60">
      <c r="A75">
        <v>18140</v>
      </c>
      <c r="B75" t="s">
        <v>361</v>
      </c>
      <c r="C75">
        <v>41755.07</v>
      </c>
      <c r="D75">
        <v>1197740</v>
      </c>
      <c r="E75">
        <v>1779822</v>
      </c>
      <c r="F75">
        <v>4.41842E-2</v>
      </c>
      <c r="G75">
        <f t="shared" si="3"/>
        <v>44184.2</v>
      </c>
      <c r="H75" s="51">
        <f t="shared" si="4"/>
        <v>78640011212.399994</v>
      </c>
      <c r="I75">
        <v>517.73990000000003</v>
      </c>
      <c r="J75">
        <v>10.63958</v>
      </c>
      <c r="K75">
        <v>-3.1193879999999998</v>
      </c>
      <c r="L75">
        <v>7.5848409999999999</v>
      </c>
      <c r="M75">
        <v>-1.3335950000000001</v>
      </c>
      <c r="N75">
        <v>14.39202</v>
      </c>
      <c r="O75">
        <v>5.3419999999999997E-4</v>
      </c>
      <c r="P75">
        <v>0</v>
      </c>
      <c r="Q75">
        <v>1303.1199999999999</v>
      </c>
      <c r="R75">
        <v>1968.134</v>
      </c>
      <c r="S75">
        <v>0</v>
      </c>
      <c r="T75">
        <v>0</v>
      </c>
      <c r="U75">
        <v>951.11310000000003</v>
      </c>
      <c r="V75">
        <v>1779822</v>
      </c>
      <c r="W75">
        <v>0</v>
      </c>
      <c r="X75">
        <v>5.3439999999999998E-4</v>
      </c>
      <c r="Y75">
        <v>0</v>
      </c>
      <c r="Z75">
        <v>0.2387262</v>
      </c>
      <c r="AB75">
        <v>549</v>
      </c>
      <c r="AE75">
        <v>0</v>
      </c>
      <c r="AF75">
        <v>1.837048</v>
      </c>
      <c r="AG75">
        <v>10.676970000000001</v>
      </c>
      <c r="AH75">
        <v>11.03373</v>
      </c>
      <c r="AI75">
        <v>11.072710000000001</v>
      </c>
      <c r="AJ75">
        <v>10.79227</v>
      </c>
      <c r="AK75">
        <v>10.79045</v>
      </c>
      <c r="AL75">
        <v>10.879440000000001</v>
      </c>
      <c r="AM75">
        <v>10.122809999999999</v>
      </c>
      <c r="AN75">
        <v>10.62856</v>
      </c>
      <c r="AO75">
        <v>11.01492</v>
      </c>
      <c r="AP75">
        <v>11.06096</v>
      </c>
      <c r="AQ75">
        <v>10.5443</v>
      </c>
      <c r="AR75">
        <v>10.99086</v>
      </c>
      <c r="AS75">
        <v>11.25311</v>
      </c>
      <c r="AT75">
        <v>10.22293</v>
      </c>
      <c r="AU75">
        <v>10.185790000000001</v>
      </c>
      <c r="AV75">
        <v>10.619770000000001</v>
      </c>
      <c r="AW75">
        <v>10.1252</v>
      </c>
      <c r="AX75">
        <v>9.5033750000000001</v>
      </c>
      <c r="AY75">
        <v>10.29598</v>
      </c>
      <c r="AZ75">
        <v>10.963480000000001</v>
      </c>
      <c r="BA75">
        <v>0</v>
      </c>
      <c r="BB75" t="str">
        <f t="shared" si="5"/>
        <v/>
      </c>
      <c r="BC75">
        <v>7628914</v>
      </c>
      <c r="BD75">
        <v>3984.1179999999999</v>
      </c>
      <c r="BE75">
        <v>516671303</v>
      </c>
      <c r="BF75">
        <v>199.4879</v>
      </c>
      <c r="BG75">
        <v>4015.0758999999998</v>
      </c>
      <c r="BH75">
        <v>199.4879138</v>
      </c>
    </row>
    <row r="76" spans="1:60">
      <c r="A76">
        <v>18580</v>
      </c>
      <c r="B76" t="s">
        <v>362</v>
      </c>
      <c r="C76">
        <v>34143.050000000003</v>
      </c>
      <c r="D76">
        <v>247857</v>
      </c>
      <c r="E76">
        <v>413206</v>
      </c>
      <c r="F76">
        <v>3.2564900000000001E-2</v>
      </c>
      <c r="G76">
        <f t="shared" si="3"/>
        <v>32564.9</v>
      </c>
      <c r="H76" s="51">
        <f t="shared" si="4"/>
        <v>13456012069.4</v>
      </c>
      <c r="I76">
        <v>153.53100000000001</v>
      </c>
      <c r="J76">
        <v>10.43831</v>
      </c>
      <c r="K76">
        <v>-3.4245209999999999</v>
      </c>
      <c r="L76">
        <v>7.0787990000000001</v>
      </c>
      <c r="M76">
        <v>-1.787898</v>
      </c>
      <c r="N76">
        <v>12.931699999999999</v>
      </c>
      <c r="O76">
        <v>1.0307999999999999E-3</v>
      </c>
      <c r="P76">
        <v>0</v>
      </c>
      <c r="Q76">
        <v>877.10630000000003</v>
      </c>
      <c r="R76">
        <v>1186.5429999999999</v>
      </c>
      <c r="S76">
        <v>0</v>
      </c>
      <c r="T76">
        <v>0</v>
      </c>
      <c r="U76">
        <v>426.17270000000002</v>
      </c>
      <c r="V76">
        <v>413206</v>
      </c>
      <c r="W76">
        <v>0</v>
      </c>
      <c r="X76">
        <v>1.0314E-3</v>
      </c>
      <c r="Y76">
        <v>0</v>
      </c>
      <c r="Z76">
        <v>0.23951330000000001</v>
      </c>
      <c r="AB76">
        <v>577</v>
      </c>
      <c r="AE76">
        <v>0</v>
      </c>
      <c r="AF76">
        <v>2.7758090000000002</v>
      </c>
      <c r="AG76">
        <v>10.62942</v>
      </c>
      <c r="AH76">
        <v>11.21172</v>
      </c>
      <c r="AI76">
        <v>10.84064</v>
      </c>
      <c r="AJ76">
        <v>10.59465</v>
      </c>
      <c r="AK76">
        <v>11.049160000000001</v>
      </c>
      <c r="AL76">
        <v>10.781779999999999</v>
      </c>
      <c r="AM76">
        <v>9.9882139999999993</v>
      </c>
      <c r="AN76">
        <v>10.627610000000001</v>
      </c>
      <c r="AO76">
        <v>10.723979999999999</v>
      </c>
      <c r="AP76">
        <v>10.644920000000001</v>
      </c>
      <c r="AQ76">
        <v>10.315049999999999</v>
      </c>
      <c r="AR76">
        <v>10.76493</v>
      </c>
      <c r="AT76">
        <v>10.13693</v>
      </c>
      <c r="AU76">
        <v>10.10244</v>
      </c>
      <c r="AV76">
        <v>10.469889999999999</v>
      </c>
      <c r="AW76">
        <v>9.5755599999999994</v>
      </c>
      <c r="AX76">
        <v>9.4259880000000003</v>
      </c>
      <c r="AY76">
        <v>10.111409999999999</v>
      </c>
      <c r="BA76">
        <v>0</v>
      </c>
      <c r="BB76" t="str">
        <f t="shared" si="5"/>
        <v/>
      </c>
      <c r="BC76">
        <v>2778104</v>
      </c>
      <c r="BD76">
        <v>1779.328</v>
      </c>
      <c r="BE76">
        <v>248084168</v>
      </c>
      <c r="BF76">
        <v>95.785839999999993</v>
      </c>
      <c r="BG76">
        <v>2401.4841000000001</v>
      </c>
      <c r="BH76">
        <v>95.785836849999995</v>
      </c>
    </row>
    <row r="77" spans="1:60">
      <c r="A77">
        <v>18700</v>
      </c>
      <c r="B77" t="s">
        <v>976</v>
      </c>
      <c r="C77">
        <v>40541.06</v>
      </c>
      <c r="D77">
        <v>56171</v>
      </c>
      <c r="E77">
        <v>81775</v>
      </c>
      <c r="F77">
        <v>3.7896699999999998E-2</v>
      </c>
      <c r="G77">
        <f t="shared" si="3"/>
        <v>37896.699999999997</v>
      </c>
      <c r="H77" s="51">
        <f t="shared" si="4"/>
        <v>3099002642.5</v>
      </c>
      <c r="I77">
        <v>33.137639999999998</v>
      </c>
      <c r="J77">
        <v>10.61007</v>
      </c>
      <c r="K77">
        <v>-3.2728920000000001</v>
      </c>
      <c r="L77">
        <v>7.4646999999999997</v>
      </c>
      <c r="M77">
        <v>-0.96172849999999999</v>
      </c>
      <c r="N77">
        <v>11.311730000000001</v>
      </c>
      <c r="O77">
        <v>1.346E-3</v>
      </c>
      <c r="P77">
        <v>0</v>
      </c>
      <c r="Q77">
        <v>865.02840000000003</v>
      </c>
      <c r="R77">
        <v>1745.3309999999999</v>
      </c>
      <c r="S77">
        <v>0</v>
      </c>
      <c r="T77">
        <v>0</v>
      </c>
      <c r="U77">
        <v>110.1444</v>
      </c>
      <c r="V77">
        <v>81775</v>
      </c>
      <c r="W77">
        <v>0</v>
      </c>
      <c r="X77">
        <v>1.3469000000000001E-3</v>
      </c>
      <c r="Y77">
        <v>0</v>
      </c>
      <c r="Z77">
        <v>0.16282440000000001</v>
      </c>
      <c r="AE77">
        <v>0</v>
      </c>
      <c r="AF77">
        <v>3.3238460000000001</v>
      </c>
      <c r="AG77">
        <v>10.5596</v>
      </c>
      <c r="AJ77">
        <v>10.576700000000001</v>
      </c>
      <c r="AK77">
        <v>11.215210000000001</v>
      </c>
      <c r="AL77">
        <v>11.015980000000001</v>
      </c>
      <c r="AM77">
        <v>9.9086200000000009</v>
      </c>
      <c r="AN77">
        <v>10.45758</v>
      </c>
      <c r="AO77">
        <v>10.93168</v>
      </c>
      <c r="AP77">
        <v>10.820349999999999</v>
      </c>
      <c r="AQ77">
        <v>9.9911930000000009</v>
      </c>
      <c r="AR77">
        <v>10.90856</v>
      </c>
      <c r="AT77">
        <v>10.06706</v>
      </c>
      <c r="AU77">
        <v>9.9449000000000005</v>
      </c>
      <c r="AV77">
        <v>10.747680000000001</v>
      </c>
      <c r="AW77">
        <v>9.3518939999999997</v>
      </c>
      <c r="AX77">
        <v>9.4160229999999991</v>
      </c>
      <c r="AY77">
        <v>9.9885669999999998</v>
      </c>
      <c r="BB77" t="str">
        <f t="shared" si="5"/>
        <v/>
      </c>
      <c r="BD77">
        <v>676.46130000000005</v>
      </c>
      <c r="BE77">
        <v>38530823</v>
      </c>
      <c r="BF77">
        <v>14.87683</v>
      </c>
      <c r="BG77">
        <v>678.46258999999998</v>
      </c>
      <c r="BH77">
        <v>14.876834560000001</v>
      </c>
    </row>
    <row r="78" spans="1:60">
      <c r="A78">
        <v>19060</v>
      </c>
      <c r="B78" t="s">
        <v>363</v>
      </c>
      <c r="C78">
        <v>28692.43</v>
      </c>
      <c r="D78">
        <v>49565</v>
      </c>
      <c r="E78">
        <v>99772</v>
      </c>
      <c r="F78">
        <v>1.91938E-2</v>
      </c>
      <c r="G78">
        <f t="shared" si="3"/>
        <v>19193.8</v>
      </c>
      <c r="H78" s="51">
        <f t="shared" si="4"/>
        <v>1915003813.6000001</v>
      </c>
      <c r="I78">
        <v>40.549880000000002</v>
      </c>
      <c r="J78">
        <v>10.264390000000001</v>
      </c>
      <c r="K78">
        <v>-3.9531700000000001</v>
      </c>
      <c r="L78">
        <v>7.1990619999999996</v>
      </c>
      <c r="M78">
        <v>-1.9646889999999999</v>
      </c>
      <c r="N78">
        <v>11.51064</v>
      </c>
      <c r="O78">
        <v>1.8374999999999999E-3</v>
      </c>
      <c r="P78">
        <v>0</v>
      </c>
      <c r="Q78">
        <v>636.10540000000003</v>
      </c>
      <c r="R78">
        <v>1338.175</v>
      </c>
      <c r="S78">
        <v>0</v>
      </c>
      <c r="T78">
        <v>0</v>
      </c>
      <c r="U78">
        <v>183.4966</v>
      </c>
      <c r="V78">
        <v>99772</v>
      </c>
      <c r="W78">
        <v>0</v>
      </c>
      <c r="X78">
        <v>1.8392E-3</v>
      </c>
      <c r="Y78">
        <v>0</v>
      </c>
      <c r="Z78">
        <v>0.2436381</v>
      </c>
      <c r="AB78">
        <v>83</v>
      </c>
      <c r="AE78">
        <v>0</v>
      </c>
      <c r="AF78">
        <v>4.5252080000000001</v>
      </c>
      <c r="AI78">
        <v>11.16907</v>
      </c>
      <c r="AJ78">
        <v>10.57569</v>
      </c>
      <c r="AK78">
        <v>10.61312</v>
      </c>
      <c r="AL78">
        <v>10.603630000000001</v>
      </c>
      <c r="AM78">
        <v>9.8456960000000002</v>
      </c>
      <c r="AN78">
        <v>10.42493</v>
      </c>
      <c r="AP78">
        <v>10.624560000000001</v>
      </c>
      <c r="AQ78">
        <v>10.30653</v>
      </c>
      <c r="AR78">
        <v>10.43474</v>
      </c>
      <c r="AT78">
        <v>10.10408</v>
      </c>
      <c r="AU78">
        <v>9.8480299999999996</v>
      </c>
      <c r="AV78">
        <v>10.41525</v>
      </c>
      <c r="AW78">
        <v>9.1036950000000001</v>
      </c>
      <c r="AX78">
        <v>9.3290410000000001</v>
      </c>
      <c r="AY78">
        <v>9.6866020000000006</v>
      </c>
      <c r="BA78">
        <v>0</v>
      </c>
      <c r="BB78" t="str">
        <f t="shared" si="5"/>
        <v/>
      </c>
      <c r="BC78">
        <v>267128</v>
      </c>
      <c r="BD78">
        <v>753.15250000000003</v>
      </c>
      <c r="BE78">
        <v>21501051</v>
      </c>
      <c r="BF78">
        <v>8.3016020000000008</v>
      </c>
      <c r="BG78">
        <v>759.14970000000005</v>
      </c>
      <c r="BH78">
        <v>8.3016025560000006</v>
      </c>
    </row>
    <row r="79" spans="1:60">
      <c r="A79">
        <v>19100</v>
      </c>
      <c r="B79" t="s">
        <v>291</v>
      </c>
      <c r="C79">
        <v>47180.46</v>
      </c>
      <c r="D79">
        <v>4013361</v>
      </c>
      <c r="E79">
        <v>6301085</v>
      </c>
      <c r="F79">
        <v>5.5929100000000002E-2</v>
      </c>
      <c r="G79">
        <f t="shared" si="3"/>
        <v>55929.100000000006</v>
      </c>
      <c r="H79" s="51">
        <f t="shared" si="4"/>
        <v>352414013073.5</v>
      </c>
      <c r="I79">
        <v>1696.4280000000001</v>
      </c>
      <c r="J79">
        <v>10.76173</v>
      </c>
      <c r="K79">
        <v>-2.8836710000000001</v>
      </c>
      <c r="L79">
        <v>7.5333540000000001</v>
      </c>
      <c r="M79">
        <v>-1.359046</v>
      </c>
      <c r="N79">
        <v>15.656230000000001</v>
      </c>
      <c r="O79">
        <v>4.3780000000000002E-4</v>
      </c>
      <c r="P79">
        <v>1.34E-5</v>
      </c>
      <c r="Q79">
        <v>1360.6859999999999</v>
      </c>
      <c r="R79">
        <v>1869.365</v>
      </c>
      <c r="S79">
        <v>1</v>
      </c>
      <c r="T79">
        <v>84.6</v>
      </c>
      <c r="U79">
        <v>2759.335</v>
      </c>
      <c r="V79">
        <v>6301085</v>
      </c>
      <c r="W79">
        <v>1.34E-5</v>
      </c>
      <c r="X79">
        <v>4.3790000000000002E-4</v>
      </c>
      <c r="Y79">
        <v>9.4108999999999998E-3</v>
      </c>
      <c r="Z79">
        <v>0.30694680000000002</v>
      </c>
      <c r="AB79">
        <v>1167</v>
      </c>
      <c r="AE79">
        <v>4.9869499999999997E-2</v>
      </c>
      <c r="AF79">
        <v>1.6265559999999999</v>
      </c>
      <c r="AG79">
        <v>11.13607</v>
      </c>
      <c r="AH79">
        <v>11.6227</v>
      </c>
      <c r="AI79">
        <v>11.82856</v>
      </c>
      <c r="AJ79">
        <v>10.76737</v>
      </c>
      <c r="AK79">
        <v>10.8752</v>
      </c>
      <c r="AL79">
        <v>11.03796</v>
      </c>
      <c r="AM79">
        <v>10.138120000000001</v>
      </c>
      <c r="AN79">
        <v>10.67877</v>
      </c>
      <c r="AO79">
        <v>11.22784</v>
      </c>
      <c r="AP79">
        <v>11.17686</v>
      </c>
      <c r="AQ79">
        <v>10.81569</v>
      </c>
      <c r="AR79">
        <v>11.12595</v>
      </c>
      <c r="AS79">
        <v>11.57554</v>
      </c>
      <c r="AT79">
        <v>10.39161</v>
      </c>
      <c r="AU79">
        <v>10.44702</v>
      </c>
      <c r="AV79">
        <v>10.712949999999999</v>
      </c>
      <c r="AW79">
        <v>10.401</v>
      </c>
      <c r="AX79">
        <v>9.6335230000000003</v>
      </c>
      <c r="AY79">
        <v>10.156560000000001</v>
      </c>
      <c r="AZ79">
        <v>10.63589</v>
      </c>
      <c r="BA79">
        <v>3071800</v>
      </c>
      <c r="BB79">
        <f t="shared" si="5"/>
        <v>36309.692671394805</v>
      </c>
      <c r="BC79" s="14">
        <v>36500000</v>
      </c>
      <c r="BD79">
        <v>8989.6200000000008</v>
      </c>
      <c r="BE79">
        <v>2200931218</v>
      </c>
      <c r="BF79">
        <v>849.78430000000003</v>
      </c>
      <c r="BG79">
        <v>9284.3989999999994</v>
      </c>
      <c r="BH79">
        <v>849.78433029999997</v>
      </c>
    </row>
    <row r="80" spans="1:60">
      <c r="A80">
        <v>19140</v>
      </c>
      <c r="B80" t="s">
        <v>1210</v>
      </c>
      <c r="C80">
        <v>32390.69</v>
      </c>
      <c r="D80">
        <v>86354</v>
      </c>
      <c r="E80">
        <v>134288</v>
      </c>
      <c r="F80">
        <v>3.8365299999999998E-2</v>
      </c>
      <c r="G80">
        <f t="shared" si="3"/>
        <v>38365.299999999996</v>
      </c>
      <c r="H80" s="51">
        <f t="shared" si="4"/>
        <v>5151999406.3999996</v>
      </c>
      <c r="I80">
        <v>65.103729999999999</v>
      </c>
      <c r="J80">
        <v>10.385630000000001</v>
      </c>
      <c r="K80">
        <v>-3.260602</v>
      </c>
      <c r="L80">
        <v>7.578341</v>
      </c>
      <c r="M80">
        <v>-2.272573</v>
      </c>
      <c r="N80">
        <v>11.807740000000001</v>
      </c>
      <c r="O80">
        <v>1.3994000000000001E-3</v>
      </c>
      <c r="P80">
        <v>0</v>
      </c>
      <c r="Q80">
        <v>870.93330000000003</v>
      </c>
      <c r="R80">
        <v>1955.383</v>
      </c>
      <c r="S80">
        <v>0</v>
      </c>
      <c r="T80">
        <v>0</v>
      </c>
      <c r="U80">
        <v>188.04759999999999</v>
      </c>
      <c r="V80">
        <v>134288</v>
      </c>
      <c r="W80">
        <v>0</v>
      </c>
      <c r="X80">
        <v>1.4002999999999999E-3</v>
      </c>
      <c r="Y80">
        <v>0</v>
      </c>
      <c r="Z80">
        <v>0.29641970000000001</v>
      </c>
      <c r="AE80">
        <v>0</v>
      </c>
      <c r="AF80">
        <v>2.8884310000000002</v>
      </c>
      <c r="AH80">
        <v>10.815149999999999</v>
      </c>
      <c r="AJ80">
        <v>10.280709999999999</v>
      </c>
      <c r="AK80">
        <v>10.3513</v>
      </c>
      <c r="AL80">
        <v>10.62656</v>
      </c>
      <c r="AM80">
        <v>9.9895180000000003</v>
      </c>
      <c r="AN80">
        <v>10.66029</v>
      </c>
      <c r="AP80">
        <v>10.805899999999999</v>
      </c>
      <c r="AQ80">
        <v>10.292260000000001</v>
      </c>
      <c r="AR80">
        <v>10.72711</v>
      </c>
      <c r="AS80">
        <v>10.994680000000001</v>
      </c>
      <c r="AT80">
        <v>10.027430000000001</v>
      </c>
      <c r="AU80">
        <v>9.5988340000000001</v>
      </c>
      <c r="AV80">
        <v>10.679790000000001</v>
      </c>
      <c r="AW80">
        <v>9.8193049999999999</v>
      </c>
      <c r="AX80">
        <v>9.3978409999999997</v>
      </c>
      <c r="AY80">
        <v>10.024929999999999</v>
      </c>
      <c r="BB80" t="str">
        <f t="shared" si="5"/>
        <v/>
      </c>
      <c r="BD80">
        <v>634.39660000000003</v>
      </c>
      <c r="BE80">
        <v>54045301</v>
      </c>
      <c r="BF80">
        <v>20.867010000000001</v>
      </c>
      <c r="BG80">
        <v>637.77342999999996</v>
      </c>
      <c r="BH80">
        <v>20.867008259999999</v>
      </c>
    </row>
    <row r="81" spans="1:60">
      <c r="A81">
        <v>19180</v>
      </c>
      <c r="B81" t="s">
        <v>977</v>
      </c>
      <c r="C81">
        <v>33842.76</v>
      </c>
      <c r="D81">
        <v>40256</v>
      </c>
      <c r="E81">
        <v>80453</v>
      </c>
      <c r="F81">
        <v>2.35666E-2</v>
      </c>
      <c r="G81">
        <f t="shared" si="3"/>
        <v>23566.6</v>
      </c>
      <c r="H81" s="51">
        <f t="shared" si="4"/>
        <v>1896003669.8</v>
      </c>
      <c r="I81">
        <v>33.516089999999998</v>
      </c>
      <c r="J81">
        <v>10.42948</v>
      </c>
      <c r="K81">
        <v>-3.7479269999999998</v>
      </c>
      <c r="L81">
        <v>6.8887229999999997</v>
      </c>
      <c r="M81">
        <v>-2.0349270000000002</v>
      </c>
      <c r="N81">
        <v>11.29543</v>
      </c>
      <c r="O81">
        <v>1.8220999999999999E-3</v>
      </c>
      <c r="P81">
        <v>0</v>
      </c>
      <c r="Q81">
        <v>546.03610000000003</v>
      </c>
      <c r="R81">
        <v>981.14800000000002</v>
      </c>
      <c r="S81">
        <v>0</v>
      </c>
      <c r="T81">
        <v>0</v>
      </c>
      <c r="U81">
        <v>146.72470000000001</v>
      </c>
      <c r="V81">
        <v>80453</v>
      </c>
      <c r="W81">
        <v>0</v>
      </c>
      <c r="X81">
        <v>1.8236999999999999E-3</v>
      </c>
      <c r="Y81">
        <v>0</v>
      </c>
      <c r="Z81">
        <v>0.16319420000000001</v>
      </c>
      <c r="AE81">
        <v>0</v>
      </c>
      <c r="AF81">
        <v>4.3777379999999999</v>
      </c>
      <c r="AI81">
        <v>11.04721</v>
      </c>
      <c r="AJ81">
        <v>10.507339999999999</v>
      </c>
      <c r="AK81">
        <v>10.627370000000001</v>
      </c>
      <c r="AL81">
        <v>10.70195</v>
      </c>
      <c r="AM81">
        <v>9.9453980000000008</v>
      </c>
      <c r="AN81">
        <v>10.43571</v>
      </c>
      <c r="AO81">
        <v>10.38668</v>
      </c>
      <c r="AP81">
        <v>10.556319999999999</v>
      </c>
      <c r="AQ81">
        <v>10.15428</v>
      </c>
      <c r="AR81">
        <v>10.439920000000001</v>
      </c>
      <c r="AT81">
        <v>10.106820000000001</v>
      </c>
      <c r="AU81">
        <v>10.029389999999999</v>
      </c>
      <c r="AV81">
        <v>10.69711</v>
      </c>
      <c r="AW81">
        <v>9.2448820000000005</v>
      </c>
      <c r="AX81">
        <v>9.2916039999999995</v>
      </c>
      <c r="AY81">
        <v>9.6722289999999997</v>
      </c>
      <c r="BB81" t="str">
        <f t="shared" si="5"/>
        <v/>
      </c>
      <c r="BD81">
        <v>899.08010000000002</v>
      </c>
      <c r="BE81">
        <v>39379831</v>
      </c>
      <c r="BF81">
        <v>15.204639999999999</v>
      </c>
      <c r="BG81">
        <v>901.27257999999995</v>
      </c>
      <c r="BH81">
        <v>15.2046384</v>
      </c>
    </row>
    <row r="82" spans="1:60">
      <c r="A82">
        <v>19340</v>
      </c>
      <c r="B82" t="s">
        <v>364</v>
      </c>
      <c r="C82">
        <v>37289.910000000003</v>
      </c>
      <c r="D82">
        <v>238059</v>
      </c>
      <c r="E82">
        <v>376980</v>
      </c>
      <c r="F82">
        <v>3.9129400000000002E-2</v>
      </c>
      <c r="G82">
        <f t="shared" si="3"/>
        <v>39129.4</v>
      </c>
      <c r="H82" s="51">
        <f t="shared" si="4"/>
        <v>14751001212.000002</v>
      </c>
      <c r="I82">
        <v>136.9924</v>
      </c>
      <c r="J82">
        <v>10.526479999999999</v>
      </c>
      <c r="K82">
        <v>-3.2408809999999999</v>
      </c>
      <c r="L82">
        <v>7.2273370000000003</v>
      </c>
      <c r="M82">
        <v>-1.611537</v>
      </c>
      <c r="N82">
        <v>12.83995</v>
      </c>
      <c r="O82">
        <v>1.415E-3</v>
      </c>
      <c r="P82">
        <v>0</v>
      </c>
      <c r="Q82">
        <v>1010.925</v>
      </c>
      <c r="R82">
        <v>1376.5519999999999</v>
      </c>
      <c r="S82">
        <v>0</v>
      </c>
      <c r="T82">
        <v>0</v>
      </c>
      <c r="U82">
        <v>533.81910000000005</v>
      </c>
      <c r="V82">
        <v>376980</v>
      </c>
      <c r="W82">
        <v>0</v>
      </c>
      <c r="X82">
        <v>1.4159999999999999E-3</v>
      </c>
      <c r="Y82">
        <v>0</v>
      </c>
      <c r="Z82">
        <v>0.23527429999999999</v>
      </c>
      <c r="AB82">
        <v>868</v>
      </c>
      <c r="AE82">
        <v>0</v>
      </c>
      <c r="AF82">
        <v>3.896706</v>
      </c>
      <c r="AG82">
        <v>10.920389999999999</v>
      </c>
      <c r="AI82">
        <v>10.65136</v>
      </c>
      <c r="AJ82">
        <v>10.864839999999999</v>
      </c>
      <c r="AK82">
        <v>10.765140000000001</v>
      </c>
      <c r="AL82">
        <v>10.738659999999999</v>
      </c>
      <c r="AM82">
        <v>10.017659999999999</v>
      </c>
      <c r="AN82">
        <v>10.537739999999999</v>
      </c>
      <c r="AO82">
        <v>10.64654</v>
      </c>
      <c r="AP82">
        <v>10.802440000000001</v>
      </c>
      <c r="AQ82">
        <v>10.17848</v>
      </c>
      <c r="AR82">
        <v>10.736969999999999</v>
      </c>
      <c r="AS82">
        <v>11.248889999999999</v>
      </c>
      <c r="AT82">
        <v>10.175929999999999</v>
      </c>
      <c r="AU82">
        <v>10.085850000000001</v>
      </c>
      <c r="AV82">
        <v>10.511089999999999</v>
      </c>
      <c r="AW82">
        <v>9.7574319999999997</v>
      </c>
      <c r="AX82">
        <v>9.4124970000000001</v>
      </c>
      <c r="AY82">
        <v>9.9773370000000003</v>
      </c>
      <c r="BA82">
        <v>0</v>
      </c>
      <c r="BB82" t="str">
        <f t="shared" si="5"/>
        <v/>
      </c>
      <c r="BC82">
        <v>3234926</v>
      </c>
      <c r="BD82">
        <v>2268.922</v>
      </c>
      <c r="BE82">
        <v>170268536</v>
      </c>
      <c r="BF82">
        <v>65.741050000000001</v>
      </c>
      <c r="BG82">
        <v>2313.8357000000001</v>
      </c>
      <c r="BH82">
        <v>65.741052080000003</v>
      </c>
    </row>
    <row r="83" spans="1:60">
      <c r="A83">
        <v>19380</v>
      </c>
      <c r="B83" t="s">
        <v>365</v>
      </c>
      <c r="C83">
        <v>38217.019999999997</v>
      </c>
      <c r="D83">
        <v>493099</v>
      </c>
      <c r="E83">
        <v>837036</v>
      </c>
      <c r="F83">
        <v>3.3432299999999998E-2</v>
      </c>
      <c r="G83">
        <f t="shared" si="3"/>
        <v>33432.299999999996</v>
      </c>
      <c r="H83" s="51">
        <f t="shared" si="4"/>
        <v>27984038662.799999</v>
      </c>
      <c r="I83">
        <v>330.31240000000003</v>
      </c>
      <c r="J83">
        <v>10.55104</v>
      </c>
      <c r="K83">
        <v>-3.398234</v>
      </c>
      <c r="L83">
        <v>7.4367270000000003</v>
      </c>
      <c r="M83">
        <v>-1.4936290000000001</v>
      </c>
      <c r="N83">
        <v>13.63762</v>
      </c>
      <c r="O83">
        <v>5.8900000000000001E-4</v>
      </c>
      <c r="P83">
        <v>0</v>
      </c>
      <c r="Q83">
        <v>896.01840000000004</v>
      </c>
      <c r="R83">
        <v>1697.1859999999999</v>
      </c>
      <c r="S83">
        <v>0</v>
      </c>
      <c r="T83">
        <v>0</v>
      </c>
      <c r="U83">
        <v>493.19260000000003</v>
      </c>
      <c r="V83">
        <v>837036</v>
      </c>
      <c r="W83">
        <v>0</v>
      </c>
      <c r="X83">
        <v>5.8920000000000001E-4</v>
      </c>
      <c r="Y83">
        <v>0</v>
      </c>
      <c r="Z83">
        <v>0.28868670000000002</v>
      </c>
      <c r="AB83">
        <v>346</v>
      </c>
      <c r="AE83">
        <v>0</v>
      </c>
      <c r="AF83">
        <v>1.493109</v>
      </c>
      <c r="AH83">
        <v>11.30612</v>
      </c>
      <c r="AI83">
        <v>10.92736</v>
      </c>
      <c r="AJ83">
        <v>10.74465</v>
      </c>
      <c r="AK83">
        <v>10.767329999999999</v>
      </c>
      <c r="AL83">
        <v>10.84586</v>
      </c>
      <c r="AM83">
        <v>10.01038</v>
      </c>
      <c r="AN83">
        <v>10.51863</v>
      </c>
      <c r="AO83">
        <v>10.963699999999999</v>
      </c>
      <c r="AP83">
        <v>10.825200000000001</v>
      </c>
      <c r="AQ83">
        <v>10.35201</v>
      </c>
      <c r="AR83">
        <v>11.03078</v>
      </c>
      <c r="AS83">
        <v>11.385949999999999</v>
      </c>
      <c r="AT83">
        <v>10.14565</v>
      </c>
      <c r="AU83">
        <v>10.04571</v>
      </c>
      <c r="AV83">
        <v>10.651949999999999</v>
      </c>
      <c r="AW83">
        <v>9.7804549999999999</v>
      </c>
      <c r="AX83">
        <v>9.4038310000000003</v>
      </c>
      <c r="AY83">
        <v>10.07917</v>
      </c>
      <c r="BA83">
        <v>0</v>
      </c>
      <c r="BB83" t="str">
        <f t="shared" si="5"/>
        <v/>
      </c>
      <c r="BC83">
        <v>5706803</v>
      </c>
      <c r="BD83">
        <v>1708.4010000000001</v>
      </c>
      <c r="BE83">
        <v>135037012</v>
      </c>
      <c r="BF83">
        <v>52.138080000000002</v>
      </c>
      <c r="BG83">
        <v>1716.6741999999999</v>
      </c>
      <c r="BH83">
        <v>52.138084040000003</v>
      </c>
    </row>
    <row r="84" spans="1:60">
      <c r="A84">
        <v>19460</v>
      </c>
      <c r="B84" t="s">
        <v>772</v>
      </c>
      <c r="C84">
        <v>34650.1</v>
      </c>
      <c r="D84">
        <v>78502</v>
      </c>
      <c r="E84">
        <v>150344</v>
      </c>
      <c r="F84">
        <v>3.1407999999999998E-2</v>
      </c>
      <c r="G84">
        <f t="shared" si="3"/>
        <v>31408</v>
      </c>
      <c r="H84" s="51">
        <f t="shared" si="4"/>
        <v>4722004352</v>
      </c>
      <c r="I84">
        <v>39.155349999999999</v>
      </c>
      <c r="J84">
        <v>10.453060000000001</v>
      </c>
      <c r="K84">
        <v>-3.4606940000000002</v>
      </c>
      <c r="L84">
        <v>7.08474</v>
      </c>
      <c r="M84">
        <v>-1.856152</v>
      </c>
      <c r="N84">
        <v>11.920680000000001</v>
      </c>
      <c r="O84">
        <v>1.4599999999999999E-3</v>
      </c>
      <c r="P84">
        <v>0</v>
      </c>
      <c r="Q84">
        <v>813.452</v>
      </c>
      <c r="R84">
        <v>1193.6120000000001</v>
      </c>
      <c r="S84">
        <v>0</v>
      </c>
      <c r="T84">
        <v>0</v>
      </c>
      <c r="U84">
        <v>219.66239999999999</v>
      </c>
      <c r="V84">
        <v>150344</v>
      </c>
      <c r="W84">
        <v>0</v>
      </c>
      <c r="X84">
        <v>1.4610999999999999E-3</v>
      </c>
      <c r="Y84">
        <v>0</v>
      </c>
      <c r="Z84">
        <v>0.17220379999999999</v>
      </c>
      <c r="AB84">
        <v>0</v>
      </c>
      <c r="AE84">
        <v>0</v>
      </c>
      <c r="AF84">
        <v>5.6100219999999998</v>
      </c>
      <c r="AG84">
        <v>10.30592</v>
      </c>
      <c r="AH84">
        <v>10.43379</v>
      </c>
      <c r="AJ84">
        <v>10.537409999999999</v>
      </c>
      <c r="AK84">
        <v>10.86182</v>
      </c>
      <c r="AL84">
        <v>10.68135</v>
      </c>
      <c r="AM84">
        <v>9.9427219999999998</v>
      </c>
      <c r="AN84">
        <v>10.63082</v>
      </c>
      <c r="AO84">
        <v>10.633570000000001</v>
      </c>
      <c r="AP84">
        <v>10.78138</v>
      </c>
      <c r="AQ84">
        <v>10.35073</v>
      </c>
      <c r="AR84">
        <v>10.34482</v>
      </c>
      <c r="AS84">
        <v>10.697789999999999</v>
      </c>
      <c r="AT84">
        <v>9.9600179999999998</v>
      </c>
      <c r="AV84">
        <v>10.413690000000001</v>
      </c>
      <c r="AW84">
        <v>9.5390370000000004</v>
      </c>
      <c r="AX84">
        <v>9.3075860000000006</v>
      </c>
      <c r="AY84">
        <v>10.047779999999999</v>
      </c>
      <c r="AZ84">
        <v>10.05406</v>
      </c>
      <c r="BA84">
        <v>0</v>
      </c>
      <c r="BB84" t="str">
        <f t="shared" si="5"/>
        <v/>
      </c>
      <c r="BC84">
        <v>0</v>
      </c>
      <c r="BD84">
        <v>1275.596</v>
      </c>
      <c r="BE84">
        <v>54886959</v>
      </c>
      <c r="BF84">
        <v>21.191970000000001</v>
      </c>
      <c r="BG84">
        <v>1316.248</v>
      </c>
      <c r="BH84">
        <v>21.191974250000001</v>
      </c>
    </row>
    <row r="85" spans="1:60">
      <c r="A85">
        <v>19500</v>
      </c>
      <c r="B85" t="s">
        <v>366</v>
      </c>
      <c r="C85">
        <v>37665.75</v>
      </c>
      <c r="D85">
        <v>67919</v>
      </c>
      <c r="E85">
        <v>108326</v>
      </c>
      <c r="F85">
        <v>4.4486100000000001E-2</v>
      </c>
      <c r="G85">
        <f t="shared" si="3"/>
        <v>44486.1</v>
      </c>
      <c r="H85" s="51">
        <f t="shared" si="4"/>
        <v>4819001268.6000004</v>
      </c>
      <c r="I85">
        <v>50.262610000000002</v>
      </c>
      <c r="J85">
        <v>10.53651</v>
      </c>
      <c r="K85">
        <v>-3.1125790000000002</v>
      </c>
      <c r="L85">
        <v>6.9603859999999997</v>
      </c>
      <c r="M85">
        <v>-1.7577689999999999</v>
      </c>
      <c r="N85">
        <v>11.5929</v>
      </c>
      <c r="O85">
        <v>1.3760999999999999E-3</v>
      </c>
      <c r="P85">
        <v>0</v>
      </c>
      <c r="Q85">
        <v>871.26390000000004</v>
      </c>
      <c r="R85">
        <v>1054.04</v>
      </c>
      <c r="S85">
        <v>0</v>
      </c>
      <c r="T85">
        <v>0</v>
      </c>
      <c r="U85">
        <v>149.17179999999999</v>
      </c>
      <c r="V85">
        <v>108326</v>
      </c>
      <c r="W85">
        <v>0</v>
      </c>
      <c r="X85">
        <v>1.3771E-3</v>
      </c>
      <c r="Y85">
        <v>0</v>
      </c>
      <c r="Z85">
        <v>0.2569612</v>
      </c>
      <c r="AB85">
        <v>92</v>
      </c>
      <c r="AE85">
        <v>0</v>
      </c>
      <c r="AF85">
        <v>2.9678490000000002</v>
      </c>
      <c r="AJ85">
        <v>10.86143</v>
      </c>
      <c r="AK85">
        <v>10.84731</v>
      </c>
      <c r="AL85">
        <v>10.83822</v>
      </c>
      <c r="AM85">
        <v>10.008749999999999</v>
      </c>
      <c r="AN85">
        <v>10.49234</v>
      </c>
      <c r="AO85">
        <v>10.311970000000001</v>
      </c>
      <c r="AP85">
        <v>10.666029999999999</v>
      </c>
      <c r="AQ85">
        <v>10.15147</v>
      </c>
      <c r="AR85">
        <v>10.674709999999999</v>
      </c>
      <c r="AT85">
        <v>10.02894</v>
      </c>
      <c r="AV85">
        <v>10.5938</v>
      </c>
      <c r="AW85">
        <v>9.8178319999999992</v>
      </c>
      <c r="AX85">
        <v>9.3326609999999999</v>
      </c>
      <c r="AY85">
        <v>9.9715620000000005</v>
      </c>
      <c r="BA85">
        <v>0</v>
      </c>
      <c r="BB85" t="str">
        <f t="shared" si="5"/>
        <v/>
      </c>
      <c r="BC85">
        <v>932091</v>
      </c>
      <c r="BD85">
        <v>580.52269999999999</v>
      </c>
      <c r="BE85">
        <v>98730331</v>
      </c>
      <c r="BF85">
        <v>38.119999999999997</v>
      </c>
      <c r="BG85">
        <v>585.86487</v>
      </c>
      <c r="BH85">
        <v>38.119995539999998</v>
      </c>
    </row>
    <row r="86" spans="1:60">
      <c r="A86">
        <v>19660</v>
      </c>
      <c r="B86" t="s">
        <v>367</v>
      </c>
      <c r="C86">
        <v>28576.240000000002</v>
      </c>
      <c r="D86">
        <v>215822</v>
      </c>
      <c r="E86">
        <v>497344</v>
      </c>
      <c r="F86">
        <v>2.1711299999999999E-2</v>
      </c>
      <c r="G86">
        <f t="shared" si="3"/>
        <v>21711.3</v>
      </c>
      <c r="H86" s="51">
        <f t="shared" si="4"/>
        <v>10797984787.199999</v>
      </c>
      <c r="I86">
        <v>200.6189</v>
      </c>
      <c r="J86">
        <v>10.26033</v>
      </c>
      <c r="K86">
        <v>-3.8299210000000001</v>
      </c>
      <c r="L86">
        <v>6.7025240000000004</v>
      </c>
      <c r="M86">
        <v>-1.585242</v>
      </c>
      <c r="N86">
        <v>13.117039999999999</v>
      </c>
      <c r="O86">
        <v>9.4819999999999995E-4</v>
      </c>
      <c r="P86">
        <v>0</v>
      </c>
      <c r="Q86">
        <v>661.3184</v>
      </c>
      <c r="R86">
        <v>814.45870000000002</v>
      </c>
      <c r="S86">
        <v>0</v>
      </c>
      <c r="T86">
        <v>0</v>
      </c>
      <c r="U86">
        <v>471.79500000000002</v>
      </c>
      <c r="V86">
        <v>497344</v>
      </c>
      <c r="W86">
        <v>0</v>
      </c>
      <c r="X86">
        <v>9.4859999999999996E-4</v>
      </c>
      <c r="Y86">
        <v>0</v>
      </c>
      <c r="Z86">
        <v>0.4276412</v>
      </c>
      <c r="AB86">
        <v>307</v>
      </c>
      <c r="AE86">
        <v>0</v>
      </c>
      <c r="AF86">
        <v>2.3516970000000001</v>
      </c>
      <c r="AG86">
        <v>9.8918820000000007</v>
      </c>
      <c r="AI86">
        <v>11.478680000000001</v>
      </c>
      <c r="AJ86">
        <v>10.363939999999999</v>
      </c>
      <c r="AK86">
        <v>10.567220000000001</v>
      </c>
      <c r="AL86">
        <v>10.50155</v>
      </c>
      <c r="AM86">
        <v>9.9930579999999996</v>
      </c>
      <c r="AN86">
        <v>10.321389999999999</v>
      </c>
      <c r="AO86">
        <v>10.51019</v>
      </c>
      <c r="AP86">
        <v>10.75154</v>
      </c>
      <c r="AQ86">
        <v>10.20684</v>
      </c>
      <c r="AR86">
        <v>10.572050000000001</v>
      </c>
      <c r="AT86">
        <v>10.061640000000001</v>
      </c>
      <c r="AU86">
        <v>10.22518</v>
      </c>
      <c r="AV86">
        <v>10.54044</v>
      </c>
      <c r="AW86">
        <v>9.9866650000000003</v>
      </c>
      <c r="AX86">
        <v>9.3967779999999994</v>
      </c>
      <c r="AY86">
        <v>9.9483549999999994</v>
      </c>
      <c r="BA86">
        <v>0</v>
      </c>
      <c r="BB86" t="str">
        <f t="shared" si="5"/>
        <v/>
      </c>
      <c r="BC86">
        <v>2480335</v>
      </c>
      <c r="BD86">
        <v>1103.25</v>
      </c>
      <c r="BE86">
        <v>194155600</v>
      </c>
      <c r="BF86">
        <v>74.963899999999995</v>
      </c>
      <c r="BG86">
        <v>1432.4591</v>
      </c>
      <c r="BH86">
        <v>74.96389945</v>
      </c>
    </row>
    <row r="87" spans="1:60">
      <c r="A87">
        <v>19740</v>
      </c>
      <c r="B87" t="s">
        <v>293</v>
      </c>
      <c r="C87">
        <v>47081.16</v>
      </c>
      <c r="D87">
        <v>1701841</v>
      </c>
      <c r="E87">
        <v>2500384</v>
      </c>
      <c r="F87">
        <v>5.4634799999999997E-2</v>
      </c>
      <c r="G87">
        <f t="shared" si="3"/>
        <v>54634.799999999996</v>
      </c>
      <c r="H87" s="51">
        <f t="shared" si="4"/>
        <v>136607979763.19998</v>
      </c>
      <c r="I87">
        <v>542.02260000000001</v>
      </c>
      <c r="J87">
        <v>10.75963</v>
      </c>
      <c r="K87">
        <v>-2.9070839999999998</v>
      </c>
      <c r="L87">
        <v>7.8679920000000001</v>
      </c>
      <c r="M87">
        <v>-1.131135</v>
      </c>
      <c r="N87">
        <v>14.731949999999999</v>
      </c>
      <c r="O87">
        <v>5.2709999999999996E-4</v>
      </c>
      <c r="P87">
        <v>1.38E-5</v>
      </c>
      <c r="Q87">
        <v>1659.5730000000001</v>
      </c>
      <c r="R87">
        <v>2612.3159999999998</v>
      </c>
      <c r="S87">
        <v>1</v>
      </c>
      <c r="T87">
        <v>34.6</v>
      </c>
      <c r="U87">
        <v>1318.4159999999999</v>
      </c>
      <c r="V87">
        <v>2500384</v>
      </c>
      <c r="W87">
        <v>1.38E-5</v>
      </c>
      <c r="X87">
        <v>5.2729999999999997E-4</v>
      </c>
      <c r="Y87">
        <v>4.1399999999999996E-3</v>
      </c>
      <c r="Z87">
        <v>0.1577539</v>
      </c>
      <c r="AB87">
        <v>1819</v>
      </c>
      <c r="AE87">
        <v>6.3835000000000003E-2</v>
      </c>
      <c r="AF87">
        <v>2.4323999999999999</v>
      </c>
      <c r="AG87">
        <v>11.557040000000001</v>
      </c>
      <c r="AH87">
        <v>11.7555</v>
      </c>
      <c r="AI87">
        <v>11.25019</v>
      </c>
      <c r="AJ87">
        <v>10.749320000000001</v>
      </c>
      <c r="AK87">
        <v>10.8287</v>
      </c>
      <c r="AL87">
        <v>11.00431</v>
      </c>
      <c r="AM87">
        <v>10.15164</v>
      </c>
      <c r="AN87">
        <v>10.58629</v>
      </c>
      <c r="AO87">
        <v>11.204040000000001</v>
      </c>
      <c r="AP87">
        <v>11.258620000000001</v>
      </c>
      <c r="AQ87">
        <v>10.797700000000001</v>
      </c>
      <c r="AR87">
        <v>11.220829999999999</v>
      </c>
      <c r="AS87">
        <v>11.506740000000001</v>
      </c>
      <c r="AT87">
        <v>10.44983</v>
      </c>
      <c r="AU87">
        <v>10.249549999999999</v>
      </c>
      <c r="AV87">
        <v>10.716379999999999</v>
      </c>
      <c r="AW87">
        <v>10.4704</v>
      </c>
      <c r="AX87">
        <v>9.6964389999999998</v>
      </c>
      <c r="AY87">
        <v>10.2539</v>
      </c>
      <c r="AZ87">
        <v>11.063739999999999</v>
      </c>
      <c r="BA87">
        <v>3694586</v>
      </c>
      <c r="BB87">
        <f t="shared" si="5"/>
        <v>106779.94219653179</v>
      </c>
      <c r="BC87" s="14">
        <v>45900000</v>
      </c>
      <c r="BD87">
        <v>8357.42</v>
      </c>
      <c r="BE87">
        <v>432956492</v>
      </c>
      <c r="BF87">
        <v>167.16540000000001</v>
      </c>
      <c r="BG87">
        <v>8402.9842000000008</v>
      </c>
      <c r="BH87">
        <v>167.1654432</v>
      </c>
    </row>
    <row r="88" spans="1:60">
      <c r="A88">
        <v>19780</v>
      </c>
      <c r="B88" t="s">
        <v>368</v>
      </c>
      <c r="C88">
        <v>41561.08</v>
      </c>
      <c r="D88">
        <v>408872</v>
      </c>
      <c r="E88">
        <v>554101</v>
      </c>
      <c r="F88">
        <v>5.6327299999999997E-2</v>
      </c>
      <c r="G88">
        <f t="shared" si="3"/>
        <v>56327.299999999996</v>
      </c>
      <c r="H88" s="51">
        <f t="shared" si="4"/>
        <v>31211013257.299999</v>
      </c>
      <c r="I88">
        <v>161.72909999999999</v>
      </c>
      <c r="J88">
        <v>10.634919999999999</v>
      </c>
      <c r="K88">
        <v>-2.876576</v>
      </c>
      <c r="L88">
        <v>7.6481880000000002</v>
      </c>
      <c r="M88">
        <v>-1.304073</v>
      </c>
      <c r="N88">
        <v>13.225099999999999</v>
      </c>
      <c r="O88">
        <v>1.1577E-3</v>
      </c>
      <c r="P88">
        <v>0</v>
      </c>
      <c r="Q88">
        <v>1402.0050000000001</v>
      </c>
      <c r="R88">
        <v>2096.8420000000001</v>
      </c>
      <c r="S88">
        <v>0</v>
      </c>
      <c r="T88">
        <v>0</v>
      </c>
      <c r="U88">
        <v>641.85829999999999</v>
      </c>
      <c r="V88">
        <v>554101</v>
      </c>
      <c r="W88">
        <v>0</v>
      </c>
      <c r="X88">
        <v>1.1584E-3</v>
      </c>
      <c r="Y88">
        <v>0</v>
      </c>
      <c r="Z88">
        <v>0.22292999999999999</v>
      </c>
      <c r="AB88">
        <v>833</v>
      </c>
      <c r="AE88">
        <v>0</v>
      </c>
      <c r="AF88">
        <v>3.9687239999999999</v>
      </c>
      <c r="AG88">
        <v>10.69497</v>
      </c>
      <c r="AJ88">
        <v>10.84365</v>
      </c>
      <c r="AK88">
        <v>10.822240000000001</v>
      </c>
      <c r="AL88">
        <v>10.80316</v>
      </c>
      <c r="AM88">
        <v>10.00766</v>
      </c>
      <c r="AN88">
        <v>10.51491</v>
      </c>
      <c r="AO88">
        <v>10.86608</v>
      </c>
      <c r="AP88">
        <v>11.060779999999999</v>
      </c>
      <c r="AQ88">
        <v>10.559939999999999</v>
      </c>
      <c r="AR88">
        <v>10.9232</v>
      </c>
      <c r="AS88">
        <v>11.312749999999999</v>
      </c>
      <c r="AT88">
        <v>10.188980000000001</v>
      </c>
      <c r="AU88">
        <v>10.133839999999999</v>
      </c>
      <c r="AV88">
        <v>10.658160000000001</v>
      </c>
      <c r="AW88">
        <v>9.8866409999999991</v>
      </c>
      <c r="AX88">
        <v>9.4813700000000001</v>
      </c>
      <c r="AY88">
        <v>10.255100000000001</v>
      </c>
      <c r="BA88">
        <v>0</v>
      </c>
      <c r="BB88" t="str">
        <f t="shared" si="5"/>
        <v/>
      </c>
      <c r="BC88">
        <v>2318224</v>
      </c>
      <c r="BD88">
        <v>2879.1930000000002</v>
      </c>
      <c r="BE88">
        <v>204026690</v>
      </c>
      <c r="BF88">
        <v>78.775149999999996</v>
      </c>
      <c r="BG88">
        <v>2911.8148999999999</v>
      </c>
      <c r="BH88">
        <v>78.775148770000001</v>
      </c>
    </row>
    <row r="89" spans="1:60">
      <c r="A89">
        <v>19820</v>
      </c>
      <c r="B89" t="s">
        <v>369</v>
      </c>
      <c r="C89">
        <v>46027.11</v>
      </c>
      <c r="D89">
        <v>2416644</v>
      </c>
      <c r="E89">
        <v>4423781</v>
      </c>
      <c r="F89">
        <v>4.1469699999999998E-2</v>
      </c>
      <c r="G89">
        <f t="shared" si="3"/>
        <v>41469.699999999997</v>
      </c>
      <c r="H89" s="51">
        <f t="shared" si="4"/>
        <v>183452870935.69998</v>
      </c>
      <c r="I89">
        <v>1455.2429999999999</v>
      </c>
      <c r="J89">
        <v>10.73699</v>
      </c>
      <c r="K89">
        <v>-3.1827909999999999</v>
      </c>
      <c r="L89">
        <v>7.6379700000000001</v>
      </c>
      <c r="M89">
        <v>-1.465184</v>
      </c>
      <c r="N89">
        <v>15.30251</v>
      </c>
      <c r="O89">
        <v>4.0739999999999998E-4</v>
      </c>
      <c r="P89">
        <v>0</v>
      </c>
      <c r="Q89">
        <v>1132.963</v>
      </c>
      <c r="R89">
        <v>2075.527</v>
      </c>
      <c r="S89">
        <v>0</v>
      </c>
      <c r="T89">
        <v>0</v>
      </c>
      <c r="U89">
        <v>1802.682</v>
      </c>
      <c r="V89">
        <v>4423781</v>
      </c>
      <c r="W89">
        <v>0</v>
      </c>
      <c r="X89">
        <v>4.0749999999999998E-4</v>
      </c>
      <c r="Y89">
        <v>0</v>
      </c>
      <c r="Z89">
        <v>0.46056399999999997</v>
      </c>
      <c r="AB89">
        <v>884</v>
      </c>
      <c r="AE89">
        <v>0</v>
      </c>
      <c r="AF89">
        <v>1.23875</v>
      </c>
      <c r="AG89">
        <v>10.36633</v>
      </c>
      <c r="AH89">
        <v>11.09535</v>
      </c>
      <c r="AI89">
        <v>11.37284</v>
      </c>
      <c r="AJ89">
        <v>10.98617</v>
      </c>
      <c r="AK89">
        <v>10.90114</v>
      </c>
      <c r="AL89">
        <v>11.02736</v>
      </c>
      <c r="AM89">
        <v>10.06129</v>
      </c>
      <c r="AN89">
        <v>10.65147</v>
      </c>
      <c r="AO89">
        <v>11.12074</v>
      </c>
      <c r="AP89">
        <v>10.96017</v>
      </c>
      <c r="AQ89">
        <v>10.5021</v>
      </c>
      <c r="AR89">
        <v>11.163040000000001</v>
      </c>
      <c r="AS89">
        <v>11.461460000000001</v>
      </c>
      <c r="AT89">
        <v>10.476380000000001</v>
      </c>
      <c r="AU89">
        <v>10.23882</v>
      </c>
      <c r="AV89">
        <v>10.675129999999999</v>
      </c>
      <c r="AW89">
        <v>10.61924</v>
      </c>
      <c r="AX89">
        <v>9.5567849999999996</v>
      </c>
      <c r="AY89">
        <v>10.141</v>
      </c>
      <c r="AZ89">
        <v>9.6947279999999996</v>
      </c>
      <c r="BB89" t="str">
        <f t="shared" si="5"/>
        <v/>
      </c>
      <c r="BC89" s="14">
        <v>26600000</v>
      </c>
      <c r="BD89">
        <v>3914.0749999999998</v>
      </c>
      <c r="BE89">
        <v>1006163733</v>
      </c>
      <c r="BF89">
        <v>388.48200000000003</v>
      </c>
      <c r="BG89">
        <v>4235.5771000000004</v>
      </c>
      <c r="BH89">
        <v>388.4820057</v>
      </c>
    </row>
    <row r="90" spans="1:60">
      <c r="A90">
        <v>20020</v>
      </c>
      <c r="B90" t="s">
        <v>773</v>
      </c>
      <c r="C90">
        <v>31389.33</v>
      </c>
      <c r="D90">
        <v>81303</v>
      </c>
      <c r="E90">
        <v>141446</v>
      </c>
      <c r="F90">
        <v>2.6879500000000001E-2</v>
      </c>
      <c r="G90">
        <f t="shared" si="3"/>
        <v>26879.5</v>
      </c>
      <c r="H90" s="51">
        <f t="shared" si="4"/>
        <v>3801997757</v>
      </c>
      <c r="I90">
        <v>48.309370000000001</v>
      </c>
      <c r="J90">
        <v>10.35422</v>
      </c>
      <c r="K90">
        <v>-3.6163910000000001</v>
      </c>
      <c r="L90">
        <v>6.6870260000000004</v>
      </c>
      <c r="M90">
        <v>-1.8096950000000001</v>
      </c>
      <c r="N90">
        <v>11.859669999999999</v>
      </c>
      <c r="O90">
        <v>2.2691999999999999E-3</v>
      </c>
      <c r="P90">
        <v>0</v>
      </c>
      <c r="Q90">
        <v>741.42970000000003</v>
      </c>
      <c r="R90">
        <v>801.93340000000001</v>
      </c>
      <c r="S90">
        <v>0</v>
      </c>
      <c r="T90">
        <v>0</v>
      </c>
      <c r="U90">
        <v>321.3313</v>
      </c>
      <c r="V90">
        <v>141446</v>
      </c>
      <c r="W90">
        <v>0</v>
      </c>
      <c r="X90">
        <v>2.2718E-3</v>
      </c>
      <c r="Y90">
        <v>0</v>
      </c>
      <c r="Z90">
        <v>0.1869905</v>
      </c>
      <c r="AB90">
        <v>0</v>
      </c>
      <c r="AE90">
        <v>0</v>
      </c>
      <c r="AF90">
        <v>6.6515319999999996</v>
      </c>
      <c r="AG90">
        <v>10.48725</v>
      </c>
      <c r="AI90">
        <v>10.82493</v>
      </c>
      <c r="AJ90">
        <v>10.39255</v>
      </c>
      <c r="AK90">
        <v>10.448029999999999</v>
      </c>
      <c r="AL90">
        <v>10.58628</v>
      </c>
      <c r="AM90">
        <v>9.984432</v>
      </c>
      <c r="AN90">
        <v>10.42686</v>
      </c>
      <c r="AO90">
        <v>10.54936</v>
      </c>
      <c r="AP90">
        <v>10.6913</v>
      </c>
      <c r="AQ90">
        <v>10.277340000000001</v>
      </c>
      <c r="AR90">
        <v>10.50511</v>
      </c>
      <c r="AS90">
        <v>10.73921</v>
      </c>
      <c r="AT90">
        <v>9.7605199999999996</v>
      </c>
      <c r="AU90">
        <v>9.7482260000000007</v>
      </c>
      <c r="AV90">
        <v>10.609439999999999</v>
      </c>
      <c r="AW90">
        <v>9.5424229999999994</v>
      </c>
      <c r="AX90">
        <v>9.3227499999999992</v>
      </c>
      <c r="AY90">
        <v>9.8823559999999997</v>
      </c>
      <c r="BA90">
        <v>0</v>
      </c>
      <c r="BB90" t="str">
        <f t="shared" si="5"/>
        <v/>
      </c>
      <c r="BC90">
        <v>0</v>
      </c>
      <c r="BD90">
        <v>1718.4359999999999</v>
      </c>
      <c r="BE90">
        <v>112056968</v>
      </c>
      <c r="BF90">
        <v>43.265439999999998</v>
      </c>
      <c r="BG90">
        <v>1728.9124999999999</v>
      </c>
      <c r="BH90">
        <v>43.265439069999999</v>
      </c>
    </row>
    <row r="91" spans="1:60">
      <c r="A91">
        <v>20100</v>
      </c>
      <c r="B91" t="s">
        <v>1211</v>
      </c>
      <c r="C91">
        <v>31015.27</v>
      </c>
      <c r="D91">
        <v>87965</v>
      </c>
      <c r="E91">
        <v>155492</v>
      </c>
      <c r="F91">
        <v>2.7396899999999998E-2</v>
      </c>
      <c r="G91">
        <f t="shared" si="3"/>
        <v>27396.899999999998</v>
      </c>
      <c r="H91" s="51">
        <f t="shared" si="4"/>
        <v>4259998774.7999992</v>
      </c>
      <c r="I91">
        <v>54.679769999999998</v>
      </c>
      <c r="J91">
        <v>10.342230000000001</v>
      </c>
      <c r="K91">
        <v>-3.5973250000000001</v>
      </c>
      <c r="L91">
        <v>7.5717290000000004</v>
      </c>
      <c r="M91">
        <v>-1.7303379999999999</v>
      </c>
      <c r="N91">
        <v>11.95435</v>
      </c>
      <c r="O91">
        <v>7.4930000000000005E-4</v>
      </c>
      <c r="P91">
        <v>0</v>
      </c>
      <c r="Q91">
        <v>831.03859999999997</v>
      </c>
      <c r="R91">
        <v>1942.4960000000001</v>
      </c>
      <c r="S91">
        <v>0</v>
      </c>
      <c r="T91">
        <v>0</v>
      </c>
      <c r="U91">
        <v>116.55</v>
      </c>
      <c r="V91">
        <v>155492</v>
      </c>
      <c r="W91">
        <v>0</v>
      </c>
      <c r="X91">
        <v>7.4960000000000001E-4</v>
      </c>
      <c r="Y91">
        <v>0</v>
      </c>
      <c r="Z91">
        <v>0.1976358</v>
      </c>
      <c r="AE91">
        <v>0</v>
      </c>
      <c r="AF91">
        <v>2.1315019999999998</v>
      </c>
      <c r="AG91">
        <v>10.459199999999999</v>
      </c>
      <c r="AI91">
        <v>11.147399999999999</v>
      </c>
      <c r="AJ91">
        <v>10.62781</v>
      </c>
      <c r="AK91">
        <v>10.66681</v>
      </c>
      <c r="AL91">
        <v>10.614319999999999</v>
      </c>
      <c r="AM91">
        <v>10.076700000000001</v>
      </c>
      <c r="AN91">
        <v>10.08752</v>
      </c>
      <c r="AO91">
        <v>10.640599999999999</v>
      </c>
      <c r="AP91">
        <v>10.69379</v>
      </c>
      <c r="AQ91">
        <v>10.852679999999999</v>
      </c>
      <c r="AR91">
        <v>10.80401</v>
      </c>
      <c r="AT91">
        <v>10.18773</v>
      </c>
      <c r="AV91">
        <v>10.51862</v>
      </c>
      <c r="AW91">
        <v>10.05416</v>
      </c>
      <c r="AX91">
        <v>9.5319909999999997</v>
      </c>
      <c r="AY91">
        <v>10.024620000000001</v>
      </c>
      <c r="BB91" t="str">
        <f t="shared" si="5"/>
        <v/>
      </c>
      <c r="BD91">
        <v>589.72130000000004</v>
      </c>
      <c r="BE91">
        <v>41622566</v>
      </c>
      <c r="BF91">
        <v>16.07056</v>
      </c>
      <c r="BG91">
        <v>798.82075999999995</v>
      </c>
      <c r="BH91">
        <v>16.07056326</v>
      </c>
    </row>
    <row r="92" spans="1:60">
      <c r="A92">
        <v>20220</v>
      </c>
      <c r="B92" t="s">
        <v>370</v>
      </c>
      <c r="C92">
        <v>33052.629999999997</v>
      </c>
      <c r="D92">
        <v>67386</v>
      </c>
      <c r="E92">
        <v>92589</v>
      </c>
      <c r="F92">
        <v>4.3601300000000003E-2</v>
      </c>
      <c r="G92">
        <f t="shared" si="3"/>
        <v>43601.3</v>
      </c>
      <c r="H92" s="51">
        <f t="shared" si="4"/>
        <v>4037000765.7000003</v>
      </c>
      <c r="I92">
        <v>31.3324</v>
      </c>
      <c r="J92">
        <v>10.405860000000001</v>
      </c>
      <c r="K92">
        <v>-3.1326679999999998</v>
      </c>
      <c r="L92">
        <v>7.3121109999999998</v>
      </c>
      <c r="M92">
        <v>-1.5495589999999999</v>
      </c>
      <c r="N92">
        <v>11.435930000000001</v>
      </c>
      <c r="O92">
        <v>1.5606000000000001E-3</v>
      </c>
      <c r="P92">
        <v>0</v>
      </c>
      <c r="Q92">
        <v>1200.6099999999999</v>
      </c>
      <c r="R92">
        <v>1498.338</v>
      </c>
      <c r="S92">
        <v>0</v>
      </c>
      <c r="T92">
        <v>0</v>
      </c>
      <c r="U92">
        <v>144.60759999999999</v>
      </c>
      <c r="V92">
        <v>92589</v>
      </c>
      <c r="W92">
        <v>0</v>
      </c>
      <c r="X92">
        <v>1.5617999999999999E-3</v>
      </c>
      <c r="Y92">
        <v>0</v>
      </c>
      <c r="Z92">
        <v>0.2377803</v>
      </c>
      <c r="AB92">
        <v>133</v>
      </c>
      <c r="AE92">
        <v>0</v>
      </c>
      <c r="AF92">
        <v>4.6152740000000003</v>
      </c>
      <c r="AG92">
        <v>10.170059999999999</v>
      </c>
      <c r="AJ92">
        <v>10.78537</v>
      </c>
      <c r="AK92">
        <v>10.64085</v>
      </c>
      <c r="AL92">
        <v>10.54674</v>
      </c>
      <c r="AM92">
        <v>9.9096250000000001</v>
      </c>
      <c r="AN92">
        <v>10.512259999999999</v>
      </c>
      <c r="AO92">
        <v>10.74113</v>
      </c>
      <c r="AP92">
        <v>10.81113</v>
      </c>
      <c r="AQ92">
        <v>10.293049999999999</v>
      </c>
      <c r="AR92">
        <v>10.700100000000001</v>
      </c>
      <c r="AT92">
        <v>10.07117</v>
      </c>
      <c r="AU92">
        <v>9.9175550000000001</v>
      </c>
      <c r="AV92">
        <v>10.572850000000001</v>
      </c>
      <c r="AX92">
        <v>9.1872769999999999</v>
      </c>
      <c r="AY92">
        <v>9.8186540000000004</v>
      </c>
      <c r="AZ92">
        <v>9.185022</v>
      </c>
      <c r="BA92">
        <v>0</v>
      </c>
      <c r="BB92" t="str">
        <f t="shared" si="5"/>
        <v/>
      </c>
      <c r="BC92">
        <v>301395</v>
      </c>
      <c r="BD92">
        <v>608.15639999999996</v>
      </c>
      <c r="BE92">
        <v>60887306</v>
      </c>
      <c r="BF92">
        <v>23.50872</v>
      </c>
      <c r="BG92">
        <v>616.63250000000005</v>
      </c>
      <c r="BH92">
        <v>23.50872128</v>
      </c>
    </row>
    <row r="93" spans="1:60">
      <c r="A93">
        <v>20260</v>
      </c>
      <c r="B93" t="s">
        <v>371</v>
      </c>
      <c r="C93">
        <v>33884.67</v>
      </c>
      <c r="D93">
        <v>165180</v>
      </c>
      <c r="E93">
        <v>275188</v>
      </c>
      <c r="F93">
        <v>3.00231E-2</v>
      </c>
      <c r="G93">
        <f t="shared" si="3"/>
        <v>30023.100000000002</v>
      </c>
      <c r="H93" s="51">
        <f t="shared" si="4"/>
        <v>8261996842.7999992</v>
      </c>
      <c r="I93">
        <v>99.42313</v>
      </c>
      <c r="J93">
        <v>10.430720000000001</v>
      </c>
      <c r="K93">
        <v>-3.5057879999999999</v>
      </c>
      <c r="L93">
        <v>7.090776</v>
      </c>
      <c r="M93">
        <v>-1.579758</v>
      </c>
      <c r="N93">
        <v>12.52521</v>
      </c>
      <c r="O93">
        <v>3.2927E-3</v>
      </c>
      <c r="P93">
        <v>0</v>
      </c>
      <c r="Q93">
        <v>850.84829999999999</v>
      </c>
      <c r="R93">
        <v>1200.8399999999999</v>
      </c>
      <c r="S93">
        <v>0</v>
      </c>
      <c r="T93">
        <v>0</v>
      </c>
      <c r="U93">
        <v>907.59479999999996</v>
      </c>
      <c r="V93">
        <v>275188</v>
      </c>
      <c r="W93">
        <v>0</v>
      </c>
      <c r="X93">
        <v>3.2981E-3</v>
      </c>
      <c r="Y93">
        <v>0</v>
      </c>
      <c r="Z93">
        <v>0.10811610000000001</v>
      </c>
      <c r="AB93">
        <v>351</v>
      </c>
      <c r="AE93">
        <v>0</v>
      </c>
      <c r="AF93">
        <v>9.1286079999999998</v>
      </c>
      <c r="AG93">
        <v>10.114979999999999</v>
      </c>
      <c r="AH93">
        <v>11.31296</v>
      </c>
      <c r="AI93">
        <v>11.0944</v>
      </c>
      <c r="AJ93">
        <v>10.91253</v>
      </c>
      <c r="AK93">
        <v>10.732419999999999</v>
      </c>
      <c r="AL93">
        <v>10.709580000000001</v>
      </c>
      <c r="AM93">
        <v>9.9364220000000003</v>
      </c>
      <c r="AN93">
        <v>10.68671</v>
      </c>
      <c r="AO93">
        <v>10.4933</v>
      </c>
      <c r="AP93">
        <v>10.60467</v>
      </c>
      <c r="AQ93">
        <v>10.051690000000001</v>
      </c>
      <c r="AR93">
        <v>10.701750000000001</v>
      </c>
      <c r="AS93">
        <v>11.002840000000001</v>
      </c>
      <c r="AT93">
        <v>9.8547440000000002</v>
      </c>
      <c r="AU93">
        <v>9.9438940000000002</v>
      </c>
      <c r="AV93">
        <v>10.57213</v>
      </c>
      <c r="AW93">
        <v>9.7372169999999993</v>
      </c>
      <c r="AX93">
        <v>9.4235520000000008</v>
      </c>
      <c r="AY93">
        <v>9.8187820000000006</v>
      </c>
      <c r="BA93">
        <v>0</v>
      </c>
      <c r="BB93" t="str">
        <f t="shared" si="5"/>
        <v/>
      </c>
      <c r="BC93">
        <v>1766017</v>
      </c>
      <c r="BD93">
        <v>8394.6280000000006</v>
      </c>
      <c r="BE93">
        <v>116735417</v>
      </c>
      <c r="BF93">
        <v>45.071800000000003</v>
      </c>
      <c r="BG93">
        <v>9214.4712999999992</v>
      </c>
      <c r="BH93">
        <v>45.071798399999999</v>
      </c>
    </row>
    <row r="94" spans="1:60">
      <c r="A94">
        <v>20740</v>
      </c>
      <c r="B94" t="s">
        <v>372</v>
      </c>
      <c r="C94">
        <v>33180.519999999997</v>
      </c>
      <c r="D94">
        <v>107051</v>
      </c>
      <c r="E94">
        <v>158495</v>
      </c>
      <c r="F94">
        <v>3.31872E-2</v>
      </c>
      <c r="G94">
        <f t="shared" si="3"/>
        <v>33187.199999999997</v>
      </c>
      <c r="H94" s="51">
        <f t="shared" si="4"/>
        <v>5260005264</v>
      </c>
      <c r="I94">
        <v>62.886899999999997</v>
      </c>
      <c r="J94">
        <v>10.40972</v>
      </c>
      <c r="K94">
        <v>-3.405592</v>
      </c>
      <c r="L94">
        <v>7.3387180000000001</v>
      </c>
      <c r="M94">
        <v>-1.592095</v>
      </c>
      <c r="N94">
        <v>11.97348</v>
      </c>
      <c r="O94">
        <v>2.1128000000000002E-3</v>
      </c>
      <c r="P94">
        <v>0</v>
      </c>
      <c r="Q94">
        <v>979.01149999999996</v>
      </c>
      <c r="R94">
        <v>1538.739</v>
      </c>
      <c r="S94">
        <v>0</v>
      </c>
      <c r="T94">
        <v>0</v>
      </c>
      <c r="U94">
        <v>335.22179999999997</v>
      </c>
      <c r="V94">
        <v>158495</v>
      </c>
      <c r="W94">
        <v>0</v>
      </c>
      <c r="X94">
        <v>2.1150000000000001E-3</v>
      </c>
      <c r="Y94">
        <v>0</v>
      </c>
      <c r="Z94">
        <v>0.20340269999999999</v>
      </c>
      <c r="AB94">
        <v>90</v>
      </c>
      <c r="AE94">
        <v>0</v>
      </c>
      <c r="AF94">
        <v>5.3305509999999998</v>
      </c>
      <c r="AJ94">
        <v>11.377039999999999</v>
      </c>
      <c r="AK94">
        <v>10.571440000000001</v>
      </c>
      <c r="AL94">
        <v>10.62927</v>
      </c>
      <c r="AM94">
        <v>9.8983290000000004</v>
      </c>
      <c r="AN94">
        <v>10.277760000000001</v>
      </c>
      <c r="AO94">
        <v>10.495380000000001</v>
      </c>
      <c r="AP94">
        <v>10.55294</v>
      </c>
      <c r="AQ94">
        <v>10.196120000000001</v>
      </c>
      <c r="AR94">
        <v>10.82699</v>
      </c>
      <c r="AS94">
        <v>10.977539999999999</v>
      </c>
      <c r="AT94">
        <v>10.07708</v>
      </c>
      <c r="AU94">
        <v>10.15282</v>
      </c>
      <c r="AV94">
        <v>10.626390000000001</v>
      </c>
      <c r="AW94">
        <v>9.4246230000000004</v>
      </c>
      <c r="AX94">
        <v>9.1825550000000007</v>
      </c>
      <c r="AY94">
        <v>9.8945919999999994</v>
      </c>
      <c r="AZ94">
        <v>10.26763</v>
      </c>
      <c r="BA94">
        <v>0</v>
      </c>
      <c r="BB94" t="str">
        <f t="shared" si="5"/>
        <v/>
      </c>
      <c r="BC94">
        <v>678151</v>
      </c>
      <c r="BD94">
        <v>1648.07</v>
      </c>
      <c r="BE94">
        <v>75450633</v>
      </c>
      <c r="BF94">
        <v>29.13165</v>
      </c>
      <c r="BG94">
        <v>1686.5284999999999</v>
      </c>
      <c r="BH94">
        <v>29.13165351</v>
      </c>
    </row>
    <row r="95" spans="1:60">
      <c r="A95">
        <v>20940</v>
      </c>
      <c r="B95" t="s">
        <v>373</v>
      </c>
      <c r="C95">
        <v>26249.599999999999</v>
      </c>
      <c r="D95">
        <v>70817</v>
      </c>
      <c r="E95">
        <v>163093</v>
      </c>
      <c r="F95">
        <v>1.69167E-2</v>
      </c>
      <c r="G95">
        <f t="shared" si="3"/>
        <v>16916.7</v>
      </c>
      <c r="H95" s="51">
        <f t="shared" si="4"/>
        <v>2758995353.0999999</v>
      </c>
      <c r="I95">
        <v>34.730260000000001</v>
      </c>
      <c r="J95">
        <v>10.175409999999999</v>
      </c>
      <c r="K95">
        <v>-4.079453</v>
      </c>
      <c r="L95">
        <v>7.4675250000000002</v>
      </c>
      <c r="M95">
        <v>-2.357742</v>
      </c>
      <c r="N95">
        <v>12.002079999999999</v>
      </c>
      <c r="O95">
        <v>2.3189999999999999E-3</v>
      </c>
      <c r="P95">
        <v>0</v>
      </c>
      <c r="Q95">
        <v>950.06479999999999</v>
      </c>
      <c r="R95">
        <v>1750.269</v>
      </c>
      <c r="S95">
        <v>0</v>
      </c>
      <c r="T95">
        <v>0</v>
      </c>
      <c r="U95">
        <v>378.65069999999997</v>
      </c>
      <c r="V95">
        <v>163093</v>
      </c>
      <c r="W95">
        <v>0</v>
      </c>
      <c r="X95">
        <v>2.3216999999999999E-3</v>
      </c>
      <c r="Y95">
        <v>0</v>
      </c>
      <c r="Z95">
        <v>9.0700600000000006E-2</v>
      </c>
      <c r="AB95">
        <v>92</v>
      </c>
      <c r="AE95">
        <v>0</v>
      </c>
      <c r="AF95">
        <v>10.902620000000001</v>
      </c>
      <c r="AG95">
        <v>9.5189699999999995</v>
      </c>
      <c r="AJ95">
        <v>10.495279999999999</v>
      </c>
      <c r="AK95">
        <v>10.27059</v>
      </c>
      <c r="AL95">
        <v>10.53674</v>
      </c>
      <c r="AM95">
        <v>9.9572579999999995</v>
      </c>
      <c r="AN95">
        <v>10.34033</v>
      </c>
      <c r="AO95">
        <v>10.54636</v>
      </c>
      <c r="AP95">
        <v>10.54594</v>
      </c>
      <c r="AQ95">
        <v>10.046620000000001</v>
      </c>
      <c r="AR95">
        <v>10.46332</v>
      </c>
      <c r="AT95">
        <v>9.6098929999999996</v>
      </c>
      <c r="AU95">
        <v>9.5554330000000007</v>
      </c>
      <c r="AV95">
        <v>10.44463</v>
      </c>
      <c r="AW95">
        <v>9.3714410000000008</v>
      </c>
      <c r="AX95">
        <v>9.4910029999999992</v>
      </c>
      <c r="AY95">
        <v>10.06615</v>
      </c>
      <c r="AZ95">
        <v>9.3056509999999992</v>
      </c>
      <c r="BA95">
        <v>0</v>
      </c>
      <c r="BB95" t="str">
        <f t="shared" si="5"/>
        <v/>
      </c>
      <c r="BC95">
        <v>651072</v>
      </c>
      <c r="BD95">
        <v>4174.732</v>
      </c>
      <c r="BE95">
        <v>20613138</v>
      </c>
      <c r="BF95">
        <v>7.9587770000000004</v>
      </c>
      <c r="BG95">
        <v>4481.6729999999998</v>
      </c>
      <c r="BH95">
        <v>7.9587774150000001</v>
      </c>
    </row>
    <row r="96" spans="1:60">
      <c r="A96">
        <v>21060</v>
      </c>
      <c r="B96" t="s">
        <v>1213</v>
      </c>
      <c r="C96">
        <v>29365.39</v>
      </c>
      <c r="D96">
        <v>71418</v>
      </c>
      <c r="E96">
        <v>112408</v>
      </c>
      <c r="F96">
        <v>2.4099700000000002E-2</v>
      </c>
      <c r="G96">
        <f t="shared" si="3"/>
        <v>24099.7</v>
      </c>
      <c r="H96" s="51">
        <f t="shared" si="4"/>
        <v>2708999077.5999999</v>
      </c>
      <c r="I96">
        <v>43.633000000000003</v>
      </c>
      <c r="J96">
        <v>10.287570000000001</v>
      </c>
      <c r="K96">
        <v>-3.7255560000000001</v>
      </c>
      <c r="L96">
        <v>7.0028629999999996</v>
      </c>
      <c r="M96">
        <v>-1.98776</v>
      </c>
      <c r="N96">
        <v>11.62989</v>
      </c>
      <c r="O96">
        <v>1.1303000000000001E-3</v>
      </c>
      <c r="P96">
        <v>0</v>
      </c>
      <c r="Q96">
        <v>627.11710000000005</v>
      </c>
      <c r="R96">
        <v>1099.778</v>
      </c>
      <c r="S96">
        <v>0</v>
      </c>
      <c r="T96">
        <v>0</v>
      </c>
      <c r="U96">
        <v>127.12560000000001</v>
      </c>
      <c r="V96">
        <v>112408</v>
      </c>
      <c r="W96">
        <v>0</v>
      </c>
      <c r="X96">
        <v>1.1309E-3</v>
      </c>
      <c r="Y96">
        <v>0</v>
      </c>
      <c r="Z96">
        <v>0.14264969999999999</v>
      </c>
      <c r="AE96">
        <v>0</v>
      </c>
      <c r="AF96">
        <v>2.9135209999999998</v>
      </c>
      <c r="AH96">
        <v>10.932259999999999</v>
      </c>
      <c r="AJ96">
        <v>10.442769999999999</v>
      </c>
      <c r="AK96">
        <v>10.67618</v>
      </c>
      <c r="AL96">
        <v>10.46546</v>
      </c>
      <c r="AM96">
        <v>9.9954669999999997</v>
      </c>
      <c r="AN96">
        <v>10.307090000000001</v>
      </c>
      <c r="AO96">
        <v>10.64803</v>
      </c>
      <c r="AP96">
        <v>10.44904</v>
      </c>
      <c r="AQ96">
        <v>9.9155390000000008</v>
      </c>
      <c r="AR96">
        <v>10.25079</v>
      </c>
      <c r="AS96">
        <v>10.911759999999999</v>
      </c>
      <c r="AT96">
        <v>9.9589339999999993</v>
      </c>
      <c r="AU96">
        <v>10.254239999999999</v>
      </c>
      <c r="AV96">
        <v>10.472810000000001</v>
      </c>
      <c r="AW96">
        <v>9.5072650000000003</v>
      </c>
      <c r="AX96">
        <v>9.4155460000000009</v>
      </c>
      <c r="AY96">
        <v>9.8318890000000003</v>
      </c>
      <c r="BB96" t="str">
        <f t="shared" si="5"/>
        <v/>
      </c>
      <c r="BD96">
        <v>891.17340000000002</v>
      </c>
      <c r="BE96">
        <v>40181189</v>
      </c>
      <c r="BF96">
        <v>15.51404</v>
      </c>
      <c r="BG96">
        <v>893.84982000000002</v>
      </c>
      <c r="BH96">
        <v>15.51404447</v>
      </c>
    </row>
    <row r="97" spans="1:60">
      <c r="A97">
        <v>21140</v>
      </c>
      <c r="B97" t="s">
        <v>375</v>
      </c>
      <c r="C97">
        <v>32346.81</v>
      </c>
      <c r="D97">
        <v>145709</v>
      </c>
      <c r="E97">
        <v>200125</v>
      </c>
      <c r="F97">
        <v>4.3128E-2</v>
      </c>
      <c r="G97">
        <f t="shared" si="3"/>
        <v>43128</v>
      </c>
      <c r="H97" s="51">
        <f t="shared" si="4"/>
        <v>8630991000</v>
      </c>
      <c r="I97">
        <v>85.807500000000005</v>
      </c>
      <c r="J97">
        <v>10.384270000000001</v>
      </c>
      <c r="K97">
        <v>-3.1435819999999999</v>
      </c>
      <c r="L97">
        <v>7.3114689999999998</v>
      </c>
      <c r="M97">
        <v>-1.916526</v>
      </c>
      <c r="N97">
        <v>12.2067</v>
      </c>
      <c r="O97">
        <v>8.5720000000000002E-4</v>
      </c>
      <c r="P97">
        <v>0</v>
      </c>
      <c r="Q97">
        <v>915.39779999999996</v>
      </c>
      <c r="R97">
        <v>1497.375</v>
      </c>
      <c r="S97">
        <v>0</v>
      </c>
      <c r="T97">
        <v>0</v>
      </c>
      <c r="U97">
        <v>171.6114</v>
      </c>
      <c r="V97">
        <v>200125</v>
      </c>
      <c r="W97">
        <v>0</v>
      </c>
      <c r="X97">
        <v>8.5749999999999997E-4</v>
      </c>
      <c r="Y97">
        <v>0</v>
      </c>
      <c r="Z97">
        <v>0.37000080000000002</v>
      </c>
      <c r="AB97">
        <v>31</v>
      </c>
      <c r="AE97">
        <v>0</v>
      </c>
      <c r="AF97">
        <v>1.9999579999999999</v>
      </c>
      <c r="AJ97">
        <v>10.74347</v>
      </c>
      <c r="AK97">
        <v>10.436540000000001</v>
      </c>
      <c r="AL97">
        <v>10.574960000000001</v>
      </c>
      <c r="AM97">
        <v>10.01709</v>
      </c>
      <c r="AN97">
        <v>10.511799999999999</v>
      </c>
      <c r="AO97">
        <v>10.503769999999999</v>
      </c>
      <c r="AP97">
        <v>10.632949999999999</v>
      </c>
      <c r="AQ97">
        <v>10.169779999999999</v>
      </c>
      <c r="AR97">
        <v>10.52586</v>
      </c>
      <c r="AS97">
        <v>11.129519999999999</v>
      </c>
      <c r="AT97">
        <v>9.8899810000000006</v>
      </c>
      <c r="AU97">
        <v>9.7040059999999997</v>
      </c>
      <c r="AV97">
        <v>10.49958</v>
      </c>
      <c r="AW97">
        <v>9.5834799999999998</v>
      </c>
      <c r="AX97">
        <v>9.2319309999999994</v>
      </c>
      <c r="AY97">
        <v>9.9419979999999999</v>
      </c>
      <c r="AZ97">
        <v>10.165850000000001</v>
      </c>
      <c r="BA97">
        <v>0</v>
      </c>
      <c r="BB97" t="str">
        <f t="shared" si="5"/>
        <v/>
      </c>
      <c r="BC97">
        <v>431264</v>
      </c>
      <c r="BD97">
        <v>463.81360000000001</v>
      </c>
      <c r="BE97">
        <v>98657845</v>
      </c>
      <c r="BF97">
        <v>38.092010000000002</v>
      </c>
      <c r="BG97">
        <v>467.95859000000002</v>
      </c>
      <c r="BH97">
        <v>38.092008530000001</v>
      </c>
    </row>
    <row r="98" spans="1:60">
      <c r="A98">
        <v>21300</v>
      </c>
      <c r="B98" t="s">
        <v>376</v>
      </c>
      <c r="C98">
        <v>33016.28</v>
      </c>
      <c r="D98">
        <v>49747</v>
      </c>
      <c r="E98">
        <v>87902</v>
      </c>
      <c r="F98">
        <v>2.61996E-2</v>
      </c>
      <c r="G98">
        <f t="shared" si="3"/>
        <v>26199.599999999999</v>
      </c>
      <c r="H98" s="51">
        <f t="shared" si="4"/>
        <v>2302997239.1999998</v>
      </c>
      <c r="I98">
        <v>34.170780000000001</v>
      </c>
      <c r="J98">
        <v>10.40476</v>
      </c>
      <c r="K98">
        <v>-3.64201</v>
      </c>
      <c r="L98">
        <v>7.7806090000000001</v>
      </c>
      <c r="M98">
        <v>-1.6484300000000001</v>
      </c>
      <c r="N98">
        <v>11.383979999999999</v>
      </c>
      <c r="O98">
        <v>1.2310000000000001E-3</v>
      </c>
      <c r="P98">
        <v>0</v>
      </c>
      <c r="Q98">
        <v>861.46699999999998</v>
      </c>
      <c r="R98">
        <v>2393.732</v>
      </c>
      <c r="S98">
        <v>0</v>
      </c>
      <c r="T98">
        <v>0</v>
      </c>
      <c r="U98">
        <v>108.2769</v>
      </c>
      <c r="V98">
        <v>87902</v>
      </c>
      <c r="W98">
        <v>0</v>
      </c>
      <c r="X98">
        <v>1.2317999999999999E-3</v>
      </c>
      <c r="Y98">
        <v>0</v>
      </c>
      <c r="Z98">
        <v>0.26527420000000002</v>
      </c>
      <c r="AB98">
        <v>143</v>
      </c>
      <c r="AE98">
        <v>0</v>
      </c>
      <c r="AF98">
        <v>3.1686999999999999</v>
      </c>
      <c r="AG98">
        <v>9.185022</v>
      </c>
      <c r="AJ98">
        <v>10.88477</v>
      </c>
      <c r="AK98">
        <v>10.74799</v>
      </c>
      <c r="AL98">
        <v>10.68249</v>
      </c>
      <c r="AM98">
        <v>9.9394039999999997</v>
      </c>
      <c r="AN98">
        <v>10.63327</v>
      </c>
      <c r="AP98">
        <v>10.65621</v>
      </c>
      <c r="AQ98">
        <v>10.22236</v>
      </c>
      <c r="AR98">
        <v>10.61783</v>
      </c>
      <c r="AT98">
        <v>9.9980349999999998</v>
      </c>
      <c r="AV98">
        <v>10.51849</v>
      </c>
      <c r="AW98">
        <v>9.5834969999999995</v>
      </c>
      <c r="AX98">
        <v>9.3795590000000004</v>
      </c>
      <c r="AY98">
        <v>9.8052849999999996</v>
      </c>
      <c r="BA98">
        <v>0</v>
      </c>
      <c r="BB98" t="str">
        <f t="shared" si="5"/>
        <v/>
      </c>
      <c r="BC98">
        <v>729407</v>
      </c>
      <c r="BD98">
        <v>408.16989999999998</v>
      </c>
      <c r="BE98">
        <v>18641562</v>
      </c>
      <c r="BF98">
        <v>7.1975470000000001</v>
      </c>
      <c r="BG98">
        <v>410.77875</v>
      </c>
      <c r="BH98">
        <v>7.1975476330000001</v>
      </c>
    </row>
    <row r="99" spans="1:60">
      <c r="A99">
        <v>21340</v>
      </c>
      <c r="B99" t="s">
        <v>374</v>
      </c>
      <c r="C99">
        <v>27438.880000000001</v>
      </c>
      <c r="D99">
        <v>382591</v>
      </c>
      <c r="E99">
        <v>738416</v>
      </c>
      <c r="F99">
        <v>2.7452000000000001E-2</v>
      </c>
      <c r="G99">
        <f t="shared" si="3"/>
        <v>27452</v>
      </c>
      <c r="H99" s="51">
        <f t="shared" si="4"/>
        <v>20270996032</v>
      </c>
      <c r="I99">
        <v>206.38829999999999</v>
      </c>
      <c r="J99">
        <v>10.219720000000001</v>
      </c>
      <c r="K99">
        <v>-3.595316</v>
      </c>
      <c r="L99">
        <v>7.4435539999999998</v>
      </c>
      <c r="M99">
        <v>-1.8971229999999999</v>
      </c>
      <c r="N99">
        <v>13.512259999999999</v>
      </c>
      <c r="O99">
        <v>4.4089999999999998E-4</v>
      </c>
      <c r="P99">
        <v>0</v>
      </c>
      <c r="Q99">
        <v>1297.6079999999999</v>
      </c>
      <c r="R99">
        <v>1708.8130000000001</v>
      </c>
      <c r="S99">
        <v>0</v>
      </c>
      <c r="T99">
        <v>0</v>
      </c>
      <c r="U99">
        <v>325.63600000000002</v>
      </c>
      <c r="V99">
        <v>738416</v>
      </c>
      <c r="W99">
        <v>0</v>
      </c>
      <c r="X99">
        <v>4.4099999999999999E-4</v>
      </c>
      <c r="Y99">
        <v>0</v>
      </c>
      <c r="Z99">
        <v>0.32142340000000003</v>
      </c>
      <c r="AB99">
        <v>273</v>
      </c>
      <c r="AE99">
        <v>0</v>
      </c>
      <c r="AF99">
        <v>1.5777829999999999</v>
      </c>
      <c r="AG99">
        <v>9.848058</v>
      </c>
      <c r="AJ99">
        <v>10.45275</v>
      </c>
      <c r="AK99">
        <v>10.450900000000001</v>
      </c>
      <c r="AL99">
        <v>10.50122</v>
      </c>
      <c r="AM99">
        <v>9.8900799999999993</v>
      </c>
      <c r="AN99">
        <v>10.441129999999999</v>
      </c>
      <c r="AO99">
        <v>10.3292</v>
      </c>
      <c r="AP99">
        <v>10.559229999999999</v>
      </c>
      <c r="AQ99">
        <v>10.22617</v>
      </c>
      <c r="AR99">
        <v>10.474489999999999</v>
      </c>
      <c r="AS99">
        <v>10.93641</v>
      </c>
      <c r="AT99">
        <v>10.00093</v>
      </c>
      <c r="AU99">
        <v>10.05007</v>
      </c>
      <c r="AV99">
        <v>10.47505</v>
      </c>
      <c r="AW99">
        <v>9.7025199999999998</v>
      </c>
      <c r="AX99">
        <v>9.361891</v>
      </c>
      <c r="AY99">
        <v>9.8099690000000006</v>
      </c>
      <c r="BA99">
        <v>0</v>
      </c>
      <c r="BB99" t="str">
        <f t="shared" si="5"/>
        <v/>
      </c>
      <c r="BC99">
        <v>6523543</v>
      </c>
      <c r="BD99">
        <v>1013.106</v>
      </c>
      <c r="BE99">
        <v>389818417</v>
      </c>
      <c r="BF99">
        <v>150.50970000000001</v>
      </c>
      <c r="BG99">
        <v>1014.9407</v>
      </c>
      <c r="BH99">
        <v>150.50973870000001</v>
      </c>
    </row>
    <row r="100" spans="1:60">
      <c r="A100">
        <v>21500</v>
      </c>
      <c r="B100" t="s">
        <v>377</v>
      </c>
      <c r="C100">
        <v>32780.050000000003</v>
      </c>
      <c r="D100">
        <v>164959</v>
      </c>
      <c r="E100">
        <v>279647</v>
      </c>
      <c r="F100">
        <v>3.0191599999999999E-2</v>
      </c>
      <c r="G100">
        <f t="shared" si="3"/>
        <v>30191.599999999999</v>
      </c>
      <c r="H100" s="51">
        <f t="shared" si="4"/>
        <v>8442990365.1999998</v>
      </c>
      <c r="I100">
        <v>96.690190000000001</v>
      </c>
      <c r="J100">
        <v>10.39758</v>
      </c>
      <c r="K100">
        <v>-3.5001899999999999</v>
      </c>
      <c r="L100">
        <v>7.8252110000000004</v>
      </c>
      <c r="M100">
        <v>-1.582524</v>
      </c>
      <c r="N100">
        <v>12.54128</v>
      </c>
      <c r="O100">
        <v>1.1547E-3</v>
      </c>
      <c r="P100">
        <v>0</v>
      </c>
      <c r="Q100">
        <v>1014.498</v>
      </c>
      <c r="R100">
        <v>2502.913</v>
      </c>
      <c r="S100">
        <v>0</v>
      </c>
      <c r="T100">
        <v>0</v>
      </c>
      <c r="U100">
        <v>323.08620000000002</v>
      </c>
      <c r="V100">
        <v>279647</v>
      </c>
      <c r="W100">
        <v>0</v>
      </c>
      <c r="X100">
        <v>1.1552999999999999E-3</v>
      </c>
      <c r="Y100">
        <v>0</v>
      </c>
      <c r="Z100">
        <v>0.40287689999999998</v>
      </c>
      <c r="AB100">
        <v>422</v>
      </c>
      <c r="AE100">
        <v>0</v>
      </c>
      <c r="AF100">
        <v>3.3414579999999998</v>
      </c>
      <c r="AJ100">
        <v>10.647030000000001</v>
      </c>
      <c r="AK100">
        <v>10.806290000000001</v>
      </c>
      <c r="AL100">
        <v>10.637700000000001</v>
      </c>
      <c r="AM100">
        <v>9.9365930000000002</v>
      </c>
      <c r="AN100">
        <v>10.32999</v>
      </c>
      <c r="AO100">
        <v>10.53013</v>
      </c>
      <c r="AQ100">
        <v>10.17024</v>
      </c>
      <c r="AR100">
        <v>10.26867</v>
      </c>
      <c r="AS100">
        <v>10.903729999999999</v>
      </c>
      <c r="AT100">
        <v>9.8009210000000007</v>
      </c>
      <c r="AU100">
        <v>9.8868069999999992</v>
      </c>
      <c r="AV100">
        <v>10.52365</v>
      </c>
      <c r="AW100">
        <v>9.8171060000000008</v>
      </c>
      <c r="AX100">
        <v>9.2794869999999996</v>
      </c>
      <c r="AY100">
        <v>9.8929320000000001</v>
      </c>
      <c r="AZ100">
        <v>10.68815</v>
      </c>
      <c r="BA100">
        <v>0</v>
      </c>
      <c r="BB100" t="str">
        <f t="shared" si="5"/>
        <v/>
      </c>
      <c r="BC100">
        <v>1660161</v>
      </c>
      <c r="BD100">
        <v>801.94780000000003</v>
      </c>
      <c r="BE100">
        <v>49284960</v>
      </c>
      <c r="BF100">
        <v>19.029029999999999</v>
      </c>
      <c r="BG100">
        <v>1557.9857999999999</v>
      </c>
      <c r="BH100">
        <v>19.029030250000002</v>
      </c>
    </row>
    <row r="101" spans="1:60">
      <c r="A101">
        <v>21660</v>
      </c>
      <c r="B101" t="s">
        <v>378</v>
      </c>
      <c r="C101">
        <v>32670.87</v>
      </c>
      <c r="D101">
        <v>205956</v>
      </c>
      <c r="E101">
        <v>348425</v>
      </c>
      <c r="F101">
        <v>2.7632899999999998E-2</v>
      </c>
      <c r="G101">
        <f t="shared" si="3"/>
        <v>27632.899999999998</v>
      </c>
      <c r="H101" s="51">
        <f t="shared" si="4"/>
        <v>9627993182.5</v>
      </c>
      <c r="I101">
        <v>91.733440000000002</v>
      </c>
      <c r="J101">
        <v>10.39424</v>
      </c>
      <c r="K101">
        <v>-3.5887479999999998</v>
      </c>
      <c r="L101">
        <v>7.4194529999999999</v>
      </c>
      <c r="M101">
        <v>-1.4107719999999999</v>
      </c>
      <c r="N101">
        <v>12.76118</v>
      </c>
      <c r="O101">
        <v>1.0462E-3</v>
      </c>
      <c r="P101">
        <v>0</v>
      </c>
      <c r="Q101">
        <v>1212.633</v>
      </c>
      <c r="R101">
        <v>1668.12</v>
      </c>
      <c r="S101">
        <v>0</v>
      </c>
      <c r="T101">
        <v>0</v>
      </c>
      <c r="U101">
        <v>364.70179999999999</v>
      </c>
      <c r="V101">
        <v>348425</v>
      </c>
      <c r="W101">
        <v>0</v>
      </c>
      <c r="X101">
        <v>1.0467E-3</v>
      </c>
      <c r="Y101">
        <v>0</v>
      </c>
      <c r="Z101">
        <v>8.0083799999999997E-2</v>
      </c>
      <c r="AB101">
        <v>590</v>
      </c>
      <c r="AE101">
        <v>0</v>
      </c>
      <c r="AF101">
        <v>3.97567</v>
      </c>
      <c r="AG101">
        <v>10.50061</v>
      </c>
      <c r="AH101">
        <v>10.65183</v>
      </c>
      <c r="AI101">
        <v>11.14198</v>
      </c>
      <c r="AJ101">
        <v>10.61938</v>
      </c>
      <c r="AK101">
        <v>10.5855</v>
      </c>
      <c r="AL101">
        <v>10.685409999999999</v>
      </c>
      <c r="AM101">
        <v>10.029210000000001</v>
      </c>
      <c r="AN101">
        <v>10.41619</v>
      </c>
      <c r="AO101">
        <v>10.760630000000001</v>
      </c>
      <c r="AP101">
        <v>10.767150000000001</v>
      </c>
      <c r="AQ101">
        <v>10.123060000000001</v>
      </c>
      <c r="AR101">
        <v>10.60636</v>
      </c>
      <c r="AS101">
        <v>11.125999999999999</v>
      </c>
      <c r="AT101">
        <v>10.044460000000001</v>
      </c>
      <c r="AU101">
        <v>9.9901900000000001</v>
      </c>
      <c r="AV101">
        <v>10.597630000000001</v>
      </c>
      <c r="AW101">
        <v>9.4969429999999999</v>
      </c>
      <c r="AX101">
        <v>9.5295489999999994</v>
      </c>
      <c r="AY101">
        <v>10.038830000000001</v>
      </c>
      <c r="BA101">
        <v>0</v>
      </c>
      <c r="BB101" t="str">
        <f t="shared" si="5"/>
        <v/>
      </c>
      <c r="BC101">
        <v>3334041</v>
      </c>
      <c r="BD101">
        <v>4554.0039999999999</v>
      </c>
      <c r="BE101">
        <v>150045466</v>
      </c>
      <c r="BF101">
        <v>57.932879999999997</v>
      </c>
      <c r="BG101">
        <v>4721.6959999999999</v>
      </c>
      <c r="BH101">
        <v>57.932880769999997</v>
      </c>
    </row>
    <row r="102" spans="1:60">
      <c r="A102">
        <v>21780</v>
      </c>
      <c r="B102" t="s">
        <v>379</v>
      </c>
      <c r="C102">
        <v>35386.19</v>
      </c>
      <c r="D102">
        <v>211987</v>
      </c>
      <c r="E102">
        <v>350614</v>
      </c>
      <c r="F102">
        <v>4.1726800000000001E-2</v>
      </c>
      <c r="G102">
        <f t="shared" si="3"/>
        <v>41726.800000000003</v>
      </c>
      <c r="H102" s="51">
        <f t="shared" si="4"/>
        <v>14630000255.200001</v>
      </c>
      <c r="I102">
        <v>124.4743</v>
      </c>
      <c r="J102">
        <v>10.474080000000001</v>
      </c>
      <c r="K102">
        <v>-3.176612</v>
      </c>
      <c r="L102">
        <v>7.5517760000000003</v>
      </c>
      <c r="M102">
        <v>-1.748176</v>
      </c>
      <c r="N102">
        <v>12.767440000000001</v>
      </c>
      <c r="O102">
        <v>1.1823000000000001E-3</v>
      </c>
      <c r="P102">
        <v>0</v>
      </c>
      <c r="Q102">
        <v>1010.5940000000001</v>
      </c>
      <c r="R102">
        <v>1904.1220000000001</v>
      </c>
      <c r="S102">
        <v>0</v>
      </c>
      <c r="T102">
        <v>0</v>
      </c>
      <c r="U102">
        <v>414.77499999999998</v>
      </c>
      <c r="V102">
        <v>350614</v>
      </c>
      <c r="W102">
        <v>0</v>
      </c>
      <c r="X102">
        <v>1.183E-3</v>
      </c>
      <c r="Y102">
        <v>0</v>
      </c>
      <c r="Z102">
        <v>0.18106059999999999</v>
      </c>
      <c r="AB102">
        <v>141</v>
      </c>
      <c r="AE102">
        <v>0</v>
      </c>
      <c r="AF102">
        <v>3.3322129999999999</v>
      </c>
      <c r="AH102">
        <v>11.32869</v>
      </c>
      <c r="AI102">
        <v>11.03402</v>
      </c>
      <c r="AJ102">
        <v>10.879479999999999</v>
      </c>
      <c r="AK102">
        <v>10.690189999999999</v>
      </c>
      <c r="AL102">
        <v>10.60111</v>
      </c>
      <c r="AM102">
        <v>9.9732430000000001</v>
      </c>
      <c r="AN102">
        <v>10.11154</v>
      </c>
      <c r="AO102">
        <v>10.60197</v>
      </c>
      <c r="AP102">
        <v>10.81765</v>
      </c>
      <c r="AQ102">
        <v>10.193440000000001</v>
      </c>
      <c r="AR102">
        <v>10.6454</v>
      </c>
      <c r="AS102">
        <v>11.25431</v>
      </c>
      <c r="AT102">
        <v>9.933999</v>
      </c>
      <c r="AU102">
        <v>10.15718</v>
      </c>
      <c r="AV102">
        <v>10.53206</v>
      </c>
      <c r="AW102">
        <v>9.5837190000000003</v>
      </c>
      <c r="AX102">
        <v>9.4719960000000007</v>
      </c>
      <c r="AY102">
        <v>10.05964</v>
      </c>
      <c r="BA102">
        <v>0</v>
      </c>
      <c r="BB102" t="str">
        <f t="shared" si="5"/>
        <v/>
      </c>
      <c r="BC102">
        <v>1191468</v>
      </c>
      <c r="BD102">
        <v>2290.808</v>
      </c>
      <c r="BE102">
        <v>113896412</v>
      </c>
      <c r="BF102">
        <v>43.975650000000002</v>
      </c>
      <c r="BG102">
        <v>2347.8136</v>
      </c>
      <c r="BH102">
        <v>43.975652400000001</v>
      </c>
    </row>
    <row r="103" spans="1:60">
      <c r="A103">
        <v>21820</v>
      </c>
      <c r="B103" t="s">
        <v>380</v>
      </c>
      <c r="C103">
        <v>43813.14</v>
      </c>
      <c r="D103">
        <v>60183</v>
      </c>
      <c r="E103">
        <v>98351</v>
      </c>
      <c r="F103">
        <v>3.0940200000000001E-2</v>
      </c>
      <c r="G103">
        <f t="shared" si="3"/>
        <v>30940.2</v>
      </c>
      <c r="H103" s="51">
        <f t="shared" si="4"/>
        <v>3042999610.1999998</v>
      </c>
      <c r="I103">
        <v>82.779330000000002</v>
      </c>
      <c r="J103">
        <v>10.68769</v>
      </c>
      <c r="K103">
        <v>-3.4756990000000001</v>
      </c>
      <c r="L103">
        <v>6.9288189999999998</v>
      </c>
      <c r="M103">
        <v>-1.49851</v>
      </c>
      <c r="N103">
        <v>11.4963</v>
      </c>
      <c r="O103">
        <v>2.4987E-3</v>
      </c>
      <c r="P103">
        <v>0</v>
      </c>
      <c r="Q103">
        <v>239.14179999999999</v>
      </c>
      <c r="R103">
        <v>1021.287</v>
      </c>
      <c r="S103">
        <v>0</v>
      </c>
      <c r="T103">
        <v>0</v>
      </c>
      <c r="U103">
        <v>246.06139999999999</v>
      </c>
      <c r="V103">
        <v>98351</v>
      </c>
      <c r="W103">
        <v>0</v>
      </c>
      <c r="X103">
        <v>2.5019E-3</v>
      </c>
      <c r="Y103">
        <v>0</v>
      </c>
      <c r="Z103">
        <v>3.34039E-2</v>
      </c>
      <c r="AB103">
        <v>96</v>
      </c>
      <c r="AE103">
        <v>0</v>
      </c>
      <c r="AF103">
        <v>2.9724979999999999</v>
      </c>
      <c r="AH103">
        <v>11.16511</v>
      </c>
      <c r="AJ103">
        <v>11.32405</v>
      </c>
      <c r="AK103">
        <v>10.97897</v>
      </c>
      <c r="AL103">
        <v>10.80951</v>
      </c>
      <c r="AM103">
        <v>10.28533</v>
      </c>
      <c r="AN103">
        <v>10.814909999999999</v>
      </c>
      <c r="AO103">
        <v>10.97289</v>
      </c>
      <c r="AP103">
        <v>10.768549999999999</v>
      </c>
      <c r="AQ103">
        <v>10.62832</v>
      </c>
      <c r="AR103">
        <v>10.90048</v>
      </c>
      <c r="AT103">
        <v>11.02449</v>
      </c>
      <c r="AU103">
        <v>9.9266349999999992</v>
      </c>
      <c r="AV103">
        <v>10.823130000000001</v>
      </c>
      <c r="AW103">
        <v>9.2056979999999999</v>
      </c>
      <c r="AX103">
        <v>9.8388530000000003</v>
      </c>
      <c r="AY103">
        <v>10.23831</v>
      </c>
      <c r="BA103">
        <v>0</v>
      </c>
      <c r="BB103" t="str">
        <f t="shared" si="5"/>
        <v/>
      </c>
      <c r="BC103">
        <v>375675</v>
      </c>
      <c r="BD103">
        <v>7366.2439999999997</v>
      </c>
      <c r="BE103">
        <v>39143215</v>
      </c>
      <c r="BF103">
        <v>15.11328</v>
      </c>
      <c r="BG103">
        <v>7443.8436000000002</v>
      </c>
      <c r="BH103">
        <v>15.11328045</v>
      </c>
    </row>
    <row r="104" spans="1:60">
      <c r="A104">
        <v>22020</v>
      </c>
      <c r="B104" t="s">
        <v>978</v>
      </c>
      <c r="C104">
        <v>33288.58</v>
      </c>
      <c r="D104">
        <v>152423</v>
      </c>
      <c r="E104">
        <v>195948</v>
      </c>
      <c r="F104">
        <v>4.6236800000000002E-2</v>
      </c>
      <c r="G104">
        <f t="shared" si="3"/>
        <v>46236.800000000003</v>
      </c>
      <c r="H104" s="51">
        <f t="shared" si="4"/>
        <v>9060008486.3999996</v>
      </c>
      <c r="I104">
        <v>45.637160000000002</v>
      </c>
      <c r="J104">
        <v>10.41297</v>
      </c>
      <c r="K104">
        <v>-3.0739800000000002</v>
      </c>
      <c r="L104">
        <v>7.6740539999999999</v>
      </c>
      <c r="M104">
        <v>-1.378803</v>
      </c>
      <c r="N104">
        <v>12.18561</v>
      </c>
      <c r="O104">
        <v>1.8951E-3</v>
      </c>
      <c r="P104">
        <v>0</v>
      </c>
      <c r="Q104">
        <v>1575.7550000000001</v>
      </c>
      <c r="R104">
        <v>2151.7869999999998</v>
      </c>
      <c r="S104">
        <v>0</v>
      </c>
      <c r="T104">
        <v>0</v>
      </c>
      <c r="U104">
        <v>371.68810000000002</v>
      </c>
      <c r="V104">
        <v>195948</v>
      </c>
      <c r="W104">
        <v>0</v>
      </c>
      <c r="X104">
        <v>1.8969E-3</v>
      </c>
      <c r="Y104">
        <v>0</v>
      </c>
      <c r="Z104">
        <v>0.13225110000000001</v>
      </c>
      <c r="AE104">
        <v>0</v>
      </c>
      <c r="AF104">
        <v>8.1444189999999992</v>
      </c>
      <c r="AJ104">
        <v>10.904949999999999</v>
      </c>
      <c r="AK104">
        <v>10.599919999999999</v>
      </c>
      <c r="AL104">
        <v>10.78454</v>
      </c>
      <c r="AM104">
        <v>9.9799589999999991</v>
      </c>
      <c r="AN104">
        <v>10.44652</v>
      </c>
      <c r="AO104">
        <v>11.037559999999999</v>
      </c>
      <c r="AP104">
        <v>10.74887</v>
      </c>
      <c r="AQ104">
        <v>10.228680000000001</v>
      </c>
      <c r="AR104">
        <v>10.68174</v>
      </c>
      <c r="AS104">
        <v>9.9560680000000001</v>
      </c>
      <c r="AT104">
        <v>10.12551</v>
      </c>
      <c r="AU104">
        <v>9.868487</v>
      </c>
      <c r="AV104">
        <v>10.55982</v>
      </c>
      <c r="AW104">
        <v>9.6735050000000005</v>
      </c>
      <c r="AX104">
        <v>9.3615929999999992</v>
      </c>
      <c r="AY104">
        <v>9.9329979999999995</v>
      </c>
      <c r="BB104" t="str">
        <f t="shared" si="5"/>
        <v/>
      </c>
      <c r="BD104">
        <v>2810.4720000000002</v>
      </c>
      <c r="BE104">
        <v>67458296</v>
      </c>
      <c r="BF104">
        <v>26.04579</v>
      </c>
      <c r="BG104">
        <v>2820.5486999999998</v>
      </c>
      <c r="BH104">
        <v>26.04579481</v>
      </c>
    </row>
    <row r="105" spans="1:60">
      <c r="A105">
        <v>22140</v>
      </c>
      <c r="B105" t="s">
        <v>979</v>
      </c>
      <c r="C105">
        <v>40577.93</v>
      </c>
      <c r="D105">
        <v>67574</v>
      </c>
      <c r="E105">
        <v>122407</v>
      </c>
      <c r="F105">
        <v>5.3354800000000001E-2</v>
      </c>
      <c r="G105">
        <f t="shared" si="3"/>
        <v>53354.8</v>
      </c>
      <c r="H105" s="51">
        <f t="shared" si="4"/>
        <v>6531001003.6000004</v>
      </c>
      <c r="I105">
        <v>55.668100000000003</v>
      </c>
      <c r="J105">
        <v>10.61098</v>
      </c>
      <c r="K105">
        <v>-2.9307910000000001</v>
      </c>
      <c r="L105">
        <v>7.2152919999999998</v>
      </c>
      <c r="M105">
        <v>-2.1214279999999999</v>
      </c>
      <c r="N105">
        <v>11.715109999999999</v>
      </c>
      <c r="O105">
        <v>2.4789E-3</v>
      </c>
      <c r="P105">
        <v>0</v>
      </c>
      <c r="Q105">
        <v>705.8261</v>
      </c>
      <c r="R105">
        <v>1360.07</v>
      </c>
      <c r="S105">
        <v>0</v>
      </c>
      <c r="T105">
        <v>0</v>
      </c>
      <c r="U105">
        <v>303.80579999999998</v>
      </c>
      <c r="V105">
        <v>122407</v>
      </c>
      <c r="W105">
        <v>0</v>
      </c>
      <c r="X105">
        <v>2.4819E-3</v>
      </c>
      <c r="Y105">
        <v>0</v>
      </c>
      <c r="Z105">
        <v>5.5097E-2</v>
      </c>
      <c r="AE105">
        <v>0</v>
      </c>
      <c r="AF105">
        <v>5.4574480000000003</v>
      </c>
      <c r="AH105">
        <v>11.128959999999999</v>
      </c>
      <c r="AJ105">
        <v>10.725099999999999</v>
      </c>
      <c r="AK105">
        <v>10.637130000000001</v>
      </c>
      <c r="AL105">
        <v>10.86384</v>
      </c>
      <c r="AM105">
        <v>10.123810000000001</v>
      </c>
      <c r="AN105">
        <v>10.968680000000001</v>
      </c>
      <c r="AO105">
        <v>10.41179</v>
      </c>
      <c r="AP105">
        <v>10.39133</v>
      </c>
      <c r="AQ105">
        <v>10.887130000000001</v>
      </c>
      <c r="AR105">
        <v>10.7707</v>
      </c>
      <c r="AS105">
        <v>11.3855</v>
      </c>
      <c r="AT105">
        <v>10.406790000000001</v>
      </c>
      <c r="AU105">
        <v>10.237550000000001</v>
      </c>
      <c r="AV105">
        <v>10.569089999999999</v>
      </c>
      <c r="AW105">
        <v>9.8924249999999994</v>
      </c>
      <c r="AX105">
        <v>9.402514</v>
      </c>
      <c r="AY105">
        <v>10.249639999999999</v>
      </c>
      <c r="BB105" t="str">
        <f t="shared" si="5"/>
        <v/>
      </c>
      <c r="BD105">
        <v>5514.0169999999998</v>
      </c>
      <c r="BE105">
        <v>56950140</v>
      </c>
      <c r="BF105">
        <v>21.988569999999999</v>
      </c>
      <c r="BG105">
        <v>5538.3890000000001</v>
      </c>
      <c r="BH105">
        <v>21.988572919999999</v>
      </c>
    </row>
    <row r="106" spans="1:60">
      <c r="A106">
        <v>22220</v>
      </c>
      <c r="B106" t="s">
        <v>381</v>
      </c>
      <c r="C106">
        <v>37201.99</v>
      </c>
      <c r="D106">
        <v>266751</v>
      </c>
      <c r="E106">
        <v>455408</v>
      </c>
      <c r="F106">
        <v>3.4402099999999998E-2</v>
      </c>
      <c r="G106">
        <f t="shared" si="3"/>
        <v>34402.1</v>
      </c>
      <c r="H106" s="51">
        <f t="shared" si="4"/>
        <v>15666991556.799999</v>
      </c>
      <c r="I106">
        <v>134.4554</v>
      </c>
      <c r="J106">
        <v>10.52412</v>
      </c>
      <c r="K106">
        <v>-3.369637</v>
      </c>
      <c r="L106">
        <v>7.0550709999999999</v>
      </c>
      <c r="M106">
        <v>-1.632528</v>
      </c>
      <c r="N106">
        <v>13.02895</v>
      </c>
      <c r="O106">
        <v>1.0640999999999999E-3</v>
      </c>
      <c r="P106">
        <v>0</v>
      </c>
      <c r="Q106">
        <v>939.94719999999995</v>
      </c>
      <c r="R106">
        <v>1158.72</v>
      </c>
      <c r="S106">
        <v>0</v>
      </c>
      <c r="T106">
        <v>0</v>
      </c>
      <c r="U106">
        <v>484.87349999999998</v>
      </c>
      <c r="V106">
        <v>455408</v>
      </c>
      <c r="W106">
        <v>0</v>
      </c>
      <c r="X106">
        <v>1.0647E-3</v>
      </c>
      <c r="Y106">
        <v>0</v>
      </c>
      <c r="Z106">
        <v>0.15285879999999999</v>
      </c>
      <c r="AB106">
        <v>650</v>
      </c>
      <c r="AE106">
        <v>0</v>
      </c>
      <c r="AF106">
        <v>3.6062029999999998</v>
      </c>
      <c r="AG106">
        <v>10.217140000000001</v>
      </c>
      <c r="AH106">
        <v>11.195790000000001</v>
      </c>
      <c r="AI106">
        <v>10.930859999999999</v>
      </c>
      <c r="AJ106">
        <v>10.50291</v>
      </c>
      <c r="AK106">
        <v>10.36187</v>
      </c>
      <c r="AL106">
        <v>10.80036</v>
      </c>
      <c r="AM106">
        <v>10.008570000000001</v>
      </c>
      <c r="AN106">
        <v>10.615589999999999</v>
      </c>
      <c r="AO106">
        <v>10.848380000000001</v>
      </c>
      <c r="AP106">
        <v>10.63227</v>
      </c>
      <c r="AQ106">
        <v>10.18702</v>
      </c>
      <c r="AR106">
        <v>10.86918</v>
      </c>
      <c r="AS106">
        <v>11.097390000000001</v>
      </c>
      <c r="AT106">
        <v>10.19988</v>
      </c>
      <c r="AU106">
        <v>9.7020669999999996</v>
      </c>
      <c r="AV106">
        <v>10.56062</v>
      </c>
      <c r="AW106">
        <v>9.8657780000000006</v>
      </c>
      <c r="AX106">
        <v>9.3977170000000001</v>
      </c>
      <c r="AY106">
        <v>10.04205</v>
      </c>
      <c r="AZ106">
        <v>10.757899999999999</v>
      </c>
      <c r="BA106">
        <v>0</v>
      </c>
      <c r="BB106" t="str">
        <f t="shared" si="5"/>
        <v/>
      </c>
      <c r="BC106">
        <v>617528</v>
      </c>
      <c r="BD106">
        <v>3172.0360000000001</v>
      </c>
      <c r="BE106">
        <v>250339559</v>
      </c>
      <c r="BF106">
        <v>96.656649999999999</v>
      </c>
      <c r="BG106">
        <v>3213.0918999999999</v>
      </c>
      <c r="BH106">
        <v>96.656648219999994</v>
      </c>
    </row>
    <row r="107" spans="1:60">
      <c r="A107">
        <v>22380</v>
      </c>
      <c r="B107" t="s">
        <v>382</v>
      </c>
      <c r="C107">
        <v>31467.84</v>
      </c>
      <c r="D107">
        <v>86170</v>
      </c>
      <c r="E107">
        <v>128426</v>
      </c>
      <c r="F107">
        <v>2.5999399999999999E-2</v>
      </c>
      <c r="G107">
        <f t="shared" si="3"/>
        <v>25999.399999999998</v>
      </c>
      <c r="H107" s="51">
        <f t="shared" si="4"/>
        <v>3338998944.3999996</v>
      </c>
      <c r="I107">
        <v>47.914110000000001</v>
      </c>
      <c r="J107">
        <v>10.356719999999999</v>
      </c>
      <c r="K107">
        <v>-3.6496819999999999</v>
      </c>
      <c r="L107">
        <v>7.1879600000000003</v>
      </c>
      <c r="M107">
        <v>-1.410817</v>
      </c>
      <c r="N107">
        <v>11.763109999999999</v>
      </c>
      <c r="O107">
        <v>4.2008999999999996E-3</v>
      </c>
      <c r="P107">
        <v>0</v>
      </c>
      <c r="Q107">
        <v>826.3537</v>
      </c>
      <c r="R107">
        <v>1323.4010000000001</v>
      </c>
      <c r="S107">
        <v>0</v>
      </c>
      <c r="T107">
        <v>0</v>
      </c>
      <c r="U107">
        <v>540.63409999999999</v>
      </c>
      <c r="V107">
        <v>128426</v>
      </c>
      <c r="W107">
        <v>0</v>
      </c>
      <c r="X107">
        <v>4.2097000000000002E-3</v>
      </c>
      <c r="Y107">
        <v>0</v>
      </c>
      <c r="Z107">
        <v>2.9039100000000002E-2</v>
      </c>
      <c r="AB107">
        <v>179</v>
      </c>
      <c r="AE107">
        <v>0</v>
      </c>
      <c r="AF107">
        <v>11.2834</v>
      </c>
      <c r="AJ107">
        <v>10.360519999999999</v>
      </c>
      <c r="AL107">
        <v>10.5419</v>
      </c>
      <c r="AM107">
        <v>9.9494749999999996</v>
      </c>
      <c r="AN107">
        <v>10.5746</v>
      </c>
      <c r="AO107">
        <v>10.42803</v>
      </c>
      <c r="AP107">
        <v>10.480600000000001</v>
      </c>
      <c r="AQ107">
        <v>10.494590000000001</v>
      </c>
      <c r="AR107">
        <v>10.49263</v>
      </c>
      <c r="AS107">
        <v>10.897679999999999</v>
      </c>
      <c r="AT107">
        <v>9.9227589999999992</v>
      </c>
      <c r="AU107">
        <v>10.315200000000001</v>
      </c>
      <c r="AV107">
        <v>10.67449</v>
      </c>
      <c r="AW107">
        <v>9.8606090000000002</v>
      </c>
      <c r="AX107">
        <v>9.8003040000000006</v>
      </c>
      <c r="AY107">
        <v>10.005330000000001</v>
      </c>
      <c r="BA107">
        <v>0</v>
      </c>
      <c r="BB107" t="str">
        <f t="shared" si="5"/>
        <v/>
      </c>
      <c r="BC107">
        <v>650082</v>
      </c>
      <c r="BD107">
        <v>18617.419999999998</v>
      </c>
      <c r="BE107">
        <v>61796442</v>
      </c>
      <c r="BF107">
        <v>23.859739999999999</v>
      </c>
      <c r="BG107">
        <v>18661.326000000001</v>
      </c>
      <c r="BH107">
        <v>23.85974066</v>
      </c>
    </row>
    <row r="108" spans="1:60">
      <c r="A108">
        <v>22420</v>
      </c>
      <c r="B108" t="s">
        <v>383</v>
      </c>
      <c r="C108">
        <v>36288.06</v>
      </c>
      <c r="D108">
        <v>199443</v>
      </c>
      <c r="E108">
        <v>428859</v>
      </c>
      <c r="F108">
        <v>2.27837E-2</v>
      </c>
      <c r="G108">
        <f t="shared" si="3"/>
        <v>22783.7</v>
      </c>
      <c r="H108" s="51">
        <f t="shared" si="4"/>
        <v>9770994798.2999992</v>
      </c>
      <c r="I108">
        <v>228.48269999999999</v>
      </c>
      <c r="J108">
        <v>10.49924</v>
      </c>
      <c r="K108">
        <v>-3.7817090000000002</v>
      </c>
      <c r="L108">
        <v>7.2297979999999997</v>
      </c>
      <c r="M108">
        <v>-1.847634</v>
      </c>
      <c r="N108">
        <v>12.96888</v>
      </c>
      <c r="O108">
        <v>5.867E-4</v>
      </c>
      <c r="P108">
        <v>0</v>
      </c>
      <c r="Q108">
        <v>535.03390000000002</v>
      </c>
      <c r="R108">
        <v>1379.944</v>
      </c>
      <c r="S108">
        <v>0</v>
      </c>
      <c r="T108">
        <v>0</v>
      </c>
      <c r="U108">
        <v>251.66579999999999</v>
      </c>
      <c r="V108">
        <v>428859</v>
      </c>
      <c r="W108">
        <v>0</v>
      </c>
      <c r="X108">
        <v>5.8679999999999995E-4</v>
      </c>
      <c r="Y108">
        <v>0</v>
      </c>
      <c r="Z108">
        <v>0.39344899999999999</v>
      </c>
      <c r="AB108">
        <v>422</v>
      </c>
      <c r="AE108">
        <v>0</v>
      </c>
      <c r="AF108">
        <v>1.1014649999999999</v>
      </c>
      <c r="AJ108">
        <v>10.753880000000001</v>
      </c>
      <c r="AK108">
        <v>10.96457</v>
      </c>
      <c r="AL108">
        <v>11.08647</v>
      </c>
      <c r="AM108">
        <v>10.00281</v>
      </c>
      <c r="AN108">
        <v>10.418060000000001</v>
      </c>
      <c r="AO108">
        <v>10.850680000000001</v>
      </c>
      <c r="AP108">
        <v>10.796950000000001</v>
      </c>
      <c r="AQ108">
        <v>10.358029999999999</v>
      </c>
      <c r="AR108">
        <v>10.524609999999999</v>
      </c>
      <c r="AS108">
        <v>11.180619999999999</v>
      </c>
      <c r="AT108">
        <v>10.250730000000001</v>
      </c>
      <c r="AU108">
        <v>10.363670000000001</v>
      </c>
      <c r="AV108">
        <v>10.636200000000001</v>
      </c>
      <c r="AW108">
        <v>9.6237110000000001</v>
      </c>
      <c r="AX108">
        <v>9.3467450000000003</v>
      </c>
      <c r="AY108">
        <v>10.145350000000001</v>
      </c>
      <c r="AZ108">
        <v>10.52205</v>
      </c>
      <c r="BA108">
        <v>0</v>
      </c>
      <c r="BB108" t="str">
        <f t="shared" si="5"/>
        <v/>
      </c>
      <c r="BC108">
        <v>3208478</v>
      </c>
      <c r="BD108">
        <v>639.64009999999996</v>
      </c>
      <c r="BE108">
        <v>86546668</v>
      </c>
      <c r="BF108">
        <v>33.415860000000002</v>
      </c>
      <c r="BG108">
        <v>649.58694000000003</v>
      </c>
      <c r="BH108">
        <v>33.415856750000003</v>
      </c>
    </row>
    <row r="109" spans="1:60">
      <c r="A109">
        <v>22500</v>
      </c>
      <c r="B109" t="s">
        <v>384</v>
      </c>
      <c r="C109">
        <v>34081.699999999997</v>
      </c>
      <c r="D109">
        <v>117854</v>
      </c>
      <c r="E109">
        <v>200231</v>
      </c>
      <c r="F109">
        <v>2.8601999999999999E-2</v>
      </c>
      <c r="G109">
        <f t="shared" si="3"/>
        <v>28602</v>
      </c>
      <c r="H109" s="51">
        <f t="shared" si="4"/>
        <v>5727007062</v>
      </c>
      <c r="I109">
        <v>95.150499999999994</v>
      </c>
      <c r="J109">
        <v>10.43652</v>
      </c>
      <c r="K109">
        <v>-3.5542799999999999</v>
      </c>
      <c r="L109">
        <v>6.9077849999999996</v>
      </c>
      <c r="M109">
        <v>-1.811434</v>
      </c>
      <c r="N109">
        <v>12.207229999999999</v>
      </c>
      <c r="O109">
        <v>1.5812999999999999E-3</v>
      </c>
      <c r="P109">
        <v>0</v>
      </c>
      <c r="Q109">
        <v>607.90009999999995</v>
      </c>
      <c r="R109">
        <v>1000.03</v>
      </c>
      <c r="S109">
        <v>0</v>
      </c>
      <c r="T109">
        <v>0</v>
      </c>
      <c r="U109">
        <v>316.86720000000003</v>
      </c>
      <c r="V109">
        <v>200231</v>
      </c>
      <c r="W109">
        <v>0</v>
      </c>
      <c r="X109">
        <v>1.5824999999999999E-3</v>
      </c>
      <c r="Y109">
        <v>0</v>
      </c>
      <c r="Z109">
        <v>0.23282169999999999</v>
      </c>
      <c r="AB109">
        <v>127</v>
      </c>
      <c r="AE109">
        <v>0</v>
      </c>
      <c r="AF109">
        <v>3.3301690000000002</v>
      </c>
      <c r="AG109">
        <v>10.17041</v>
      </c>
      <c r="AJ109">
        <v>10.46449</v>
      </c>
      <c r="AK109">
        <v>10.754289999999999</v>
      </c>
      <c r="AL109">
        <v>10.577400000000001</v>
      </c>
      <c r="AM109">
        <v>9.8959240000000008</v>
      </c>
      <c r="AN109">
        <v>10.63992</v>
      </c>
      <c r="AO109">
        <v>10.40517</v>
      </c>
      <c r="AP109">
        <v>10.69262</v>
      </c>
      <c r="AQ109">
        <v>10.27876</v>
      </c>
      <c r="AR109">
        <v>10.5648</v>
      </c>
      <c r="AS109">
        <v>13.8203</v>
      </c>
      <c r="AT109">
        <v>10.10216</v>
      </c>
      <c r="AU109">
        <v>9.7658660000000008</v>
      </c>
      <c r="AV109">
        <v>10.626760000000001</v>
      </c>
      <c r="AW109">
        <v>9.4156399999999998</v>
      </c>
      <c r="AX109">
        <v>9.3419489999999996</v>
      </c>
      <c r="AY109">
        <v>9.8345450000000003</v>
      </c>
      <c r="BA109">
        <v>0</v>
      </c>
      <c r="BB109" t="str">
        <f t="shared" si="5"/>
        <v/>
      </c>
      <c r="BC109">
        <v>144738</v>
      </c>
      <c r="BD109">
        <v>1360.9870000000001</v>
      </c>
      <c r="BE109">
        <v>87803128</v>
      </c>
      <c r="BF109">
        <v>33.900979999999997</v>
      </c>
      <c r="BG109">
        <v>1370.5379</v>
      </c>
      <c r="BH109">
        <v>33.900978690000002</v>
      </c>
    </row>
    <row r="110" spans="1:60">
      <c r="A110">
        <v>22520</v>
      </c>
      <c r="B110" t="s">
        <v>1215</v>
      </c>
      <c r="C110">
        <v>27700.98</v>
      </c>
      <c r="D110">
        <v>75519</v>
      </c>
      <c r="E110">
        <v>143826</v>
      </c>
      <c r="F110">
        <v>2.1616400000000001E-2</v>
      </c>
      <c r="G110">
        <f t="shared" si="3"/>
        <v>21616.400000000001</v>
      </c>
      <c r="H110" s="51">
        <f t="shared" si="4"/>
        <v>3109000346.4000001</v>
      </c>
      <c r="I110">
        <v>52.160240000000002</v>
      </c>
      <c r="J110">
        <v>10.22922</v>
      </c>
      <c r="K110">
        <v>-3.8343029999999998</v>
      </c>
      <c r="L110">
        <v>6.782705</v>
      </c>
      <c r="M110">
        <v>-1.7584960000000001</v>
      </c>
      <c r="N110">
        <v>11.87636</v>
      </c>
      <c r="O110">
        <v>1.4625E-3</v>
      </c>
      <c r="P110">
        <v>0</v>
      </c>
      <c r="Q110">
        <v>663.45550000000003</v>
      </c>
      <c r="R110">
        <v>882.4529</v>
      </c>
      <c r="S110">
        <v>0</v>
      </c>
      <c r="T110">
        <v>0</v>
      </c>
      <c r="U110">
        <v>210.49510000000001</v>
      </c>
      <c r="V110">
        <v>143826</v>
      </c>
      <c r="W110">
        <v>0</v>
      </c>
      <c r="X110">
        <v>1.4635E-3</v>
      </c>
      <c r="Y110">
        <v>0</v>
      </c>
      <c r="Z110">
        <v>0.16653180000000001</v>
      </c>
      <c r="AB110">
        <v>0</v>
      </c>
      <c r="AE110">
        <v>0</v>
      </c>
      <c r="AF110">
        <v>4.0355470000000002</v>
      </c>
      <c r="AG110">
        <v>10.53983</v>
      </c>
      <c r="AJ110">
        <v>10.58572</v>
      </c>
      <c r="AK110">
        <v>10.54279</v>
      </c>
      <c r="AL110">
        <v>10.40019</v>
      </c>
      <c r="AM110">
        <v>9.9769989999999993</v>
      </c>
      <c r="AN110">
        <v>10.40692</v>
      </c>
      <c r="AO110">
        <v>10.347580000000001</v>
      </c>
      <c r="AP110">
        <v>11.17043</v>
      </c>
      <c r="AQ110">
        <v>10.148070000000001</v>
      </c>
      <c r="AR110">
        <v>10.35045</v>
      </c>
      <c r="AS110">
        <v>11.01238</v>
      </c>
      <c r="AT110">
        <v>9.6513679999999997</v>
      </c>
      <c r="AU110">
        <v>9.6794809999999991</v>
      </c>
      <c r="AV110">
        <v>10.45412</v>
      </c>
      <c r="AW110">
        <v>10.08723</v>
      </c>
      <c r="AX110">
        <v>9.2596270000000001</v>
      </c>
      <c r="AY110">
        <v>9.8551859999999998</v>
      </c>
      <c r="AZ110">
        <v>9.9034870000000002</v>
      </c>
      <c r="BA110">
        <v>0</v>
      </c>
      <c r="BB110" t="str">
        <f t="shared" si="5"/>
        <v/>
      </c>
      <c r="BD110">
        <v>1263.9929999999999</v>
      </c>
      <c r="BE110">
        <v>80031237</v>
      </c>
      <c r="BF110">
        <v>30.900230000000001</v>
      </c>
      <c r="BG110">
        <v>1343.1141</v>
      </c>
      <c r="BH110">
        <v>30.90023467</v>
      </c>
    </row>
    <row r="111" spans="1:60">
      <c r="A111">
        <v>22540</v>
      </c>
      <c r="B111" t="s">
        <v>385</v>
      </c>
      <c r="C111">
        <v>33793.699999999997</v>
      </c>
      <c r="D111">
        <v>60915</v>
      </c>
      <c r="E111">
        <v>99864</v>
      </c>
      <c r="F111">
        <v>3.4516900000000003E-2</v>
      </c>
      <c r="G111">
        <f t="shared" si="3"/>
        <v>34516.9</v>
      </c>
      <c r="H111" s="51">
        <f t="shared" si="4"/>
        <v>3446995701.6000004</v>
      </c>
      <c r="I111">
        <v>26.72917</v>
      </c>
      <c r="J111">
        <v>10.42803</v>
      </c>
      <c r="K111">
        <v>-3.3663050000000001</v>
      </c>
      <c r="L111">
        <v>7.5751840000000001</v>
      </c>
      <c r="M111">
        <v>-1.783199</v>
      </c>
      <c r="N111">
        <v>11.511559999999999</v>
      </c>
      <c r="O111">
        <v>1.9953000000000002E-3</v>
      </c>
      <c r="P111">
        <v>0</v>
      </c>
      <c r="Q111">
        <v>1200.9349999999999</v>
      </c>
      <c r="R111">
        <v>1949.22</v>
      </c>
      <c r="S111">
        <v>0</v>
      </c>
      <c r="T111">
        <v>0</v>
      </c>
      <c r="U111">
        <v>199.45259999999999</v>
      </c>
      <c r="V111">
        <v>99864</v>
      </c>
      <c r="W111">
        <v>0</v>
      </c>
      <c r="X111">
        <v>1.9972000000000002E-3</v>
      </c>
      <c r="Y111">
        <v>0</v>
      </c>
      <c r="Z111">
        <v>0.27590389999999998</v>
      </c>
      <c r="AB111">
        <v>132</v>
      </c>
      <c r="AE111">
        <v>0</v>
      </c>
      <c r="AF111">
        <v>7.4619850000000003</v>
      </c>
      <c r="AH111">
        <v>10.87973</v>
      </c>
      <c r="AJ111">
        <v>10.918990000000001</v>
      </c>
      <c r="AK111">
        <v>10.667439999999999</v>
      </c>
      <c r="AL111">
        <v>10.818530000000001</v>
      </c>
      <c r="AM111">
        <v>9.9569170000000007</v>
      </c>
      <c r="AN111">
        <v>10.45323</v>
      </c>
      <c r="AO111">
        <v>10.54707</v>
      </c>
      <c r="AP111">
        <v>10.64606</v>
      </c>
      <c r="AQ111">
        <v>9.9510869999999993</v>
      </c>
      <c r="AR111">
        <v>10.879659999999999</v>
      </c>
      <c r="AT111">
        <v>9.9016649999999995</v>
      </c>
      <c r="AU111">
        <v>9.7817340000000002</v>
      </c>
      <c r="AV111">
        <v>10.481529999999999</v>
      </c>
      <c r="AW111">
        <v>9.5611339999999991</v>
      </c>
      <c r="AX111">
        <v>9.2318069999999999</v>
      </c>
      <c r="AY111">
        <v>9.9071719999999992</v>
      </c>
      <c r="AZ111">
        <v>9.3236690000000007</v>
      </c>
      <c r="BA111">
        <v>0</v>
      </c>
      <c r="BB111" t="str">
        <f t="shared" si="5"/>
        <v/>
      </c>
      <c r="BC111">
        <v>169083</v>
      </c>
      <c r="BD111">
        <v>722.90629999999999</v>
      </c>
      <c r="BE111">
        <v>34584200</v>
      </c>
      <c r="BF111">
        <v>13.35303</v>
      </c>
      <c r="BG111">
        <v>765.83993999999996</v>
      </c>
      <c r="BH111">
        <v>13.353034839999999</v>
      </c>
    </row>
    <row r="112" spans="1:60">
      <c r="A112">
        <v>22660</v>
      </c>
      <c r="B112" t="s">
        <v>386</v>
      </c>
      <c r="C112">
        <v>36290.74</v>
      </c>
      <c r="D112">
        <v>195684</v>
      </c>
      <c r="E112">
        <v>292889</v>
      </c>
      <c r="F112">
        <v>3.1667300000000002E-2</v>
      </c>
      <c r="G112">
        <f t="shared" si="3"/>
        <v>31667.300000000003</v>
      </c>
      <c r="H112" s="51">
        <f t="shared" si="4"/>
        <v>9275003829.7000008</v>
      </c>
      <c r="I112">
        <v>90.601020000000005</v>
      </c>
      <c r="J112">
        <v>10.499320000000001</v>
      </c>
      <c r="K112">
        <v>-3.4524710000000001</v>
      </c>
      <c r="L112">
        <v>7.1839560000000002</v>
      </c>
      <c r="M112">
        <v>-1.0636939999999999</v>
      </c>
      <c r="N112">
        <v>12.58755</v>
      </c>
      <c r="O112">
        <v>9.9649999999999999E-4</v>
      </c>
      <c r="P112">
        <v>0</v>
      </c>
      <c r="Q112">
        <v>1047.9349999999999</v>
      </c>
      <c r="R112">
        <v>1318.1120000000001</v>
      </c>
      <c r="S112">
        <v>0</v>
      </c>
      <c r="T112">
        <v>0</v>
      </c>
      <c r="U112">
        <v>292.0215</v>
      </c>
      <c r="V112">
        <v>292889</v>
      </c>
      <c r="W112">
        <v>0</v>
      </c>
      <c r="X112">
        <v>9.9700000000000006E-4</v>
      </c>
      <c r="Y112">
        <v>0</v>
      </c>
      <c r="Z112">
        <v>0.11225980000000001</v>
      </c>
      <c r="AB112">
        <v>454</v>
      </c>
      <c r="AE112">
        <v>0</v>
      </c>
      <c r="AF112">
        <v>3.2231589999999999</v>
      </c>
      <c r="AG112">
        <v>9.8440639999999995</v>
      </c>
      <c r="AH112">
        <v>10.83887</v>
      </c>
      <c r="AI112">
        <v>11.144629999999999</v>
      </c>
      <c r="AJ112">
        <v>10.643800000000001</v>
      </c>
      <c r="AK112">
        <v>10.97095</v>
      </c>
      <c r="AL112">
        <v>11.16601</v>
      </c>
      <c r="AM112">
        <v>10.05743</v>
      </c>
      <c r="AN112">
        <v>10.533189999999999</v>
      </c>
      <c r="AO112">
        <v>10.718959999999999</v>
      </c>
      <c r="AP112">
        <v>10.69111</v>
      </c>
      <c r="AQ112">
        <v>10.28777</v>
      </c>
      <c r="AR112">
        <v>10.755559999999999</v>
      </c>
      <c r="AS112">
        <v>10.8903</v>
      </c>
      <c r="AT112">
        <v>10.24639</v>
      </c>
      <c r="AU112">
        <v>9.9487930000000002</v>
      </c>
      <c r="AV112">
        <v>10.58989</v>
      </c>
      <c r="AW112">
        <v>9.7382980000000003</v>
      </c>
      <c r="AX112">
        <v>9.5507729999999995</v>
      </c>
      <c r="AY112">
        <v>10.025930000000001</v>
      </c>
      <c r="BA112">
        <v>0</v>
      </c>
      <c r="BB112" t="str">
        <f t="shared" si="5"/>
        <v/>
      </c>
      <c r="BC112">
        <v>935763</v>
      </c>
      <c r="BD112">
        <v>2601.3009999999999</v>
      </c>
      <c r="BE112">
        <v>165509379</v>
      </c>
      <c r="BF112">
        <v>63.903530000000003</v>
      </c>
      <c r="BG112">
        <v>2633.9463999999998</v>
      </c>
      <c r="BH112">
        <v>63.903531209999997</v>
      </c>
    </row>
    <row r="113" spans="1:60">
      <c r="A113">
        <v>22900</v>
      </c>
      <c r="B113" t="s">
        <v>387</v>
      </c>
      <c r="C113">
        <v>31221.63</v>
      </c>
      <c r="D113">
        <v>163979</v>
      </c>
      <c r="E113">
        <v>290977</v>
      </c>
      <c r="F113">
        <v>3.07722E-2</v>
      </c>
      <c r="G113">
        <f t="shared" si="3"/>
        <v>30772.2</v>
      </c>
      <c r="H113" s="51">
        <f t="shared" si="4"/>
        <v>8954002439.3999996</v>
      </c>
      <c r="I113">
        <v>83.679230000000004</v>
      </c>
      <c r="J113">
        <v>10.34887</v>
      </c>
      <c r="K113">
        <v>-3.481144</v>
      </c>
      <c r="L113">
        <v>7.2714100000000004</v>
      </c>
      <c r="M113">
        <v>-2.0393940000000002</v>
      </c>
      <c r="N113">
        <v>12.581</v>
      </c>
      <c r="O113">
        <v>1.6827000000000001E-3</v>
      </c>
      <c r="P113">
        <v>0</v>
      </c>
      <c r="Q113">
        <v>951.7296</v>
      </c>
      <c r="R113">
        <v>1438.577</v>
      </c>
      <c r="S113">
        <v>0</v>
      </c>
      <c r="T113">
        <v>0</v>
      </c>
      <c r="U113">
        <v>490.05259999999998</v>
      </c>
      <c r="V113">
        <v>290977</v>
      </c>
      <c r="W113">
        <v>0</v>
      </c>
      <c r="X113">
        <v>1.6842000000000001E-3</v>
      </c>
      <c r="Y113">
        <v>0</v>
      </c>
      <c r="Z113">
        <v>0.1224877</v>
      </c>
      <c r="AB113">
        <v>200</v>
      </c>
      <c r="AE113">
        <v>0</v>
      </c>
      <c r="AF113">
        <v>5.8563229999999997</v>
      </c>
      <c r="AG113">
        <v>10.534090000000001</v>
      </c>
      <c r="AH113">
        <v>10.956899999999999</v>
      </c>
      <c r="AI113">
        <v>10.75356</v>
      </c>
      <c r="AJ113">
        <v>10.53809</v>
      </c>
      <c r="AK113">
        <v>10.46147</v>
      </c>
      <c r="AL113">
        <v>10.562139999999999</v>
      </c>
      <c r="AM113">
        <v>9.9384899999999998</v>
      </c>
      <c r="AN113">
        <v>10.47888</v>
      </c>
      <c r="AO113">
        <v>10.64723</v>
      </c>
      <c r="AP113">
        <v>10.554460000000001</v>
      </c>
      <c r="AQ113">
        <v>10.43763</v>
      </c>
      <c r="AR113">
        <v>10.47555</v>
      </c>
      <c r="AS113">
        <v>11.13078</v>
      </c>
      <c r="AT113">
        <v>9.9285359999999994</v>
      </c>
      <c r="AU113">
        <v>9.9226519999999994</v>
      </c>
      <c r="AV113">
        <v>10.42919</v>
      </c>
      <c r="AW113">
        <v>10.750730000000001</v>
      </c>
      <c r="AX113">
        <v>9.3522809999999996</v>
      </c>
      <c r="AY113">
        <v>9.8388670000000005</v>
      </c>
      <c r="AZ113">
        <v>10.194290000000001</v>
      </c>
      <c r="BA113">
        <v>0</v>
      </c>
      <c r="BB113" t="str">
        <f t="shared" si="5"/>
        <v/>
      </c>
      <c r="BC113">
        <v>281454</v>
      </c>
      <c r="BD113">
        <v>4000.83</v>
      </c>
      <c r="BE113">
        <v>99093053</v>
      </c>
      <c r="BF113">
        <v>38.260039999999996</v>
      </c>
      <c r="BG113">
        <v>4092.6696000000002</v>
      </c>
      <c r="BH113">
        <v>38.260043289999999</v>
      </c>
    </row>
    <row r="114" spans="1:60">
      <c r="A114">
        <v>23020</v>
      </c>
      <c r="B114" t="s">
        <v>388</v>
      </c>
      <c r="C114">
        <v>32113.91</v>
      </c>
      <c r="D114">
        <v>127514</v>
      </c>
      <c r="E114">
        <v>179529</v>
      </c>
      <c r="F114">
        <v>3.61613E-2</v>
      </c>
      <c r="G114">
        <f t="shared" si="3"/>
        <v>36161.300000000003</v>
      </c>
      <c r="H114" s="51">
        <f t="shared" si="4"/>
        <v>6492002027.7000008</v>
      </c>
      <c r="I114">
        <v>85.368549999999999</v>
      </c>
      <c r="J114">
        <v>10.377039999999999</v>
      </c>
      <c r="K114">
        <v>-3.319766</v>
      </c>
      <c r="L114">
        <v>7.3158219999999998</v>
      </c>
      <c r="M114">
        <v>-1.4436629999999999</v>
      </c>
      <c r="N114">
        <v>12.098089999999999</v>
      </c>
      <c r="O114">
        <v>1.1199000000000001E-3</v>
      </c>
      <c r="P114">
        <v>0</v>
      </c>
      <c r="Q114">
        <v>897.29759999999999</v>
      </c>
      <c r="R114">
        <v>1503.9069999999999</v>
      </c>
      <c r="S114">
        <v>0</v>
      </c>
      <c r="T114">
        <v>0</v>
      </c>
      <c r="U114">
        <v>201.1585</v>
      </c>
      <c r="V114">
        <v>179529</v>
      </c>
      <c r="W114">
        <v>0</v>
      </c>
      <c r="X114">
        <v>1.1205E-3</v>
      </c>
      <c r="Y114">
        <v>0</v>
      </c>
      <c r="Z114">
        <v>0.21499879999999999</v>
      </c>
      <c r="AB114">
        <v>93</v>
      </c>
      <c r="AE114">
        <v>0</v>
      </c>
      <c r="AF114">
        <v>2.3563540000000001</v>
      </c>
      <c r="AI114">
        <v>11.006600000000001</v>
      </c>
      <c r="AJ114">
        <v>10.427949999999999</v>
      </c>
      <c r="AK114">
        <v>10.78764</v>
      </c>
      <c r="AL114">
        <v>10.64683</v>
      </c>
      <c r="AM114">
        <v>10.02576</v>
      </c>
      <c r="AN114">
        <v>10.670730000000001</v>
      </c>
      <c r="AO114">
        <v>10.55725</v>
      </c>
      <c r="AP114">
        <v>10.57554</v>
      </c>
      <c r="AQ114">
        <v>10.29006</v>
      </c>
      <c r="AR114">
        <v>10.99788</v>
      </c>
      <c r="AS114">
        <v>10.84538</v>
      </c>
      <c r="AT114">
        <v>10.297000000000001</v>
      </c>
      <c r="AU114">
        <v>9.9819689999999994</v>
      </c>
      <c r="AV114">
        <v>10.603109999999999</v>
      </c>
      <c r="AW114">
        <v>9.7533600000000007</v>
      </c>
      <c r="AX114">
        <v>9.6049399999999991</v>
      </c>
      <c r="AY114">
        <v>9.9089679999999998</v>
      </c>
      <c r="BA114">
        <v>0</v>
      </c>
      <c r="BB114" t="str">
        <f t="shared" si="5"/>
        <v/>
      </c>
      <c r="BC114">
        <v>442358</v>
      </c>
      <c r="BD114">
        <v>935.62620000000004</v>
      </c>
      <c r="BE114">
        <v>79915741</v>
      </c>
      <c r="BF114">
        <v>30.855640000000001</v>
      </c>
      <c r="BG114">
        <v>1082.0875000000001</v>
      </c>
      <c r="BH114">
        <v>30.855641420000001</v>
      </c>
    </row>
    <row r="115" spans="1:60">
      <c r="A115">
        <v>23060</v>
      </c>
      <c r="B115" t="s">
        <v>389</v>
      </c>
      <c r="C115">
        <v>35456.449999999997</v>
      </c>
      <c r="D115">
        <v>261525</v>
      </c>
      <c r="E115">
        <v>411625</v>
      </c>
      <c r="F115">
        <v>3.7555999999999999E-2</v>
      </c>
      <c r="G115">
        <f t="shared" si="3"/>
        <v>37556</v>
      </c>
      <c r="H115" s="51">
        <f t="shared" si="4"/>
        <v>15458988500</v>
      </c>
      <c r="I115">
        <v>150.8271</v>
      </c>
      <c r="J115">
        <v>10.47606</v>
      </c>
      <c r="K115">
        <v>-3.2819210000000001</v>
      </c>
      <c r="L115">
        <v>7.0531220000000001</v>
      </c>
      <c r="M115">
        <v>-1.5799939999999999</v>
      </c>
      <c r="N115">
        <v>12.92787</v>
      </c>
      <c r="O115">
        <v>6.9249999999999997E-4</v>
      </c>
      <c r="P115">
        <v>0</v>
      </c>
      <c r="Q115">
        <v>961.39890000000003</v>
      </c>
      <c r="R115">
        <v>1156.4639999999999</v>
      </c>
      <c r="S115">
        <v>0</v>
      </c>
      <c r="T115">
        <v>0</v>
      </c>
      <c r="U115">
        <v>285.15390000000002</v>
      </c>
      <c r="V115">
        <v>411625</v>
      </c>
      <c r="W115">
        <v>0</v>
      </c>
      <c r="X115">
        <v>6.9280000000000003E-4</v>
      </c>
      <c r="Y115">
        <v>0</v>
      </c>
      <c r="Z115">
        <v>0.2092523</v>
      </c>
      <c r="AB115">
        <v>278</v>
      </c>
      <c r="AE115">
        <v>0</v>
      </c>
      <c r="AF115">
        <v>1.890601</v>
      </c>
      <c r="AG115">
        <v>10.0542</v>
      </c>
      <c r="AH115">
        <v>10.86351</v>
      </c>
      <c r="AJ115">
        <v>10.73405</v>
      </c>
      <c r="AK115">
        <v>10.71062</v>
      </c>
      <c r="AL115">
        <v>10.63963</v>
      </c>
      <c r="AM115">
        <v>9.9123590000000004</v>
      </c>
      <c r="AN115">
        <v>10.61402</v>
      </c>
      <c r="AO115">
        <v>10.76252</v>
      </c>
      <c r="AP115">
        <v>11.06498</v>
      </c>
      <c r="AQ115">
        <v>10.309530000000001</v>
      </c>
      <c r="AR115">
        <v>10.8146</v>
      </c>
      <c r="AS115">
        <v>10.986929999999999</v>
      </c>
      <c r="AT115">
        <v>10.076269999999999</v>
      </c>
      <c r="AU115">
        <v>10.03858</v>
      </c>
      <c r="AV115">
        <v>10.55702</v>
      </c>
      <c r="AW115">
        <v>9.8266530000000003</v>
      </c>
      <c r="AX115">
        <v>9.2744850000000003</v>
      </c>
      <c r="AY115">
        <v>9.9712639999999997</v>
      </c>
      <c r="BA115">
        <v>0</v>
      </c>
      <c r="BB115" t="str">
        <f t="shared" si="5"/>
        <v/>
      </c>
      <c r="BC115">
        <v>1526520</v>
      </c>
      <c r="BD115">
        <v>1362.7280000000001</v>
      </c>
      <c r="BE115">
        <v>277187834</v>
      </c>
      <c r="BF115">
        <v>107.0228</v>
      </c>
      <c r="BG115">
        <v>1368.1841999999999</v>
      </c>
      <c r="BH115">
        <v>107.0228256</v>
      </c>
    </row>
    <row r="116" spans="1:60">
      <c r="A116">
        <v>23420</v>
      </c>
      <c r="B116" t="s">
        <v>390</v>
      </c>
      <c r="C116">
        <v>35214.410000000003</v>
      </c>
      <c r="D116">
        <v>450031</v>
      </c>
      <c r="E116">
        <v>903133</v>
      </c>
      <c r="F116">
        <v>2.6678199999999999E-2</v>
      </c>
      <c r="G116">
        <f t="shared" si="3"/>
        <v>26678.2</v>
      </c>
      <c r="H116" s="51">
        <f t="shared" si="4"/>
        <v>24093962800.599998</v>
      </c>
      <c r="I116">
        <v>177.0343</v>
      </c>
      <c r="J116">
        <v>10.46921</v>
      </c>
      <c r="K116">
        <v>-3.623907</v>
      </c>
      <c r="L116">
        <v>7.4845160000000002</v>
      </c>
      <c r="M116">
        <v>-1.849513</v>
      </c>
      <c r="N116">
        <v>13.713620000000001</v>
      </c>
      <c r="O116">
        <v>7.8830000000000002E-4</v>
      </c>
      <c r="P116">
        <v>0</v>
      </c>
      <c r="Q116">
        <v>1315.384</v>
      </c>
      <c r="R116">
        <v>1780.261</v>
      </c>
      <c r="S116">
        <v>0</v>
      </c>
      <c r="T116">
        <v>0</v>
      </c>
      <c r="U116">
        <v>712.26070000000004</v>
      </c>
      <c r="V116">
        <v>903133</v>
      </c>
      <c r="W116">
        <v>0</v>
      </c>
      <c r="X116">
        <v>7.8870000000000003E-4</v>
      </c>
      <c r="Y116">
        <v>0</v>
      </c>
      <c r="Z116">
        <v>0.11945219999999999</v>
      </c>
      <c r="AB116">
        <v>525</v>
      </c>
      <c r="AE116">
        <v>0</v>
      </c>
      <c r="AF116">
        <v>4.0232929999999998</v>
      </c>
      <c r="AG116">
        <v>10.41854</v>
      </c>
      <c r="AH116">
        <v>11.066470000000001</v>
      </c>
      <c r="AJ116">
        <v>10.68116</v>
      </c>
      <c r="AK116">
        <v>10.633279999999999</v>
      </c>
      <c r="AL116">
        <v>10.75202</v>
      </c>
      <c r="AM116">
        <v>10.080360000000001</v>
      </c>
      <c r="AN116">
        <v>10.58648</v>
      </c>
      <c r="AO116">
        <v>10.77778</v>
      </c>
      <c r="AP116">
        <v>10.80965</v>
      </c>
      <c r="AQ116">
        <v>10.3048</v>
      </c>
      <c r="AR116">
        <v>10.58226</v>
      </c>
      <c r="AS116">
        <v>11.035030000000001</v>
      </c>
      <c r="AT116">
        <v>10.19638</v>
      </c>
      <c r="AU116">
        <v>10.08914</v>
      </c>
      <c r="AV116">
        <v>10.73222</v>
      </c>
      <c r="AW116">
        <v>10.032080000000001</v>
      </c>
      <c r="AX116">
        <v>9.4686839999999997</v>
      </c>
      <c r="AY116">
        <v>10.112220000000001</v>
      </c>
      <c r="BA116">
        <v>0</v>
      </c>
      <c r="BB116" t="str">
        <f t="shared" si="5"/>
        <v/>
      </c>
      <c r="BC116">
        <v>4661278</v>
      </c>
      <c r="BD116">
        <v>5962.7259999999997</v>
      </c>
      <c r="BE116">
        <v>240378162</v>
      </c>
      <c r="BF116">
        <v>92.810519999999997</v>
      </c>
      <c r="BG116">
        <v>6011.1742999999997</v>
      </c>
      <c r="BH116">
        <v>92.810531170000004</v>
      </c>
    </row>
    <row r="117" spans="1:60">
      <c r="A117">
        <v>23460</v>
      </c>
      <c r="B117" t="s">
        <v>980</v>
      </c>
      <c r="C117">
        <v>28045.11</v>
      </c>
      <c r="D117">
        <v>50551</v>
      </c>
      <c r="E117">
        <v>103435</v>
      </c>
      <c r="F117">
        <v>2.1917099999999998E-2</v>
      </c>
      <c r="G117">
        <f t="shared" si="3"/>
        <v>21917.1</v>
      </c>
      <c r="H117" s="51">
        <f t="shared" si="4"/>
        <v>2266995238.4999995</v>
      </c>
      <c r="I117">
        <v>61.357770000000002</v>
      </c>
      <c r="J117">
        <v>10.241569999999999</v>
      </c>
      <c r="K117">
        <v>-3.8204859999999998</v>
      </c>
      <c r="L117">
        <v>6.458151</v>
      </c>
      <c r="M117">
        <v>-1.9611430000000001</v>
      </c>
      <c r="N117">
        <v>11.5467</v>
      </c>
      <c r="O117">
        <v>1.4274999999999999E-3</v>
      </c>
      <c r="P117">
        <v>0</v>
      </c>
      <c r="Q117">
        <v>431.50200000000001</v>
      </c>
      <c r="R117">
        <v>637.8809</v>
      </c>
      <c r="S117">
        <v>0</v>
      </c>
      <c r="T117">
        <v>0</v>
      </c>
      <c r="U117">
        <v>147.762</v>
      </c>
      <c r="V117">
        <v>103435</v>
      </c>
      <c r="W117">
        <v>0</v>
      </c>
      <c r="X117">
        <v>1.4285000000000001E-3</v>
      </c>
      <c r="Y117">
        <v>0</v>
      </c>
      <c r="Z117">
        <v>0.27628229999999998</v>
      </c>
      <c r="AE117">
        <v>0</v>
      </c>
      <c r="AF117">
        <v>2.4082029999999999</v>
      </c>
      <c r="AG117">
        <v>10.15713</v>
      </c>
      <c r="AJ117">
        <v>10.460839999999999</v>
      </c>
      <c r="AK117">
        <v>10.43257</v>
      </c>
      <c r="AL117">
        <v>10.410640000000001</v>
      </c>
      <c r="AM117">
        <v>9.8652510000000007</v>
      </c>
      <c r="AN117">
        <v>10.461399999999999</v>
      </c>
      <c r="AO117">
        <v>10.451280000000001</v>
      </c>
      <c r="AP117">
        <v>10.53914</v>
      </c>
      <c r="AQ117">
        <v>10.276009999999999</v>
      </c>
      <c r="AR117">
        <v>10.29609</v>
      </c>
      <c r="AT117">
        <v>9.8382749999999994</v>
      </c>
      <c r="AU117">
        <v>9.7732899999999994</v>
      </c>
      <c r="AV117">
        <v>10.5276</v>
      </c>
      <c r="AW117">
        <v>9.5231530000000006</v>
      </c>
      <c r="AX117">
        <v>9.3170120000000001</v>
      </c>
      <c r="AY117">
        <v>9.797587</v>
      </c>
      <c r="BB117" t="str">
        <f t="shared" si="5"/>
        <v/>
      </c>
      <c r="BD117">
        <v>534.82240000000002</v>
      </c>
      <c r="BE117">
        <v>83183379</v>
      </c>
      <c r="BF117">
        <v>32.117280000000001</v>
      </c>
      <c r="BG117">
        <v>548.63130999999998</v>
      </c>
      <c r="BH117">
        <v>32.117283550000003</v>
      </c>
    </row>
    <row r="118" spans="1:60">
      <c r="A118">
        <v>23540</v>
      </c>
      <c r="B118" t="s">
        <v>391</v>
      </c>
      <c r="C118">
        <v>32927.599999999999</v>
      </c>
      <c r="D118">
        <v>165907</v>
      </c>
      <c r="E118">
        <v>259179</v>
      </c>
      <c r="F118">
        <v>2.5426399999999998E-2</v>
      </c>
      <c r="G118">
        <f t="shared" si="3"/>
        <v>25426.399999999998</v>
      </c>
      <c r="H118" s="51">
        <f t="shared" si="4"/>
        <v>6589988925.5999994</v>
      </c>
      <c r="I118">
        <v>78.780889999999999</v>
      </c>
      <c r="J118">
        <v>10.40207</v>
      </c>
      <c r="K118">
        <v>-3.6719659999999998</v>
      </c>
      <c r="L118">
        <v>7.0595049999999997</v>
      </c>
      <c r="M118">
        <v>-1.256372</v>
      </c>
      <c r="N118">
        <v>12.46527</v>
      </c>
      <c r="O118">
        <v>1.2424999999999999E-3</v>
      </c>
      <c r="P118">
        <v>0</v>
      </c>
      <c r="Q118">
        <v>887.79139999999995</v>
      </c>
      <c r="R118">
        <v>1163.8689999999999</v>
      </c>
      <c r="S118">
        <v>0</v>
      </c>
      <c r="T118">
        <v>0</v>
      </c>
      <c r="U118">
        <v>322.21929999999998</v>
      </c>
      <c r="V118">
        <v>259179</v>
      </c>
      <c r="W118">
        <v>0</v>
      </c>
      <c r="X118">
        <v>1.2432000000000001E-3</v>
      </c>
      <c r="Y118">
        <v>0</v>
      </c>
      <c r="Z118">
        <v>0.26343680000000003</v>
      </c>
      <c r="AB118">
        <v>516</v>
      </c>
      <c r="AE118">
        <v>0</v>
      </c>
      <c r="AF118">
        <v>4.0900689999999997</v>
      </c>
      <c r="AG118">
        <v>10.67287</v>
      </c>
      <c r="AJ118">
        <v>10.47193</v>
      </c>
      <c r="AK118">
        <v>10.75131</v>
      </c>
      <c r="AL118">
        <v>10.622820000000001</v>
      </c>
      <c r="AM118">
        <v>9.9567340000000009</v>
      </c>
      <c r="AN118">
        <v>10.32647</v>
      </c>
      <c r="AO118">
        <v>10.73428</v>
      </c>
      <c r="AP118">
        <v>10.767530000000001</v>
      </c>
      <c r="AQ118">
        <v>10.29335</v>
      </c>
      <c r="AR118">
        <v>10.78149</v>
      </c>
      <c r="AS118">
        <v>10.861789999999999</v>
      </c>
      <c r="AT118">
        <v>10.10853</v>
      </c>
      <c r="AU118">
        <v>9.9552449999999997</v>
      </c>
      <c r="AV118">
        <v>10.737209999999999</v>
      </c>
      <c r="AW118">
        <v>9.5495800000000006</v>
      </c>
      <c r="AX118">
        <v>9.3534199999999998</v>
      </c>
      <c r="AY118">
        <v>10.11904</v>
      </c>
      <c r="BA118">
        <v>0</v>
      </c>
      <c r="BB118" t="str">
        <f t="shared" si="5"/>
        <v/>
      </c>
      <c r="BC118">
        <v>2846734</v>
      </c>
      <c r="BD118">
        <v>1223.1369999999999</v>
      </c>
      <c r="BE118">
        <v>130815853</v>
      </c>
      <c r="BF118">
        <v>50.508279999999999</v>
      </c>
      <c r="BG118">
        <v>1324.0440000000001</v>
      </c>
      <c r="BH118">
        <v>50.508285370000003</v>
      </c>
    </row>
    <row r="119" spans="1:60">
      <c r="A119">
        <v>23580</v>
      </c>
      <c r="B119" t="s">
        <v>981</v>
      </c>
      <c r="C119">
        <v>35749.160000000003</v>
      </c>
      <c r="D119">
        <v>101042</v>
      </c>
      <c r="E119">
        <v>184731</v>
      </c>
      <c r="F119">
        <v>3.1093900000000001E-2</v>
      </c>
      <c r="G119">
        <f t="shared" si="3"/>
        <v>31093.9</v>
      </c>
      <c r="H119" s="51">
        <f t="shared" si="4"/>
        <v>5744007240.9000006</v>
      </c>
      <c r="I119">
        <v>95.214950000000002</v>
      </c>
      <c r="J119">
        <v>10.48428</v>
      </c>
      <c r="K119">
        <v>-3.470745</v>
      </c>
      <c r="L119">
        <v>7.1337869999999999</v>
      </c>
      <c r="M119">
        <v>-1.7734099999999999</v>
      </c>
      <c r="N119">
        <v>12.126659999999999</v>
      </c>
      <c r="O119">
        <v>7.2979999999999996E-4</v>
      </c>
      <c r="P119">
        <v>0</v>
      </c>
      <c r="Q119">
        <v>516.54700000000003</v>
      </c>
      <c r="R119">
        <v>1253.616</v>
      </c>
      <c r="S119">
        <v>0</v>
      </c>
      <c r="T119">
        <v>0</v>
      </c>
      <c r="U119">
        <v>134.8588</v>
      </c>
      <c r="V119">
        <v>184731</v>
      </c>
      <c r="W119">
        <v>0</v>
      </c>
      <c r="X119">
        <v>7.2999999999999996E-4</v>
      </c>
      <c r="Y119">
        <v>0</v>
      </c>
      <c r="Z119">
        <v>0.34257860000000001</v>
      </c>
      <c r="AE119">
        <v>0</v>
      </c>
      <c r="AF119">
        <v>1.4163619999999999</v>
      </c>
      <c r="AG119">
        <v>10.588710000000001</v>
      </c>
      <c r="AI119">
        <v>11.00948</v>
      </c>
      <c r="AJ119">
        <v>10.461180000000001</v>
      </c>
      <c r="AK119">
        <v>10.49105</v>
      </c>
      <c r="AL119">
        <v>10.75318</v>
      </c>
      <c r="AM119">
        <v>10.103719999999999</v>
      </c>
      <c r="AN119">
        <v>10.53425</v>
      </c>
      <c r="AO119">
        <v>10.776910000000001</v>
      </c>
      <c r="AP119">
        <v>10.8147</v>
      </c>
      <c r="AQ119">
        <v>10.34332</v>
      </c>
      <c r="AR119">
        <v>10.59075</v>
      </c>
      <c r="AS119">
        <v>11.19028</v>
      </c>
      <c r="AT119">
        <v>10.10779</v>
      </c>
      <c r="AU119">
        <v>10.07752</v>
      </c>
      <c r="AV119">
        <v>10.667249999999999</v>
      </c>
      <c r="AW119">
        <v>12.11819</v>
      </c>
      <c r="AX119">
        <v>9.3630600000000008</v>
      </c>
      <c r="AY119">
        <v>10.01661</v>
      </c>
      <c r="BB119" t="str">
        <f t="shared" si="5"/>
        <v/>
      </c>
      <c r="BD119">
        <v>393.65809999999999</v>
      </c>
      <c r="BE119">
        <v>79427924</v>
      </c>
      <c r="BF119">
        <v>30.667290000000001</v>
      </c>
      <c r="BG119">
        <v>429.29331000000002</v>
      </c>
      <c r="BH119">
        <v>30.667294210000001</v>
      </c>
    </row>
    <row r="120" spans="1:60">
      <c r="A120">
        <v>24020</v>
      </c>
      <c r="B120" t="s">
        <v>392</v>
      </c>
      <c r="C120">
        <v>33199.949999999997</v>
      </c>
      <c r="D120">
        <v>70059</v>
      </c>
      <c r="E120">
        <v>128653</v>
      </c>
      <c r="F120">
        <v>2.3963700000000001E-2</v>
      </c>
      <c r="G120">
        <f t="shared" si="3"/>
        <v>23963.7</v>
      </c>
      <c r="H120" s="51">
        <f t="shared" si="4"/>
        <v>3083001896.0999999</v>
      </c>
      <c r="I120">
        <v>32.552509999999998</v>
      </c>
      <c r="J120">
        <v>10.410299999999999</v>
      </c>
      <c r="K120">
        <v>-3.7312159999999999</v>
      </c>
      <c r="L120">
        <v>8.1047139999999995</v>
      </c>
      <c r="M120">
        <v>-1.6315850000000001</v>
      </c>
      <c r="N120">
        <v>11.76487</v>
      </c>
      <c r="O120">
        <v>2.7981999999999998E-3</v>
      </c>
      <c r="P120">
        <v>0</v>
      </c>
      <c r="Q120">
        <v>913.5702</v>
      </c>
      <c r="R120">
        <v>3310.0369999999998</v>
      </c>
      <c r="S120">
        <v>0</v>
      </c>
      <c r="T120">
        <v>0</v>
      </c>
      <c r="U120">
        <v>360.50020000000001</v>
      </c>
      <c r="V120">
        <v>128653</v>
      </c>
      <c r="W120">
        <v>0</v>
      </c>
      <c r="X120">
        <v>2.8021000000000001E-3</v>
      </c>
      <c r="Y120">
        <v>0</v>
      </c>
      <c r="Z120">
        <v>0.21147060000000001</v>
      </c>
      <c r="AB120">
        <v>228</v>
      </c>
      <c r="AE120">
        <v>0</v>
      </c>
      <c r="AF120">
        <v>11.07442</v>
      </c>
      <c r="AG120">
        <v>11.96081</v>
      </c>
      <c r="AH120">
        <v>10.340870000000001</v>
      </c>
      <c r="AJ120">
        <v>10.72186</v>
      </c>
      <c r="AK120">
        <v>10.68412</v>
      </c>
      <c r="AL120">
        <v>10.68783</v>
      </c>
      <c r="AM120">
        <v>10.06161</v>
      </c>
      <c r="AN120">
        <v>10.46001</v>
      </c>
      <c r="AO120">
        <v>10.61938</v>
      </c>
      <c r="AP120">
        <v>10.78556</v>
      </c>
      <c r="AQ120">
        <v>10.319380000000001</v>
      </c>
      <c r="AR120">
        <v>10.546390000000001</v>
      </c>
      <c r="AS120">
        <v>11.13433</v>
      </c>
      <c r="AT120">
        <v>10.05899</v>
      </c>
      <c r="AV120">
        <v>10.501569999999999</v>
      </c>
      <c r="AW120">
        <v>10.22447</v>
      </c>
      <c r="AX120">
        <v>9.8737010000000005</v>
      </c>
      <c r="AY120">
        <v>10.061059999999999</v>
      </c>
      <c r="BA120">
        <v>0</v>
      </c>
      <c r="BB120" t="str">
        <f t="shared" si="5"/>
        <v/>
      </c>
      <c r="BC120">
        <v>305687</v>
      </c>
      <c r="BD120">
        <v>1704.729</v>
      </c>
      <c r="BE120">
        <v>10970942</v>
      </c>
      <c r="BF120">
        <v>4.2359039999999997</v>
      </c>
      <c r="BG120">
        <v>1777.4784</v>
      </c>
      <c r="BH120">
        <v>4.2359045679999996</v>
      </c>
    </row>
    <row r="121" spans="1:60">
      <c r="A121">
        <v>24220</v>
      </c>
      <c r="B121" t="s">
        <v>393</v>
      </c>
      <c r="C121">
        <v>30227.14</v>
      </c>
      <c r="D121">
        <v>70785</v>
      </c>
      <c r="E121">
        <v>97261</v>
      </c>
      <c r="F121">
        <v>2.9261499999999999E-2</v>
      </c>
      <c r="G121">
        <f t="shared" si="3"/>
        <v>29261.5</v>
      </c>
      <c r="H121" s="51">
        <f t="shared" si="4"/>
        <v>2846002751.5</v>
      </c>
      <c r="I121">
        <v>28.955880000000001</v>
      </c>
      <c r="J121">
        <v>10.3165</v>
      </c>
      <c r="K121">
        <v>-3.5314839999999998</v>
      </c>
      <c r="L121">
        <v>7.3575390000000001</v>
      </c>
      <c r="M121">
        <v>-1.5556559999999999</v>
      </c>
      <c r="N121">
        <v>11.485150000000001</v>
      </c>
      <c r="O121">
        <v>5.2814000000000003E-3</v>
      </c>
      <c r="P121">
        <v>0</v>
      </c>
      <c r="Q121">
        <v>951.8963</v>
      </c>
      <c r="R121">
        <v>1567.973</v>
      </c>
      <c r="S121">
        <v>0</v>
      </c>
      <c r="T121">
        <v>0</v>
      </c>
      <c r="U121">
        <v>515.03449999999998</v>
      </c>
      <c r="V121">
        <v>97261</v>
      </c>
      <c r="W121">
        <v>0</v>
      </c>
      <c r="X121">
        <v>5.2953999999999996E-3</v>
      </c>
      <c r="Y121">
        <v>0</v>
      </c>
      <c r="Z121">
        <v>0.15111730000000001</v>
      </c>
      <c r="AB121">
        <v>196</v>
      </c>
      <c r="AE121">
        <v>0</v>
      </c>
      <c r="AF121">
        <v>17.78687</v>
      </c>
      <c r="AI121">
        <v>11.48837</v>
      </c>
      <c r="AJ121">
        <v>10.7319</v>
      </c>
      <c r="AK121">
        <v>10.530250000000001</v>
      </c>
      <c r="AL121">
        <v>10.640470000000001</v>
      </c>
      <c r="AM121">
        <v>9.9619009999999992</v>
      </c>
      <c r="AN121">
        <v>10.199299999999999</v>
      </c>
      <c r="AO121">
        <v>10.84562</v>
      </c>
      <c r="AP121">
        <v>10.800179999999999</v>
      </c>
      <c r="AQ121">
        <v>10.09234</v>
      </c>
      <c r="AR121">
        <v>10.773300000000001</v>
      </c>
      <c r="AT121">
        <v>10.034090000000001</v>
      </c>
      <c r="AU121">
        <v>9.6661870000000008</v>
      </c>
      <c r="AV121">
        <v>10.499639999999999</v>
      </c>
      <c r="AW121">
        <v>9.3473849999999992</v>
      </c>
      <c r="AX121">
        <v>9.313822</v>
      </c>
      <c r="AY121">
        <v>9.8224020000000003</v>
      </c>
      <c r="BA121">
        <v>0</v>
      </c>
      <c r="BB121" t="str">
        <f t="shared" si="5"/>
        <v/>
      </c>
      <c r="BC121">
        <v>374692</v>
      </c>
      <c r="BD121">
        <v>3408.1779999999999</v>
      </c>
      <c r="BE121">
        <v>35789698</v>
      </c>
      <c r="BF121">
        <v>13.818479999999999</v>
      </c>
      <c r="BG121">
        <v>3437.2822999999999</v>
      </c>
      <c r="BH121">
        <v>13.81848024</v>
      </c>
    </row>
    <row r="122" spans="1:60">
      <c r="A122">
        <v>24300</v>
      </c>
      <c r="B122" t="s">
        <v>394</v>
      </c>
      <c r="C122">
        <v>35538.07</v>
      </c>
      <c r="D122">
        <v>91728</v>
      </c>
      <c r="E122">
        <v>141905</v>
      </c>
      <c r="F122">
        <v>3.2239900000000002E-2</v>
      </c>
      <c r="G122">
        <f t="shared" si="3"/>
        <v>32239.9</v>
      </c>
      <c r="H122" s="51">
        <f t="shared" si="4"/>
        <v>4575003009.5</v>
      </c>
      <c r="I122">
        <v>60.162680000000002</v>
      </c>
      <c r="J122">
        <v>10.47836</v>
      </c>
      <c r="K122">
        <v>-3.4345509999999999</v>
      </c>
      <c r="L122">
        <v>6.9595339999999997</v>
      </c>
      <c r="M122">
        <v>-1.5085869999999999</v>
      </c>
      <c r="N122">
        <v>11.862909999999999</v>
      </c>
      <c r="O122">
        <v>1.732E-3</v>
      </c>
      <c r="P122">
        <v>0</v>
      </c>
      <c r="Q122">
        <v>749.21860000000004</v>
      </c>
      <c r="R122">
        <v>1053.1420000000001</v>
      </c>
      <c r="S122">
        <v>0</v>
      </c>
      <c r="T122">
        <v>0</v>
      </c>
      <c r="U122">
        <v>245.99260000000001</v>
      </c>
      <c r="V122">
        <v>141905</v>
      </c>
      <c r="W122">
        <v>0</v>
      </c>
      <c r="X122">
        <v>1.7335E-3</v>
      </c>
      <c r="Y122">
        <v>0</v>
      </c>
      <c r="Z122">
        <v>7.3921700000000007E-2</v>
      </c>
      <c r="AB122">
        <v>217</v>
      </c>
      <c r="AE122">
        <v>0</v>
      </c>
      <c r="AF122">
        <v>4.0887909999999996</v>
      </c>
      <c r="AH122">
        <v>11.24057</v>
      </c>
      <c r="AI122">
        <v>11.10331</v>
      </c>
      <c r="AJ122">
        <v>10.738770000000001</v>
      </c>
      <c r="AK122">
        <v>10.528890000000001</v>
      </c>
      <c r="AL122">
        <v>10.80963</v>
      </c>
      <c r="AM122">
        <v>10.15316</v>
      </c>
      <c r="AN122">
        <v>10.73817</v>
      </c>
      <c r="AP122">
        <v>10.766489999999999</v>
      </c>
      <c r="AQ122">
        <v>10.409079999999999</v>
      </c>
      <c r="AR122">
        <v>10.65409</v>
      </c>
      <c r="AS122">
        <v>10.202669999999999</v>
      </c>
      <c r="AT122">
        <v>10.19872</v>
      </c>
      <c r="AU122">
        <v>9.8458799999999993</v>
      </c>
      <c r="AV122">
        <v>10.64677</v>
      </c>
      <c r="AW122">
        <v>9.4233189999999993</v>
      </c>
      <c r="AX122">
        <v>9.5534210000000002</v>
      </c>
      <c r="AY122">
        <v>10.16175</v>
      </c>
      <c r="AZ122">
        <v>11.39639</v>
      </c>
      <c r="BA122">
        <v>0</v>
      </c>
      <c r="BB122" t="str">
        <f t="shared" si="5"/>
        <v/>
      </c>
      <c r="BC122">
        <v>743668</v>
      </c>
      <c r="BD122">
        <v>3327.7460000000001</v>
      </c>
      <c r="BE122">
        <v>96770823</v>
      </c>
      <c r="BF122">
        <v>37.363419999999998</v>
      </c>
      <c r="BG122">
        <v>3341.1334999999999</v>
      </c>
      <c r="BH122">
        <v>37.363425239999998</v>
      </c>
    </row>
    <row r="123" spans="1:60">
      <c r="A123">
        <v>24340</v>
      </c>
      <c r="B123" t="s">
        <v>395</v>
      </c>
      <c r="C123">
        <v>37932.39</v>
      </c>
      <c r="D123">
        <v>487530</v>
      </c>
      <c r="E123">
        <v>776505</v>
      </c>
      <c r="F123">
        <v>3.9496200000000002E-2</v>
      </c>
      <c r="G123">
        <f t="shared" ref="G123:G181" si="6">F123*1000000</f>
        <v>39496.200000000004</v>
      </c>
      <c r="H123" s="51">
        <f t="shared" ref="H123:H181" si="7">+F123*E123*1000000</f>
        <v>30668996781</v>
      </c>
      <c r="I123">
        <v>256.77809999999999</v>
      </c>
      <c r="J123">
        <v>10.543559999999999</v>
      </c>
      <c r="K123">
        <v>-3.2315510000000001</v>
      </c>
      <c r="L123">
        <v>7.7610749999999999</v>
      </c>
      <c r="M123">
        <v>-1.5523750000000001</v>
      </c>
      <c r="N123">
        <v>13.56256</v>
      </c>
      <c r="O123">
        <v>8.7080000000000002E-4</v>
      </c>
      <c r="P123">
        <v>0</v>
      </c>
      <c r="Q123">
        <v>1192.2829999999999</v>
      </c>
      <c r="R123">
        <v>2347.4259999999999</v>
      </c>
      <c r="S123">
        <v>0</v>
      </c>
      <c r="T123">
        <v>0</v>
      </c>
      <c r="U123">
        <v>676.51289999999995</v>
      </c>
      <c r="V123">
        <v>776505</v>
      </c>
      <c r="W123">
        <v>0</v>
      </c>
      <c r="X123">
        <v>8.7120000000000003E-4</v>
      </c>
      <c r="Y123">
        <v>0</v>
      </c>
      <c r="Z123">
        <v>0.23922879999999999</v>
      </c>
      <c r="AB123">
        <v>448</v>
      </c>
      <c r="AE123">
        <v>0</v>
      </c>
      <c r="AF123">
        <v>2.6346210000000001</v>
      </c>
      <c r="AG123">
        <v>9.5593909999999997</v>
      </c>
      <c r="AH123">
        <v>11.06509</v>
      </c>
      <c r="AJ123">
        <v>10.76384</v>
      </c>
      <c r="AK123">
        <v>10.765370000000001</v>
      </c>
      <c r="AL123">
        <v>10.870369999999999</v>
      </c>
      <c r="AM123">
        <v>9.9830970000000008</v>
      </c>
      <c r="AN123">
        <v>10.58516</v>
      </c>
      <c r="AO123">
        <v>10.88392</v>
      </c>
      <c r="AP123">
        <v>10.858930000000001</v>
      </c>
      <c r="AQ123">
        <v>10.3995</v>
      </c>
      <c r="AR123">
        <v>10.80477</v>
      </c>
      <c r="AS123">
        <v>11.09474</v>
      </c>
      <c r="AT123">
        <v>10.22625</v>
      </c>
      <c r="AU123">
        <v>10.167350000000001</v>
      </c>
      <c r="AV123">
        <v>10.61694</v>
      </c>
      <c r="AW123">
        <v>9.6643629999999998</v>
      </c>
      <c r="AX123">
        <v>9.3947839999999996</v>
      </c>
      <c r="AY123">
        <v>10.069599999999999</v>
      </c>
      <c r="AZ123">
        <v>9.6323349999999994</v>
      </c>
      <c r="BA123">
        <v>0</v>
      </c>
      <c r="BB123" t="str">
        <f t="shared" ref="BB123:BB181" si="8">IF(T123&gt;0,BA123/T123,"")</f>
        <v/>
      </c>
      <c r="BC123">
        <v>4114157</v>
      </c>
      <c r="BD123">
        <v>2827.8910000000001</v>
      </c>
      <c r="BE123">
        <v>176617946</v>
      </c>
      <c r="BF123">
        <v>68.192570000000003</v>
      </c>
      <c r="BG123">
        <v>2890.6936000000001</v>
      </c>
      <c r="BH123">
        <v>68.192573089999996</v>
      </c>
    </row>
    <row r="124" spans="1:60">
      <c r="A124">
        <v>24500</v>
      </c>
      <c r="B124" t="s">
        <v>396</v>
      </c>
      <c r="C124">
        <v>28743.83</v>
      </c>
      <c r="D124">
        <v>52296</v>
      </c>
      <c r="E124">
        <v>82022</v>
      </c>
      <c r="F124">
        <v>2.5602900000000001E-2</v>
      </c>
      <c r="G124">
        <f t="shared" si="6"/>
        <v>25602.9</v>
      </c>
      <c r="H124" s="51">
        <f t="shared" si="7"/>
        <v>2100001063.8000004</v>
      </c>
      <c r="I124">
        <v>28.63674</v>
      </c>
      <c r="J124">
        <v>10.26618</v>
      </c>
      <c r="K124">
        <v>-3.6650499999999999</v>
      </c>
      <c r="L124">
        <v>7.1753650000000002</v>
      </c>
      <c r="M124">
        <v>-1.529312</v>
      </c>
      <c r="N124">
        <v>11.31474</v>
      </c>
      <c r="O124">
        <v>2.6749999999999999E-3</v>
      </c>
      <c r="P124">
        <v>0</v>
      </c>
      <c r="Q124">
        <v>985.44749999999999</v>
      </c>
      <c r="R124">
        <v>1306.837</v>
      </c>
      <c r="S124">
        <v>0</v>
      </c>
      <c r="T124">
        <v>0</v>
      </c>
      <c r="U124">
        <v>219.7003</v>
      </c>
      <c r="V124">
        <v>82022</v>
      </c>
      <c r="W124">
        <v>0</v>
      </c>
      <c r="X124">
        <v>2.6786000000000002E-3</v>
      </c>
      <c r="Y124">
        <v>0</v>
      </c>
      <c r="Z124">
        <v>8.1433699999999998E-2</v>
      </c>
      <c r="AB124">
        <v>90</v>
      </c>
      <c r="AE124">
        <v>0</v>
      </c>
      <c r="AF124">
        <v>7.6719749999999998</v>
      </c>
      <c r="AH124">
        <v>10.990930000000001</v>
      </c>
      <c r="AJ124">
        <v>10.582689999999999</v>
      </c>
      <c r="AK124">
        <v>10.696630000000001</v>
      </c>
      <c r="AL124">
        <v>10.56385</v>
      </c>
      <c r="AM124">
        <v>9.9906020000000009</v>
      </c>
      <c r="AN124">
        <v>10.361800000000001</v>
      </c>
      <c r="AO124">
        <v>10.45749</v>
      </c>
      <c r="AP124">
        <v>10.67407</v>
      </c>
      <c r="AQ124">
        <v>9.9746710000000007</v>
      </c>
      <c r="AR124">
        <v>10.58583</v>
      </c>
      <c r="AS124">
        <v>10.846069999999999</v>
      </c>
      <c r="AT124">
        <v>9.85351</v>
      </c>
      <c r="AU124">
        <v>9.9067609999999995</v>
      </c>
      <c r="AV124">
        <v>10.419320000000001</v>
      </c>
      <c r="AW124">
        <v>9.6122239999999994</v>
      </c>
      <c r="AX124">
        <v>9.3794819999999994</v>
      </c>
      <c r="AY124">
        <v>9.9355810000000009</v>
      </c>
      <c r="BA124">
        <v>0</v>
      </c>
      <c r="BB124" t="str">
        <f t="shared" si="8"/>
        <v/>
      </c>
      <c r="BC124">
        <v>440808</v>
      </c>
      <c r="BD124">
        <v>2697.904</v>
      </c>
      <c r="BE124">
        <v>54852348</v>
      </c>
      <c r="BF124">
        <v>21.178609999999999</v>
      </c>
      <c r="BG124">
        <v>2711.4793</v>
      </c>
      <c r="BH124">
        <v>21.17861087</v>
      </c>
    </row>
    <row r="125" spans="1:60">
      <c r="A125">
        <v>24540</v>
      </c>
      <c r="B125" t="s">
        <v>397</v>
      </c>
      <c r="C125">
        <v>37881.33</v>
      </c>
      <c r="D125">
        <v>120420</v>
      </c>
      <c r="E125">
        <v>248852</v>
      </c>
      <c r="F125">
        <v>2.5541299999999999E-2</v>
      </c>
      <c r="G125">
        <f t="shared" si="6"/>
        <v>25541.3</v>
      </c>
      <c r="H125" s="51">
        <f t="shared" si="7"/>
        <v>6356003587.6000004</v>
      </c>
      <c r="I125">
        <v>48.073520000000002</v>
      </c>
      <c r="J125">
        <v>10.542210000000001</v>
      </c>
      <c r="K125">
        <v>-3.667459</v>
      </c>
      <c r="L125">
        <v>7.3433070000000003</v>
      </c>
      <c r="M125">
        <v>-1.682221</v>
      </c>
      <c r="N125">
        <v>12.424609999999999</v>
      </c>
      <c r="O125">
        <v>1.6762999999999999E-3</v>
      </c>
      <c r="P125">
        <v>0</v>
      </c>
      <c r="Q125">
        <v>1017.442</v>
      </c>
      <c r="R125">
        <v>1545.8150000000001</v>
      </c>
      <c r="S125">
        <v>0</v>
      </c>
      <c r="T125">
        <v>0</v>
      </c>
      <c r="U125">
        <v>417.4905</v>
      </c>
      <c r="V125">
        <v>248852</v>
      </c>
      <c r="W125">
        <v>0</v>
      </c>
      <c r="X125">
        <v>1.6777000000000001E-3</v>
      </c>
      <c r="Y125">
        <v>0</v>
      </c>
      <c r="Z125">
        <v>0.1045701</v>
      </c>
      <c r="AB125">
        <v>171</v>
      </c>
      <c r="AE125">
        <v>0</v>
      </c>
      <c r="AF125">
        <v>8.6844169999999998</v>
      </c>
      <c r="AG125">
        <v>10.87289</v>
      </c>
      <c r="AH125">
        <v>11.129490000000001</v>
      </c>
      <c r="AI125">
        <v>11.14349</v>
      </c>
      <c r="AJ125">
        <v>10.82921</v>
      </c>
      <c r="AK125">
        <v>10.607570000000001</v>
      </c>
      <c r="AL125">
        <v>10.711880000000001</v>
      </c>
      <c r="AM125">
        <v>10.14579</v>
      </c>
      <c r="AN125">
        <v>10.60627</v>
      </c>
      <c r="AO125">
        <v>10.431480000000001</v>
      </c>
      <c r="AP125">
        <v>10.85413</v>
      </c>
      <c r="AQ125">
        <v>10.24274</v>
      </c>
      <c r="AR125">
        <v>10.60328</v>
      </c>
      <c r="AS125">
        <v>11.23925</v>
      </c>
      <c r="AT125">
        <v>10.180820000000001</v>
      </c>
      <c r="AU125">
        <v>9.9510470000000009</v>
      </c>
      <c r="AV125">
        <v>10.53313</v>
      </c>
      <c r="AW125">
        <v>9.8338129999999992</v>
      </c>
      <c r="AX125">
        <v>9.3571539999999995</v>
      </c>
      <c r="AY125">
        <v>10.07442</v>
      </c>
      <c r="AZ125">
        <v>12.007619999999999</v>
      </c>
      <c r="BA125">
        <v>0</v>
      </c>
      <c r="BB125" t="str">
        <f t="shared" si="8"/>
        <v/>
      </c>
      <c r="BC125">
        <v>392470</v>
      </c>
      <c r="BD125">
        <v>3992.4470000000001</v>
      </c>
      <c r="BE125">
        <v>63773955</v>
      </c>
      <c r="BF125">
        <v>24.623259999999998</v>
      </c>
      <c r="BG125">
        <v>4017.0012999999999</v>
      </c>
      <c r="BH125">
        <v>24.62326273</v>
      </c>
    </row>
    <row r="126" spans="1:60">
      <c r="A126">
        <v>24580</v>
      </c>
      <c r="B126" t="s">
        <v>398</v>
      </c>
      <c r="C126">
        <v>38983.25</v>
      </c>
      <c r="D126">
        <v>209142</v>
      </c>
      <c r="E126">
        <v>302322</v>
      </c>
      <c r="F126">
        <v>4.3473499999999998E-2</v>
      </c>
      <c r="G126">
        <f t="shared" si="6"/>
        <v>43473.5</v>
      </c>
      <c r="H126" s="51">
        <f t="shared" si="7"/>
        <v>13142995466.999998</v>
      </c>
      <c r="I126">
        <v>92.633449999999996</v>
      </c>
      <c r="J126">
        <v>10.57089</v>
      </c>
      <c r="K126">
        <v>-3.1356030000000001</v>
      </c>
      <c r="L126">
        <v>7.2500660000000003</v>
      </c>
      <c r="M126">
        <v>-1.6492770000000001</v>
      </c>
      <c r="N126">
        <v>12.619249999999999</v>
      </c>
      <c r="O126">
        <v>1.3508999999999999E-3</v>
      </c>
      <c r="P126">
        <v>0</v>
      </c>
      <c r="Q126">
        <v>1209.7570000000001</v>
      </c>
      <c r="R126">
        <v>1408.1980000000001</v>
      </c>
      <c r="S126">
        <v>0</v>
      </c>
      <c r="T126">
        <v>0</v>
      </c>
      <c r="U126">
        <v>408.6721</v>
      </c>
      <c r="V126">
        <v>302322</v>
      </c>
      <c r="W126">
        <v>0</v>
      </c>
      <c r="X126">
        <v>1.3518E-3</v>
      </c>
      <c r="Y126">
        <v>0</v>
      </c>
      <c r="Z126">
        <v>0.21862529999999999</v>
      </c>
      <c r="AB126">
        <v>255</v>
      </c>
      <c r="AE126">
        <v>0</v>
      </c>
      <c r="AF126">
        <v>4.4117119999999996</v>
      </c>
      <c r="AG126">
        <v>10.30152</v>
      </c>
      <c r="AH126">
        <v>10.99039</v>
      </c>
      <c r="AJ126">
        <v>10.79992</v>
      </c>
      <c r="AK126">
        <v>10.70049</v>
      </c>
      <c r="AL126">
        <v>10.84821</v>
      </c>
      <c r="AM126">
        <v>9.9670769999999997</v>
      </c>
      <c r="AN126">
        <v>10.624689999999999</v>
      </c>
      <c r="AO126">
        <v>10.589169999999999</v>
      </c>
      <c r="AP126">
        <v>10.716749999999999</v>
      </c>
      <c r="AQ126">
        <v>10.24973</v>
      </c>
      <c r="AR126">
        <v>10.793010000000001</v>
      </c>
      <c r="AS126">
        <v>11.71576</v>
      </c>
      <c r="AT126">
        <v>10.015269999999999</v>
      </c>
      <c r="AU126">
        <v>9.9542000000000002</v>
      </c>
      <c r="AV126">
        <v>10.59225</v>
      </c>
      <c r="AW126">
        <v>11.030709999999999</v>
      </c>
      <c r="AX126">
        <v>9.3282419999999995</v>
      </c>
      <c r="AY126">
        <v>9.9019999999999992</v>
      </c>
      <c r="BA126">
        <v>0</v>
      </c>
      <c r="BB126" t="str">
        <f t="shared" si="8"/>
        <v/>
      </c>
      <c r="BC126">
        <v>1296480</v>
      </c>
      <c r="BD126">
        <v>1869.2809999999999</v>
      </c>
      <c r="BE126">
        <v>93524446</v>
      </c>
      <c r="BF126">
        <v>36.109990000000003</v>
      </c>
      <c r="BG126">
        <v>2848.8433</v>
      </c>
      <c r="BH126">
        <v>36.10999202</v>
      </c>
    </row>
    <row r="127" spans="1:60">
      <c r="A127">
        <v>24860</v>
      </c>
      <c r="B127" t="s">
        <v>399</v>
      </c>
      <c r="C127">
        <v>35794.89</v>
      </c>
      <c r="D127">
        <v>401269</v>
      </c>
      <c r="E127">
        <v>630098</v>
      </c>
      <c r="F127">
        <v>3.4497800000000002E-2</v>
      </c>
      <c r="G127">
        <f t="shared" si="6"/>
        <v>34497.800000000003</v>
      </c>
      <c r="H127" s="51">
        <f t="shared" si="7"/>
        <v>21736994784.400002</v>
      </c>
      <c r="I127">
        <v>278.27390000000003</v>
      </c>
      <c r="J127">
        <v>10.48556</v>
      </c>
      <c r="K127">
        <v>-3.3668589999999998</v>
      </c>
      <c r="L127">
        <v>7.533131</v>
      </c>
      <c r="M127">
        <v>-1.516432</v>
      </c>
      <c r="N127">
        <v>13.353630000000001</v>
      </c>
      <c r="O127">
        <v>9.2900000000000003E-4</v>
      </c>
      <c r="P127">
        <v>0</v>
      </c>
      <c r="Q127">
        <v>753.49869999999999</v>
      </c>
      <c r="R127">
        <v>1868.9480000000001</v>
      </c>
      <c r="S127">
        <v>0</v>
      </c>
      <c r="T127">
        <v>0</v>
      </c>
      <c r="U127">
        <v>585.6028</v>
      </c>
      <c r="V127">
        <v>630098</v>
      </c>
      <c r="W127">
        <v>0</v>
      </c>
      <c r="X127">
        <v>9.2940000000000004E-4</v>
      </c>
      <c r="Y127">
        <v>0</v>
      </c>
      <c r="Z127">
        <v>0.2924967</v>
      </c>
      <c r="AB127">
        <v>94</v>
      </c>
      <c r="AE127">
        <v>0</v>
      </c>
      <c r="AF127">
        <v>2.1044119999999999</v>
      </c>
      <c r="AG127">
        <v>10.08235</v>
      </c>
      <c r="AI127">
        <v>10.96794</v>
      </c>
      <c r="AJ127">
        <v>10.60459</v>
      </c>
      <c r="AK127">
        <v>10.60003</v>
      </c>
      <c r="AL127">
        <v>10.85665</v>
      </c>
      <c r="AM127">
        <v>10.019539999999999</v>
      </c>
      <c r="AN127">
        <v>10.624689999999999</v>
      </c>
      <c r="AO127">
        <v>10.86434</v>
      </c>
      <c r="AP127">
        <v>10.867190000000001</v>
      </c>
      <c r="AQ127">
        <v>10.50441</v>
      </c>
      <c r="AR127">
        <v>11.08243</v>
      </c>
      <c r="AS127">
        <v>11.226129999999999</v>
      </c>
      <c r="AT127">
        <v>10.124409999999999</v>
      </c>
      <c r="AU127">
        <v>9.858943</v>
      </c>
      <c r="AV127">
        <v>10.64911</v>
      </c>
      <c r="AW127">
        <v>9.6910509999999999</v>
      </c>
      <c r="AX127">
        <v>9.3878939999999993</v>
      </c>
      <c r="AY127">
        <v>10.00412</v>
      </c>
      <c r="BA127">
        <v>0</v>
      </c>
      <c r="BB127" t="str">
        <f t="shared" si="8"/>
        <v/>
      </c>
      <c r="BC127">
        <v>577666</v>
      </c>
      <c r="BD127">
        <v>2002.0830000000001</v>
      </c>
      <c r="BE127">
        <v>132366065</v>
      </c>
      <c r="BF127">
        <v>51.106819999999999</v>
      </c>
      <c r="BG127">
        <v>2030.7565</v>
      </c>
      <c r="BH127">
        <v>51.10682559</v>
      </c>
    </row>
    <row r="128" spans="1:60">
      <c r="A128">
        <v>25060</v>
      </c>
      <c r="B128" t="s">
        <v>982</v>
      </c>
      <c r="C128">
        <v>33200.01</v>
      </c>
      <c r="D128">
        <v>152117</v>
      </c>
      <c r="E128">
        <v>236155</v>
      </c>
      <c r="F128">
        <v>2.9984500000000001E-2</v>
      </c>
      <c r="G128">
        <f t="shared" si="6"/>
        <v>29984.5</v>
      </c>
      <c r="H128" s="51">
        <f t="shared" si="7"/>
        <v>7080989597.5</v>
      </c>
      <c r="I128">
        <v>114.74760000000001</v>
      </c>
      <c r="J128">
        <v>10.410310000000001</v>
      </c>
      <c r="K128">
        <v>-3.5070730000000001</v>
      </c>
      <c r="L128">
        <v>6.828017</v>
      </c>
      <c r="M128">
        <v>-1.775746</v>
      </c>
      <c r="N128">
        <v>12.37224</v>
      </c>
      <c r="O128">
        <v>1.4369999999999999E-3</v>
      </c>
      <c r="P128">
        <v>0</v>
      </c>
      <c r="Q128">
        <v>592.96220000000005</v>
      </c>
      <c r="R128">
        <v>923.3578</v>
      </c>
      <c r="S128">
        <v>0</v>
      </c>
      <c r="T128">
        <v>0</v>
      </c>
      <c r="U128">
        <v>339.5915</v>
      </c>
      <c r="V128">
        <v>236155</v>
      </c>
      <c r="W128">
        <v>0</v>
      </c>
      <c r="X128">
        <v>1.438E-3</v>
      </c>
      <c r="Y128">
        <v>0</v>
      </c>
      <c r="Z128">
        <v>0.22590879999999999</v>
      </c>
      <c r="AE128">
        <v>0</v>
      </c>
      <c r="AF128">
        <v>2.9594649999999998</v>
      </c>
      <c r="AG128">
        <v>10.422840000000001</v>
      </c>
      <c r="AI128">
        <v>10.50447</v>
      </c>
      <c r="AJ128">
        <v>10.4986</v>
      </c>
      <c r="AK128">
        <v>10.76773</v>
      </c>
      <c r="AL128">
        <v>10.69004</v>
      </c>
      <c r="AM128">
        <v>10.014939999999999</v>
      </c>
      <c r="AN128">
        <v>10.47809</v>
      </c>
      <c r="AO128">
        <v>10.60661</v>
      </c>
      <c r="AP128">
        <v>10.76305</v>
      </c>
      <c r="AQ128">
        <v>10.259119999999999</v>
      </c>
      <c r="AR128">
        <v>10.81169</v>
      </c>
      <c r="AS128">
        <v>11.27187</v>
      </c>
      <c r="AT128">
        <v>10.03881</v>
      </c>
      <c r="AU128">
        <v>10.100949999999999</v>
      </c>
      <c r="AV128">
        <v>10.736549999999999</v>
      </c>
      <c r="AW128">
        <v>9.3056509999999992</v>
      </c>
      <c r="AX128">
        <v>10.00311</v>
      </c>
      <c r="AY128">
        <v>10.07404</v>
      </c>
      <c r="BB128" t="str">
        <f t="shared" si="8"/>
        <v/>
      </c>
      <c r="BD128">
        <v>1503.2239999999999</v>
      </c>
      <c r="BE128">
        <v>149493519</v>
      </c>
      <c r="BF128">
        <v>57.719769999999997</v>
      </c>
      <c r="BG128">
        <v>1976.7802999999999</v>
      </c>
      <c r="BH128">
        <v>57.719772829999997</v>
      </c>
    </row>
    <row r="129" spans="1:60">
      <c r="A129">
        <v>25180</v>
      </c>
      <c r="B129" t="s">
        <v>400</v>
      </c>
      <c r="C129">
        <v>32463.68</v>
      </c>
      <c r="D129">
        <v>126897</v>
      </c>
      <c r="E129">
        <v>264278</v>
      </c>
      <c r="F129">
        <v>2.3970999999999999E-2</v>
      </c>
      <c r="G129">
        <f t="shared" si="6"/>
        <v>23971</v>
      </c>
      <c r="H129" s="51">
        <f t="shared" si="7"/>
        <v>6335007938</v>
      </c>
      <c r="I129">
        <v>89.659570000000002</v>
      </c>
      <c r="J129">
        <v>10.387879999999999</v>
      </c>
      <c r="K129">
        <v>-3.730912</v>
      </c>
      <c r="L129">
        <v>7.5818029999999998</v>
      </c>
      <c r="M129">
        <v>-1.9148270000000001</v>
      </c>
      <c r="N129">
        <v>12.48476</v>
      </c>
      <c r="O129">
        <v>9.7820000000000003E-4</v>
      </c>
      <c r="P129">
        <v>0</v>
      </c>
      <c r="Q129">
        <v>784.94690000000003</v>
      </c>
      <c r="R129">
        <v>1962.164</v>
      </c>
      <c r="S129">
        <v>0</v>
      </c>
      <c r="T129">
        <v>0</v>
      </c>
      <c r="U129">
        <v>258.64550000000003</v>
      </c>
      <c r="V129">
        <v>264278</v>
      </c>
      <c r="W129">
        <v>0</v>
      </c>
      <c r="X129">
        <v>9.787000000000001E-4</v>
      </c>
      <c r="Y129">
        <v>0</v>
      </c>
      <c r="Z129">
        <v>0.2565269</v>
      </c>
      <c r="AB129">
        <v>64</v>
      </c>
      <c r="AE129">
        <v>0</v>
      </c>
      <c r="AF129">
        <v>2.8847510000000001</v>
      </c>
      <c r="AJ129">
        <v>10.51985</v>
      </c>
      <c r="AK129">
        <v>10.736079999999999</v>
      </c>
      <c r="AL129">
        <v>10.685829999999999</v>
      </c>
      <c r="AM129">
        <v>9.9627180000000006</v>
      </c>
      <c r="AN129">
        <v>10.42422</v>
      </c>
      <c r="AO129">
        <v>10.30608</v>
      </c>
      <c r="AP129">
        <v>10.6698</v>
      </c>
      <c r="AQ129">
        <v>10.25112</v>
      </c>
      <c r="AR129">
        <v>10.57525</v>
      </c>
      <c r="AS129">
        <v>10.84305</v>
      </c>
      <c r="AT129">
        <v>9.9871490000000005</v>
      </c>
      <c r="AU129">
        <v>10.06358</v>
      </c>
      <c r="AV129">
        <v>10.62867</v>
      </c>
      <c r="AW129">
        <v>9.7680550000000004</v>
      </c>
      <c r="AX129">
        <v>9.4445359999999994</v>
      </c>
      <c r="AY129">
        <v>9.9517869999999995</v>
      </c>
      <c r="BA129">
        <v>0</v>
      </c>
      <c r="BB129" t="str">
        <f t="shared" si="8"/>
        <v/>
      </c>
      <c r="BC129">
        <v>410144</v>
      </c>
      <c r="BD129">
        <v>1008.259</v>
      </c>
      <c r="BE129">
        <v>52282494</v>
      </c>
      <c r="BF129">
        <v>20.18638</v>
      </c>
      <c r="BG129">
        <v>1018.5167</v>
      </c>
      <c r="BH129">
        <v>20.186384650000001</v>
      </c>
    </row>
    <row r="130" spans="1:60">
      <c r="A130">
        <v>25260</v>
      </c>
      <c r="B130" t="s">
        <v>401</v>
      </c>
      <c r="C130">
        <v>32879.68</v>
      </c>
      <c r="D130">
        <v>57973</v>
      </c>
      <c r="E130">
        <v>148746</v>
      </c>
      <c r="F130">
        <v>1.6538299999999999E-2</v>
      </c>
      <c r="G130">
        <f t="shared" si="6"/>
        <v>16538.3</v>
      </c>
      <c r="H130" s="51">
        <f t="shared" si="7"/>
        <v>2460005971.7999997</v>
      </c>
      <c r="I130">
        <v>35.808120000000002</v>
      </c>
      <c r="J130">
        <v>10.40061</v>
      </c>
      <c r="K130">
        <v>-4.1020789999999998</v>
      </c>
      <c r="L130">
        <v>6.8828290000000001</v>
      </c>
      <c r="M130">
        <v>-2.405599</v>
      </c>
      <c r="N130">
        <v>11.91</v>
      </c>
      <c r="O130">
        <v>1.9151999999999999E-3</v>
      </c>
      <c r="P130">
        <v>0</v>
      </c>
      <c r="Q130">
        <v>572.60760000000005</v>
      </c>
      <c r="R130">
        <v>975.38170000000002</v>
      </c>
      <c r="S130">
        <v>0</v>
      </c>
      <c r="T130">
        <v>0</v>
      </c>
      <c r="U130">
        <v>285.15559999999999</v>
      </c>
      <c r="V130">
        <v>148746</v>
      </c>
      <c r="W130">
        <v>0</v>
      </c>
      <c r="X130">
        <v>1.9170999999999999E-3</v>
      </c>
      <c r="Y130">
        <v>0</v>
      </c>
      <c r="Z130">
        <v>0.2050015</v>
      </c>
      <c r="AB130">
        <v>165</v>
      </c>
      <c r="AE130">
        <v>0</v>
      </c>
      <c r="AF130">
        <v>7.9634359999999997</v>
      </c>
      <c r="AG130">
        <v>10.63287</v>
      </c>
      <c r="AI130">
        <v>11.058949999999999</v>
      </c>
      <c r="AJ130">
        <v>10.61636</v>
      </c>
      <c r="AK130">
        <v>10.692959999999999</v>
      </c>
      <c r="AL130">
        <v>10.67789</v>
      </c>
      <c r="AM130">
        <v>9.9938909999999996</v>
      </c>
      <c r="AN130">
        <v>10.249610000000001</v>
      </c>
      <c r="AO130">
        <v>10.656610000000001</v>
      </c>
      <c r="AP130">
        <v>10.6104</v>
      </c>
      <c r="AQ130">
        <v>10.090260000000001</v>
      </c>
      <c r="AR130">
        <v>10.43914</v>
      </c>
      <c r="AS130">
        <v>10.88626</v>
      </c>
      <c r="AT130">
        <v>10.158770000000001</v>
      </c>
      <c r="AU130">
        <v>10.0322</v>
      </c>
      <c r="AV130">
        <v>10.678470000000001</v>
      </c>
      <c r="AW130">
        <v>9.9610819999999993</v>
      </c>
      <c r="AX130">
        <v>9.9114959999999996</v>
      </c>
      <c r="AY130">
        <v>9.94299</v>
      </c>
      <c r="AZ130">
        <v>11.141859999999999</v>
      </c>
      <c r="BA130">
        <v>0</v>
      </c>
      <c r="BB130" t="str">
        <f t="shared" si="8"/>
        <v/>
      </c>
      <c r="BC130">
        <v>767251</v>
      </c>
      <c r="BD130">
        <v>1390.9929999999999</v>
      </c>
      <c r="BE130">
        <v>39955181</v>
      </c>
      <c r="BF130">
        <v>15.426780000000001</v>
      </c>
      <c r="BG130">
        <v>1391.5425</v>
      </c>
      <c r="BH130">
        <v>15.42678229</v>
      </c>
    </row>
    <row r="131" spans="1:60">
      <c r="A131">
        <v>25420</v>
      </c>
      <c r="B131" t="s">
        <v>402</v>
      </c>
      <c r="C131">
        <v>39059.410000000003</v>
      </c>
      <c r="D131">
        <v>402933</v>
      </c>
      <c r="E131">
        <v>533802</v>
      </c>
      <c r="F131">
        <v>4.3564800000000001E-2</v>
      </c>
      <c r="G131">
        <f t="shared" si="6"/>
        <v>43564.800000000003</v>
      </c>
      <c r="H131" s="51">
        <f t="shared" si="7"/>
        <v>23254977369.600002</v>
      </c>
      <c r="I131">
        <v>199.09139999999999</v>
      </c>
      <c r="J131">
        <v>10.572839999999999</v>
      </c>
      <c r="K131">
        <v>-3.133505</v>
      </c>
      <c r="L131">
        <v>8.6632370000000005</v>
      </c>
      <c r="M131">
        <v>-1.3915630000000001</v>
      </c>
      <c r="N131">
        <v>13.18778</v>
      </c>
      <c r="O131">
        <v>9.9850000000000004E-4</v>
      </c>
      <c r="P131">
        <v>0</v>
      </c>
      <c r="Q131">
        <v>1240.4000000000001</v>
      </c>
      <c r="R131">
        <v>5786.2340000000004</v>
      </c>
      <c r="S131">
        <v>0</v>
      </c>
      <c r="T131">
        <v>0</v>
      </c>
      <c r="U131">
        <v>533.24879999999996</v>
      </c>
      <c r="V131">
        <v>533802</v>
      </c>
      <c r="W131">
        <v>0</v>
      </c>
      <c r="X131">
        <v>9.990000000000001E-4</v>
      </c>
      <c r="Y131">
        <v>0</v>
      </c>
      <c r="Z131">
        <v>0.3273528</v>
      </c>
      <c r="AB131">
        <v>346</v>
      </c>
      <c r="AE131">
        <v>0</v>
      </c>
      <c r="AF131">
        <v>2.6784110000000001</v>
      </c>
      <c r="AH131">
        <v>10.56363</v>
      </c>
      <c r="AI131">
        <v>11.44272</v>
      </c>
      <c r="AJ131">
        <v>10.771269999999999</v>
      </c>
      <c r="AK131">
        <v>10.69548</v>
      </c>
      <c r="AL131">
        <v>10.79485</v>
      </c>
      <c r="AM131">
        <v>10.02163</v>
      </c>
      <c r="AN131">
        <v>10.632860000000001</v>
      </c>
      <c r="AO131">
        <v>10.87735</v>
      </c>
      <c r="AP131">
        <v>10.904439999999999</v>
      </c>
      <c r="AQ131">
        <v>10.536670000000001</v>
      </c>
      <c r="AR131">
        <v>11.004250000000001</v>
      </c>
      <c r="AS131">
        <v>11.27402</v>
      </c>
      <c r="AT131">
        <v>10.080629999999999</v>
      </c>
      <c r="AU131">
        <v>10.20391</v>
      </c>
      <c r="AV131">
        <v>10.610200000000001</v>
      </c>
      <c r="AW131">
        <v>9.9782550000000008</v>
      </c>
      <c r="AX131">
        <v>9.5746990000000007</v>
      </c>
      <c r="AY131">
        <v>10.276680000000001</v>
      </c>
      <c r="AZ131">
        <v>9.790692</v>
      </c>
      <c r="BA131">
        <v>0</v>
      </c>
      <c r="BB131" t="str">
        <f t="shared" si="8"/>
        <v/>
      </c>
      <c r="BC131">
        <v>1739043</v>
      </c>
      <c r="BD131">
        <v>1628.973</v>
      </c>
      <c r="BE131">
        <v>31522186</v>
      </c>
      <c r="BF131">
        <v>12.170780000000001</v>
      </c>
      <c r="BG131">
        <v>1664.1323</v>
      </c>
      <c r="BH131">
        <v>12.170784579999999</v>
      </c>
    </row>
    <row r="132" spans="1:60">
      <c r="A132">
        <v>25620</v>
      </c>
      <c r="B132" t="s">
        <v>983</v>
      </c>
      <c r="C132">
        <v>28902.27</v>
      </c>
      <c r="D132">
        <v>81755</v>
      </c>
      <c r="E132">
        <v>141000</v>
      </c>
      <c r="F132">
        <v>2.55248E-2</v>
      </c>
      <c r="G132">
        <f t="shared" si="6"/>
        <v>25524.799999999999</v>
      </c>
      <c r="H132" s="51">
        <f t="shared" si="7"/>
        <v>3598996800</v>
      </c>
      <c r="I132">
        <v>38.945900000000002</v>
      </c>
      <c r="J132">
        <v>10.27168</v>
      </c>
      <c r="K132">
        <v>-3.668104</v>
      </c>
      <c r="L132">
        <v>7.2135559999999996</v>
      </c>
      <c r="M132">
        <v>-1.6328510000000001</v>
      </c>
      <c r="N132">
        <v>11.85651</v>
      </c>
      <c r="O132">
        <v>1.7348000000000001E-3</v>
      </c>
      <c r="P132">
        <v>0</v>
      </c>
      <c r="Q132">
        <v>927.72280000000001</v>
      </c>
      <c r="R132">
        <v>1357.711</v>
      </c>
      <c r="S132">
        <v>0</v>
      </c>
      <c r="T132">
        <v>0</v>
      </c>
      <c r="U132">
        <v>244.821</v>
      </c>
      <c r="V132">
        <v>141000</v>
      </c>
      <c r="W132">
        <v>0</v>
      </c>
      <c r="X132">
        <v>1.7363000000000001E-3</v>
      </c>
      <c r="Y132">
        <v>0</v>
      </c>
      <c r="Z132">
        <v>0.15198519999999999</v>
      </c>
      <c r="AE132">
        <v>0</v>
      </c>
      <c r="AF132">
        <v>6.2861830000000003</v>
      </c>
      <c r="AG132">
        <v>11.00407</v>
      </c>
      <c r="AH132">
        <v>10.72363</v>
      </c>
      <c r="AI132">
        <v>10.98884</v>
      </c>
      <c r="AJ132">
        <v>10.55878</v>
      </c>
      <c r="AK132">
        <v>10.42591</v>
      </c>
      <c r="AL132">
        <v>10.440110000000001</v>
      </c>
      <c r="AM132">
        <v>9.8986789999999996</v>
      </c>
      <c r="AN132">
        <v>10.738239999999999</v>
      </c>
      <c r="AO132">
        <v>10.56352</v>
      </c>
      <c r="AP132">
        <v>10.53314</v>
      </c>
      <c r="AQ132">
        <v>10.1187</v>
      </c>
      <c r="AR132">
        <v>10.54715</v>
      </c>
      <c r="AS132">
        <v>11.02608</v>
      </c>
      <c r="AT132">
        <v>9.8319690000000008</v>
      </c>
      <c r="AU132">
        <v>9.7779520000000009</v>
      </c>
      <c r="AV132">
        <v>10.668049999999999</v>
      </c>
      <c r="AW132">
        <v>9.6349409999999995</v>
      </c>
      <c r="AX132">
        <v>9.2451989999999995</v>
      </c>
      <c r="AY132">
        <v>9.7969270000000002</v>
      </c>
      <c r="BB132" t="str">
        <f t="shared" si="8"/>
        <v/>
      </c>
      <c r="BD132">
        <v>1610.8209999999999</v>
      </c>
      <c r="BE132">
        <v>64328533</v>
      </c>
      <c r="BF132">
        <v>24.837389999999999</v>
      </c>
      <c r="BG132">
        <v>1620.8666000000001</v>
      </c>
      <c r="BH132">
        <v>24.837386510000002</v>
      </c>
    </row>
    <row r="133" spans="1:60">
      <c r="A133">
        <v>25980</v>
      </c>
      <c r="B133" t="s">
        <v>1221</v>
      </c>
      <c r="C133">
        <v>28942.13</v>
      </c>
      <c r="D133">
        <v>42427</v>
      </c>
      <c r="E133">
        <v>70284</v>
      </c>
      <c r="F133">
        <v>1.09129E-2</v>
      </c>
      <c r="G133">
        <f t="shared" si="6"/>
        <v>10912.9</v>
      </c>
      <c r="H133" s="51">
        <f t="shared" si="7"/>
        <v>767002263.60000002</v>
      </c>
      <c r="I133">
        <v>26.900079999999999</v>
      </c>
      <c r="J133">
        <v>10.27305</v>
      </c>
      <c r="K133">
        <v>-4.5178130000000003</v>
      </c>
      <c r="L133">
        <v>5.9709060000000003</v>
      </c>
      <c r="M133">
        <v>-2.319839</v>
      </c>
      <c r="N133">
        <v>11.160299999999999</v>
      </c>
      <c r="O133">
        <v>1.9851999999999999E-3</v>
      </c>
      <c r="P133">
        <v>0</v>
      </c>
      <c r="Q133">
        <v>320.48230000000001</v>
      </c>
      <c r="R133">
        <v>391.86070000000001</v>
      </c>
      <c r="S133">
        <v>0</v>
      </c>
      <c r="T133">
        <v>0</v>
      </c>
      <c r="U133">
        <v>139.66739999999999</v>
      </c>
      <c r="V133">
        <v>70284</v>
      </c>
      <c r="W133">
        <v>0</v>
      </c>
      <c r="X133">
        <v>1.9872000000000002E-3</v>
      </c>
      <c r="Y133">
        <v>0</v>
      </c>
      <c r="Z133">
        <v>0.15181720000000001</v>
      </c>
      <c r="AE133">
        <v>0</v>
      </c>
      <c r="AF133">
        <v>5.1920809999999999</v>
      </c>
      <c r="AG133">
        <v>10.540319999999999</v>
      </c>
      <c r="AI133">
        <v>10.92984</v>
      </c>
      <c r="AJ133">
        <v>10.53945</v>
      </c>
      <c r="AK133">
        <v>10.70721</v>
      </c>
      <c r="AL133">
        <v>10.819229999999999</v>
      </c>
      <c r="AM133">
        <v>9.9329079999999994</v>
      </c>
      <c r="AN133">
        <v>11.242459999999999</v>
      </c>
      <c r="AO133">
        <v>10.53645</v>
      </c>
      <c r="AP133">
        <v>10.47631</v>
      </c>
      <c r="AQ133">
        <v>10.039020000000001</v>
      </c>
      <c r="AR133">
        <v>10.30119</v>
      </c>
      <c r="AT133">
        <v>10.074870000000001</v>
      </c>
      <c r="AV133">
        <v>10.564920000000001</v>
      </c>
      <c r="AW133">
        <v>9.1614090000000008</v>
      </c>
      <c r="AX133">
        <v>9.1402490000000007</v>
      </c>
      <c r="AY133">
        <v>9.7729429999999997</v>
      </c>
      <c r="BB133" t="str">
        <f t="shared" si="8"/>
        <v/>
      </c>
      <c r="BD133">
        <v>919.97059999999999</v>
      </c>
      <c r="BE133">
        <v>54296731</v>
      </c>
      <c r="BF133">
        <v>20.964079999999999</v>
      </c>
      <c r="BG133">
        <v>1006.3904</v>
      </c>
      <c r="BH133">
        <v>20.96408593</v>
      </c>
    </row>
    <row r="134" spans="1:60">
      <c r="A134">
        <v>26100</v>
      </c>
      <c r="B134" t="s">
        <v>403</v>
      </c>
      <c r="C134">
        <v>34475</v>
      </c>
      <c r="D134">
        <v>139364</v>
      </c>
      <c r="E134">
        <v>260891</v>
      </c>
      <c r="F134">
        <v>3.2120700000000002E-2</v>
      </c>
      <c r="G134">
        <f t="shared" si="6"/>
        <v>32120.7</v>
      </c>
      <c r="H134" s="51">
        <f t="shared" si="7"/>
        <v>8380001543.6999998</v>
      </c>
      <c r="I134">
        <v>115.1369</v>
      </c>
      <c r="J134">
        <v>10.447990000000001</v>
      </c>
      <c r="K134">
        <v>-3.4382549999999998</v>
      </c>
      <c r="L134">
        <v>7.4477520000000004</v>
      </c>
      <c r="M134">
        <v>-1.455946</v>
      </c>
      <c r="N134">
        <v>12.47186</v>
      </c>
      <c r="O134">
        <v>5.1210000000000003E-4</v>
      </c>
      <c r="P134">
        <v>0</v>
      </c>
      <c r="Q134">
        <v>691.54219999999998</v>
      </c>
      <c r="R134">
        <v>1716.001</v>
      </c>
      <c r="S134">
        <v>0</v>
      </c>
      <c r="T134">
        <v>0</v>
      </c>
      <c r="U134">
        <v>133.63419999999999</v>
      </c>
      <c r="V134">
        <v>260891</v>
      </c>
      <c r="W134">
        <v>0</v>
      </c>
      <c r="X134">
        <v>5.1219999999999998E-4</v>
      </c>
      <c r="Y134">
        <v>0</v>
      </c>
      <c r="Z134">
        <v>0.2362474</v>
      </c>
      <c r="AB134">
        <v>117</v>
      </c>
      <c r="AE134">
        <v>0</v>
      </c>
      <c r="AF134">
        <v>1.160655</v>
      </c>
      <c r="AG134">
        <v>11.333460000000001</v>
      </c>
      <c r="AH134">
        <v>10.71885</v>
      </c>
      <c r="AI134">
        <v>11.33103</v>
      </c>
      <c r="AJ134">
        <v>10.72814</v>
      </c>
      <c r="AK134">
        <v>10.651719999999999</v>
      </c>
      <c r="AL134">
        <v>10.74404</v>
      </c>
      <c r="AM134">
        <v>9.9921530000000001</v>
      </c>
      <c r="AN134">
        <v>10.4573</v>
      </c>
      <c r="AO134">
        <v>10.52244</v>
      </c>
      <c r="AP134">
        <v>10.70975</v>
      </c>
      <c r="AQ134">
        <v>10.21307</v>
      </c>
      <c r="AR134">
        <v>10.80836</v>
      </c>
      <c r="AS134">
        <v>11.024430000000001</v>
      </c>
      <c r="AT134">
        <v>10.13475</v>
      </c>
      <c r="AV134">
        <v>10.333399999999999</v>
      </c>
      <c r="AW134">
        <v>9.726718</v>
      </c>
      <c r="AX134">
        <v>9.395187</v>
      </c>
      <c r="AY134">
        <v>10.0609</v>
      </c>
      <c r="BA134">
        <v>0</v>
      </c>
      <c r="BB134" t="str">
        <f t="shared" si="8"/>
        <v/>
      </c>
      <c r="BC134">
        <v>314845</v>
      </c>
      <c r="BD134">
        <v>565.65390000000002</v>
      </c>
      <c r="BE134">
        <v>14755071</v>
      </c>
      <c r="BF134">
        <v>5.6969649999999996</v>
      </c>
      <c r="BG134">
        <v>1631.4105999999999</v>
      </c>
      <c r="BH134">
        <v>5.696965005</v>
      </c>
    </row>
    <row r="135" spans="1:60">
      <c r="A135">
        <v>26180</v>
      </c>
      <c r="B135" t="s">
        <v>404</v>
      </c>
      <c r="C135">
        <v>37387.129999999997</v>
      </c>
      <c r="D135">
        <v>626137</v>
      </c>
      <c r="E135">
        <v>902745</v>
      </c>
      <c r="F135">
        <v>3.8889199999999999E-2</v>
      </c>
      <c r="G135">
        <f t="shared" si="6"/>
        <v>38889.199999999997</v>
      </c>
      <c r="H135" s="51">
        <f t="shared" si="7"/>
        <v>35107030854</v>
      </c>
      <c r="I135">
        <v>202.2611</v>
      </c>
      <c r="J135">
        <v>10.52908</v>
      </c>
      <c r="K135">
        <v>-3.2470400000000001</v>
      </c>
      <c r="L135">
        <v>8.1201869999999996</v>
      </c>
      <c r="M135">
        <v>-1.2832349999999999</v>
      </c>
      <c r="N135">
        <v>13.713200000000001</v>
      </c>
      <c r="O135">
        <v>2.8679999999999998E-4</v>
      </c>
      <c r="P135">
        <v>0</v>
      </c>
      <c r="Q135">
        <v>1569.3430000000001</v>
      </c>
      <c r="R135">
        <v>3361.6480000000001</v>
      </c>
      <c r="S135">
        <v>0</v>
      </c>
      <c r="T135">
        <v>0</v>
      </c>
      <c r="U135">
        <v>258.93869999999998</v>
      </c>
      <c r="V135">
        <v>902745</v>
      </c>
      <c r="W135">
        <v>0</v>
      </c>
      <c r="X135">
        <v>2.8679999999999998E-4</v>
      </c>
      <c r="Y135">
        <v>0</v>
      </c>
      <c r="Z135">
        <v>0.43173270000000002</v>
      </c>
      <c r="AB135">
        <v>920</v>
      </c>
      <c r="AE135">
        <v>0</v>
      </c>
      <c r="AF135">
        <v>1.2802199999999999</v>
      </c>
      <c r="AG135">
        <v>10.01582</v>
      </c>
      <c r="AH135">
        <v>11.36293</v>
      </c>
      <c r="AJ135">
        <v>11.029339999999999</v>
      </c>
      <c r="AK135">
        <v>10.502470000000001</v>
      </c>
      <c r="AL135">
        <v>10.660600000000001</v>
      </c>
      <c r="AM135">
        <v>10.116580000000001</v>
      </c>
      <c r="AN135">
        <v>10.604710000000001</v>
      </c>
      <c r="AO135">
        <v>10.91953</v>
      </c>
      <c r="AP135">
        <v>10.98034</v>
      </c>
      <c r="AQ135">
        <v>10.63897</v>
      </c>
      <c r="AR135">
        <v>10.963660000000001</v>
      </c>
      <c r="AS135">
        <v>11.063639999999999</v>
      </c>
      <c r="AT135">
        <v>10.13336</v>
      </c>
      <c r="AU135">
        <v>10.40226</v>
      </c>
      <c r="AV135">
        <v>10.71482</v>
      </c>
      <c r="AW135">
        <v>9.9452459999999991</v>
      </c>
      <c r="AX135">
        <v>9.9274730000000009</v>
      </c>
      <c r="AY135">
        <v>10.17948</v>
      </c>
      <c r="BA135">
        <v>0</v>
      </c>
      <c r="BB135" t="str">
        <f t="shared" si="8"/>
        <v/>
      </c>
      <c r="BC135" s="14">
        <v>18300000</v>
      </c>
      <c r="BD135">
        <v>599.76639999999998</v>
      </c>
      <c r="BE135">
        <v>186788370</v>
      </c>
      <c r="BF135">
        <v>72.119389999999996</v>
      </c>
      <c r="BG135">
        <v>2126.8090999999999</v>
      </c>
      <c r="BH135">
        <v>72.119395920000002</v>
      </c>
    </row>
    <row r="136" spans="1:60">
      <c r="A136">
        <v>26300</v>
      </c>
      <c r="B136" t="s">
        <v>984</v>
      </c>
      <c r="C136">
        <v>26672.66</v>
      </c>
      <c r="D136">
        <v>54194</v>
      </c>
      <c r="E136">
        <v>97700</v>
      </c>
      <c r="F136">
        <v>2.3449299999999999E-2</v>
      </c>
      <c r="G136">
        <f t="shared" si="6"/>
        <v>23449.3</v>
      </c>
      <c r="H136" s="51">
        <f t="shared" si="7"/>
        <v>2290996610</v>
      </c>
      <c r="I136">
        <v>50.820349999999998</v>
      </c>
      <c r="J136">
        <v>10.19139</v>
      </c>
      <c r="K136">
        <v>-3.7529129999999999</v>
      </c>
      <c r="L136">
        <v>6.7051400000000001</v>
      </c>
      <c r="M136">
        <v>-1.5734619999999999</v>
      </c>
      <c r="N136">
        <v>11.489660000000001</v>
      </c>
      <c r="O136">
        <v>1.1238999999999999E-3</v>
      </c>
      <c r="P136">
        <v>0</v>
      </c>
      <c r="Q136">
        <v>514.97090000000003</v>
      </c>
      <c r="R136">
        <v>816.59220000000005</v>
      </c>
      <c r="S136">
        <v>0</v>
      </c>
      <c r="T136">
        <v>0</v>
      </c>
      <c r="U136">
        <v>109.87130000000001</v>
      </c>
      <c r="V136">
        <v>97700</v>
      </c>
      <c r="W136">
        <v>0</v>
      </c>
      <c r="X136">
        <v>1.1245999999999999E-3</v>
      </c>
      <c r="Y136">
        <v>0</v>
      </c>
      <c r="Z136">
        <v>0.1622381</v>
      </c>
      <c r="AE136">
        <v>0</v>
      </c>
      <c r="AF136">
        <v>2.1619549999999998</v>
      </c>
      <c r="AG136">
        <v>10.48976</v>
      </c>
      <c r="AJ136">
        <v>10.17609</v>
      </c>
      <c r="AK136">
        <v>10.478120000000001</v>
      </c>
      <c r="AL136">
        <v>10.552530000000001</v>
      </c>
      <c r="AM136">
        <v>9.9749569999999999</v>
      </c>
      <c r="AN136">
        <v>10.230779999999999</v>
      </c>
      <c r="AO136">
        <v>10.430759999999999</v>
      </c>
      <c r="AP136">
        <v>10.51524</v>
      </c>
      <c r="AQ136">
        <v>10.09958</v>
      </c>
      <c r="AR136">
        <v>10.44534</v>
      </c>
      <c r="AS136">
        <v>11.077489999999999</v>
      </c>
      <c r="AT136">
        <v>9.9366979999999998</v>
      </c>
      <c r="AU136">
        <v>9.8312270000000002</v>
      </c>
      <c r="AV136">
        <v>10.59633</v>
      </c>
      <c r="AW136">
        <v>9.8969609999999992</v>
      </c>
      <c r="AX136">
        <v>9.3612210000000005</v>
      </c>
      <c r="AY136">
        <v>9.8060639999999992</v>
      </c>
      <c r="BB136" t="str">
        <f t="shared" si="8"/>
        <v/>
      </c>
      <c r="BD136">
        <v>677.22270000000003</v>
      </c>
      <c r="BE136">
        <v>75892511</v>
      </c>
      <c r="BF136">
        <v>29.30226</v>
      </c>
      <c r="BG136">
        <v>734.63517000000002</v>
      </c>
      <c r="BH136">
        <v>29.30226356</v>
      </c>
    </row>
    <row r="137" spans="1:60">
      <c r="A137">
        <v>26380</v>
      </c>
      <c r="B137" t="s">
        <v>1222</v>
      </c>
      <c r="C137">
        <v>41401.06</v>
      </c>
      <c r="D137">
        <v>126752</v>
      </c>
      <c r="E137">
        <v>202717</v>
      </c>
      <c r="F137">
        <v>4.7993000000000001E-2</v>
      </c>
      <c r="G137">
        <f t="shared" si="6"/>
        <v>47993</v>
      </c>
      <c r="H137" s="51">
        <f t="shared" si="7"/>
        <v>9728996981</v>
      </c>
      <c r="I137">
        <v>93.103390000000005</v>
      </c>
      <c r="J137">
        <v>10.63106</v>
      </c>
      <c r="K137">
        <v>-3.0367000000000002</v>
      </c>
      <c r="L137">
        <v>7.4064589999999999</v>
      </c>
      <c r="M137">
        <v>-2.1762929999999998</v>
      </c>
      <c r="N137">
        <v>12.219569999999999</v>
      </c>
      <c r="O137">
        <v>1.1337000000000001E-3</v>
      </c>
      <c r="P137">
        <v>0</v>
      </c>
      <c r="Q137">
        <v>676.42010000000005</v>
      </c>
      <c r="R137">
        <v>1646.585</v>
      </c>
      <c r="S137">
        <v>0</v>
      </c>
      <c r="T137">
        <v>0</v>
      </c>
      <c r="U137">
        <v>229.9588</v>
      </c>
      <c r="V137">
        <v>202717</v>
      </c>
      <c r="W137">
        <v>0</v>
      </c>
      <c r="X137">
        <v>1.1344E-3</v>
      </c>
      <c r="Y137">
        <v>0</v>
      </c>
      <c r="Z137">
        <v>9.8289399999999999E-2</v>
      </c>
      <c r="AE137">
        <v>0</v>
      </c>
      <c r="AF137">
        <v>2.469929</v>
      </c>
      <c r="AG137">
        <v>10.026809999999999</v>
      </c>
      <c r="AH137">
        <v>11.05565</v>
      </c>
      <c r="AI137">
        <v>11.07253</v>
      </c>
      <c r="AJ137">
        <v>10.84806</v>
      </c>
      <c r="AK137">
        <v>10.7971</v>
      </c>
      <c r="AL137">
        <v>10.731999999999999</v>
      </c>
      <c r="AM137">
        <v>10.028700000000001</v>
      </c>
      <c r="AN137">
        <v>11.172140000000001</v>
      </c>
      <c r="AO137">
        <v>11.23217</v>
      </c>
      <c r="AP137">
        <v>10.66799</v>
      </c>
      <c r="AQ137">
        <v>10.88025</v>
      </c>
      <c r="AR137">
        <v>10.796709999999999</v>
      </c>
      <c r="AS137">
        <v>10.898250000000001</v>
      </c>
      <c r="AT137">
        <v>10.26092</v>
      </c>
      <c r="AU137">
        <v>9.4535929999999997</v>
      </c>
      <c r="AV137">
        <v>10.587859999999999</v>
      </c>
      <c r="AW137">
        <v>9.8120329999999996</v>
      </c>
      <c r="AX137">
        <v>9.5064349999999997</v>
      </c>
      <c r="AY137">
        <v>10.445539999999999</v>
      </c>
      <c r="AZ137">
        <v>10.890549999999999</v>
      </c>
      <c r="BB137" t="str">
        <f t="shared" si="8"/>
        <v/>
      </c>
      <c r="BD137">
        <v>2339.61</v>
      </c>
      <c r="BE137">
        <v>59655520</v>
      </c>
      <c r="BF137">
        <v>23.03312</v>
      </c>
      <c r="BG137">
        <v>3556.375</v>
      </c>
      <c r="BH137">
        <v>23.033126020000001</v>
      </c>
    </row>
    <row r="138" spans="1:60">
      <c r="A138">
        <v>26420</v>
      </c>
      <c r="B138" t="s">
        <v>295</v>
      </c>
      <c r="C138">
        <v>52427.95</v>
      </c>
      <c r="D138">
        <v>3487033</v>
      </c>
      <c r="E138">
        <v>5726705</v>
      </c>
      <c r="F138">
        <v>6.5870899999999996E-2</v>
      </c>
      <c r="G138">
        <f t="shared" si="6"/>
        <v>65870.899999999994</v>
      </c>
      <c r="H138" s="51">
        <f t="shared" si="7"/>
        <v>377223212384.49994</v>
      </c>
      <c r="I138">
        <v>1559.51</v>
      </c>
      <c r="J138">
        <v>10.8672</v>
      </c>
      <c r="K138">
        <v>-2.720059</v>
      </c>
      <c r="L138">
        <v>7.7969619999999997</v>
      </c>
      <c r="M138">
        <v>-1.4417979999999999</v>
      </c>
      <c r="N138">
        <v>15.560650000000001</v>
      </c>
      <c r="O138">
        <v>4.2700000000000002E-4</v>
      </c>
      <c r="P138" s="14">
        <v>2.5000000000000002E-6</v>
      </c>
      <c r="Q138">
        <v>1385.913</v>
      </c>
      <c r="R138">
        <v>2433.1990000000001</v>
      </c>
      <c r="S138">
        <v>1</v>
      </c>
      <c r="T138">
        <v>14.3</v>
      </c>
      <c r="U138">
        <v>2445.8629999999998</v>
      </c>
      <c r="V138">
        <v>5726705</v>
      </c>
      <c r="W138" s="14">
        <v>2.5000000000000002E-6</v>
      </c>
      <c r="X138">
        <v>4.2709999999999997E-4</v>
      </c>
      <c r="Y138">
        <v>1.6017E-3</v>
      </c>
      <c r="Z138">
        <v>0.273947</v>
      </c>
      <c r="AB138">
        <v>1505</v>
      </c>
      <c r="AE138">
        <v>9.1695000000000006E-3</v>
      </c>
      <c r="AF138">
        <v>1.5683530000000001</v>
      </c>
      <c r="AG138">
        <v>10.54302</v>
      </c>
      <c r="AH138">
        <v>11.72247</v>
      </c>
      <c r="AI138">
        <v>11.58334</v>
      </c>
      <c r="AJ138">
        <v>10.882680000000001</v>
      </c>
      <c r="AK138">
        <v>11.018269999999999</v>
      </c>
      <c r="AL138">
        <v>11.075519999999999</v>
      </c>
      <c r="AM138">
        <v>10.1069</v>
      </c>
      <c r="AN138">
        <v>10.88086</v>
      </c>
      <c r="AO138">
        <v>11.20308</v>
      </c>
      <c r="AP138">
        <v>11.30866</v>
      </c>
      <c r="AQ138">
        <v>10.706300000000001</v>
      </c>
      <c r="AR138">
        <v>11.31288</v>
      </c>
      <c r="AS138">
        <v>11.825229999999999</v>
      </c>
      <c r="AT138">
        <v>10.4514</v>
      </c>
      <c r="AU138">
        <v>10.589919999999999</v>
      </c>
      <c r="AV138">
        <v>10.68629</v>
      </c>
      <c r="AW138">
        <v>10.37302</v>
      </c>
      <c r="AX138">
        <v>9.616479</v>
      </c>
      <c r="AY138">
        <v>10.256629999999999</v>
      </c>
      <c r="AZ138">
        <v>11.82502</v>
      </c>
      <c r="BA138">
        <v>770505</v>
      </c>
      <c r="BB138">
        <f t="shared" si="8"/>
        <v>53881.468531468527</v>
      </c>
      <c r="BC138" s="14">
        <v>40700000</v>
      </c>
      <c r="BD138">
        <v>8928.2340000000004</v>
      </c>
      <c r="BE138">
        <v>1688893868</v>
      </c>
      <c r="BF138">
        <v>652.0856</v>
      </c>
      <c r="BG138">
        <v>10071.742</v>
      </c>
      <c r="BH138">
        <v>652.08559579999996</v>
      </c>
    </row>
    <row r="139" spans="1:60">
      <c r="A139">
        <v>26580</v>
      </c>
      <c r="B139" t="s">
        <v>405</v>
      </c>
      <c r="C139">
        <v>33787.71</v>
      </c>
      <c r="D139">
        <v>147009</v>
      </c>
      <c r="E139">
        <v>284903</v>
      </c>
      <c r="F139">
        <v>2.8244700000000001E-2</v>
      </c>
      <c r="G139">
        <f t="shared" si="6"/>
        <v>28244.7</v>
      </c>
      <c r="H139" s="51">
        <f t="shared" si="7"/>
        <v>8046999764.1000004</v>
      </c>
      <c r="I139">
        <v>109.4873</v>
      </c>
      <c r="J139">
        <v>10.427849999999999</v>
      </c>
      <c r="K139">
        <v>-3.5668489999999999</v>
      </c>
      <c r="L139">
        <v>7.5451509999999997</v>
      </c>
      <c r="M139">
        <v>-1.8885000000000001</v>
      </c>
      <c r="N139">
        <v>12.559900000000001</v>
      </c>
      <c r="O139">
        <v>1.2838999999999999E-3</v>
      </c>
      <c r="P139">
        <v>0</v>
      </c>
      <c r="Q139">
        <v>732.16679999999997</v>
      </c>
      <c r="R139">
        <v>1891.548</v>
      </c>
      <c r="S139">
        <v>0</v>
      </c>
      <c r="T139">
        <v>0</v>
      </c>
      <c r="U139">
        <v>366.01490000000001</v>
      </c>
      <c r="V139">
        <v>284903</v>
      </c>
      <c r="W139">
        <v>0</v>
      </c>
      <c r="X139">
        <v>1.2846999999999999E-3</v>
      </c>
      <c r="Y139">
        <v>0</v>
      </c>
      <c r="Z139">
        <v>0.20931669999999999</v>
      </c>
      <c r="AB139">
        <v>196</v>
      </c>
      <c r="AE139">
        <v>0</v>
      </c>
      <c r="AF139">
        <v>3.3429880000000001</v>
      </c>
      <c r="AG139">
        <v>10.089969999999999</v>
      </c>
      <c r="AH139">
        <v>11.201029999999999</v>
      </c>
      <c r="AJ139">
        <v>10.80358</v>
      </c>
      <c r="AK139">
        <v>10.92909</v>
      </c>
      <c r="AL139">
        <v>10.72157</v>
      </c>
      <c r="AM139">
        <v>9.8891030000000004</v>
      </c>
      <c r="AN139">
        <v>10.56165</v>
      </c>
      <c r="AO139">
        <v>10.522169999999999</v>
      </c>
      <c r="AP139">
        <v>10.654680000000001</v>
      </c>
      <c r="AQ139">
        <v>10.279809999999999</v>
      </c>
      <c r="AR139">
        <v>10.41103</v>
      </c>
      <c r="AS139">
        <v>11.039440000000001</v>
      </c>
      <c r="AT139">
        <v>9.9406970000000001</v>
      </c>
      <c r="AU139">
        <v>10.019220000000001</v>
      </c>
      <c r="AV139">
        <v>10.53937</v>
      </c>
      <c r="AW139">
        <v>9.5679619999999996</v>
      </c>
      <c r="AX139">
        <v>9.293901</v>
      </c>
      <c r="AY139">
        <v>10.034739999999999</v>
      </c>
      <c r="BA139">
        <v>0</v>
      </c>
      <c r="BB139" t="str">
        <f t="shared" si="8"/>
        <v/>
      </c>
      <c r="BC139">
        <v>782021</v>
      </c>
      <c r="BD139">
        <v>1748.6179999999999</v>
      </c>
      <c r="BE139">
        <v>71574411</v>
      </c>
      <c r="BF139">
        <v>27.63503</v>
      </c>
      <c r="BG139">
        <v>1773.6840999999999</v>
      </c>
      <c r="BH139">
        <v>27.635035760000001</v>
      </c>
    </row>
    <row r="140" spans="1:60">
      <c r="A140">
        <v>26620</v>
      </c>
      <c r="B140" t="s">
        <v>406</v>
      </c>
      <c r="C140">
        <v>41668.21</v>
      </c>
      <c r="D140">
        <v>270156</v>
      </c>
      <c r="E140">
        <v>397228</v>
      </c>
      <c r="F140">
        <v>3.7092E-2</v>
      </c>
      <c r="G140">
        <f t="shared" si="6"/>
        <v>37092</v>
      </c>
      <c r="H140" s="51">
        <f t="shared" si="7"/>
        <v>14733980976</v>
      </c>
      <c r="I140">
        <v>178.37049999999999</v>
      </c>
      <c r="J140">
        <v>10.63749</v>
      </c>
      <c r="K140">
        <v>-3.2943530000000001</v>
      </c>
      <c r="L140">
        <v>6.8118049999999997</v>
      </c>
      <c r="M140">
        <v>-1.2150529999999999</v>
      </c>
      <c r="N140">
        <v>12.89227</v>
      </c>
      <c r="O140">
        <v>5.7970000000000005E-4</v>
      </c>
      <c r="P140">
        <v>0</v>
      </c>
      <c r="Q140">
        <v>591.572</v>
      </c>
      <c r="R140">
        <v>908.50930000000005</v>
      </c>
      <c r="S140">
        <v>0</v>
      </c>
      <c r="T140">
        <v>0</v>
      </c>
      <c r="U140">
        <v>230.3288</v>
      </c>
      <c r="V140">
        <v>397228</v>
      </c>
      <c r="W140">
        <v>0</v>
      </c>
      <c r="X140">
        <v>5.798E-4</v>
      </c>
      <c r="Y140">
        <v>0</v>
      </c>
      <c r="Z140">
        <v>0.1677593</v>
      </c>
      <c r="AB140">
        <v>227</v>
      </c>
      <c r="AE140">
        <v>0</v>
      </c>
      <c r="AF140">
        <v>1.2912939999999999</v>
      </c>
      <c r="AJ140">
        <v>10.49296</v>
      </c>
      <c r="AK140">
        <v>10.78134</v>
      </c>
      <c r="AL140">
        <v>10.89762</v>
      </c>
      <c r="AM140">
        <v>10.008749999999999</v>
      </c>
      <c r="AN140">
        <v>10.4152</v>
      </c>
      <c r="AO140">
        <v>10.712020000000001</v>
      </c>
      <c r="AP140">
        <v>10.81785</v>
      </c>
      <c r="AQ140">
        <v>10.273820000000001</v>
      </c>
      <c r="AR140">
        <v>11.22866</v>
      </c>
      <c r="AS140">
        <v>11.126760000000001</v>
      </c>
      <c r="AT140">
        <v>10.20749</v>
      </c>
      <c r="AU140">
        <v>10.215170000000001</v>
      </c>
      <c r="AV140">
        <v>10.68256</v>
      </c>
      <c r="AW140">
        <v>9.5974350000000008</v>
      </c>
      <c r="AX140">
        <v>9.3719380000000001</v>
      </c>
      <c r="AY140">
        <v>10.023250000000001</v>
      </c>
      <c r="AZ140">
        <v>9.2591300000000007</v>
      </c>
      <c r="BA140">
        <v>0</v>
      </c>
      <c r="BB140" t="str">
        <f t="shared" si="8"/>
        <v/>
      </c>
      <c r="BC140">
        <v>612046</v>
      </c>
      <c r="BD140">
        <v>1372.972</v>
      </c>
      <c r="BE140">
        <v>252864066</v>
      </c>
      <c r="BF140">
        <v>97.631360000000001</v>
      </c>
      <c r="BG140">
        <v>1419.9019000000001</v>
      </c>
      <c r="BH140">
        <v>97.631365860000002</v>
      </c>
    </row>
    <row r="141" spans="1:60">
      <c r="A141">
        <v>26820</v>
      </c>
      <c r="B141" t="s">
        <v>985</v>
      </c>
      <c r="C141">
        <v>34605.379999999997</v>
      </c>
      <c r="D141">
        <v>73784</v>
      </c>
      <c r="E141">
        <v>123123</v>
      </c>
      <c r="F141">
        <v>2.62014E-2</v>
      </c>
      <c r="G141">
        <f t="shared" si="6"/>
        <v>26201.4</v>
      </c>
      <c r="H141" s="51">
        <f t="shared" si="7"/>
        <v>3225994972.2000003</v>
      </c>
      <c r="I141">
        <v>32.629469999999998</v>
      </c>
      <c r="J141">
        <v>10.45176</v>
      </c>
      <c r="K141">
        <v>-3.6419410000000001</v>
      </c>
      <c r="L141">
        <v>7.421055</v>
      </c>
      <c r="M141">
        <v>-1.5116670000000001</v>
      </c>
      <c r="N141">
        <v>11.720940000000001</v>
      </c>
      <c r="O141">
        <v>1.8491E-3</v>
      </c>
      <c r="P141">
        <v>0</v>
      </c>
      <c r="Q141">
        <v>1263.796</v>
      </c>
      <c r="R141">
        <v>1670.796</v>
      </c>
      <c r="S141">
        <v>0</v>
      </c>
      <c r="T141">
        <v>0</v>
      </c>
      <c r="U141">
        <v>227.87729999999999</v>
      </c>
      <c r="V141">
        <v>123123</v>
      </c>
      <c r="W141">
        <v>0</v>
      </c>
      <c r="X141">
        <v>1.8508000000000001E-3</v>
      </c>
      <c r="Y141">
        <v>0</v>
      </c>
      <c r="Z141">
        <v>7.6893100000000006E-2</v>
      </c>
      <c r="AE141">
        <v>0</v>
      </c>
      <c r="AF141">
        <v>6.9837889999999998</v>
      </c>
      <c r="AJ141">
        <v>10.46415</v>
      </c>
      <c r="AK141">
        <v>10.357229999999999</v>
      </c>
      <c r="AL141">
        <v>10.516870000000001</v>
      </c>
      <c r="AM141">
        <v>9.9653419999999997</v>
      </c>
      <c r="AN141">
        <v>10.45027</v>
      </c>
      <c r="AO141">
        <v>10.489240000000001</v>
      </c>
      <c r="AP141">
        <v>10.70885</v>
      </c>
      <c r="AQ141">
        <v>10.129</v>
      </c>
      <c r="AR141">
        <v>10.216850000000001</v>
      </c>
      <c r="AT141">
        <v>10.10852</v>
      </c>
      <c r="AU141">
        <v>9.7650179999999995</v>
      </c>
      <c r="AV141">
        <v>10.3752</v>
      </c>
      <c r="AW141">
        <v>9.4238169999999997</v>
      </c>
      <c r="AX141">
        <v>9.3141599999999993</v>
      </c>
      <c r="AY141">
        <v>10.071020000000001</v>
      </c>
      <c r="BB141" t="str">
        <f t="shared" si="8"/>
        <v/>
      </c>
      <c r="BD141">
        <v>2963.5610000000001</v>
      </c>
      <c r="BE141">
        <v>58446953</v>
      </c>
      <c r="BF141">
        <v>22.566490000000002</v>
      </c>
      <c r="BG141">
        <v>3006.1293000000001</v>
      </c>
      <c r="BH141">
        <v>22.566495669999998</v>
      </c>
    </row>
    <row r="142" spans="1:60">
      <c r="A142">
        <v>26900</v>
      </c>
      <c r="B142" t="s">
        <v>407</v>
      </c>
      <c r="C142">
        <v>41526.29</v>
      </c>
      <c r="D142">
        <v>1130429</v>
      </c>
      <c r="E142">
        <v>1720796</v>
      </c>
      <c r="F142">
        <v>5.1177500000000001E-2</v>
      </c>
      <c r="G142">
        <f t="shared" si="6"/>
        <v>51177.5</v>
      </c>
      <c r="H142" s="51">
        <f t="shared" si="7"/>
        <v>88066037290</v>
      </c>
      <c r="I142">
        <v>589.26229999999998</v>
      </c>
      <c r="J142">
        <v>10.634080000000001</v>
      </c>
      <c r="K142">
        <v>-2.9724560000000002</v>
      </c>
      <c r="L142">
        <v>7.4012880000000001</v>
      </c>
      <c r="M142">
        <v>-1.368336</v>
      </c>
      <c r="N142">
        <v>14.3583</v>
      </c>
      <c r="O142">
        <v>6.1339999999999995E-4</v>
      </c>
      <c r="P142">
        <v>0</v>
      </c>
      <c r="Q142">
        <v>1203.1500000000001</v>
      </c>
      <c r="R142">
        <v>1638.0930000000001</v>
      </c>
      <c r="S142">
        <v>0</v>
      </c>
      <c r="T142">
        <v>0</v>
      </c>
      <c r="U142">
        <v>1055.787</v>
      </c>
      <c r="V142">
        <v>1720796</v>
      </c>
      <c r="W142">
        <v>0</v>
      </c>
      <c r="X142">
        <v>6.135E-4</v>
      </c>
      <c r="Y142">
        <v>0</v>
      </c>
      <c r="Z142">
        <v>0.27327659999999998</v>
      </c>
      <c r="AB142">
        <v>388</v>
      </c>
      <c r="AE142">
        <v>0</v>
      </c>
      <c r="AF142">
        <v>1.7917099999999999</v>
      </c>
      <c r="AH142">
        <v>11.06227</v>
      </c>
      <c r="AI142">
        <v>11.507910000000001</v>
      </c>
      <c r="AJ142">
        <v>10.80303</v>
      </c>
      <c r="AK142">
        <v>10.87693</v>
      </c>
      <c r="AL142">
        <v>10.84172</v>
      </c>
      <c r="AM142">
        <v>10.062250000000001</v>
      </c>
      <c r="AN142">
        <v>10.48969</v>
      </c>
      <c r="AO142">
        <v>10.94716</v>
      </c>
      <c r="AP142">
        <v>11.01576</v>
      </c>
      <c r="AQ142">
        <v>10.556760000000001</v>
      </c>
      <c r="AR142">
        <v>11.031129999999999</v>
      </c>
      <c r="AS142">
        <v>11.58154</v>
      </c>
      <c r="AT142">
        <v>10.2719</v>
      </c>
      <c r="AU142">
        <v>10.30264</v>
      </c>
      <c r="AV142">
        <v>10.64819</v>
      </c>
      <c r="AW142">
        <v>10.760859999999999</v>
      </c>
      <c r="AX142">
        <v>9.5333620000000003</v>
      </c>
      <c r="AY142">
        <v>10.18627</v>
      </c>
      <c r="BA142">
        <v>0</v>
      </c>
      <c r="BB142" t="str">
        <f t="shared" si="8"/>
        <v/>
      </c>
      <c r="BC142">
        <v>6798132</v>
      </c>
      <c r="BD142">
        <v>3863.4380000000001</v>
      </c>
      <c r="BE142">
        <v>836512411</v>
      </c>
      <c r="BF142">
        <v>322.97919999999999</v>
      </c>
      <c r="BG142">
        <v>3887.7953000000002</v>
      </c>
      <c r="BH142">
        <v>322.97926130000002</v>
      </c>
    </row>
    <row r="143" spans="1:60">
      <c r="A143">
        <v>26980</v>
      </c>
      <c r="B143" t="s">
        <v>408</v>
      </c>
      <c r="C143">
        <v>32216.15</v>
      </c>
      <c r="D143">
        <v>115376</v>
      </c>
      <c r="E143">
        <v>149359</v>
      </c>
      <c r="F143">
        <v>3.19633E-2</v>
      </c>
      <c r="G143">
        <f t="shared" si="6"/>
        <v>31963.3</v>
      </c>
      <c r="H143" s="51">
        <f t="shared" si="7"/>
        <v>4774006524.6999998</v>
      </c>
      <c r="I143">
        <v>40.69735</v>
      </c>
      <c r="J143">
        <v>10.38022</v>
      </c>
      <c r="K143">
        <v>-3.443168</v>
      </c>
      <c r="L143">
        <v>7.6318739999999998</v>
      </c>
      <c r="M143">
        <v>-1.1020540000000001</v>
      </c>
      <c r="N143">
        <v>11.914110000000001</v>
      </c>
      <c r="O143">
        <v>1.5188000000000001E-3</v>
      </c>
      <c r="P143">
        <v>0</v>
      </c>
      <c r="Q143">
        <v>1462.011</v>
      </c>
      <c r="R143">
        <v>2062.9119999999998</v>
      </c>
      <c r="S143">
        <v>0</v>
      </c>
      <c r="T143">
        <v>0</v>
      </c>
      <c r="U143">
        <v>227.02010000000001</v>
      </c>
      <c r="V143">
        <v>149359</v>
      </c>
      <c r="W143">
        <v>0</v>
      </c>
      <c r="X143">
        <v>1.5200000000000001E-3</v>
      </c>
      <c r="Y143">
        <v>0</v>
      </c>
      <c r="Z143">
        <v>0.19187090000000001</v>
      </c>
      <c r="AB143">
        <v>758</v>
      </c>
      <c r="AE143">
        <v>0</v>
      </c>
      <c r="AF143">
        <v>5.5782530000000001</v>
      </c>
      <c r="AJ143">
        <v>10.66492</v>
      </c>
      <c r="AK143">
        <v>10.57985</v>
      </c>
      <c r="AL143">
        <v>10.69782</v>
      </c>
      <c r="AM143">
        <v>9.9073930000000008</v>
      </c>
      <c r="AN143">
        <v>10.643190000000001</v>
      </c>
      <c r="AO143">
        <v>10.981120000000001</v>
      </c>
      <c r="AP143">
        <v>10.602650000000001</v>
      </c>
      <c r="AQ143">
        <v>10.457979999999999</v>
      </c>
      <c r="AR143">
        <v>10.58947</v>
      </c>
      <c r="AT143">
        <v>9.8022580000000001</v>
      </c>
      <c r="AV143">
        <v>10.531499999999999</v>
      </c>
      <c r="AW143">
        <v>9.2413340000000002</v>
      </c>
      <c r="AX143">
        <v>9.4377429999999993</v>
      </c>
      <c r="AY143">
        <v>10.016080000000001</v>
      </c>
      <c r="BA143">
        <v>0</v>
      </c>
      <c r="BB143" t="str">
        <f t="shared" si="8"/>
        <v/>
      </c>
      <c r="BC143">
        <v>1544697</v>
      </c>
      <c r="BD143">
        <v>1183.192</v>
      </c>
      <c r="BE143">
        <v>50577862</v>
      </c>
      <c r="BF143">
        <v>19.528220000000001</v>
      </c>
      <c r="BG143">
        <v>1194.0699</v>
      </c>
      <c r="BH143">
        <v>19.52822252</v>
      </c>
    </row>
    <row r="144" spans="1:60">
      <c r="A144">
        <v>27060</v>
      </c>
      <c r="B144" t="s">
        <v>409</v>
      </c>
      <c r="C144">
        <v>33516.26</v>
      </c>
      <c r="D144">
        <v>68268</v>
      </c>
      <c r="E144">
        <v>101027</v>
      </c>
      <c r="F144">
        <v>3.3139700000000001E-2</v>
      </c>
      <c r="G144">
        <f t="shared" si="6"/>
        <v>33139.700000000004</v>
      </c>
      <c r="H144" s="51">
        <f t="shared" si="7"/>
        <v>3348004471.9000001</v>
      </c>
      <c r="I144">
        <v>32.133960000000002</v>
      </c>
      <c r="J144">
        <v>10.419790000000001</v>
      </c>
      <c r="K144">
        <v>-3.407025</v>
      </c>
      <c r="L144">
        <v>7.9956360000000002</v>
      </c>
      <c r="M144">
        <v>-1.0604530000000001</v>
      </c>
      <c r="N144">
        <v>11.52314</v>
      </c>
      <c r="O144">
        <v>1.2863E-3</v>
      </c>
      <c r="P144">
        <v>0</v>
      </c>
      <c r="Q144">
        <v>1249.021</v>
      </c>
      <c r="R144">
        <v>2967.9769999999999</v>
      </c>
      <c r="S144">
        <v>0</v>
      </c>
      <c r="T144">
        <v>0</v>
      </c>
      <c r="U144">
        <v>130.0318</v>
      </c>
      <c r="V144">
        <v>101027</v>
      </c>
      <c r="W144">
        <v>0</v>
      </c>
      <c r="X144">
        <v>1.2871E-3</v>
      </c>
      <c r="Y144">
        <v>0</v>
      </c>
      <c r="Z144">
        <v>0.27314670000000002</v>
      </c>
      <c r="AB144">
        <v>418</v>
      </c>
      <c r="AE144">
        <v>0</v>
      </c>
      <c r="AF144">
        <v>4.0465540000000004</v>
      </c>
      <c r="AG144">
        <v>10.31967</v>
      </c>
      <c r="AI144">
        <v>11.434290000000001</v>
      </c>
      <c r="AJ144">
        <v>10.60253</v>
      </c>
      <c r="AK144">
        <v>10.73976</v>
      </c>
      <c r="AL144">
        <v>10.68905</v>
      </c>
      <c r="AM144">
        <v>9.9460470000000001</v>
      </c>
      <c r="AN144">
        <v>10.38758</v>
      </c>
      <c r="AO144">
        <v>10.78167</v>
      </c>
      <c r="AP144">
        <v>10.799250000000001</v>
      </c>
      <c r="AQ144">
        <v>10.25436</v>
      </c>
      <c r="AR144">
        <v>10.843489999999999</v>
      </c>
      <c r="AS144">
        <v>11.272779999999999</v>
      </c>
      <c r="AT144">
        <v>10.199439999999999</v>
      </c>
      <c r="AV144">
        <v>10.3935</v>
      </c>
      <c r="AW144">
        <v>9.9309139999999996</v>
      </c>
      <c r="AX144">
        <v>9.5732370000000007</v>
      </c>
      <c r="AY144">
        <v>10.00404</v>
      </c>
      <c r="BA144">
        <v>0</v>
      </c>
      <c r="BB144" t="str">
        <f t="shared" si="8"/>
        <v/>
      </c>
      <c r="BC144">
        <v>1625848</v>
      </c>
      <c r="BD144">
        <v>476.05110000000002</v>
      </c>
      <c r="BE144">
        <v>13951838</v>
      </c>
      <c r="BF144">
        <v>5.3868349999999996</v>
      </c>
      <c r="BG144">
        <v>491.55856</v>
      </c>
      <c r="BH144">
        <v>5.3868349970000002</v>
      </c>
    </row>
    <row r="145" spans="1:60">
      <c r="A145">
        <v>27100</v>
      </c>
      <c r="B145" t="s">
        <v>410</v>
      </c>
      <c r="C145">
        <v>37490.89</v>
      </c>
      <c r="D145">
        <v>74845</v>
      </c>
      <c r="E145">
        <v>160266</v>
      </c>
      <c r="F145">
        <v>2.63187E-2</v>
      </c>
      <c r="G145">
        <f t="shared" si="6"/>
        <v>26318.7</v>
      </c>
      <c r="H145" s="51">
        <f t="shared" si="7"/>
        <v>4217992774.1999998</v>
      </c>
      <c r="I145">
        <v>55.948059999999998</v>
      </c>
      <c r="J145">
        <v>10.53185</v>
      </c>
      <c r="K145">
        <v>-3.6374740000000001</v>
      </c>
      <c r="L145">
        <v>7.8986999999999998</v>
      </c>
      <c r="M145">
        <v>-1.812125</v>
      </c>
      <c r="N145">
        <v>11.984590000000001</v>
      </c>
      <c r="O145">
        <v>1.0476000000000001E-3</v>
      </c>
      <c r="P145">
        <v>0</v>
      </c>
      <c r="Q145">
        <v>687.79859999999996</v>
      </c>
      <c r="R145">
        <v>2693.7779999999998</v>
      </c>
      <c r="S145">
        <v>0</v>
      </c>
      <c r="T145">
        <v>0</v>
      </c>
      <c r="U145">
        <v>167.97579999999999</v>
      </c>
      <c r="V145">
        <v>160266</v>
      </c>
      <c r="W145">
        <v>0</v>
      </c>
      <c r="X145">
        <v>1.0480999999999999E-3</v>
      </c>
      <c r="Y145">
        <v>0</v>
      </c>
      <c r="Z145">
        <v>0.23772480000000001</v>
      </c>
      <c r="AB145">
        <v>31</v>
      </c>
      <c r="AE145">
        <v>0</v>
      </c>
      <c r="AF145">
        <v>3.0023520000000001</v>
      </c>
      <c r="AJ145">
        <v>10.76538</v>
      </c>
      <c r="AK145">
        <v>10.68089</v>
      </c>
      <c r="AL145">
        <v>10.67252</v>
      </c>
      <c r="AM145">
        <v>9.9680350000000004</v>
      </c>
      <c r="AN145">
        <v>10.744759999999999</v>
      </c>
      <c r="AO145">
        <v>10.543010000000001</v>
      </c>
      <c r="AP145">
        <v>10.654400000000001</v>
      </c>
      <c r="AQ145">
        <v>9.9694319999999994</v>
      </c>
      <c r="AR145">
        <v>10.93535</v>
      </c>
      <c r="AT145">
        <v>10.0684</v>
      </c>
      <c r="AU145">
        <v>9.7595159999999996</v>
      </c>
      <c r="AV145">
        <v>10.710760000000001</v>
      </c>
      <c r="AW145">
        <v>9.78261</v>
      </c>
      <c r="AX145">
        <v>9.2972009999999994</v>
      </c>
      <c r="AY145">
        <v>10.081720000000001</v>
      </c>
      <c r="AZ145">
        <v>9.4132809999999996</v>
      </c>
      <c r="BA145">
        <v>0</v>
      </c>
      <c r="BB145" t="str">
        <f t="shared" si="8"/>
        <v/>
      </c>
      <c r="BC145">
        <v>351738</v>
      </c>
      <c r="BD145">
        <v>706.59749999999997</v>
      </c>
      <c r="BE145">
        <v>25252057</v>
      </c>
      <c r="BF145">
        <v>9.7498740000000002</v>
      </c>
      <c r="BG145">
        <v>723.49608999999998</v>
      </c>
      <c r="BH145">
        <v>9.7498741310000003</v>
      </c>
    </row>
    <row r="146" spans="1:60">
      <c r="A146">
        <v>27140</v>
      </c>
      <c r="B146" t="s">
        <v>411</v>
      </c>
      <c r="C146">
        <v>34641.96</v>
      </c>
      <c r="D146">
        <v>342633</v>
      </c>
      <c r="E146">
        <v>537194</v>
      </c>
      <c r="F146">
        <v>3.63314E-2</v>
      </c>
      <c r="G146">
        <f t="shared" si="6"/>
        <v>36331.4</v>
      </c>
      <c r="H146" s="51">
        <f t="shared" si="7"/>
        <v>19517010091.600002</v>
      </c>
      <c r="I146">
        <v>207.64590000000001</v>
      </c>
      <c r="J146">
        <v>10.452819999999999</v>
      </c>
      <c r="K146">
        <v>-3.3150729999999999</v>
      </c>
      <c r="L146">
        <v>7.1049490000000004</v>
      </c>
      <c r="M146">
        <v>-1.4199839999999999</v>
      </c>
      <c r="N146">
        <v>13.19411</v>
      </c>
      <c r="O146">
        <v>1.5854E-3</v>
      </c>
      <c r="P146">
        <v>0</v>
      </c>
      <c r="Q146">
        <v>816.25990000000002</v>
      </c>
      <c r="R146">
        <v>1217.98</v>
      </c>
      <c r="S146">
        <v>0</v>
      </c>
      <c r="T146">
        <v>0</v>
      </c>
      <c r="U146">
        <v>852.34469999999999</v>
      </c>
      <c r="V146">
        <v>537194</v>
      </c>
      <c r="W146">
        <v>0</v>
      </c>
      <c r="X146">
        <v>1.5866999999999999E-3</v>
      </c>
      <c r="Y146">
        <v>0</v>
      </c>
      <c r="Z146">
        <v>0.22874710000000001</v>
      </c>
      <c r="AB146">
        <v>130</v>
      </c>
      <c r="AE146">
        <v>0</v>
      </c>
      <c r="AF146">
        <v>4.1048</v>
      </c>
      <c r="AG146">
        <v>10.473050000000001</v>
      </c>
      <c r="AH146">
        <v>11.13786</v>
      </c>
      <c r="AI146">
        <v>11.023680000000001</v>
      </c>
      <c r="AJ146">
        <v>10.57582</v>
      </c>
      <c r="AK146">
        <v>10.571580000000001</v>
      </c>
      <c r="AL146">
        <v>10.74474</v>
      </c>
      <c r="AM146">
        <v>9.9840149999999994</v>
      </c>
      <c r="AN146">
        <v>10.42632</v>
      </c>
      <c r="AO146">
        <v>10.75845</v>
      </c>
      <c r="AP146">
        <v>10.87853</v>
      </c>
      <c r="AQ146">
        <v>10.527060000000001</v>
      </c>
      <c r="AR146">
        <v>10.88165</v>
      </c>
      <c r="AS146">
        <v>11.17501</v>
      </c>
      <c r="AT146">
        <v>9.8983100000000004</v>
      </c>
      <c r="AU146">
        <v>9.981935</v>
      </c>
      <c r="AV146">
        <v>10.62429</v>
      </c>
      <c r="AW146">
        <v>9.8288840000000004</v>
      </c>
      <c r="AX146">
        <v>9.3431569999999997</v>
      </c>
      <c r="AY146">
        <v>10.05641</v>
      </c>
      <c r="BA146">
        <v>0</v>
      </c>
      <c r="BB146" t="str">
        <f t="shared" si="8"/>
        <v/>
      </c>
      <c r="BC146">
        <v>953368</v>
      </c>
      <c r="BD146">
        <v>3726.1439999999998</v>
      </c>
      <c r="BE146">
        <v>227837634</v>
      </c>
      <c r="BF146">
        <v>87.968609999999998</v>
      </c>
      <c r="BG146">
        <v>3795.4038</v>
      </c>
      <c r="BH146">
        <v>87.968606030000004</v>
      </c>
    </row>
    <row r="147" spans="1:60">
      <c r="A147">
        <v>27180</v>
      </c>
      <c r="B147" t="s">
        <v>412</v>
      </c>
      <c r="C147">
        <v>33077.94</v>
      </c>
      <c r="D147">
        <v>77424</v>
      </c>
      <c r="E147">
        <v>113008</v>
      </c>
      <c r="F147">
        <v>3.4015299999999998E-2</v>
      </c>
      <c r="G147">
        <f t="shared" si="6"/>
        <v>34015.299999999996</v>
      </c>
      <c r="H147" s="51">
        <f t="shared" si="7"/>
        <v>3844001022.3999996</v>
      </c>
      <c r="I147">
        <v>44.08014</v>
      </c>
      <c r="J147">
        <v>10.40662</v>
      </c>
      <c r="K147">
        <v>-3.3809450000000001</v>
      </c>
      <c r="L147">
        <v>7.0913269999999997</v>
      </c>
      <c r="M147">
        <v>-1.6587970000000001</v>
      </c>
      <c r="N147">
        <v>11.635210000000001</v>
      </c>
      <c r="O147">
        <v>1.297E-3</v>
      </c>
      <c r="P147">
        <v>0</v>
      </c>
      <c r="Q147">
        <v>984.79719999999998</v>
      </c>
      <c r="R147">
        <v>1201.502</v>
      </c>
      <c r="S147">
        <v>0</v>
      </c>
      <c r="T147">
        <v>0</v>
      </c>
      <c r="U147">
        <v>146.672</v>
      </c>
      <c r="V147">
        <v>113008</v>
      </c>
      <c r="W147">
        <v>0</v>
      </c>
      <c r="X147">
        <v>1.2979000000000001E-3</v>
      </c>
      <c r="Y147">
        <v>0</v>
      </c>
      <c r="Z147">
        <v>0.17347000000000001</v>
      </c>
      <c r="AB147">
        <v>179</v>
      </c>
      <c r="AE147">
        <v>0</v>
      </c>
      <c r="AF147">
        <v>3.3273950000000001</v>
      </c>
      <c r="AJ147">
        <v>10.80878</v>
      </c>
      <c r="AK147">
        <v>10.716749999999999</v>
      </c>
      <c r="AL147">
        <v>10.602539999999999</v>
      </c>
      <c r="AM147">
        <v>9.9630019999999995</v>
      </c>
      <c r="AN147">
        <v>10.59224</v>
      </c>
      <c r="AO147">
        <v>10.523339999999999</v>
      </c>
      <c r="AP147">
        <v>10.71997</v>
      </c>
      <c r="AQ147">
        <v>10.30843</v>
      </c>
      <c r="AR147">
        <v>10.531079999999999</v>
      </c>
      <c r="AS147">
        <v>10.79218</v>
      </c>
      <c r="AT147">
        <v>9.9434380000000004</v>
      </c>
      <c r="AU147">
        <v>10.10511</v>
      </c>
      <c r="AV147">
        <v>10.65732</v>
      </c>
      <c r="AW147">
        <v>9.4578690000000005</v>
      </c>
      <c r="AX147">
        <v>9.3446420000000003</v>
      </c>
      <c r="AY147">
        <v>9.8691329999999997</v>
      </c>
      <c r="BA147">
        <v>0</v>
      </c>
      <c r="BB147" t="str">
        <f t="shared" si="8"/>
        <v/>
      </c>
      <c r="BC147">
        <v>555425</v>
      </c>
      <c r="BD147">
        <v>845.51829999999995</v>
      </c>
      <c r="BE147">
        <v>89749499</v>
      </c>
      <c r="BF147">
        <v>34.652470000000001</v>
      </c>
      <c r="BG147">
        <v>844.58410000000003</v>
      </c>
      <c r="BH147">
        <v>34.65247677</v>
      </c>
    </row>
    <row r="148" spans="1:60">
      <c r="A148">
        <v>27260</v>
      </c>
      <c r="B148" t="s">
        <v>413</v>
      </c>
      <c r="C148">
        <v>38499.519999999997</v>
      </c>
      <c r="D148">
        <v>826575</v>
      </c>
      <c r="E148">
        <v>1316528</v>
      </c>
      <c r="F148">
        <v>3.9294299999999997E-2</v>
      </c>
      <c r="G148">
        <f t="shared" si="6"/>
        <v>39294.299999999996</v>
      </c>
      <c r="H148" s="51">
        <f t="shared" si="7"/>
        <v>51732046190.399994</v>
      </c>
      <c r="I148">
        <v>497.0376</v>
      </c>
      <c r="J148">
        <v>10.558400000000001</v>
      </c>
      <c r="K148">
        <v>-3.2366769999999998</v>
      </c>
      <c r="L148">
        <v>7.1682800000000002</v>
      </c>
      <c r="M148">
        <v>-1.524443</v>
      </c>
      <c r="N148">
        <v>14.09051</v>
      </c>
      <c r="O148">
        <v>6.2949999999999996E-4</v>
      </c>
      <c r="P148">
        <v>0</v>
      </c>
      <c r="Q148">
        <v>1067.2670000000001</v>
      </c>
      <c r="R148">
        <v>1297.6099999999999</v>
      </c>
      <c r="S148">
        <v>0</v>
      </c>
      <c r="T148">
        <v>0</v>
      </c>
      <c r="U148">
        <v>829.05359999999996</v>
      </c>
      <c r="V148">
        <v>1316528</v>
      </c>
      <c r="W148">
        <v>0</v>
      </c>
      <c r="X148">
        <v>6.2969999999999996E-4</v>
      </c>
      <c r="Y148">
        <v>0</v>
      </c>
      <c r="Z148">
        <v>0.25742619999999999</v>
      </c>
      <c r="AB148">
        <v>654</v>
      </c>
      <c r="AE148">
        <v>0</v>
      </c>
      <c r="AF148">
        <v>1.6679900000000001</v>
      </c>
      <c r="AG148">
        <v>10.40194</v>
      </c>
      <c r="AI148">
        <v>11.21458</v>
      </c>
      <c r="AJ148">
        <v>10.63669</v>
      </c>
      <c r="AK148">
        <v>10.80772</v>
      </c>
      <c r="AL148">
        <v>10.82057</v>
      </c>
      <c r="AM148">
        <v>10.046390000000001</v>
      </c>
      <c r="AN148">
        <v>10.55678</v>
      </c>
      <c r="AO148">
        <v>10.85712</v>
      </c>
      <c r="AP148">
        <v>10.95205</v>
      </c>
      <c r="AQ148">
        <v>10.6675</v>
      </c>
      <c r="AR148">
        <v>11.02275</v>
      </c>
      <c r="AS148">
        <v>11.22278</v>
      </c>
      <c r="AT148">
        <v>10.275080000000001</v>
      </c>
      <c r="AU148">
        <v>10.21003</v>
      </c>
      <c r="AV148">
        <v>10.62224</v>
      </c>
      <c r="AW148">
        <v>10.52857</v>
      </c>
      <c r="AX148">
        <v>9.5763060000000007</v>
      </c>
      <c r="AY148">
        <v>10.13923</v>
      </c>
      <c r="AZ148">
        <v>11.98137</v>
      </c>
      <c r="BA148">
        <v>0</v>
      </c>
      <c r="BB148" t="str">
        <f t="shared" si="8"/>
        <v/>
      </c>
      <c r="BC148">
        <v>9935161</v>
      </c>
      <c r="BD148">
        <v>3220.5479999999998</v>
      </c>
      <c r="BE148">
        <v>813264931</v>
      </c>
      <c r="BF148">
        <v>314.0034</v>
      </c>
      <c r="BG148">
        <v>3698.375</v>
      </c>
      <c r="BH148">
        <v>314.00335869999998</v>
      </c>
    </row>
    <row r="149" spans="1:60">
      <c r="A149">
        <v>27500</v>
      </c>
      <c r="B149" t="s">
        <v>414</v>
      </c>
      <c r="C149">
        <v>36059.019999999997</v>
      </c>
      <c r="D149">
        <v>84361</v>
      </c>
      <c r="E149">
        <v>160186</v>
      </c>
      <c r="F149">
        <v>2.72558E-2</v>
      </c>
      <c r="G149">
        <f t="shared" si="6"/>
        <v>27255.8</v>
      </c>
      <c r="H149" s="51">
        <f t="shared" si="7"/>
        <v>4365997578.8000002</v>
      </c>
      <c r="I149">
        <v>56.090069999999997</v>
      </c>
      <c r="J149">
        <v>10.49291</v>
      </c>
      <c r="K149">
        <v>-3.6024880000000001</v>
      </c>
      <c r="L149">
        <v>7.1255240000000004</v>
      </c>
      <c r="M149">
        <v>-1.7992459999999999</v>
      </c>
      <c r="N149">
        <v>11.98409</v>
      </c>
      <c r="O149">
        <v>1.5150999999999999E-3</v>
      </c>
      <c r="P149">
        <v>0</v>
      </c>
      <c r="Q149">
        <v>933.24900000000002</v>
      </c>
      <c r="R149">
        <v>1243.299</v>
      </c>
      <c r="S149">
        <v>0</v>
      </c>
      <c r="T149">
        <v>0</v>
      </c>
      <c r="U149">
        <v>242.87809999999999</v>
      </c>
      <c r="V149">
        <v>160186</v>
      </c>
      <c r="W149">
        <v>0</v>
      </c>
      <c r="X149">
        <v>1.5162000000000001E-3</v>
      </c>
      <c r="Y149">
        <v>0</v>
      </c>
      <c r="Z149">
        <v>0.33711140000000001</v>
      </c>
      <c r="AB149">
        <v>389</v>
      </c>
      <c r="AE149">
        <v>0</v>
      </c>
      <c r="AF149">
        <v>4.3301449999999999</v>
      </c>
      <c r="AJ149">
        <v>10.866709999999999</v>
      </c>
      <c r="AK149">
        <v>10.846640000000001</v>
      </c>
      <c r="AL149">
        <v>10.8125</v>
      </c>
      <c r="AM149">
        <v>10.089600000000001</v>
      </c>
      <c r="AN149">
        <v>10.4641</v>
      </c>
      <c r="AO149">
        <v>10.390510000000001</v>
      </c>
      <c r="AP149">
        <v>10.586539999999999</v>
      </c>
      <c r="AQ149">
        <v>10.08014</v>
      </c>
      <c r="AR149">
        <v>10.551170000000001</v>
      </c>
      <c r="AT149">
        <v>9.6671180000000003</v>
      </c>
      <c r="AV149">
        <v>10.613799999999999</v>
      </c>
      <c r="AW149">
        <v>9.5496040000000004</v>
      </c>
      <c r="AX149">
        <v>9.27529</v>
      </c>
      <c r="AY149">
        <v>9.8027230000000003</v>
      </c>
      <c r="BA149">
        <v>0</v>
      </c>
      <c r="BB149" t="str">
        <f t="shared" si="8"/>
        <v/>
      </c>
      <c r="BC149">
        <v>1239799</v>
      </c>
      <c r="BD149">
        <v>720.46839999999997</v>
      </c>
      <c r="BE149">
        <v>66898540</v>
      </c>
      <c r="BF149">
        <v>25.82967</v>
      </c>
      <c r="BG149">
        <v>726.10603000000003</v>
      </c>
      <c r="BH149">
        <v>25.8296718</v>
      </c>
    </row>
    <row r="150" spans="1:60">
      <c r="A150">
        <v>27620</v>
      </c>
      <c r="B150" t="s">
        <v>415</v>
      </c>
      <c r="C150">
        <v>33773.29</v>
      </c>
      <c r="D150">
        <v>102421</v>
      </c>
      <c r="E150">
        <v>146465</v>
      </c>
      <c r="F150">
        <v>2.7890600000000002E-2</v>
      </c>
      <c r="G150">
        <f t="shared" si="6"/>
        <v>27890.600000000002</v>
      </c>
      <c r="H150" s="51">
        <f t="shared" si="7"/>
        <v>4084996729.0000005</v>
      </c>
      <c r="I150">
        <v>47.200279999999999</v>
      </c>
      <c r="J150">
        <v>10.427429999999999</v>
      </c>
      <c r="K150">
        <v>-3.5794649999999999</v>
      </c>
      <c r="L150">
        <v>7.4620870000000004</v>
      </c>
      <c r="M150">
        <v>-1.5904100000000001</v>
      </c>
      <c r="N150">
        <v>11.894539999999999</v>
      </c>
      <c r="O150">
        <v>1.5949E-3</v>
      </c>
      <c r="P150">
        <v>0</v>
      </c>
      <c r="Q150">
        <v>1244.972</v>
      </c>
      <c r="R150">
        <v>1740.777</v>
      </c>
      <c r="S150">
        <v>0</v>
      </c>
      <c r="T150">
        <v>0</v>
      </c>
      <c r="U150">
        <v>233.79069999999999</v>
      </c>
      <c r="V150">
        <v>146465</v>
      </c>
      <c r="W150">
        <v>0</v>
      </c>
      <c r="X150">
        <v>1.5962000000000001E-3</v>
      </c>
      <c r="Y150">
        <v>0</v>
      </c>
      <c r="Z150">
        <v>0.1037729</v>
      </c>
      <c r="AB150">
        <v>173</v>
      </c>
      <c r="AE150">
        <v>0</v>
      </c>
      <c r="AF150">
        <v>4.9531640000000001</v>
      </c>
      <c r="AI150">
        <v>11.76845</v>
      </c>
      <c r="AJ150">
        <v>10.669879999999999</v>
      </c>
      <c r="AK150">
        <v>10.5672</v>
      </c>
      <c r="AL150">
        <v>10.35056</v>
      </c>
      <c r="AM150">
        <v>9.9413280000000004</v>
      </c>
      <c r="AN150">
        <v>10.339169999999999</v>
      </c>
      <c r="AO150">
        <v>10.669180000000001</v>
      </c>
      <c r="AP150">
        <v>10.856019999999999</v>
      </c>
      <c r="AQ150">
        <v>11.322570000000001</v>
      </c>
      <c r="AR150">
        <v>10.73385</v>
      </c>
      <c r="AS150">
        <v>10.563940000000001</v>
      </c>
      <c r="AT150">
        <v>10.107889999999999</v>
      </c>
      <c r="AU150">
        <v>10.084820000000001</v>
      </c>
      <c r="AV150">
        <v>10.49328</v>
      </c>
      <c r="AW150">
        <v>9.8730899999999995</v>
      </c>
      <c r="AX150">
        <v>9.3956119999999999</v>
      </c>
      <c r="AY150">
        <v>10.197179999999999</v>
      </c>
      <c r="BA150">
        <v>0</v>
      </c>
      <c r="BB150" t="str">
        <f t="shared" si="8"/>
        <v/>
      </c>
      <c r="BC150">
        <v>376210</v>
      </c>
      <c r="BD150">
        <v>2252.9059999999999</v>
      </c>
      <c r="BE150">
        <v>70443019</v>
      </c>
      <c r="BF150">
        <v>27.1982</v>
      </c>
      <c r="BG150">
        <v>2278.7305999999999</v>
      </c>
      <c r="BH150">
        <v>27.198202850000001</v>
      </c>
    </row>
    <row r="151" spans="1:60">
      <c r="A151">
        <v>27740</v>
      </c>
      <c r="B151" t="s">
        <v>416</v>
      </c>
      <c r="C151">
        <v>29152.83</v>
      </c>
      <c r="D151">
        <v>109002</v>
      </c>
      <c r="E151">
        <v>195783</v>
      </c>
      <c r="F151">
        <v>2.5012400000000001E-2</v>
      </c>
      <c r="G151">
        <f t="shared" si="6"/>
        <v>25012.400000000001</v>
      </c>
      <c r="H151" s="51">
        <f t="shared" si="7"/>
        <v>4897002709.1999998</v>
      </c>
      <c r="I151">
        <v>101.913</v>
      </c>
      <c r="J151">
        <v>10.28031</v>
      </c>
      <c r="K151">
        <v>-3.6883840000000001</v>
      </c>
      <c r="L151">
        <v>6.8954000000000004</v>
      </c>
      <c r="M151">
        <v>-1.6755370000000001</v>
      </c>
      <c r="N151">
        <v>12.184760000000001</v>
      </c>
      <c r="O151">
        <v>9.2690000000000003E-4</v>
      </c>
      <c r="P151">
        <v>0</v>
      </c>
      <c r="Q151">
        <v>630.06700000000001</v>
      </c>
      <c r="R151">
        <v>987.721</v>
      </c>
      <c r="S151">
        <v>0</v>
      </c>
      <c r="T151">
        <v>0</v>
      </c>
      <c r="U151">
        <v>181.5624</v>
      </c>
      <c r="V151">
        <v>195783</v>
      </c>
      <c r="W151">
        <v>0</v>
      </c>
      <c r="X151">
        <v>9.2739999999999999E-4</v>
      </c>
      <c r="Y151">
        <v>0</v>
      </c>
      <c r="Z151">
        <v>0.21272930000000001</v>
      </c>
      <c r="AB151">
        <v>151</v>
      </c>
      <c r="AE151">
        <v>0</v>
      </c>
      <c r="AF151">
        <v>1.781544</v>
      </c>
      <c r="AJ151">
        <v>10.45083</v>
      </c>
      <c r="AK151">
        <v>10.48845</v>
      </c>
      <c r="AL151">
        <v>10.634410000000001</v>
      </c>
      <c r="AM151">
        <v>9.9078669999999995</v>
      </c>
      <c r="AN151">
        <v>10.420349999999999</v>
      </c>
      <c r="AO151">
        <v>13.48987</v>
      </c>
      <c r="AP151">
        <v>10.51952</v>
      </c>
      <c r="AQ151">
        <v>10.07672</v>
      </c>
      <c r="AR151">
        <v>10.2699</v>
      </c>
      <c r="AS151">
        <v>11.1853</v>
      </c>
      <c r="AT151">
        <v>9.607113</v>
      </c>
      <c r="AU151">
        <v>9.7271059999999991</v>
      </c>
      <c r="AV151">
        <v>10.683339999999999</v>
      </c>
      <c r="AW151">
        <v>9.7769060000000003</v>
      </c>
      <c r="AX151">
        <v>9.3681970000000003</v>
      </c>
      <c r="AY151">
        <v>9.8664869999999993</v>
      </c>
      <c r="BA151">
        <v>0</v>
      </c>
      <c r="BB151" t="str">
        <f t="shared" si="8"/>
        <v/>
      </c>
      <c r="BC151">
        <v>417281</v>
      </c>
      <c r="BD151">
        <v>853.49019999999996</v>
      </c>
      <c r="BE151">
        <v>112573067</v>
      </c>
      <c r="BF151">
        <v>43.464700000000001</v>
      </c>
      <c r="BG151">
        <v>863.92172000000005</v>
      </c>
      <c r="BH151">
        <v>43.46470601</v>
      </c>
    </row>
    <row r="152" spans="1:60">
      <c r="A152">
        <v>27780</v>
      </c>
      <c r="B152" t="s">
        <v>417</v>
      </c>
      <c r="C152">
        <v>29701.25</v>
      </c>
      <c r="D152">
        <v>78091</v>
      </c>
      <c r="E152">
        <v>144488</v>
      </c>
      <c r="F152">
        <v>2.3129899999999998E-2</v>
      </c>
      <c r="G152">
        <f t="shared" si="6"/>
        <v>23129.899999999998</v>
      </c>
      <c r="H152" s="51">
        <f t="shared" si="7"/>
        <v>3341992991.1999998</v>
      </c>
      <c r="I152">
        <v>65.868260000000006</v>
      </c>
      <c r="J152">
        <v>10.29894</v>
      </c>
      <c r="K152">
        <v>-3.7666270000000002</v>
      </c>
      <c r="L152">
        <v>7.7553549999999998</v>
      </c>
      <c r="M152">
        <v>-1.8848469999999999</v>
      </c>
      <c r="N152">
        <v>11.88095</v>
      </c>
      <c r="O152">
        <v>1.3573000000000001E-3</v>
      </c>
      <c r="P152">
        <v>0</v>
      </c>
      <c r="Q152">
        <v>600.89649999999995</v>
      </c>
      <c r="R152">
        <v>2334.0369999999998</v>
      </c>
      <c r="S152">
        <v>0</v>
      </c>
      <c r="T152">
        <v>0</v>
      </c>
      <c r="U152">
        <v>196.24590000000001</v>
      </c>
      <c r="V152">
        <v>144488</v>
      </c>
      <c r="W152">
        <v>0</v>
      </c>
      <c r="X152">
        <v>1.3581999999999999E-3</v>
      </c>
      <c r="Y152">
        <v>0</v>
      </c>
      <c r="Z152">
        <v>0.28523179999999998</v>
      </c>
      <c r="AB152">
        <v>260</v>
      </c>
      <c r="AE152">
        <v>0</v>
      </c>
      <c r="AF152">
        <v>2.979371</v>
      </c>
      <c r="AH152">
        <v>10.93999</v>
      </c>
      <c r="AJ152">
        <v>10.551460000000001</v>
      </c>
      <c r="AK152">
        <v>10.65761</v>
      </c>
      <c r="AL152">
        <v>10.470470000000001</v>
      </c>
      <c r="AM152">
        <v>9.8719450000000002</v>
      </c>
      <c r="AN152">
        <v>10.264390000000001</v>
      </c>
      <c r="AO152">
        <v>10.52225</v>
      </c>
      <c r="AP152">
        <v>10.564629999999999</v>
      </c>
      <c r="AQ152">
        <v>10.264110000000001</v>
      </c>
      <c r="AR152">
        <v>10.79983</v>
      </c>
      <c r="AS152">
        <v>10.77989</v>
      </c>
      <c r="AT152">
        <v>9.7988599999999995</v>
      </c>
      <c r="AU152">
        <v>10.027150000000001</v>
      </c>
      <c r="AV152">
        <v>10.446719999999999</v>
      </c>
      <c r="AW152">
        <v>9.5541110000000007</v>
      </c>
      <c r="AX152">
        <v>9.2411349999999999</v>
      </c>
      <c r="AY152">
        <v>9.6803880000000007</v>
      </c>
      <c r="BA152">
        <v>0</v>
      </c>
      <c r="BB152" t="str">
        <f t="shared" si="8"/>
        <v/>
      </c>
      <c r="BC152">
        <v>677186</v>
      </c>
      <c r="BD152">
        <v>688.02279999999996</v>
      </c>
      <c r="BE152">
        <v>15042554</v>
      </c>
      <c r="BF152">
        <v>5.8079619999999998</v>
      </c>
      <c r="BG152">
        <v>693.56584999999995</v>
      </c>
      <c r="BH152">
        <v>5.8079628169999999</v>
      </c>
    </row>
    <row r="153" spans="1:60">
      <c r="A153">
        <v>27860</v>
      </c>
      <c r="B153" t="s">
        <v>986</v>
      </c>
      <c r="C153">
        <v>29351.71</v>
      </c>
      <c r="D153">
        <v>65860</v>
      </c>
      <c r="E153">
        <v>118135</v>
      </c>
      <c r="F153">
        <v>2.7341600000000001E-2</v>
      </c>
      <c r="G153">
        <f t="shared" si="6"/>
        <v>27341.600000000002</v>
      </c>
      <c r="H153" s="51">
        <f t="shared" si="7"/>
        <v>3229999916</v>
      </c>
      <c r="I153">
        <v>47.261809999999997</v>
      </c>
      <c r="J153">
        <v>10.28711</v>
      </c>
      <c r="K153">
        <v>-3.5993460000000002</v>
      </c>
      <c r="L153">
        <v>6.5744540000000002</v>
      </c>
      <c r="M153">
        <v>-1.82795</v>
      </c>
      <c r="N153">
        <v>11.67958</v>
      </c>
      <c r="O153">
        <v>2.4656000000000001E-3</v>
      </c>
      <c r="P153">
        <v>0</v>
      </c>
      <c r="Q153">
        <v>620.79719999999998</v>
      </c>
      <c r="R153">
        <v>716.55420000000004</v>
      </c>
      <c r="S153">
        <v>0</v>
      </c>
      <c r="T153">
        <v>0</v>
      </c>
      <c r="U153">
        <v>291.63850000000002</v>
      </c>
      <c r="V153">
        <v>118135</v>
      </c>
      <c r="W153">
        <v>0</v>
      </c>
      <c r="X153">
        <v>2.4686999999999999E-3</v>
      </c>
      <c r="Y153">
        <v>0</v>
      </c>
      <c r="Z153">
        <v>0.1985856</v>
      </c>
      <c r="AE153">
        <v>0</v>
      </c>
      <c r="AF153">
        <v>6.1707020000000004</v>
      </c>
      <c r="AG153">
        <v>11.3756</v>
      </c>
      <c r="AJ153">
        <v>10.447520000000001</v>
      </c>
      <c r="AK153">
        <v>10.43909</v>
      </c>
      <c r="AL153">
        <v>10.5946</v>
      </c>
      <c r="AM153">
        <v>9.8983550000000005</v>
      </c>
      <c r="AN153">
        <v>10.509980000000001</v>
      </c>
      <c r="AP153">
        <v>10.66644</v>
      </c>
      <c r="AQ153">
        <v>10.145300000000001</v>
      </c>
      <c r="AR153">
        <v>10.57277</v>
      </c>
      <c r="AT153">
        <v>9.9944369999999996</v>
      </c>
      <c r="AU153">
        <v>9.7054650000000002</v>
      </c>
      <c r="AV153">
        <v>10.528090000000001</v>
      </c>
      <c r="AW153">
        <v>9.6146940000000001</v>
      </c>
      <c r="AX153">
        <v>9.2641340000000003</v>
      </c>
      <c r="AY153">
        <v>9.8789259999999999</v>
      </c>
      <c r="BB153" t="str">
        <f t="shared" si="8"/>
        <v/>
      </c>
      <c r="BD153">
        <v>1468.578</v>
      </c>
      <c r="BE153">
        <v>97522940</v>
      </c>
      <c r="BF153">
        <v>37.653820000000003</v>
      </c>
      <c r="BG153">
        <v>1476.2886000000001</v>
      </c>
      <c r="BH153">
        <v>37.653819249999998</v>
      </c>
    </row>
    <row r="154" spans="1:60">
      <c r="A154">
        <v>27900</v>
      </c>
      <c r="B154" t="s">
        <v>1224</v>
      </c>
      <c r="C154">
        <v>30991.33</v>
      </c>
      <c r="D154">
        <v>106561</v>
      </c>
      <c r="E154">
        <v>172615</v>
      </c>
      <c r="F154">
        <v>2.86649E-2</v>
      </c>
      <c r="G154">
        <f t="shared" si="6"/>
        <v>28664.9</v>
      </c>
      <c r="H154" s="51">
        <f t="shared" si="7"/>
        <v>4947991713.5</v>
      </c>
      <c r="I154">
        <v>72.641210000000001</v>
      </c>
      <c r="J154">
        <v>10.34146</v>
      </c>
      <c r="K154">
        <v>-3.5520800000000001</v>
      </c>
      <c r="L154">
        <v>7.1446399999999999</v>
      </c>
      <c r="M154">
        <v>-1.825067</v>
      </c>
      <c r="N154">
        <v>12.058820000000001</v>
      </c>
      <c r="O154">
        <v>1.6718E-3</v>
      </c>
      <c r="P154">
        <v>0</v>
      </c>
      <c r="Q154">
        <v>785.11900000000003</v>
      </c>
      <c r="R154">
        <v>1267.296</v>
      </c>
      <c r="S154">
        <v>0</v>
      </c>
      <c r="T154">
        <v>0</v>
      </c>
      <c r="U154">
        <v>288.82619999999997</v>
      </c>
      <c r="V154">
        <v>172615</v>
      </c>
      <c r="W154">
        <v>0</v>
      </c>
      <c r="X154">
        <v>1.6731999999999999E-3</v>
      </c>
      <c r="Y154">
        <v>0</v>
      </c>
      <c r="Z154">
        <v>0.22811380000000001</v>
      </c>
      <c r="AE154">
        <v>0</v>
      </c>
      <c r="AF154">
        <v>3.9760659999999999</v>
      </c>
      <c r="AG154">
        <v>8.9931319999999992</v>
      </c>
      <c r="AJ154">
        <v>10.396979999999999</v>
      </c>
      <c r="AK154">
        <v>10.54449</v>
      </c>
      <c r="AL154">
        <v>10.46875</v>
      </c>
      <c r="AM154">
        <v>9.9325500000000009</v>
      </c>
      <c r="AN154">
        <v>10.686529999999999</v>
      </c>
      <c r="AO154">
        <v>11.03191</v>
      </c>
      <c r="AP154">
        <v>10.853579999999999</v>
      </c>
      <c r="AQ154">
        <v>10.131819999999999</v>
      </c>
      <c r="AR154">
        <v>10.50309</v>
      </c>
      <c r="AS154">
        <v>10.901960000000001</v>
      </c>
      <c r="AT154">
        <v>9.8554999999999993</v>
      </c>
      <c r="AU154">
        <v>9.7997449999999997</v>
      </c>
      <c r="AV154">
        <v>10.462669999999999</v>
      </c>
      <c r="AW154">
        <v>9.5595060000000007</v>
      </c>
      <c r="AX154">
        <v>9.3135089999999998</v>
      </c>
      <c r="AY154">
        <v>9.8286990000000003</v>
      </c>
      <c r="BB154" t="str">
        <f t="shared" si="8"/>
        <v/>
      </c>
      <c r="BD154">
        <v>1266.1500000000001</v>
      </c>
      <c r="BE154">
        <v>72394422</v>
      </c>
      <c r="BF154">
        <v>27.951640000000001</v>
      </c>
      <c r="BG154">
        <v>1267.8657000000001</v>
      </c>
      <c r="BH154">
        <v>27.951643789999999</v>
      </c>
    </row>
    <row r="155" spans="1:60">
      <c r="A155">
        <v>28020</v>
      </c>
      <c r="B155" t="s">
        <v>418</v>
      </c>
      <c r="C155">
        <v>36942.97</v>
      </c>
      <c r="D155">
        <v>180716</v>
      </c>
      <c r="E155">
        <v>324135</v>
      </c>
      <c r="F155">
        <v>3.2341500000000002E-2</v>
      </c>
      <c r="G155">
        <f t="shared" si="6"/>
        <v>32341.500000000004</v>
      </c>
      <c r="H155" s="51">
        <f t="shared" si="7"/>
        <v>10483012102.5</v>
      </c>
      <c r="I155">
        <v>130.83760000000001</v>
      </c>
      <c r="J155">
        <v>10.51713</v>
      </c>
      <c r="K155">
        <v>-3.4314049999999998</v>
      </c>
      <c r="L155">
        <v>7.1903589999999999</v>
      </c>
      <c r="M155">
        <v>-1.4066959999999999</v>
      </c>
      <c r="N155">
        <v>12.68892</v>
      </c>
      <c r="O155">
        <v>9.0799999999999995E-4</v>
      </c>
      <c r="P155">
        <v>0</v>
      </c>
      <c r="Q155">
        <v>761.24159999999995</v>
      </c>
      <c r="R155">
        <v>1326.579</v>
      </c>
      <c r="S155">
        <v>0</v>
      </c>
      <c r="T155">
        <v>0</v>
      </c>
      <c r="U155">
        <v>294.44319999999999</v>
      </c>
      <c r="V155">
        <v>324135</v>
      </c>
      <c r="W155">
        <v>0</v>
      </c>
      <c r="X155">
        <v>9.0839999999999996E-4</v>
      </c>
      <c r="Y155">
        <v>0</v>
      </c>
      <c r="Z155">
        <v>0.25107629999999997</v>
      </c>
      <c r="AB155">
        <v>342</v>
      </c>
      <c r="AE155">
        <v>0</v>
      </c>
      <c r="AF155">
        <v>2.2504490000000001</v>
      </c>
      <c r="AG155">
        <v>11.80466</v>
      </c>
      <c r="AI155">
        <v>10.299799999999999</v>
      </c>
      <c r="AJ155">
        <v>10.78342</v>
      </c>
      <c r="AK155">
        <v>10.826040000000001</v>
      </c>
      <c r="AL155">
        <v>11.189590000000001</v>
      </c>
      <c r="AM155">
        <v>9.9360479999999995</v>
      </c>
      <c r="AN155">
        <v>10.507300000000001</v>
      </c>
      <c r="AO155">
        <v>10.63007</v>
      </c>
      <c r="AP155">
        <v>10.795719999999999</v>
      </c>
      <c r="AQ155">
        <v>10.21382</v>
      </c>
      <c r="AR155">
        <v>10.83694</v>
      </c>
      <c r="AS155">
        <v>11.32705</v>
      </c>
      <c r="AT155">
        <v>10.23006</v>
      </c>
      <c r="AU155">
        <v>10.228619999999999</v>
      </c>
      <c r="AV155">
        <v>10.602320000000001</v>
      </c>
      <c r="AW155">
        <v>9.8469709999999999</v>
      </c>
      <c r="AX155">
        <v>9.4014539999999993</v>
      </c>
      <c r="AY155">
        <v>10.07104</v>
      </c>
      <c r="BA155">
        <v>0</v>
      </c>
      <c r="BB155" t="str">
        <f t="shared" si="8"/>
        <v/>
      </c>
      <c r="BC155">
        <v>1515208</v>
      </c>
      <c r="BD155">
        <v>1172.7239999999999</v>
      </c>
      <c r="BE155">
        <v>144142400</v>
      </c>
      <c r="BF155">
        <v>55.653689999999997</v>
      </c>
      <c r="BG155">
        <v>1670.1946</v>
      </c>
      <c r="BH155">
        <v>55.65369415</v>
      </c>
    </row>
    <row r="156" spans="1:60">
      <c r="A156">
        <v>28100</v>
      </c>
      <c r="B156" t="s">
        <v>419</v>
      </c>
      <c r="C156">
        <v>31264.99</v>
      </c>
      <c r="D156">
        <v>55912</v>
      </c>
      <c r="E156">
        <v>112719</v>
      </c>
      <c r="F156">
        <v>2.4121900000000002E-2</v>
      </c>
      <c r="G156">
        <f t="shared" si="6"/>
        <v>24121.9</v>
      </c>
      <c r="H156" s="51">
        <f t="shared" si="7"/>
        <v>2718996446.1000004</v>
      </c>
      <c r="I156">
        <v>35.066650000000003</v>
      </c>
      <c r="J156">
        <v>10.350250000000001</v>
      </c>
      <c r="K156">
        <v>-3.724634</v>
      </c>
      <c r="L156">
        <v>7.2084330000000003</v>
      </c>
      <c r="M156">
        <v>-1.9174899999999999</v>
      </c>
      <c r="N156">
        <v>11.63265</v>
      </c>
      <c r="O156">
        <v>1.2078E-3</v>
      </c>
      <c r="P156">
        <v>0</v>
      </c>
      <c r="Q156">
        <v>874.59169999999995</v>
      </c>
      <c r="R156">
        <v>1350.7739999999999</v>
      </c>
      <c r="S156">
        <v>0</v>
      </c>
      <c r="T156">
        <v>0</v>
      </c>
      <c r="U156">
        <v>136.22810000000001</v>
      </c>
      <c r="V156">
        <v>112719</v>
      </c>
      <c r="W156">
        <v>0</v>
      </c>
      <c r="X156">
        <v>1.2086E-3</v>
      </c>
      <c r="Y156">
        <v>0</v>
      </c>
      <c r="Z156">
        <v>0.2012977</v>
      </c>
      <c r="AB156">
        <v>202</v>
      </c>
      <c r="AE156">
        <v>0</v>
      </c>
      <c r="AF156">
        <v>3.884833</v>
      </c>
      <c r="AJ156">
        <v>10.800879999999999</v>
      </c>
      <c r="AK156">
        <v>10.77971</v>
      </c>
      <c r="AL156">
        <v>10.696680000000001</v>
      </c>
      <c r="AM156">
        <v>9.8961020000000008</v>
      </c>
      <c r="AN156">
        <v>10.353529999999999</v>
      </c>
      <c r="AO156">
        <v>10.54898</v>
      </c>
      <c r="AP156">
        <v>10.408709999999999</v>
      </c>
      <c r="AQ156">
        <v>10.196120000000001</v>
      </c>
      <c r="AR156">
        <v>10.40207</v>
      </c>
      <c r="AS156">
        <v>10.7784</v>
      </c>
      <c r="AT156">
        <v>10.12607</v>
      </c>
      <c r="AV156">
        <v>10.49971</v>
      </c>
      <c r="AW156">
        <v>9.704345</v>
      </c>
      <c r="AX156">
        <v>9.2941289999999999</v>
      </c>
      <c r="AY156">
        <v>9.9693579999999997</v>
      </c>
      <c r="BA156">
        <v>0</v>
      </c>
      <c r="BB156" t="str">
        <f t="shared" si="8"/>
        <v/>
      </c>
      <c r="BC156">
        <v>643503</v>
      </c>
      <c r="BD156">
        <v>676.7491</v>
      </c>
      <c r="BE156">
        <v>42553077</v>
      </c>
      <c r="BF156">
        <v>16.429829999999999</v>
      </c>
      <c r="BG156">
        <v>681.36339999999996</v>
      </c>
      <c r="BH156">
        <v>16.429835579999999</v>
      </c>
    </row>
    <row r="157" spans="1:60">
      <c r="A157">
        <v>28140</v>
      </c>
      <c r="B157" t="s">
        <v>420</v>
      </c>
      <c r="C157">
        <v>41787.360000000001</v>
      </c>
      <c r="D157">
        <v>1318998</v>
      </c>
      <c r="E157">
        <v>2046083</v>
      </c>
      <c r="F157">
        <v>4.37846E-2</v>
      </c>
      <c r="G157">
        <f t="shared" si="6"/>
        <v>43784.6</v>
      </c>
      <c r="H157" s="51">
        <f t="shared" si="7"/>
        <v>89586925721.800003</v>
      </c>
      <c r="I157">
        <v>704.98329999999999</v>
      </c>
      <c r="J157">
        <v>10.64035</v>
      </c>
      <c r="K157">
        <v>-3.1284719999999999</v>
      </c>
      <c r="L157">
        <v>7.2310629999999998</v>
      </c>
      <c r="M157">
        <v>-1.2966329999999999</v>
      </c>
      <c r="N157">
        <v>14.53144</v>
      </c>
      <c r="O157">
        <v>8.386E-4</v>
      </c>
      <c r="P157">
        <v>0</v>
      </c>
      <c r="Q157">
        <v>1093.0540000000001</v>
      </c>
      <c r="R157">
        <v>1381.691</v>
      </c>
      <c r="S157">
        <v>0</v>
      </c>
      <c r="T157">
        <v>0</v>
      </c>
      <c r="U157">
        <v>1716.49</v>
      </c>
      <c r="V157">
        <v>2046083</v>
      </c>
      <c r="W157">
        <v>0</v>
      </c>
      <c r="X157">
        <v>8.3889999999999995E-4</v>
      </c>
      <c r="Y157">
        <v>0</v>
      </c>
      <c r="Z157">
        <v>0.21847900000000001</v>
      </c>
      <c r="AB157">
        <v>1099</v>
      </c>
      <c r="AE157">
        <v>0</v>
      </c>
      <c r="AF157">
        <v>2.4347949999999998</v>
      </c>
      <c r="AG157">
        <v>10.57943</v>
      </c>
      <c r="AH157">
        <v>10.65408</v>
      </c>
      <c r="AI157">
        <v>11.376749999999999</v>
      </c>
      <c r="AJ157">
        <v>10.84069</v>
      </c>
      <c r="AK157">
        <v>10.80486</v>
      </c>
      <c r="AL157">
        <v>10.745430000000001</v>
      </c>
      <c r="AM157">
        <v>10.05166</v>
      </c>
      <c r="AN157">
        <v>10.49038</v>
      </c>
      <c r="AO157">
        <v>11.133150000000001</v>
      </c>
      <c r="AP157">
        <v>11.044890000000001</v>
      </c>
      <c r="AQ157">
        <v>10.50919</v>
      </c>
      <c r="AR157">
        <v>11.06405</v>
      </c>
      <c r="AS157">
        <v>11.23183</v>
      </c>
      <c r="AT157">
        <v>10.24128</v>
      </c>
      <c r="AU157">
        <v>10.253130000000001</v>
      </c>
      <c r="AV157">
        <v>10.65497</v>
      </c>
      <c r="AW157">
        <v>10.39653</v>
      </c>
      <c r="AX157">
        <v>9.5972740000000005</v>
      </c>
      <c r="AY157">
        <v>10.11591</v>
      </c>
      <c r="AZ157">
        <v>9.79955</v>
      </c>
      <c r="BA157">
        <v>0</v>
      </c>
      <c r="BB157" t="str">
        <f t="shared" si="8"/>
        <v/>
      </c>
      <c r="BC157">
        <v>9688815</v>
      </c>
      <c r="BD157">
        <v>7856.5429999999997</v>
      </c>
      <c r="BE157">
        <v>797216311</v>
      </c>
      <c r="BF157">
        <v>307.80689999999998</v>
      </c>
      <c r="BG157">
        <v>7950.0499</v>
      </c>
      <c r="BH157">
        <v>307.80695159999999</v>
      </c>
    </row>
    <row r="158" spans="1:60">
      <c r="A158">
        <v>28420</v>
      </c>
      <c r="B158" t="s">
        <v>421</v>
      </c>
      <c r="C158">
        <v>41884.51</v>
      </c>
      <c r="D158">
        <v>126413</v>
      </c>
      <c r="E158">
        <v>237206</v>
      </c>
      <c r="F158">
        <v>3.1655999999999997E-2</v>
      </c>
      <c r="G158">
        <f t="shared" si="6"/>
        <v>31655.999999999996</v>
      </c>
      <c r="H158" s="51">
        <f t="shared" si="7"/>
        <v>7508993135.999999</v>
      </c>
      <c r="I158">
        <v>94.486050000000006</v>
      </c>
      <c r="J158">
        <v>10.642670000000001</v>
      </c>
      <c r="K158">
        <v>-3.4528270000000001</v>
      </c>
      <c r="L158">
        <v>6.7491130000000004</v>
      </c>
      <c r="M158">
        <v>-1.5359579999999999</v>
      </c>
      <c r="N158">
        <v>12.37668</v>
      </c>
      <c r="O158">
        <v>1.1577E-3</v>
      </c>
      <c r="P158">
        <v>0</v>
      </c>
      <c r="Q158">
        <v>628.62189999999998</v>
      </c>
      <c r="R158">
        <v>853.30119999999999</v>
      </c>
      <c r="S158">
        <v>0</v>
      </c>
      <c r="T158">
        <v>0</v>
      </c>
      <c r="U158">
        <v>274.77159999999998</v>
      </c>
      <c r="V158">
        <v>237206</v>
      </c>
      <c r="W158">
        <v>0</v>
      </c>
      <c r="X158">
        <v>1.1584E-3</v>
      </c>
      <c r="Y158">
        <v>0</v>
      </c>
      <c r="Z158">
        <v>9.3285400000000004E-2</v>
      </c>
      <c r="AB158">
        <v>400</v>
      </c>
      <c r="AE158">
        <v>0</v>
      </c>
      <c r="AF158">
        <v>2.9080650000000001</v>
      </c>
      <c r="AG158">
        <v>10.405390000000001</v>
      </c>
      <c r="AJ158">
        <v>10.729570000000001</v>
      </c>
      <c r="AK158">
        <v>10.79255</v>
      </c>
      <c r="AL158">
        <v>10.75215</v>
      </c>
      <c r="AM158">
        <v>10.09693</v>
      </c>
      <c r="AN158">
        <v>10.535629999999999</v>
      </c>
      <c r="AO158">
        <v>10.53571</v>
      </c>
      <c r="AP158">
        <v>10.804819999999999</v>
      </c>
      <c r="AQ158">
        <v>10.398619999999999</v>
      </c>
      <c r="AR158">
        <v>11.238910000000001</v>
      </c>
      <c r="AT158">
        <v>10.843450000000001</v>
      </c>
      <c r="AU158">
        <v>9.9301680000000001</v>
      </c>
      <c r="AV158">
        <v>10.59726</v>
      </c>
      <c r="AW158">
        <v>9.6938220000000008</v>
      </c>
      <c r="AX158">
        <v>9.5208320000000004</v>
      </c>
      <c r="AY158">
        <v>10.005459999999999</v>
      </c>
      <c r="BA158">
        <v>0</v>
      </c>
      <c r="BB158" t="str">
        <f t="shared" si="8"/>
        <v/>
      </c>
      <c r="BC158">
        <v>2537360</v>
      </c>
      <c r="BD158">
        <v>2945.4929999999999</v>
      </c>
      <c r="BE158">
        <v>166307771</v>
      </c>
      <c r="BF158">
        <v>64.211789999999993</v>
      </c>
      <c r="BG158">
        <v>3025.3298</v>
      </c>
      <c r="BH158">
        <v>64.211792099999997</v>
      </c>
    </row>
    <row r="159" spans="1:60">
      <c r="A159">
        <v>28660</v>
      </c>
      <c r="B159" t="s">
        <v>422</v>
      </c>
      <c r="C159">
        <v>31612.51</v>
      </c>
      <c r="D159">
        <v>225225</v>
      </c>
      <c r="E159">
        <v>379569</v>
      </c>
      <c r="F159">
        <v>1.7670000000000002E-2</v>
      </c>
      <c r="G159">
        <f t="shared" si="6"/>
        <v>17670</v>
      </c>
      <c r="H159" s="51">
        <f t="shared" si="7"/>
        <v>6706984230.000001</v>
      </c>
      <c r="I159">
        <v>115.5583</v>
      </c>
      <c r="J159">
        <v>10.36131</v>
      </c>
      <c r="K159">
        <v>-4.0358850000000004</v>
      </c>
      <c r="L159">
        <v>6.7699600000000002</v>
      </c>
      <c r="M159">
        <v>-1.880234</v>
      </c>
      <c r="N159">
        <v>12.84679</v>
      </c>
      <c r="O159">
        <v>9.5040000000000001E-4</v>
      </c>
      <c r="P159">
        <v>0</v>
      </c>
      <c r="Q159">
        <v>701.56809999999996</v>
      </c>
      <c r="R159">
        <v>871.27760000000001</v>
      </c>
      <c r="S159">
        <v>0</v>
      </c>
      <c r="T159">
        <v>0</v>
      </c>
      <c r="U159">
        <v>360.91199999999998</v>
      </c>
      <c r="V159">
        <v>379569</v>
      </c>
      <c r="W159">
        <v>0</v>
      </c>
      <c r="X159">
        <v>9.5080000000000002E-4</v>
      </c>
      <c r="Y159">
        <v>0</v>
      </c>
      <c r="Z159">
        <v>0.1278232</v>
      </c>
      <c r="AB159">
        <v>270</v>
      </c>
      <c r="AE159">
        <v>0</v>
      </c>
      <c r="AF159">
        <v>3.1232039999999999</v>
      </c>
      <c r="AH159">
        <v>10.65762</v>
      </c>
      <c r="AI159">
        <v>11.003629999999999</v>
      </c>
      <c r="AJ159">
        <v>10.50877</v>
      </c>
      <c r="AK159">
        <v>10.5396</v>
      </c>
      <c r="AL159">
        <v>10.72578</v>
      </c>
      <c r="AM159">
        <v>9.9819180000000003</v>
      </c>
      <c r="AN159">
        <v>10.4299</v>
      </c>
      <c r="AO159">
        <v>10.82044</v>
      </c>
      <c r="AP159">
        <v>10.47663</v>
      </c>
      <c r="AQ159">
        <v>10.20279</v>
      </c>
      <c r="AR159">
        <v>10.67192</v>
      </c>
      <c r="AS159">
        <v>11.239459999999999</v>
      </c>
      <c r="AT159">
        <v>10.438800000000001</v>
      </c>
      <c r="AU159">
        <v>9.9193169999999995</v>
      </c>
      <c r="AV159">
        <v>10.73109</v>
      </c>
      <c r="AW159">
        <v>9.2879179999999995</v>
      </c>
      <c r="AX159">
        <v>9.3436179999999993</v>
      </c>
      <c r="AY159">
        <v>9.8230229999999992</v>
      </c>
      <c r="AZ159">
        <v>10.12663</v>
      </c>
      <c r="BA159">
        <v>0</v>
      </c>
      <c r="BB159" t="str">
        <f t="shared" si="8"/>
        <v/>
      </c>
      <c r="BC159">
        <v>795480</v>
      </c>
      <c r="BD159">
        <v>2823.5239999999999</v>
      </c>
      <c r="BE159">
        <v>186497018</v>
      </c>
      <c r="BF159">
        <v>72.006900000000002</v>
      </c>
      <c r="BG159">
        <v>2858.6188999999999</v>
      </c>
      <c r="BH159">
        <v>72.006904280000001</v>
      </c>
    </row>
    <row r="160" spans="1:60">
      <c r="A160">
        <v>28700</v>
      </c>
      <c r="B160" t="s">
        <v>987</v>
      </c>
      <c r="C160">
        <v>35165.47</v>
      </c>
      <c r="D160">
        <v>165497</v>
      </c>
      <c r="E160">
        <v>304679</v>
      </c>
      <c r="F160">
        <v>2.9204500000000001E-2</v>
      </c>
      <c r="G160">
        <f t="shared" si="6"/>
        <v>29204.5</v>
      </c>
      <c r="H160" s="51">
        <f t="shared" si="7"/>
        <v>8897997855.5</v>
      </c>
      <c r="I160">
        <v>171.25819999999999</v>
      </c>
      <c r="J160">
        <v>10.46782</v>
      </c>
      <c r="K160">
        <v>-3.5334319999999999</v>
      </c>
      <c r="L160">
        <v>6.76328</v>
      </c>
      <c r="M160">
        <v>-1.8005469999999999</v>
      </c>
      <c r="N160">
        <v>12.62701</v>
      </c>
      <c r="O160">
        <v>9.41E-4</v>
      </c>
      <c r="P160">
        <v>0</v>
      </c>
      <c r="Q160">
        <v>528.58209999999997</v>
      </c>
      <c r="R160">
        <v>865.47680000000003</v>
      </c>
      <c r="S160">
        <v>0</v>
      </c>
      <c r="T160">
        <v>0</v>
      </c>
      <c r="U160">
        <v>286.85129999999998</v>
      </c>
      <c r="V160">
        <v>304679</v>
      </c>
      <c r="W160">
        <v>0</v>
      </c>
      <c r="X160">
        <v>9.4149999999999995E-4</v>
      </c>
      <c r="Y160">
        <v>0</v>
      </c>
      <c r="Z160">
        <v>0.19972110000000001</v>
      </c>
      <c r="AE160">
        <v>0</v>
      </c>
      <c r="AF160">
        <v>1.6749639999999999</v>
      </c>
      <c r="AG160">
        <v>10.00858</v>
      </c>
      <c r="AH160">
        <v>11.10008</v>
      </c>
      <c r="AJ160">
        <v>10.472950000000001</v>
      </c>
      <c r="AK160">
        <v>10.72078</v>
      </c>
      <c r="AL160">
        <v>11.0288</v>
      </c>
      <c r="AM160">
        <v>9.977843</v>
      </c>
      <c r="AN160">
        <v>10.461080000000001</v>
      </c>
      <c r="AO160">
        <v>10.76385</v>
      </c>
      <c r="AP160">
        <v>10.676159999999999</v>
      </c>
      <c r="AQ160">
        <v>10.166930000000001</v>
      </c>
      <c r="AR160">
        <v>10.515409999999999</v>
      </c>
      <c r="AS160">
        <v>10.7845</v>
      </c>
      <c r="AT160">
        <v>10.22228</v>
      </c>
      <c r="AU160">
        <v>10.05143</v>
      </c>
      <c r="AV160">
        <v>10.55888</v>
      </c>
      <c r="AW160">
        <v>9.1105199999999993</v>
      </c>
      <c r="AX160">
        <v>9.3425340000000006</v>
      </c>
      <c r="AY160">
        <v>9.9635200000000008</v>
      </c>
      <c r="BB160" t="str">
        <f t="shared" si="8"/>
        <v/>
      </c>
      <c r="BD160">
        <v>1436.259</v>
      </c>
      <c r="BE160">
        <v>190332574</v>
      </c>
      <c r="BF160">
        <v>73.487819999999999</v>
      </c>
      <c r="BG160">
        <v>2047.0908999999999</v>
      </c>
      <c r="BH160">
        <v>73.487820790000001</v>
      </c>
    </row>
    <row r="161" spans="1:60">
      <c r="A161">
        <v>28740</v>
      </c>
      <c r="B161" t="s">
        <v>988</v>
      </c>
      <c r="C161">
        <v>31276.14</v>
      </c>
      <c r="D161">
        <v>89075</v>
      </c>
      <c r="E161">
        <v>181722</v>
      </c>
      <c r="F161">
        <v>1.9716899999999999E-2</v>
      </c>
      <c r="G161">
        <f t="shared" si="6"/>
        <v>19716.899999999998</v>
      </c>
      <c r="H161" s="51">
        <f t="shared" si="7"/>
        <v>3582994501.7999997</v>
      </c>
      <c r="I161">
        <v>71.983710000000002</v>
      </c>
      <c r="J161">
        <v>10.35061</v>
      </c>
      <c r="K161">
        <v>-3.9262779999999999</v>
      </c>
      <c r="L161">
        <v>7.5054809999999996</v>
      </c>
      <c r="M161">
        <v>-1.3800619999999999</v>
      </c>
      <c r="N161">
        <v>12.11023</v>
      </c>
      <c r="O161">
        <v>1.5418999999999999E-3</v>
      </c>
      <c r="P161">
        <v>0</v>
      </c>
      <c r="Q161">
        <v>449.78230000000002</v>
      </c>
      <c r="R161">
        <v>1817.979</v>
      </c>
      <c r="S161">
        <v>0</v>
      </c>
      <c r="T161">
        <v>0</v>
      </c>
      <c r="U161">
        <v>280.4205</v>
      </c>
      <c r="V161">
        <v>181722</v>
      </c>
      <c r="W161">
        <v>0</v>
      </c>
      <c r="X161">
        <v>1.5430999999999999E-3</v>
      </c>
      <c r="Y161">
        <v>0</v>
      </c>
      <c r="Z161">
        <v>0.24893580000000001</v>
      </c>
      <c r="AE161">
        <v>0</v>
      </c>
      <c r="AF161">
        <v>3.89561</v>
      </c>
      <c r="AG161">
        <v>10.28529</v>
      </c>
      <c r="AJ161">
        <v>10.651590000000001</v>
      </c>
      <c r="AK161">
        <v>10.606</v>
      </c>
      <c r="AL161">
        <v>10.853260000000001</v>
      </c>
      <c r="AM161">
        <v>10.039720000000001</v>
      </c>
      <c r="AN161">
        <v>10.215630000000001</v>
      </c>
      <c r="AO161">
        <v>10.62621</v>
      </c>
      <c r="AP161">
        <v>10.705640000000001</v>
      </c>
      <c r="AQ161">
        <v>10.237</v>
      </c>
      <c r="AR161">
        <v>10.931139999999999</v>
      </c>
      <c r="AT161">
        <v>9.9902700000000006</v>
      </c>
      <c r="AU161">
        <v>10.18459</v>
      </c>
      <c r="AV161">
        <v>10.41846</v>
      </c>
      <c r="AW161">
        <v>10.078609999999999</v>
      </c>
      <c r="AX161">
        <v>9.6585219999999996</v>
      </c>
      <c r="AY161">
        <v>9.8541860000000003</v>
      </c>
      <c r="BB161" t="str">
        <f t="shared" si="8"/>
        <v/>
      </c>
      <c r="BD161">
        <v>1126.4770000000001</v>
      </c>
      <c r="BE161">
        <v>19408036</v>
      </c>
      <c r="BF161">
        <v>7.4934839999999996</v>
      </c>
      <c r="BG161">
        <v>1160.7608</v>
      </c>
      <c r="BH161">
        <v>7.4934849120000004</v>
      </c>
    </row>
    <row r="162" spans="1:60">
      <c r="A162">
        <v>28940</v>
      </c>
      <c r="B162" t="s">
        <v>423</v>
      </c>
      <c r="C162">
        <v>36553.910000000003</v>
      </c>
      <c r="D162">
        <v>457464</v>
      </c>
      <c r="E162">
        <v>692210</v>
      </c>
      <c r="F162">
        <v>3.7768900000000001E-2</v>
      </c>
      <c r="G162">
        <f t="shared" si="6"/>
        <v>37768.9</v>
      </c>
      <c r="H162" s="51">
        <f t="shared" si="7"/>
        <v>26144010269.000004</v>
      </c>
      <c r="I162">
        <v>367.6703</v>
      </c>
      <c r="J162">
        <v>10.506539999999999</v>
      </c>
      <c r="K162">
        <v>-3.2762699999999998</v>
      </c>
      <c r="L162">
        <v>7.3011720000000002</v>
      </c>
      <c r="M162">
        <v>-1.4094519999999999</v>
      </c>
      <c r="N162">
        <v>13.44764</v>
      </c>
      <c r="O162">
        <v>6.4539999999999997E-4</v>
      </c>
      <c r="P162">
        <v>0</v>
      </c>
      <c r="Q162">
        <v>759.45479999999998</v>
      </c>
      <c r="R162">
        <v>1482.0360000000001</v>
      </c>
      <c r="S162">
        <v>0</v>
      </c>
      <c r="T162">
        <v>0</v>
      </c>
      <c r="U162">
        <v>446.86759999999998</v>
      </c>
      <c r="V162">
        <v>692210</v>
      </c>
      <c r="W162">
        <v>0</v>
      </c>
      <c r="X162">
        <v>6.4559999999999997E-4</v>
      </c>
      <c r="Y162">
        <v>0</v>
      </c>
      <c r="Z162">
        <v>0.24064269999999999</v>
      </c>
      <c r="AB162">
        <v>534</v>
      </c>
      <c r="AE162">
        <v>0</v>
      </c>
      <c r="AF162">
        <v>1.215403</v>
      </c>
      <c r="AG162">
        <v>10.70989</v>
      </c>
      <c r="AH162">
        <v>10.825659999999999</v>
      </c>
      <c r="AJ162">
        <v>10.664070000000001</v>
      </c>
      <c r="AK162">
        <v>10.785780000000001</v>
      </c>
      <c r="AL162">
        <v>10.69652</v>
      </c>
      <c r="AM162">
        <v>10.061999999999999</v>
      </c>
      <c r="AN162">
        <v>10.536440000000001</v>
      </c>
      <c r="AO162">
        <v>10.998710000000001</v>
      </c>
      <c r="AP162">
        <v>10.757099999999999</v>
      </c>
      <c r="AQ162">
        <v>10.405720000000001</v>
      </c>
      <c r="AR162">
        <v>10.98326</v>
      </c>
      <c r="AS162">
        <v>11.064579999999999</v>
      </c>
      <c r="AT162">
        <v>10.336930000000001</v>
      </c>
      <c r="AU162">
        <v>10.120950000000001</v>
      </c>
      <c r="AV162">
        <v>10.635680000000001</v>
      </c>
      <c r="AW162">
        <v>9.7358399999999996</v>
      </c>
      <c r="AX162">
        <v>9.4854219999999998</v>
      </c>
      <c r="AY162">
        <v>10.056150000000001</v>
      </c>
      <c r="AZ162">
        <v>9.9608980000000003</v>
      </c>
      <c r="BA162">
        <v>0</v>
      </c>
      <c r="BB162" t="str">
        <f t="shared" si="8"/>
        <v/>
      </c>
      <c r="BC162">
        <v>2672176</v>
      </c>
      <c r="BD162">
        <v>1856.9749999999999</v>
      </c>
      <c r="BE162">
        <v>304382728</v>
      </c>
      <c r="BF162">
        <v>117.5228</v>
      </c>
      <c r="BG162">
        <v>1931.8190999999999</v>
      </c>
      <c r="BH162">
        <v>117.5228333</v>
      </c>
    </row>
    <row r="163" spans="1:60">
      <c r="A163">
        <v>29020</v>
      </c>
      <c r="B163" t="s">
        <v>774</v>
      </c>
      <c r="C163">
        <v>40974.800000000003</v>
      </c>
      <c r="D163">
        <v>55672</v>
      </c>
      <c r="E163">
        <v>99450</v>
      </c>
      <c r="F163">
        <v>3.1091000000000001E-2</v>
      </c>
      <c r="G163">
        <f t="shared" si="6"/>
        <v>31091</v>
      </c>
      <c r="H163" s="51">
        <f t="shared" si="7"/>
        <v>3091999950</v>
      </c>
      <c r="I163">
        <v>40.602969999999999</v>
      </c>
      <c r="J163">
        <v>10.620710000000001</v>
      </c>
      <c r="K163">
        <v>-3.470837</v>
      </c>
      <c r="L163">
        <v>7.4399329999999999</v>
      </c>
      <c r="M163">
        <v>-1.7473289999999999</v>
      </c>
      <c r="N163">
        <v>11.50741</v>
      </c>
      <c r="O163">
        <v>8.0860000000000003E-4</v>
      </c>
      <c r="P163">
        <v>0</v>
      </c>
      <c r="Q163">
        <v>897.47130000000004</v>
      </c>
      <c r="R163">
        <v>1702.6369999999999</v>
      </c>
      <c r="S163">
        <v>0</v>
      </c>
      <c r="T163">
        <v>0</v>
      </c>
      <c r="U163">
        <v>80.445939999999993</v>
      </c>
      <c r="V163">
        <v>99450</v>
      </c>
      <c r="W163">
        <v>0</v>
      </c>
      <c r="X163">
        <v>8.0889999999999998E-4</v>
      </c>
      <c r="Y163">
        <v>0</v>
      </c>
      <c r="Z163">
        <v>0.14535300000000001</v>
      </c>
      <c r="AB163">
        <v>0</v>
      </c>
      <c r="AE163">
        <v>0</v>
      </c>
      <c r="AF163">
        <v>1.981282</v>
      </c>
      <c r="AI163">
        <v>11.086550000000001</v>
      </c>
      <c r="AJ163">
        <v>10.644590000000001</v>
      </c>
      <c r="AK163">
        <v>10.67923</v>
      </c>
      <c r="AL163">
        <v>10.7843</v>
      </c>
      <c r="AM163">
        <v>9.9664889999999993</v>
      </c>
      <c r="AN163">
        <v>10.43431</v>
      </c>
      <c r="AO163">
        <v>10.85971</v>
      </c>
      <c r="AP163">
        <v>10.69448</v>
      </c>
      <c r="AQ163">
        <v>10.07283</v>
      </c>
      <c r="AR163">
        <v>10.49334</v>
      </c>
      <c r="AT163">
        <v>9.8264589999999998</v>
      </c>
      <c r="AU163">
        <v>9.7741489999999995</v>
      </c>
      <c r="AV163">
        <v>10.480600000000001</v>
      </c>
      <c r="AW163">
        <v>9.4243369999999995</v>
      </c>
      <c r="AX163">
        <v>9.3216190000000001</v>
      </c>
      <c r="AY163">
        <v>9.7637350000000005</v>
      </c>
      <c r="BA163">
        <v>0</v>
      </c>
      <c r="BB163" t="str">
        <f t="shared" si="8"/>
        <v/>
      </c>
      <c r="BC163">
        <v>0</v>
      </c>
      <c r="BD163">
        <v>553.452</v>
      </c>
      <c r="BE163">
        <v>49735951</v>
      </c>
      <c r="BF163">
        <v>19.20316</v>
      </c>
      <c r="BG163">
        <v>554.48857999999996</v>
      </c>
      <c r="BH163">
        <v>19.203158859999998</v>
      </c>
    </row>
    <row r="164" spans="1:60">
      <c r="A164">
        <v>29100</v>
      </c>
      <c r="B164" t="s">
        <v>424</v>
      </c>
      <c r="C164">
        <v>31804.54</v>
      </c>
      <c r="D164">
        <v>94998</v>
      </c>
      <c r="E164">
        <v>131728</v>
      </c>
      <c r="F164">
        <v>3.47231E-2</v>
      </c>
      <c r="G164">
        <f t="shared" si="6"/>
        <v>34723.1</v>
      </c>
      <c r="H164" s="51">
        <f t="shared" si="7"/>
        <v>4574004516.7999992</v>
      </c>
      <c r="I164">
        <v>44.075809999999997</v>
      </c>
      <c r="J164">
        <v>10.36736</v>
      </c>
      <c r="K164">
        <v>-3.3603510000000001</v>
      </c>
      <c r="L164">
        <v>7.6247129999999999</v>
      </c>
      <c r="M164">
        <v>-1.489797</v>
      </c>
      <c r="N164">
        <v>11.788489999999999</v>
      </c>
      <c r="O164">
        <v>1.5403000000000001E-3</v>
      </c>
      <c r="P164">
        <v>0</v>
      </c>
      <c r="Q164">
        <v>1267.634</v>
      </c>
      <c r="R164">
        <v>2048.1930000000002</v>
      </c>
      <c r="S164">
        <v>0</v>
      </c>
      <c r="T164">
        <v>0</v>
      </c>
      <c r="U164">
        <v>203.06180000000001</v>
      </c>
      <c r="V164">
        <v>131728</v>
      </c>
      <c r="W164">
        <v>0</v>
      </c>
      <c r="X164">
        <v>1.5414999999999999E-3</v>
      </c>
      <c r="Y164">
        <v>0</v>
      </c>
      <c r="Z164">
        <v>0.20082330000000001</v>
      </c>
      <c r="AB164">
        <v>175</v>
      </c>
      <c r="AE164">
        <v>0</v>
      </c>
      <c r="AF164">
        <v>4.6071030000000004</v>
      </c>
      <c r="AI164">
        <v>11.159129999999999</v>
      </c>
      <c r="AJ164">
        <v>10.85852</v>
      </c>
      <c r="AK164">
        <v>10.451320000000001</v>
      </c>
      <c r="AL164">
        <v>10.605560000000001</v>
      </c>
      <c r="AM164">
        <v>9.9091489999999993</v>
      </c>
      <c r="AN164">
        <v>10.4291</v>
      </c>
      <c r="AO164">
        <v>10.66703</v>
      </c>
      <c r="AP164">
        <v>10.74469</v>
      </c>
      <c r="AQ164">
        <v>10.20743</v>
      </c>
      <c r="AR164">
        <v>10.752879999999999</v>
      </c>
      <c r="AS164">
        <v>10.64579</v>
      </c>
      <c r="AT164">
        <v>10.242089999999999</v>
      </c>
      <c r="AU164">
        <v>10.05406</v>
      </c>
      <c r="AV164">
        <v>10.588200000000001</v>
      </c>
      <c r="AW164">
        <v>9.5544949999999993</v>
      </c>
      <c r="AX164">
        <v>9.2213030000000007</v>
      </c>
      <c r="AY164">
        <v>9.9356609999999996</v>
      </c>
      <c r="BA164">
        <v>0</v>
      </c>
      <c r="BB164" t="str">
        <f t="shared" si="8"/>
        <v/>
      </c>
      <c r="BC164">
        <v>750397</v>
      </c>
      <c r="BD164">
        <v>1011.146</v>
      </c>
      <c r="BE164">
        <v>45586065</v>
      </c>
      <c r="BF164">
        <v>17.60088</v>
      </c>
      <c r="BG164">
        <v>1048.7950000000001</v>
      </c>
      <c r="BH164">
        <v>17.600878850000001</v>
      </c>
    </row>
    <row r="165" spans="1:60">
      <c r="A165">
        <v>29140</v>
      </c>
      <c r="B165" t="s">
        <v>425</v>
      </c>
      <c r="C165">
        <v>34471.19</v>
      </c>
      <c r="D165">
        <v>116665</v>
      </c>
      <c r="E165">
        <v>193753</v>
      </c>
      <c r="F165">
        <v>3.0487299999999998E-2</v>
      </c>
      <c r="G165">
        <f t="shared" si="6"/>
        <v>30487.3</v>
      </c>
      <c r="H165" s="51">
        <f t="shared" si="7"/>
        <v>5907005836.8999996</v>
      </c>
      <c r="I165">
        <v>58.128590000000003</v>
      </c>
      <c r="J165">
        <v>10.44788</v>
      </c>
      <c r="K165">
        <v>-3.4904459999999999</v>
      </c>
      <c r="L165">
        <v>7.5319029999999998</v>
      </c>
      <c r="M165">
        <v>-1.486556</v>
      </c>
      <c r="N165">
        <v>12.174340000000001</v>
      </c>
      <c r="O165">
        <v>1.3889E-3</v>
      </c>
      <c r="P165">
        <v>0</v>
      </c>
      <c r="Q165">
        <v>1146.338</v>
      </c>
      <c r="R165">
        <v>1866.655</v>
      </c>
      <c r="S165">
        <v>0</v>
      </c>
      <c r="T165">
        <v>0</v>
      </c>
      <c r="U165">
        <v>269.2833</v>
      </c>
      <c r="V165">
        <v>193753</v>
      </c>
      <c r="W165">
        <v>0</v>
      </c>
      <c r="X165">
        <v>1.3898000000000001E-3</v>
      </c>
      <c r="Y165">
        <v>0</v>
      </c>
      <c r="Z165">
        <v>0.21064749999999999</v>
      </c>
      <c r="AB165">
        <v>673</v>
      </c>
      <c r="AE165">
        <v>0</v>
      </c>
      <c r="AF165">
        <v>4.6325450000000004</v>
      </c>
      <c r="AI165">
        <v>11.1289</v>
      </c>
      <c r="AJ165">
        <v>10.71219</v>
      </c>
      <c r="AK165">
        <v>10.874879999999999</v>
      </c>
      <c r="AL165">
        <v>10.670540000000001</v>
      </c>
      <c r="AM165">
        <v>9.9111910000000005</v>
      </c>
      <c r="AN165">
        <v>10.474970000000001</v>
      </c>
      <c r="AO165">
        <v>10.28645</v>
      </c>
      <c r="AP165">
        <v>10.83996</v>
      </c>
      <c r="AQ165">
        <v>10.36858</v>
      </c>
      <c r="AR165">
        <v>10.74898</v>
      </c>
      <c r="AS165">
        <v>11.174910000000001</v>
      </c>
      <c r="AT165">
        <v>10.11576</v>
      </c>
      <c r="AU165">
        <v>10.00433</v>
      </c>
      <c r="AV165">
        <v>10.572089999999999</v>
      </c>
      <c r="AW165">
        <v>9.3515409999999992</v>
      </c>
      <c r="AX165">
        <v>9.3835119999999996</v>
      </c>
      <c r="AY165">
        <v>10.00802</v>
      </c>
      <c r="BA165">
        <v>0</v>
      </c>
      <c r="BB165" t="str">
        <f t="shared" si="8"/>
        <v/>
      </c>
      <c r="BC165">
        <v>1494773</v>
      </c>
      <c r="BD165">
        <v>1278.3599999999999</v>
      </c>
      <c r="BE165">
        <v>55537547</v>
      </c>
      <c r="BF165">
        <v>21.443169999999999</v>
      </c>
      <c r="BG165">
        <v>1284.7707</v>
      </c>
      <c r="BH165">
        <v>21.443167689999999</v>
      </c>
    </row>
    <row r="166" spans="1:60">
      <c r="A166">
        <v>29180</v>
      </c>
      <c r="B166" t="s">
        <v>426</v>
      </c>
      <c r="C166">
        <v>38536.25</v>
      </c>
      <c r="D166">
        <v>192849</v>
      </c>
      <c r="E166">
        <v>259773</v>
      </c>
      <c r="F166">
        <v>6.7070099999999994E-2</v>
      </c>
      <c r="G166">
        <f t="shared" si="6"/>
        <v>67070.099999999991</v>
      </c>
      <c r="H166" s="51">
        <f t="shared" si="7"/>
        <v>17423001087.299999</v>
      </c>
      <c r="I166">
        <v>125.44280000000001</v>
      </c>
      <c r="J166">
        <v>10.55935</v>
      </c>
      <c r="K166">
        <v>-2.7020170000000001</v>
      </c>
      <c r="L166">
        <v>7.4712880000000004</v>
      </c>
      <c r="M166">
        <v>-1.6143449999999999</v>
      </c>
      <c r="N166">
        <v>12.467560000000001</v>
      </c>
      <c r="O166">
        <v>6.2390000000000004E-4</v>
      </c>
      <c r="P166">
        <v>0</v>
      </c>
      <c r="Q166">
        <v>930.24090000000001</v>
      </c>
      <c r="R166">
        <v>1756.8679999999999</v>
      </c>
      <c r="S166">
        <v>0</v>
      </c>
      <c r="T166">
        <v>0</v>
      </c>
      <c r="U166">
        <v>162.11869999999999</v>
      </c>
      <c r="V166">
        <v>259773</v>
      </c>
      <c r="W166">
        <v>0</v>
      </c>
      <c r="X166">
        <v>6.2410000000000005E-4</v>
      </c>
      <c r="Y166">
        <v>0</v>
      </c>
      <c r="Z166">
        <v>0.16056329999999999</v>
      </c>
      <c r="AB166">
        <v>321</v>
      </c>
      <c r="AE166">
        <v>0</v>
      </c>
      <c r="AF166">
        <v>1.2923720000000001</v>
      </c>
      <c r="AG166">
        <v>10.02506</v>
      </c>
      <c r="AH166">
        <v>11.24244</v>
      </c>
      <c r="AJ166">
        <v>10.66048</v>
      </c>
      <c r="AK166">
        <v>10.664619999999999</v>
      </c>
      <c r="AL166">
        <v>10.894679999999999</v>
      </c>
      <c r="AM166">
        <v>10.04133</v>
      </c>
      <c r="AN166">
        <v>10.74675</v>
      </c>
      <c r="AO166">
        <v>10.58714</v>
      </c>
      <c r="AP166">
        <v>10.795310000000001</v>
      </c>
      <c r="AQ166">
        <v>10.913169999999999</v>
      </c>
      <c r="AR166">
        <v>10.83501</v>
      </c>
      <c r="AS166">
        <v>11.02162</v>
      </c>
      <c r="AT166">
        <v>10.35211</v>
      </c>
      <c r="AU166">
        <v>10.29495</v>
      </c>
      <c r="AV166">
        <v>10.43573</v>
      </c>
      <c r="AW166">
        <v>9.7507529999999996</v>
      </c>
      <c r="AX166">
        <v>9.5644460000000002</v>
      </c>
      <c r="AY166">
        <v>10.090780000000001</v>
      </c>
      <c r="AZ166">
        <v>9.9758080000000007</v>
      </c>
      <c r="BA166">
        <v>0</v>
      </c>
      <c r="BB166" t="str">
        <f t="shared" si="8"/>
        <v/>
      </c>
      <c r="BC166">
        <v>625395</v>
      </c>
      <c r="BD166">
        <v>1009.687</v>
      </c>
      <c r="BE166">
        <v>140469840</v>
      </c>
      <c r="BF166">
        <v>54.235709999999997</v>
      </c>
      <c r="BG166">
        <v>1085.6984</v>
      </c>
      <c r="BH166">
        <v>54.235710740000002</v>
      </c>
    </row>
    <row r="167" spans="1:60">
      <c r="A167">
        <v>29340</v>
      </c>
      <c r="B167" t="s">
        <v>989</v>
      </c>
      <c r="C167">
        <v>36383.14</v>
      </c>
      <c r="D167">
        <v>116954</v>
      </c>
      <c r="E167">
        <v>192972</v>
      </c>
      <c r="F167">
        <v>6.1148800000000003E-2</v>
      </c>
      <c r="G167">
        <f t="shared" si="6"/>
        <v>61148.800000000003</v>
      </c>
      <c r="H167" s="51">
        <f t="shared" si="7"/>
        <v>11800006233.6</v>
      </c>
      <c r="I167">
        <v>98.516760000000005</v>
      </c>
      <c r="J167">
        <v>10.501860000000001</v>
      </c>
      <c r="K167">
        <v>-2.7944460000000002</v>
      </c>
      <c r="L167">
        <v>7.1529249999999998</v>
      </c>
      <c r="M167">
        <v>-1.861245</v>
      </c>
      <c r="N167">
        <v>12.170299999999999</v>
      </c>
      <c r="O167">
        <v>7.9009999999999996E-4</v>
      </c>
      <c r="P167">
        <v>0</v>
      </c>
      <c r="Q167">
        <v>641.59640000000002</v>
      </c>
      <c r="R167">
        <v>1277.8389999999999</v>
      </c>
      <c r="S167">
        <v>0</v>
      </c>
      <c r="T167">
        <v>0</v>
      </c>
      <c r="U167">
        <v>152.53039999999999</v>
      </c>
      <c r="V167">
        <v>192972</v>
      </c>
      <c r="W167">
        <v>0</v>
      </c>
      <c r="X167">
        <v>7.9040000000000002E-4</v>
      </c>
      <c r="Y167">
        <v>0</v>
      </c>
      <c r="Z167">
        <v>6.3978699999999999E-2</v>
      </c>
      <c r="AE167">
        <v>0</v>
      </c>
      <c r="AF167">
        <v>1.5482689999999999</v>
      </c>
      <c r="AG167">
        <v>11.08981</v>
      </c>
      <c r="AH167">
        <v>11.16178</v>
      </c>
      <c r="AI167">
        <v>11.361190000000001</v>
      </c>
      <c r="AJ167">
        <v>10.583259999999999</v>
      </c>
      <c r="AK167">
        <v>11.18309</v>
      </c>
      <c r="AL167">
        <v>10.77373</v>
      </c>
      <c r="AM167">
        <v>9.9761039999999994</v>
      </c>
      <c r="AN167">
        <v>10.73489</v>
      </c>
      <c r="AO167">
        <v>10.72368</v>
      </c>
      <c r="AP167">
        <v>10.544840000000001</v>
      </c>
      <c r="AQ167">
        <v>10.48241</v>
      </c>
      <c r="AR167">
        <v>10.84529</v>
      </c>
      <c r="AS167">
        <v>11.15957</v>
      </c>
      <c r="AT167">
        <v>10.24381</v>
      </c>
      <c r="AU167">
        <v>9.7860770000000006</v>
      </c>
      <c r="AV167">
        <v>10.43718</v>
      </c>
      <c r="AW167">
        <v>10.07042</v>
      </c>
      <c r="AX167">
        <v>9.8202379999999998</v>
      </c>
      <c r="AY167">
        <v>9.9306040000000007</v>
      </c>
      <c r="BB167" t="str">
        <f t="shared" si="8"/>
        <v/>
      </c>
      <c r="BD167">
        <v>2384.0819999999999</v>
      </c>
      <c r="BE167">
        <v>93826951</v>
      </c>
      <c r="BF167">
        <v>36.226790000000001</v>
      </c>
      <c r="BG167">
        <v>3030.9259999999999</v>
      </c>
      <c r="BH167">
        <v>36.226789850000003</v>
      </c>
    </row>
    <row r="168" spans="1:60">
      <c r="A168">
        <v>29420</v>
      </c>
      <c r="B168" t="s">
        <v>1225</v>
      </c>
      <c r="C168">
        <v>27628.06</v>
      </c>
      <c r="D168">
        <v>71828</v>
      </c>
      <c r="E168">
        <v>195601</v>
      </c>
      <c r="F168">
        <v>1.54652E-2</v>
      </c>
      <c r="G168">
        <f t="shared" si="6"/>
        <v>15465.2</v>
      </c>
      <c r="H168" s="51">
        <f t="shared" si="7"/>
        <v>3025008585.2000003</v>
      </c>
      <c r="I168">
        <v>75.84</v>
      </c>
      <c r="J168">
        <v>10.22659</v>
      </c>
      <c r="K168">
        <v>-4.1691659999999997</v>
      </c>
      <c r="L168">
        <v>6.5496869999999996</v>
      </c>
      <c r="M168">
        <v>-2.1606559999999999</v>
      </c>
      <c r="N168">
        <v>12.18383</v>
      </c>
      <c r="O168">
        <v>1.8449E-3</v>
      </c>
      <c r="P168">
        <v>0</v>
      </c>
      <c r="Q168">
        <v>503.33589999999998</v>
      </c>
      <c r="R168">
        <v>699.02570000000003</v>
      </c>
      <c r="S168">
        <v>0</v>
      </c>
      <c r="T168">
        <v>0</v>
      </c>
      <c r="U168">
        <v>361.19499999999999</v>
      </c>
      <c r="V168">
        <v>195601</v>
      </c>
      <c r="W168">
        <v>0</v>
      </c>
      <c r="X168">
        <v>1.8466000000000001E-3</v>
      </c>
      <c r="Y168">
        <v>0</v>
      </c>
      <c r="Z168">
        <v>2.71338E-2</v>
      </c>
      <c r="AE168">
        <v>0</v>
      </c>
      <c r="AF168">
        <v>4.7625919999999997</v>
      </c>
      <c r="AG168">
        <v>11.0219</v>
      </c>
      <c r="AI168">
        <v>10.92976</v>
      </c>
      <c r="AJ168">
        <v>10.2188</v>
      </c>
      <c r="AK168">
        <v>10.55082</v>
      </c>
      <c r="AL168">
        <v>10.47545</v>
      </c>
      <c r="AM168">
        <v>10.017950000000001</v>
      </c>
      <c r="AN168">
        <v>10.52506</v>
      </c>
      <c r="AO168">
        <v>10.509040000000001</v>
      </c>
      <c r="AP168">
        <v>10.51728</v>
      </c>
      <c r="AQ168">
        <v>10.0307</v>
      </c>
      <c r="AR168">
        <v>10.276160000000001</v>
      </c>
      <c r="AT168">
        <v>9.9757549999999995</v>
      </c>
      <c r="AU168">
        <v>10.06687</v>
      </c>
      <c r="AV168">
        <v>10.57321</v>
      </c>
      <c r="AW168">
        <v>9.7517300000000002</v>
      </c>
      <c r="AX168">
        <v>9.4101940000000006</v>
      </c>
      <c r="AY168">
        <v>9.8729080000000007</v>
      </c>
      <c r="BB168" t="str">
        <f t="shared" si="8"/>
        <v/>
      </c>
      <c r="BD168">
        <v>13311.64</v>
      </c>
      <c r="BE168">
        <v>101031754</v>
      </c>
      <c r="BF168">
        <v>39.008580000000002</v>
      </c>
      <c r="BG168">
        <v>13460.489</v>
      </c>
      <c r="BH168">
        <v>39.008579959999999</v>
      </c>
    </row>
    <row r="169" spans="1:60">
      <c r="A169">
        <v>29460</v>
      </c>
      <c r="B169" t="s">
        <v>427</v>
      </c>
      <c r="C169">
        <v>33487.68</v>
      </c>
      <c r="D169">
        <v>273280</v>
      </c>
      <c r="E169">
        <v>580282</v>
      </c>
      <c r="F169">
        <v>2.4684600000000001E-2</v>
      </c>
      <c r="G169">
        <f t="shared" si="6"/>
        <v>24684.600000000002</v>
      </c>
      <c r="H169" s="51">
        <f t="shared" si="7"/>
        <v>14324029057.200001</v>
      </c>
      <c r="I169">
        <v>241.62280000000001</v>
      </c>
      <c r="J169">
        <v>10.41893</v>
      </c>
      <c r="K169">
        <v>-3.701578</v>
      </c>
      <c r="L169">
        <v>7.2469190000000001</v>
      </c>
      <c r="M169">
        <v>-1.813205</v>
      </c>
      <c r="N169">
        <v>13.271269999999999</v>
      </c>
      <c r="O169">
        <v>6.1669999999999997E-4</v>
      </c>
      <c r="P169">
        <v>0</v>
      </c>
      <c r="Q169">
        <v>654.21799999999996</v>
      </c>
      <c r="R169">
        <v>1403.7729999999999</v>
      </c>
      <c r="S169">
        <v>0</v>
      </c>
      <c r="T169">
        <v>0</v>
      </c>
      <c r="U169">
        <v>357.9502</v>
      </c>
      <c r="V169">
        <v>580282</v>
      </c>
      <c r="W169">
        <v>0</v>
      </c>
      <c r="X169">
        <v>6.1689999999999998E-4</v>
      </c>
      <c r="Y169">
        <v>0</v>
      </c>
      <c r="Z169">
        <v>0.1909698</v>
      </c>
      <c r="AB169">
        <v>484</v>
      </c>
      <c r="AE169">
        <v>0</v>
      </c>
      <c r="AF169">
        <v>1.4814419999999999</v>
      </c>
      <c r="AG169">
        <v>10.25052</v>
      </c>
      <c r="AI169">
        <v>11.311389999999999</v>
      </c>
      <c r="AJ169">
        <v>10.49015</v>
      </c>
      <c r="AK169">
        <v>10.58836</v>
      </c>
      <c r="AL169">
        <v>10.650080000000001</v>
      </c>
      <c r="AM169">
        <v>10.03436</v>
      </c>
      <c r="AN169">
        <v>10.490690000000001</v>
      </c>
      <c r="AO169">
        <v>10.71449</v>
      </c>
      <c r="AP169">
        <v>10.87163</v>
      </c>
      <c r="AQ169">
        <v>10.428430000000001</v>
      </c>
      <c r="AR169">
        <v>10.706020000000001</v>
      </c>
      <c r="AS169">
        <v>10.8965</v>
      </c>
      <c r="AT169">
        <v>10.057169999999999</v>
      </c>
      <c r="AU169">
        <v>10.074199999999999</v>
      </c>
      <c r="AV169">
        <v>10.542109999999999</v>
      </c>
      <c r="AW169">
        <v>9.7315780000000007</v>
      </c>
      <c r="AX169">
        <v>9.4659790000000008</v>
      </c>
      <c r="AY169">
        <v>9.9782969999999995</v>
      </c>
      <c r="BA169">
        <v>0</v>
      </c>
      <c r="BB169" t="str">
        <f t="shared" si="8"/>
        <v/>
      </c>
      <c r="BC169">
        <v>2092492</v>
      </c>
      <c r="BD169">
        <v>1874.3810000000001</v>
      </c>
      <c r="BE169">
        <v>150727020</v>
      </c>
      <c r="BF169">
        <v>58.19603</v>
      </c>
      <c r="BG169">
        <v>2010.5274999999999</v>
      </c>
      <c r="BH169">
        <v>58.19603025</v>
      </c>
    </row>
    <row r="170" spans="1:60">
      <c r="A170">
        <v>29540</v>
      </c>
      <c r="B170" t="s">
        <v>428</v>
      </c>
      <c r="C170">
        <v>35402.959999999999</v>
      </c>
      <c r="D170">
        <v>310444</v>
      </c>
      <c r="E170">
        <v>503807</v>
      </c>
      <c r="F170">
        <v>3.5779600000000002E-2</v>
      </c>
      <c r="G170">
        <f t="shared" si="6"/>
        <v>35779.599999999999</v>
      </c>
      <c r="H170" s="51">
        <f t="shared" si="7"/>
        <v>18026012937.200001</v>
      </c>
      <c r="I170">
        <v>227.06530000000001</v>
      </c>
      <c r="J170">
        <v>10.474550000000001</v>
      </c>
      <c r="K170">
        <v>-3.3303780000000001</v>
      </c>
      <c r="L170">
        <v>8.5435940000000006</v>
      </c>
      <c r="M170">
        <v>-1.5780369999999999</v>
      </c>
      <c r="N170">
        <v>13.129949999999999</v>
      </c>
      <c r="O170">
        <v>5.9559999999999995E-4</v>
      </c>
      <c r="P170">
        <v>0</v>
      </c>
      <c r="Q170">
        <v>785.09580000000005</v>
      </c>
      <c r="R170">
        <v>5133.7650000000003</v>
      </c>
      <c r="S170">
        <v>0</v>
      </c>
      <c r="T170">
        <v>0</v>
      </c>
      <c r="U170">
        <v>300.1472</v>
      </c>
      <c r="V170">
        <v>503807</v>
      </c>
      <c r="W170">
        <v>0</v>
      </c>
      <c r="X170">
        <v>5.9579999999999995E-4</v>
      </c>
      <c r="Y170">
        <v>0</v>
      </c>
      <c r="Z170">
        <v>0.31625710000000001</v>
      </c>
      <c r="AB170">
        <v>318</v>
      </c>
      <c r="AE170">
        <v>0</v>
      </c>
      <c r="AF170">
        <v>1.3218540000000001</v>
      </c>
      <c r="AG170">
        <v>10.26418</v>
      </c>
      <c r="AH170">
        <v>10.82546</v>
      </c>
      <c r="AI170">
        <v>11.25717</v>
      </c>
      <c r="AJ170">
        <v>10.77506</v>
      </c>
      <c r="AK170">
        <v>10.69154</v>
      </c>
      <c r="AL170">
        <v>10.576560000000001</v>
      </c>
      <c r="AM170">
        <v>10.003740000000001</v>
      </c>
      <c r="AN170">
        <v>10.47213</v>
      </c>
      <c r="AO170">
        <v>10.680630000000001</v>
      </c>
      <c r="AP170">
        <v>10.88876</v>
      </c>
      <c r="AQ170">
        <v>10.471959999999999</v>
      </c>
      <c r="AR170">
        <v>10.742380000000001</v>
      </c>
      <c r="AS170">
        <v>11.25525</v>
      </c>
      <c r="AT170">
        <v>10.103070000000001</v>
      </c>
      <c r="AU170">
        <v>10.00813</v>
      </c>
      <c r="AV170">
        <v>10.521929999999999</v>
      </c>
      <c r="AW170">
        <v>9.9168479999999999</v>
      </c>
      <c r="AX170">
        <v>9.5402570000000004</v>
      </c>
      <c r="AY170">
        <v>9.937557</v>
      </c>
      <c r="BA170">
        <v>0</v>
      </c>
      <c r="BB170" t="str">
        <f t="shared" si="8"/>
        <v/>
      </c>
      <c r="BC170">
        <v>1479889</v>
      </c>
      <c r="BD170">
        <v>949.06089999999995</v>
      </c>
      <c r="BE170">
        <v>20009002</v>
      </c>
      <c r="BF170">
        <v>7.7255190000000002</v>
      </c>
      <c r="BG170">
        <v>983.72775999999999</v>
      </c>
      <c r="BH170">
        <v>7.7255191920000001</v>
      </c>
    </row>
    <row r="171" spans="1:60">
      <c r="A171">
        <v>29620</v>
      </c>
      <c r="B171" t="s">
        <v>429</v>
      </c>
      <c r="C171">
        <v>36458.86</v>
      </c>
      <c r="D171">
        <v>283164</v>
      </c>
      <c r="E171">
        <v>454605</v>
      </c>
      <c r="F171">
        <v>3.11413E-2</v>
      </c>
      <c r="G171">
        <f t="shared" si="6"/>
        <v>31141.3</v>
      </c>
      <c r="H171" s="51">
        <f t="shared" si="7"/>
        <v>14156990686.5</v>
      </c>
      <c r="I171">
        <v>155.2312</v>
      </c>
      <c r="J171">
        <v>10.50394</v>
      </c>
      <c r="K171">
        <v>-3.46922</v>
      </c>
      <c r="L171">
        <v>7.9814980000000002</v>
      </c>
      <c r="M171">
        <v>-1.396949</v>
      </c>
      <c r="N171">
        <v>13.02718</v>
      </c>
      <c r="O171">
        <v>9.6369999999999995E-4</v>
      </c>
      <c r="P171">
        <v>0</v>
      </c>
      <c r="Q171">
        <v>1211.992</v>
      </c>
      <c r="R171">
        <v>2926.3119999999999</v>
      </c>
      <c r="S171">
        <v>0</v>
      </c>
      <c r="T171">
        <v>0</v>
      </c>
      <c r="U171">
        <v>438.30720000000002</v>
      </c>
      <c r="V171">
        <v>454605</v>
      </c>
      <c r="W171">
        <v>0</v>
      </c>
      <c r="X171">
        <v>9.6409999999999996E-4</v>
      </c>
      <c r="Y171">
        <v>0</v>
      </c>
      <c r="Z171">
        <v>0.25676209999999999</v>
      </c>
      <c r="AB171">
        <v>374</v>
      </c>
      <c r="AE171">
        <v>0</v>
      </c>
      <c r="AF171">
        <v>2.8235769999999998</v>
      </c>
      <c r="AJ171">
        <v>10.897959999999999</v>
      </c>
      <c r="AK171">
        <v>10.874879999999999</v>
      </c>
      <c r="AL171">
        <v>10.725020000000001</v>
      </c>
      <c r="AM171">
        <v>9.9472249999999995</v>
      </c>
      <c r="AN171">
        <v>10.40245</v>
      </c>
      <c r="AO171">
        <v>10.900930000000001</v>
      </c>
      <c r="AP171">
        <v>11.03612</v>
      </c>
      <c r="AQ171">
        <v>10.249919999999999</v>
      </c>
      <c r="AR171">
        <v>10.82159</v>
      </c>
      <c r="AS171">
        <v>10.80368</v>
      </c>
      <c r="AT171">
        <v>10.178380000000001</v>
      </c>
      <c r="AU171">
        <v>10.24874</v>
      </c>
      <c r="AV171">
        <v>10.60568</v>
      </c>
      <c r="AW171">
        <v>9.7079819999999994</v>
      </c>
      <c r="AX171">
        <v>9.3468940000000007</v>
      </c>
      <c r="AY171">
        <v>10.317270000000001</v>
      </c>
      <c r="AZ171">
        <v>9.7526650000000004</v>
      </c>
      <c r="BA171">
        <v>0</v>
      </c>
      <c r="BB171" t="str">
        <f t="shared" si="8"/>
        <v/>
      </c>
      <c r="BC171">
        <v>3149047</v>
      </c>
      <c r="BD171">
        <v>1707.056</v>
      </c>
      <c r="BE171">
        <v>107392515</v>
      </c>
      <c r="BF171">
        <v>41.464480000000002</v>
      </c>
      <c r="BG171">
        <v>1714.7027</v>
      </c>
      <c r="BH171">
        <v>41.464483620000003</v>
      </c>
    </row>
    <row r="172" spans="1:60">
      <c r="A172">
        <v>29700</v>
      </c>
      <c r="B172" t="s">
        <v>430</v>
      </c>
      <c r="C172">
        <v>24407.41</v>
      </c>
      <c r="D172">
        <v>115282</v>
      </c>
      <c r="E172">
        <v>235937</v>
      </c>
      <c r="F172">
        <v>2.0263900000000001E-2</v>
      </c>
      <c r="G172">
        <f t="shared" si="6"/>
        <v>20263.900000000001</v>
      </c>
      <c r="H172" s="51">
        <f t="shared" si="7"/>
        <v>4781003774.3000002</v>
      </c>
      <c r="I172">
        <v>47.902250000000002</v>
      </c>
      <c r="J172">
        <v>10.102639999999999</v>
      </c>
      <c r="K172">
        <v>-3.8989150000000001</v>
      </c>
      <c r="L172">
        <v>7.2149859999999997</v>
      </c>
      <c r="M172">
        <v>-2.1440489999999999</v>
      </c>
      <c r="N172">
        <v>12.371320000000001</v>
      </c>
      <c r="O172">
        <v>7.9109999999999998E-4</v>
      </c>
      <c r="P172">
        <v>0</v>
      </c>
      <c r="Q172">
        <v>1221.153</v>
      </c>
      <c r="R172">
        <v>1359.655</v>
      </c>
      <c r="S172">
        <v>0</v>
      </c>
      <c r="T172">
        <v>0</v>
      </c>
      <c r="U172">
        <v>186.72810000000001</v>
      </c>
      <c r="V172">
        <v>235937</v>
      </c>
      <c r="W172">
        <v>0</v>
      </c>
      <c r="X172">
        <v>7.9140000000000005E-4</v>
      </c>
      <c r="Y172">
        <v>0</v>
      </c>
      <c r="Z172">
        <v>5.5626299999999997E-2</v>
      </c>
      <c r="AB172">
        <v>327</v>
      </c>
      <c r="AE172">
        <v>0</v>
      </c>
      <c r="AF172">
        <v>3.898107</v>
      </c>
      <c r="AH172">
        <v>11.028980000000001</v>
      </c>
      <c r="AI172">
        <v>10.99455</v>
      </c>
      <c r="AJ172">
        <v>10.1251</v>
      </c>
      <c r="AK172">
        <v>10.22594</v>
      </c>
      <c r="AL172">
        <v>10.418519999999999</v>
      </c>
      <c r="AM172">
        <v>9.8601469999999996</v>
      </c>
      <c r="AN172">
        <v>10.33384</v>
      </c>
      <c r="AO172">
        <v>10.41131</v>
      </c>
      <c r="AP172">
        <v>10.43018</v>
      </c>
      <c r="AQ172">
        <v>10.21149</v>
      </c>
      <c r="AR172">
        <v>10.261760000000001</v>
      </c>
      <c r="AS172">
        <v>10.56744</v>
      </c>
      <c r="AT172">
        <v>9.8831640000000007</v>
      </c>
      <c r="AU172">
        <v>10.231350000000001</v>
      </c>
      <c r="AV172">
        <v>10.09066</v>
      </c>
      <c r="AW172">
        <v>9.6957810000000002</v>
      </c>
      <c r="AX172">
        <v>9.3919350000000001</v>
      </c>
      <c r="AY172">
        <v>9.9443459999999995</v>
      </c>
      <c r="BA172">
        <v>0</v>
      </c>
      <c r="BB172" t="str">
        <f t="shared" si="8"/>
        <v/>
      </c>
      <c r="BC172">
        <v>1645217</v>
      </c>
      <c r="BD172">
        <v>3356.8330000000001</v>
      </c>
      <c r="BE172">
        <v>111411080</v>
      </c>
      <c r="BF172">
        <v>43.016060000000003</v>
      </c>
      <c r="BG172">
        <v>3375.6536000000001</v>
      </c>
      <c r="BH172">
        <v>43.01606031</v>
      </c>
    </row>
    <row r="173" spans="1:60">
      <c r="A173">
        <v>29740</v>
      </c>
      <c r="B173" t="s">
        <v>431</v>
      </c>
      <c r="C173">
        <v>26746.09</v>
      </c>
      <c r="D173">
        <v>91977</v>
      </c>
      <c r="E173">
        <v>201428</v>
      </c>
      <c r="F173">
        <v>1.80114E-2</v>
      </c>
      <c r="G173">
        <f t="shared" si="6"/>
        <v>18011.400000000001</v>
      </c>
      <c r="H173" s="51">
        <f t="shared" si="7"/>
        <v>3628000279.1999998</v>
      </c>
      <c r="I173">
        <v>88.218090000000004</v>
      </c>
      <c r="J173">
        <v>10.194140000000001</v>
      </c>
      <c r="K173">
        <v>-4.01675</v>
      </c>
      <c r="L173">
        <v>7.0893709999999999</v>
      </c>
      <c r="M173">
        <v>-1.6276379999999999</v>
      </c>
      <c r="N173">
        <v>12.213190000000001</v>
      </c>
      <c r="O173">
        <v>1.2903999999999999E-3</v>
      </c>
      <c r="P173">
        <v>0</v>
      </c>
      <c r="Q173">
        <v>590.71780000000001</v>
      </c>
      <c r="R173">
        <v>1199.153</v>
      </c>
      <c r="S173">
        <v>0</v>
      </c>
      <c r="T173">
        <v>0</v>
      </c>
      <c r="U173">
        <v>260.08539999999999</v>
      </c>
      <c r="V173">
        <v>201428</v>
      </c>
      <c r="W173">
        <v>0</v>
      </c>
      <c r="X173">
        <v>1.2911999999999999E-3</v>
      </c>
      <c r="Y173">
        <v>0</v>
      </c>
      <c r="Z173">
        <v>6.8314399999999997E-2</v>
      </c>
      <c r="AB173">
        <v>171</v>
      </c>
      <c r="AE173">
        <v>0</v>
      </c>
      <c r="AF173">
        <v>2.9482089999999999</v>
      </c>
      <c r="AG173">
        <v>10.376189999999999</v>
      </c>
      <c r="AH173">
        <v>10.276199999999999</v>
      </c>
      <c r="AI173">
        <v>11.02341</v>
      </c>
      <c r="AJ173">
        <v>10.295680000000001</v>
      </c>
      <c r="AK173">
        <v>10.431559999999999</v>
      </c>
      <c r="AL173">
        <v>10.370570000000001</v>
      </c>
      <c r="AM173">
        <v>9.9213769999999997</v>
      </c>
      <c r="AN173">
        <v>9.9920120000000008</v>
      </c>
      <c r="AO173">
        <v>10.679819999999999</v>
      </c>
      <c r="AP173">
        <v>10.55589</v>
      </c>
      <c r="AQ173">
        <v>9.9812419999999999</v>
      </c>
      <c r="AR173">
        <v>10.737920000000001</v>
      </c>
      <c r="AS173">
        <v>11.062099999999999</v>
      </c>
      <c r="AT173">
        <v>9.9933019999999999</v>
      </c>
      <c r="AU173">
        <v>9.9127229999999997</v>
      </c>
      <c r="AV173">
        <v>10.36164</v>
      </c>
      <c r="AW173">
        <v>9.6890929999999997</v>
      </c>
      <c r="AX173">
        <v>9.3099790000000002</v>
      </c>
      <c r="AY173">
        <v>9.8713610000000003</v>
      </c>
      <c r="BA173">
        <v>0</v>
      </c>
      <c r="BB173" t="str">
        <f t="shared" si="8"/>
        <v/>
      </c>
      <c r="BC173">
        <v>442185</v>
      </c>
      <c r="BD173">
        <v>3807.1840000000002</v>
      </c>
      <c r="BE173">
        <v>93877790</v>
      </c>
      <c r="BF173">
        <v>36.246420000000001</v>
      </c>
      <c r="BG173">
        <v>3814.6482000000001</v>
      </c>
      <c r="BH173">
        <v>36.246418900000002</v>
      </c>
    </row>
    <row r="174" spans="1:60">
      <c r="A174">
        <v>29820</v>
      </c>
      <c r="B174" t="s">
        <v>432</v>
      </c>
      <c r="C174">
        <v>37940.36</v>
      </c>
      <c r="D174">
        <v>1165516</v>
      </c>
      <c r="E174">
        <v>1879093</v>
      </c>
      <c r="F174">
        <v>4.6905099999999998E-2</v>
      </c>
      <c r="G174">
        <f t="shared" si="6"/>
        <v>46905.1</v>
      </c>
      <c r="H174" s="51">
        <f t="shared" si="7"/>
        <v>88139045074.300003</v>
      </c>
      <c r="I174">
        <v>297.4547</v>
      </c>
      <c r="J174">
        <v>10.54377</v>
      </c>
      <c r="K174">
        <v>-3.0596290000000002</v>
      </c>
      <c r="L174">
        <v>8.2296899999999997</v>
      </c>
      <c r="M174">
        <v>-1.7958780000000001</v>
      </c>
      <c r="N174">
        <v>14.446300000000001</v>
      </c>
      <c r="O174">
        <v>2.8019999999999998E-4</v>
      </c>
      <c r="P174">
        <v>0</v>
      </c>
      <c r="Q174">
        <v>2313.3000000000002</v>
      </c>
      <c r="R174">
        <v>3750.6680000000001</v>
      </c>
      <c r="S174">
        <v>0</v>
      </c>
      <c r="T174">
        <v>0</v>
      </c>
      <c r="U174">
        <v>526.5761</v>
      </c>
      <c r="V174">
        <v>1879093</v>
      </c>
      <c r="W174">
        <v>0</v>
      </c>
      <c r="X174">
        <v>2.8019999999999998E-4</v>
      </c>
      <c r="Y174">
        <v>0</v>
      </c>
      <c r="Z174">
        <v>6.6568100000000005E-2</v>
      </c>
      <c r="AB174">
        <v>907</v>
      </c>
      <c r="AE174">
        <v>0</v>
      </c>
      <c r="AF174">
        <v>1.770273</v>
      </c>
      <c r="AH174">
        <v>10.90682</v>
      </c>
      <c r="AJ174">
        <v>10.88002</v>
      </c>
      <c r="AK174">
        <v>10.694269999999999</v>
      </c>
      <c r="AL174">
        <v>10.868320000000001</v>
      </c>
      <c r="AM174">
        <v>10.172689999999999</v>
      </c>
      <c r="AN174">
        <v>10.404629999999999</v>
      </c>
      <c r="AO174">
        <v>10.86647</v>
      </c>
      <c r="AP174">
        <v>10.86031</v>
      </c>
      <c r="AQ174">
        <v>10.48554</v>
      </c>
      <c r="AR174">
        <v>10.984780000000001</v>
      </c>
      <c r="AS174">
        <v>11.639390000000001</v>
      </c>
      <c r="AT174">
        <v>10.15696</v>
      </c>
      <c r="AU174">
        <v>10.276160000000001</v>
      </c>
      <c r="AV174">
        <v>10.757160000000001</v>
      </c>
      <c r="AW174">
        <v>10.282909999999999</v>
      </c>
      <c r="AX174">
        <v>10.2643</v>
      </c>
      <c r="AY174">
        <v>10.150180000000001</v>
      </c>
      <c r="AZ174">
        <v>9.8918300000000006</v>
      </c>
      <c r="BA174">
        <v>0</v>
      </c>
      <c r="BB174" t="str">
        <f t="shared" si="8"/>
        <v/>
      </c>
      <c r="BC174" s="14">
        <v>16600000</v>
      </c>
      <c r="BD174">
        <v>7910.335</v>
      </c>
      <c r="BE174">
        <v>331199757</v>
      </c>
      <c r="BF174">
        <v>127.87690000000001</v>
      </c>
      <c r="BG174">
        <v>8060.8676999999998</v>
      </c>
      <c r="BH174">
        <v>127.8769465</v>
      </c>
    </row>
    <row r="175" spans="1:60">
      <c r="A175">
        <v>29940</v>
      </c>
      <c r="B175" t="s">
        <v>433</v>
      </c>
      <c r="C175">
        <v>27093.68</v>
      </c>
      <c r="D175">
        <v>65768</v>
      </c>
      <c r="E175">
        <v>114752</v>
      </c>
      <c r="F175">
        <v>2.1977799999999999E-2</v>
      </c>
      <c r="G175">
        <f t="shared" si="6"/>
        <v>21977.8</v>
      </c>
      <c r="H175" s="51">
        <f t="shared" si="7"/>
        <v>2521996505.5999994</v>
      </c>
      <c r="I175">
        <v>26.17315</v>
      </c>
      <c r="J175">
        <v>10.20706</v>
      </c>
      <c r="K175">
        <v>-3.8177210000000001</v>
      </c>
      <c r="L175">
        <v>7.4049180000000003</v>
      </c>
      <c r="M175">
        <v>-1.196723</v>
      </c>
      <c r="N175">
        <v>11.65053</v>
      </c>
      <c r="O175">
        <v>9.8480000000000009E-4</v>
      </c>
      <c r="P175">
        <v>0</v>
      </c>
      <c r="Q175">
        <v>1437.81</v>
      </c>
      <c r="R175">
        <v>1644.049</v>
      </c>
      <c r="S175">
        <v>0</v>
      </c>
      <c r="T175">
        <v>0</v>
      </c>
      <c r="U175">
        <v>113.0604</v>
      </c>
      <c r="V175">
        <v>114752</v>
      </c>
      <c r="W175">
        <v>0</v>
      </c>
      <c r="X175">
        <v>9.8529999999999993E-4</v>
      </c>
      <c r="Y175">
        <v>0</v>
      </c>
      <c r="Z175">
        <v>0.2474672</v>
      </c>
      <c r="AB175">
        <v>102</v>
      </c>
      <c r="AE175">
        <v>0</v>
      </c>
      <c r="AF175">
        <v>4.3197109999999999</v>
      </c>
      <c r="AJ175">
        <v>10.43383</v>
      </c>
      <c r="AK175">
        <v>10.618410000000001</v>
      </c>
      <c r="AL175">
        <v>10.54853</v>
      </c>
      <c r="AM175">
        <v>9.8128030000000006</v>
      </c>
      <c r="AN175">
        <v>10.177949999999999</v>
      </c>
      <c r="AO175">
        <v>10.50437</v>
      </c>
      <c r="AP175">
        <v>10.613200000000001</v>
      </c>
      <c r="AQ175">
        <v>10.25094</v>
      </c>
      <c r="AR175">
        <v>10.470800000000001</v>
      </c>
      <c r="AT175">
        <v>9.9132040000000003</v>
      </c>
      <c r="AU175">
        <v>9.9704689999999996</v>
      </c>
      <c r="AV175">
        <v>10.38415</v>
      </c>
      <c r="AW175">
        <v>9.573734</v>
      </c>
      <c r="AX175">
        <v>9.3033900000000003</v>
      </c>
      <c r="AY175">
        <v>10.00506</v>
      </c>
      <c r="AZ175">
        <v>9.7211660000000002</v>
      </c>
      <c r="BA175">
        <v>0</v>
      </c>
      <c r="BB175" t="str">
        <f t="shared" si="8"/>
        <v/>
      </c>
      <c r="BC175">
        <v>643502</v>
      </c>
      <c r="BD175">
        <v>456.87040000000002</v>
      </c>
      <c r="BE175">
        <v>56510143</v>
      </c>
      <c r="BF175">
        <v>21.81869</v>
      </c>
      <c r="BG175">
        <v>474.63646</v>
      </c>
      <c r="BH175">
        <v>21.818689119999998</v>
      </c>
    </row>
    <row r="176" spans="1:60">
      <c r="A176">
        <v>30020</v>
      </c>
      <c r="B176" t="s">
        <v>434</v>
      </c>
      <c r="C176">
        <v>28377.43</v>
      </c>
      <c r="D176">
        <v>67037</v>
      </c>
      <c r="E176">
        <v>112249</v>
      </c>
      <c r="F176">
        <v>1.8298600000000002E-2</v>
      </c>
      <c r="G176">
        <f t="shared" si="6"/>
        <v>18298.600000000002</v>
      </c>
      <c r="H176" s="51">
        <f t="shared" si="7"/>
        <v>2053999551.4000001</v>
      </c>
      <c r="I176">
        <v>55.279910000000001</v>
      </c>
      <c r="J176">
        <v>10.253349999999999</v>
      </c>
      <c r="K176">
        <v>-4.0009300000000003</v>
      </c>
      <c r="L176">
        <v>6.0233369999999997</v>
      </c>
      <c r="M176">
        <v>-1.7896030000000001</v>
      </c>
      <c r="N176">
        <v>11.62848</v>
      </c>
      <c r="O176">
        <v>1.0957E-3</v>
      </c>
      <c r="P176">
        <v>0</v>
      </c>
      <c r="Q176">
        <v>405.42759999999998</v>
      </c>
      <c r="R176">
        <v>412.95429999999999</v>
      </c>
      <c r="S176">
        <v>0</v>
      </c>
      <c r="T176">
        <v>0</v>
      </c>
      <c r="U176">
        <v>123.0587</v>
      </c>
      <c r="V176">
        <v>112249</v>
      </c>
      <c r="W176">
        <v>0</v>
      </c>
      <c r="X176">
        <v>1.0962999999999999E-3</v>
      </c>
      <c r="Y176">
        <v>0</v>
      </c>
      <c r="Z176">
        <v>0.1150785</v>
      </c>
      <c r="AB176">
        <v>42</v>
      </c>
      <c r="AE176">
        <v>0</v>
      </c>
      <c r="AF176">
        <v>2.2261009999999999</v>
      </c>
      <c r="AI176">
        <v>11.00788</v>
      </c>
      <c r="AJ176">
        <v>10.2475</v>
      </c>
      <c r="AK176">
        <v>10.750080000000001</v>
      </c>
      <c r="AL176">
        <v>10.370139999999999</v>
      </c>
      <c r="AM176">
        <v>9.8876620000000006</v>
      </c>
      <c r="AN176">
        <v>10.304779999999999</v>
      </c>
      <c r="AO176">
        <v>10.426450000000001</v>
      </c>
      <c r="AP176">
        <v>10.199059999999999</v>
      </c>
      <c r="AQ176">
        <v>10.003629999999999</v>
      </c>
      <c r="AR176">
        <v>10.64035</v>
      </c>
      <c r="AS176">
        <v>10.55222</v>
      </c>
      <c r="AT176">
        <v>10.1447</v>
      </c>
      <c r="AU176">
        <v>10.32535</v>
      </c>
      <c r="AV176">
        <v>10.58521</v>
      </c>
      <c r="AW176">
        <v>10.00802</v>
      </c>
      <c r="AX176">
        <v>9.3834359999999997</v>
      </c>
      <c r="AY176">
        <v>9.7086989999999993</v>
      </c>
      <c r="BA176">
        <v>0</v>
      </c>
      <c r="BB176" t="str">
        <f t="shared" si="8"/>
        <v/>
      </c>
      <c r="BC176">
        <v>578246</v>
      </c>
      <c r="BD176">
        <v>1069.345</v>
      </c>
      <c r="BE176">
        <v>140564731</v>
      </c>
      <c r="BF176">
        <v>54.272350000000003</v>
      </c>
      <c r="BG176">
        <v>1083.7057</v>
      </c>
      <c r="BH176">
        <v>54.272348370000003</v>
      </c>
    </row>
    <row r="177" spans="1:60">
      <c r="A177">
        <v>30140</v>
      </c>
      <c r="B177" t="s">
        <v>435</v>
      </c>
      <c r="C177">
        <v>31198.04</v>
      </c>
      <c r="D177">
        <v>64007</v>
      </c>
      <c r="E177">
        <v>129302</v>
      </c>
      <c r="F177">
        <v>2.36501E-2</v>
      </c>
      <c r="G177">
        <f t="shared" si="6"/>
        <v>23650.1</v>
      </c>
      <c r="H177" s="51">
        <f t="shared" si="7"/>
        <v>3058005230.1999998</v>
      </c>
      <c r="I177">
        <v>42.758400000000002</v>
      </c>
      <c r="J177">
        <v>10.34811</v>
      </c>
      <c r="K177">
        <v>-3.7443900000000001</v>
      </c>
      <c r="L177">
        <v>7.5886300000000002</v>
      </c>
      <c r="M177">
        <v>-1.8105439999999999</v>
      </c>
      <c r="N177">
        <v>11.769909999999999</v>
      </c>
      <c r="O177">
        <v>8.4820000000000002E-4</v>
      </c>
      <c r="P177">
        <v>0</v>
      </c>
      <c r="Q177">
        <v>643.56939999999997</v>
      </c>
      <c r="R177">
        <v>1975.604</v>
      </c>
      <c r="S177">
        <v>0</v>
      </c>
      <c r="T177">
        <v>0</v>
      </c>
      <c r="U177">
        <v>109.71810000000001</v>
      </c>
      <c r="V177">
        <v>129302</v>
      </c>
      <c r="W177">
        <v>0</v>
      </c>
      <c r="X177">
        <v>8.4849999999999997E-4</v>
      </c>
      <c r="Y177">
        <v>0</v>
      </c>
      <c r="Z177">
        <v>0.30320859999999999</v>
      </c>
      <c r="AB177">
        <v>225</v>
      </c>
      <c r="AE177">
        <v>0</v>
      </c>
      <c r="AF177">
        <v>2.5659999999999998</v>
      </c>
      <c r="AG177">
        <v>10.49349</v>
      </c>
      <c r="AI177">
        <v>11.34923</v>
      </c>
      <c r="AJ177">
        <v>10.634410000000001</v>
      </c>
      <c r="AK177">
        <v>10.518980000000001</v>
      </c>
      <c r="AL177">
        <v>10.56244</v>
      </c>
      <c r="AM177">
        <v>9.9859390000000001</v>
      </c>
      <c r="AN177">
        <v>10.29143</v>
      </c>
      <c r="AO177">
        <v>10.548819999999999</v>
      </c>
      <c r="AP177">
        <v>10.604229999999999</v>
      </c>
      <c r="AQ177">
        <v>10.20997</v>
      </c>
      <c r="AR177">
        <v>10.68174</v>
      </c>
      <c r="AT177">
        <v>9.7903149999999997</v>
      </c>
      <c r="AU177">
        <v>9.7920619999999996</v>
      </c>
      <c r="AV177">
        <v>10.59309</v>
      </c>
      <c r="AW177">
        <v>9.5789100000000005</v>
      </c>
      <c r="AX177">
        <v>9.3605149999999995</v>
      </c>
      <c r="AY177">
        <v>9.8519140000000007</v>
      </c>
      <c r="BA177">
        <v>0</v>
      </c>
      <c r="BB177" t="str">
        <f t="shared" si="8"/>
        <v/>
      </c>
      <c r="BC177">
        <v>444118</v>
      </c>
      <c r="BD177">
        <v>361.85680000000002</v>
      </c>
      <c r="BE177">
        <v>11253497</v>
      </c>
      <c r="BF177">
        <v>4.3449989999999996</v>
      </c>
      <c r="BG177">
        <v>362.60095999999999</v>
      </c>
      <c r="BH177">
        <v>4.3449996679999998</v>
      </c>
    </row>
    <row r="178" spans="1:60">
      <c r="A178">
        <v>30300</v>
      </c>
      <c r="B178" t="s">
        <v>990</v>
      </c>
      <c r="C178">
        <v>32105.39</v>
      </c>
      <c r="D178">
        <v>36040</v>
      </c>
      <c r="E178">
        <v>60260</v>
      </c>
      <c r="F178">
        <v>2.5273799999999999E-2</v>
      </c>
      <c r="G178">
        <f t="shared" si="6"/>
        <v>25273.8</v>
      </c>
      <c r="H178" s="51">
        <f t="shared" si="7"/>
        <v>1522999188</v>
      </c>
      <c r="I178">
        <v>28.470320000000001</v>
      </c>
      <c r="J178">
        <v>10.37678</v>
      </c>
      <c r="K178">
        <v>-3.6779860000000002</v>
      </c>
      <c r="L178">
        <v>6.9636899999999997</v>
      </c>
      <c r="M178">
        <v>-1.644496</v>
      </c>
      <c r="N178">
        <v>11.00642</v>
      </c>
      <c r="O178">
        <v>2.2786999999999998E-3</v>
      </c>
      <c r="P178">
        <v>0</v>
      </c>
      <c r="Q178">
        <v>708.28160000000003</v>
      </c>
      <c r="R178">
        <v>1057.529</v>
      </c>
      <c r="S178">
        <v>0</v>
      </c>
      <c r="T178">
        <v>0</v>
      </c>
      <c r="U178">
        <v>137.47309999999999</v>
      </c>
      <c r="V178">
        <v>60260</v>
      </c>
      <c r="W178">
        <v>0</v>
      </c>
      <c r="X178">
        <v>2.2813E-3</v>
      </c>
      <c r="Y178">
        <v>0</v>
      </c>
      <c r="Z178">
        <v>9.2610399999999996E-2</v>
      </c>
      <c r="AE178">
        <v>0</v>
      </c>
      <c r="AF178">
        <v>4.8286470000000001</v>
      </c>
      <c r="AG178">
        <v>11.030849999999999</v>
      </c>
      <c r="AJ178">
        <v>10.620699999999999</v>
      </c>
      <c r="AK178">
        <v>10.746589999999999</v>
      </c>
      <c r="AL178">
        <v>10.557130000000001</v>
      </c>
      <c r="AM178">
        <v>10.11463</v>
      </c>
      <c r="AN178">
        <v>10.39814</v>
      </c>
      <c r="AO178">
        <v>10.44117</v>
      </c>
      <c r="AP178">
        <v>10.611800000000001</v>
      </c>
      <c r="AQ178">
        <v>10.14217</v>
      </c>
      <c r="AR178">
        <v>10.37121</v>
      </c>
      <c r="AT178">
        <v>10.162380000000001</v>
      </c>
      <c r="AV178">
        <v>10.45346</v>
      </c>
      <c r="AW178">
        <v>9.703875</v>
      </c>
      <c r="AX178">
        <v>9.42136</v>
      </c>
      <c r="AY178">
        <v>9.7479519999999997</v>
      </c>
      <c r="BB178" t="str">
        <f t="shared" si="8"/>
        <v/>
      </c>
      <c r="BD178">
        <v>1484.423</v>
      </c>
      <c r="BE178">
        <v>37059686</v>
      </c>
      <c r="BF178">
        <v>14.308820000000001</v>
      </c>
      <c r="BG178">
        <v>1496.903</v>
      </c>
      <c r="BH178">
        <v>14.308825369999999</v>
      </c>
    </row>
    <row r="179" spans="1:60">
      <c r="A179">
        <v>30340</v>
      </c>
      <c r="B179" t="s">
        <v>436</v>
      </c>
      <c r="C179">
        <v>33307.03</v>
      </c>
      <c r="D179">
        <v>65807</v>
      </c>
      <c r="E179">
        <v>107061</v>
      </c>
      <c r="F179">
        <v>3.0973000000000001E-2</v>
      </c>
      <c r="G179">
        <f t="shared" si="6"/>
        <v>30973</v>
      </c>
      <c r="H179" s="51">
        <f t="shared" si="7"/>
        <v>3316000353</v>
      </c>
      <c r="I179">
        <v>28.165320000000001</v>
      </c>
      <c r="J179">
        <v>10.41352</v>
      </c>
      <c r="K179">
        <v>-3.4746389999999998</v>
      </c>
      <c r="L179">
        <v>7.3285660000000004</v>
      </c>
      <c r="M179">
        <v>-1.9254009999999999</v>
      </c>
      <c r="N179">
        <v>11.581149999999999</v>
      </c>
      <c r="O179">
        <v>1.4518999999999999E-3</v>
      </c>
      <c r="P179">
        <v>0</v>
      </c>
      <c r="Q179">
        <v>1133.77</v>
      </c>
      <c r="R179">
        <v>1523.1949999999999</v>
      </c>
      <c r="S179">
        <v>0</v>
      </c>
      <c r="T179">
        <v>0</v>
      </c>
      <c r="U179">
        <v>155.5522</v>
      </c>
      <c r="V179">
        <v>107061</v>
      </c>
      <c r="W179">
        <v>0</v>
      </c>
      <c r="X179">
        <v>1.4529E-3</v>
      </c>
      <c r="Y179">
        <v>0</v>
      </c>
      <c r="Z179">
        <v>0.33076949999999999</v>
      </c>
      <c r="AB179">
        <v>71</v>
      </c>
      <c r="AE179">
        <v>0</v>
      </c>
      <c r="AF179">
        <v>5.5228270000000004</v>
      </c>
      <c r="AG179">
        <v>9.9899389999999997</v>
      </c>
      <c r="AJ179">
        <v>10.65705</v>
      </c>
      <c r="AK179">
        <v>10.62627</v>
      </c>
      <c r="AL179">
        <v>10.616390000000001</v>
      </c>
      <c r="AM179">
        <v>10.038779999999999</v>
      </c>
      <c r="AN179">
        <v>10.48981</v>
      </c>
      <c r="AO179">
        <v>10.38068</v>
      </c>
      <c r="AP179">
        <v>10.60003</v>
      </c>
      <c r="AQ179">
        <v>10.129189999999999</v>
      </c>
      <c r="AR179">
        <v>10.69056</v>
      </c>
      <c r="AS179">
        <v>10.843680000000001</v>
      </c>
      <c r="AT179">
        <v>10.043060000000001</v>
      </c>
      <c r="AU179">
        <v>10.044370000000001</v>
      </c>
      <c r="AV179">
        <v>10.577489999999999</v>
      </c>
      <c r="AW179">
        <v>9.7356510000000007</v>
      </c>
      <c r="AX179">
        <v>9.5478120000000004</v>
      </c>
      <c r="AY179">
        <v>9.9932990000000004</v>
      </c>
      <c r="BA179">
        <v>0</v>
      </c>
      <c r="BB179" t="str">
        <f t="shared" si="8"/>
        <v/>
      </c>
      <c r="BC179">
        <v>212736</v>
      </c>
      <c r="BD179">
        <v>470.27379999999999</v>
      </c>
      <c r="BE179">
        <v>50363110</v>
      </c>
      <c r="BF179">
        <v>19.4453</v>
      </c>
      <c r="BG179">
        <v>497.11563999999998</v>
      </c>
      <c r="BH179">
        <v>19.445306309999999</v>
      </c>
    </row>
    <row r="180" spans="1:60">
      <c r="A180">
        <v>30460</v>
      </c>
      <c r="B180" t="s">
        <v>437</v>
      </c>
      <c r="C180">
        <v>37015.699999999997</v>
      </c>
      <c r="D180">
        <v>324154</v>
      </c>
      <c r="E180">
        <v>464042</v>
      </c>
      <c r="F180">
        <v>4.1942300000000002E-2</v>
      </c>
      <c r="G180">
        <f t="shared" si="6"/>
        <v>41942.300000000003</v>
      </c>
      <c r="H180" s="51">
        <f t="shared" si="7"/>
        <v>19462988776.599998</v>
      </c>
      <c r="I180">
        <v>114.5716</v>
      </c>
      <c r="J180">
        <v>10.5191</v>
      </c>
      <c r="K180">
        <v>-3.1714600000000002</v>
      </c>
      <c r="L180">
        <v>7.5634370000000004</v>
      </c>
      <c r="M180">
        <v>-1.30626</v>
      </c>
      <c r="N180">
        <v>13.04773</v>
      </c>
      <c r="O180">
        <v>7.3959999999999998E-4</v>
      </c>
      <c r="P180">
        <v>0</v>
      </c>
      <c r="Q180">
        <v>1424.175</v>
      </c>
      <c r="R180">
        <v>1926.454</v>
      </c>
      <c r="S180">
        <v>0</v>
      </c>
      <c r="T180">
        <v>0</v>
      </c>
      <c r="U180">
        <v>343.32429999999999</v>
      </c>
      <c r="V180">
        <v>464042</v>
      </c>
      <c r="W180">
        <v>0</v>
      </c>
      <c r="X180">
        <v>7.3990000000000004E-4</v>
      </c>
      <c r="Y180">
        <v>0</v>
      </c>
      <c r="Z180">
        <v>0.23216600000000001</v>
      </c>
      <c r="AB180">
        <v>281</v>
      </c>
      <c r="AE180">
        <v>0</v>
      </c>
      <c r="AF180">
        <v>2.9965920000000001</v>
      </c>
      <c r="AG180">
        <v>10.45233</v>
      </c>
      <c r="AI180">
        <v>11.219250000000001</v>
      </c>
      <c r="AJ180">
        <v>10.668200000000001</v>
      </c>
      <c r="AK180">
        <v>10.799110000000001</v>
      </c>
      <c r="AL180">
        <v>11.003539999999999</v>
      </c>
      <c r="AM180">
        <v>10.041650000000001</v>
      </c>
      <c r="AN180">
        <v>10.54725</v>
      </c>
      <c r="AO180">
        <v>10.700200000000001</v>
      </c>
      <c r="AP180">
        <v>10.83484</v>
      </c>
      <c r="AQ180">
        <v>10.336930000000001</v>
      </c>
      <c r="AR180">
        <v>10.84651</v>
      </c>
      <c r="AS180">
        <v>11.21594</v>
      </c>
      <c r="AT180">
        <v>10.024430000000001</v>
      </c>
      <c r="AU180">
        <v>9.9417439999999999</v>
      </c>
      <c r="AV180">
        <v>10.710889999999999</v>
      </c>
      <c r="AW180">
        <v>10.04435</v>
      </c>
      <c r="AX180">
        <v>9.4762649999999997</v>
      </c>
      <c r="AY180">
        <v>10.15179</v>
      </c>
      <c r="BA180">
        <v>0</v>
      </c>
      <c r="BB180" t="str">
        <f t="shared" si="8"/>
        <v/>
      </c>
      <c r="BC180">
        <v>2144664</v>
      </c>
      <c r="BD180">
        <v>1478.788</v>
      </c>
      <c r="BE180">
        <v>177649332</v>
      </c>
      <c r="BF180">
        <v>68.590789999999998</v>
      </c>
      <c r="BG180">
        <v>1486.3089</v>
      </c>
      <c r="BH180">
        <v>68.590793469999994</v>
      </c>
    </row>
    <row r="181" spans="1:60">
      <c r="A181">
        <v>30620</v>
      </c>
      <c r="B181" t="s">
        <v>991</v>
      </c>
      <c r="C181">
        <v>33530.730000000003</v>
      </c>
      <c r="D181">
        <v>67234</v>
      </c>
      <c r="E181">
        <v>104826</v>
      </c>
      <c r="F181">
        <v>3.56782E-2</v>
      </c>
      <c r="G181">
        <f t="shared" si="6"/>
        <v>35678.199999999997</v>
      </c>
      <c r="H181" s="51">
        <f t="shared" si="7"/>
        <v>3740002993.2000003</v>
      </c>
      <c r="I181">
        <v>48.17015</v>
      </c>
      <c r="J181">
        <v>10.42022</v>
      </c>
      <c r="K181">
        <v>-3.3332160000000002</v>
      </c>
      <c r="L181">
        <v>7.224666</v>
      </c>
      <c r="M181">
        <v>-2.0128499999999998</v>
      </c>
      <c r="N181">
        <v>11.56006</v>
      </c>
      <c r="O181">
        <v>1.0004E-3</v>
      </c>
      <c r="P181">
        <v>0</v>
      </c>
      <c r="Q181">
        <v>758.24959999999999</v>
      </c>
      <c r="R181">
        <v>1372.88</v>
      </c>
      <c r="S181">
        <v>0</v>
      </c>
      <c r="T181">
        <v>0</v>
      </c>
      <c r="U181">
        <v>104.9251</v>
      </c>
      <c r="V181">
        <v>104826</v>
      </c>
      <c r="W181">
        <v>0</v>
      </c>
      <c r="X181">
        <v>1.0009000000000001E-3</v>
      </c>
      <c r="Y181">
        <v>0</v>
      </c>
      <c r="Z181">
        <v>0.25944200000000001</v>
      </c>
      <c r="AE181">
        <v>0</v>
      </c>
      <c r="AF181">
        <v>2.1782180000000002</v>
      </c>
      <c r="AJ181">
        <v>10.694140000000001</v>
      </c>
      <c r="AK181">
        <v>10.9308</v>
      </c>
      <c r="AL181">
        <v>10.604789999999999</v>
      </c>
      <c r="AM181">
        <v>9.8847970000000007</v>
      </c>
      <c r="AN181">
        <v>10.416040000000001</v>
      </c>
      <c r="AO181">
        <v>10.465350000000001</v>
      </c>
      <c r="AP181">
        <v>10.519310000000001</v>
      </c>
      <c r="AQ181">
        <v>10.104939999999999</v>
      </c>
      <c r="AR181">
        <v>10.438739999999999</v>
      </c>
      <c r="AS181">
        <v>11.212149999999999</v>
      </c>
      <c r="AT181">
        <v>10.066380000000001</v>
      </c>
      <c r="AV181">
        <v>10.526289999999999</v>
      </c>
      <c r="AW181">
        <v>9.5511180000000007</v>
      </c>
      <c r="AX181">
        <v>9.3361269999999994</v>
      </c>
      <c r="AY181">
        <v>9.7532110000000003</v>
      </c>
      <c r="BB181" t="str">
        <f t="shared" si="8"/>
        <v/>
      </c>
      <c r="BD181">
        <v>404.42599999999999</v>
      </c>
      <c r="BE181">
        <v>39994562</v>
      </c>
      <c r="BF181">
        <v>15.441990000000001</v>
      </c>
      <c r="BG181">
        <v>406.84688</v>
      </c>
      <c r="BH181">
        <v>15.44198738</v>
      </c>
    </row>
    <row r="182" spans="1:60">
      <c r="A182">
        <v>30700</v>
      </c>
      <c r="B182" t="s">
        <v>438</v>
      </c>
      <c r="C182">
        <v>33709.550000000003</v>
      </c>
      <c r="D182">
        <v>216925</v>
      </c>
      <c r="E182">
        <v>294665</v>
      </c>
      <c r="F182">
        <v>3.7700400000000002E-2</v>
      </c>
      <c r="G182">
        <f t="shared" ref="G182:G242" si="9">F182*1000000</f>
        <v>37700.400000000001</v>
      </c>
      <c r="H182" s="51">
        <f t="shared" ref="H182:H242" si="10">+F182*E182*1000000</f>
        <v>11108988366.000002</v>
      </c>
      <c r="I182">
        <v>80.860060000000004</v>
      </c>
      <c r="J182">
        <v>10.42554</v>
      </c>
      <c r="K182">
        <v>-3.2780840000000002</v>
      </c>
      <c r="L182">
        <v>7.405958</v>
      </c>
      <c r="M182">
        <v>-1.2795840000000001</v>
      </c>
      <c r="N182">
        <v>12.593590000000001</v>
      </c>
      <c r="O182">
        <v>9.5909999999999995E-4</v>
      </c>
      <c r="P182">
        <v>0</v>
      </c>
      <c r="Q182">
        <v>1566.6079999999999</v>
      </c>
      <c r="R182">
        <v>1645.76</v>
      </c>
      <c r="S182">
        <v>0</v>
      </c>
      <c r="T182">
        <v>0</v>
      </c>
      <c r="U182">
        <v>282.74590000000001</v>
      </c>
      <c r="V182">
        <v>294665</v>
      </c>
      <c r="W182">
        <v>0</v>
      </c>
      <c r="X182">
        <v>9.5960000000000001E-4</v>
      </c>
      <c r="Y182">
        <v>0</v>
      </c>
      <c r="Z182">
        <v>0.20001350000000001</v>
      </c>
      <c r="AB182">
        <v>133</v>
      </c>
      <c r="AE182">
        <v>0</v>
      </c>
      <c r="AF182">
        <v>3.496731</v>
      </c>
      <c r="AJ182">
        <v>10.55594</v>
      </c>
      <c r="AK182">
        <v>10.72288</v>
      </c>
      <c r="AL182">
        <v>10.67291</v>
      </c>
      <c r="AM182">
        <v>9.9206090000000007</v>
      </c>
      <c r="AN182">
        <v>10.712059999999999</v>
      </c>
      <c r="AO182">
        <v>10.60608</v>
      </c>
      <c r="AP182">
        <v>10.84125</v>
      </c>
      <c r="AQ182">
        <v>10.2128</v>
      </c>
      <c r="AR182">
        <v>10.702780000000001</v>
      </c>
      <c r="AS182">
        <v>10.90845</v>
      </c>
      <c r="AT182">
        <v>9.9434109999999993</v>
      </c>
      <c r="AU182">
        <v>9.8418109999999999</v>
      </c>
      <c r="AV182">
        <v>10.564260000000001</v>
      </c>
      <c r="AW182">
        <v>9.3610050000000005</v>
      </c>
      <c r="AX182">
        <v>9.3026710000000001</v>
      </c>
      <c r="AY182">
        <v>10.139620000000001</v>
      </c>
      <c r="BA182">
        <v>0</v>
      </c>
      <c r="BB182" t="str">
        <f t="shared" ref="BB182:BB242" si="11">IF(T182&gt;0,BA182/T182,"")</f>
        <v/>
      </c>
      <c r="BC182">
        <v>1480332</v>
      </c>
      <c r="BD182">
        <v>1413.634</v>
      </c>
      <c r="BE182">
        <v>195301897</v>
      </c>
      <c r="BF182">
        <v>75.406490000000005</v>
      </c>
      <c r="BG182">
        <v>1422.2605000000001</v>
      </c>
      <c r="BH182">
        <v>75.406487209999995</v>
      </c>
    </row>
    <row r="183" spans="1:60">
      <c r="A183">
        <v>30780</v>
      </c>
      <c r="B183" t="s">
        <v>297</v>
      </c>
      <c r="C183">
        <v>36943.61</v>
      </c>
      <c r="D183">
        <v>436103</v>
      </c>
      <c r="E183">
        <v>675921</v>
      </c>
      <c r="F183">
        <v>3.7815099999999997E-2</v>
      </c>
      <c r="G183">
        <f t="shared" si="9"/>
        <v>37815.1</v>
      </c>
      <c r="H183" s="51">
        <f t="shared" si="10"/>
        <v>25560020207.099998</v>
      </c>
      <c r="I183">
        <v>246.5361</v>
      </c>
      <c r="J183">
        <v>10.517150000000001</v>
      </c>
      <c r="K183">
        <v>-3.275048</v>
      </c>
      <c r="L183">
        <v>7.3534249999999997</v>
      </c>
      <c r="M183">
        <v>-1.46777</v>
      </c>
      <c r="N183">
        <v>13.423830000000001</v>
      </c>
      <c r="O183">
        <v>1.1429000000000001E-3</v>
      </c>
      <c r="P183" s="14">
        <v>5.0300000000000001E-6</v>
      </c>
      <c r="Q183">
        <v>976.55470000000003</v>
      </c>
      <c r="R183">
        <v>1561.5360000000001</v>
      </c>
      <c r="S183">
        <v>1</v>
      </c>
      <c r="T183">
        <v>3.4</v>
      </c>
      <c r="U183">
        <v>772.96590000000003</v>
      </c>
      <c r="V183">
        <v>675921</v>
      </c>
      <c r="W183" s="14">
        <v>5.0300000000000001E-6</v>
      </c>
      <c r="X183">
        <v>1.1436E-3</v>
      </c>
      <c r="Y183">
        <v>8.3120000000000004E-4</v>
      </c>
      <c r="Z183">
        <v>0.18897340000000001</v>
      </c>
      <c r="AB183">
        <v>360</v>
      </c>
      <c r="AE183">
        <v>1.3791100000000001E-2</v>
      </c>
      <c r="AF183">
        <v>3.1353049999999998</v>
      </c>
      <c r="AG183">
        <v>10.73278</v>
      </c>
      <c r="AH183">
        <v>11.33019</v>
      </c>
      <c r="AI183">
        <v>11.3735</v>
      </c>
      <c r="AJ183">
        <v>10.59108</v>
      </c>
      <c r="AK183">
        <v>10.63374</v>
      </c>
      <c r="AL183">
        <v>10.73884</v>
      </c>
      <c r="AM183">
        <v>10.050649999999999</v>
      </c>
      <c r="AN183">
        <v>10.527139999999999</v>
      </c>
      <c r="AO183">
        <v>10.98457</v>
      </c>
      <c r="AP183">
        <v>11.01904</v>
      </c>
      <c r="AQ183">
        <v>10.28851</v>
      </c>
      <c r="AR183">
        <v>10.773260000000001</v>
      </c>
      <c r="AS183">
        <v>11.392620000000001</v>
      </c>
      <c r="AT183">
        <v>10.065160000000001</v>
      </c>
      <c r="AU183">
        <v>10.155799999999999</v>
      </c>
      <c r="AV183">
        <v>10.666</v>
      </c>
      <c r="AW183">
        <v>9.8191009999999999</v>
      </c>
      <c r="AX183">
        <v>9.4372600000000002</v>
      </c>
      <c r="AY183">
        <v>10.053470000000001</v>
      </c>
      <c r="AZ183">
        <v>10.209059999999999</v>
      </c>
      <c r="BA183">
        <v>53000</v>
      </c>
      <c r="BB183">
        <f t="shared" si="11"/>
        <v>15588.235294117647</v>
      </c>
      <c r="BC183">
        <v>2323240</v>
      </c>
      <c r="BD183">
        <v>4090.3420000000001</v>
      </c>
      <c r="BE183">
        <v>344866094</v>
      </c>
      <c r="BF183">
        <v>133.15350000000001</v>
      </c>
      <c r="BG183">
        <v>4198.5288</v>
      </c>
      <c r="BH183">
        <v>133.153549</v>
      </c>
    </row>
    <row r="184" spans="1:60">
      <c r="A184">
        <v>30860</v>
      </c>
      <c r="B184" t="s">
        <v>439</v>
      </c>
      <c r="C184">
        <v>28090.81</v>
      </c>
      <c r="D184">
        <v>71973</v>
      </c>
      <c r="E184">
        <v>124362</v>
      </c>
      <c r="F184">
        <v>1.9893500000000001E-2</v>
      </c>
      <c r="G184">
        <f t="shared" si="9"/>
        <v>19893.5</v>
      </c>
      <c r="H184" s="51">
        <f t="shared" si="10"/>
        <v>2473995447.0000005</v>
      </c>
      <c r="I184">
        <v>40.213030000000003</v>
      </c>
      <c r="J184">
        <v>10.2432</v>
      </c>
      <c r="K184">
        <v>-3.91736</v>
      </c>
      <c r="L184">
        <v>7.438733</v>
      </c>
      <c r="M184">
        <v>-1.5529539999999999</v>
      </c>
      <c r="N184">
        <v>11.73095</v>
      </c>
      <c r="O184">
        <v>1.0489E-3</v>
      </c>
      <c r="P184">
        <v>0</v>
      </c>
      <c r="Q184">
        <v>849.07809999999995</v>
      </c>
      <c r="R184">
        <v>1700.5940000000001</v>
      </c>
      <c r="S184">
        <v>0</v>
      </c>
      <c r="T184">
        <v>0</v>
      </c>
      <c r="U184">
        <v>130.51349999999999</v>
      </c>
      <c r="V184">
        <v>124362</v>
      </c>
      <c r="W184">
        <v>0</v>
      </c>
      <c r="X184">
        <v>1.0495000000000001E-3</v>
      </c>
      <c r="Y184">
        <v>0</v>
      </c>
      <c r="Z184">
        <v>7.1320499999999995E-2</v>
      </c>
      <c r="AB184">
        <v>248</v>
      </c>
      <c r="AE184">
        <v>0</v>
      </c>
      <c r="AF184">
        <v>3.2455530000000001</v>
      </c>
      <c r="AH184">
        <v>10.331340000000001</v>
      </c>
      <c r="AJ184">
        <v>10.51252</v>
      </c>
      <c r="AK184">
        <v>10.471360000000001</v>
      </c>
      <c r="AL184">
        <v>10.47208</v>
      </c>
      <c r="AM184">
        <v>9.8183799999999994</v>
      </c>
      <c r="AN184">
        <v>10.39381</v>
      </c>
      <c r="AO184">
        <v>10.07699</v>
      </c>
      <c r="AP184">
        <v>10.535600000000001</v>
      </c>
      <c r="AQ184">
        <v>10.065020000000001</v>
      </c>
      <c r="AR184">
        <v>10.48066</v>
      </c>
      <c r="AS184">
        <v>10.94833</v>
      </c>
      <c r="AT184">
        <v>9.7962690000000006</v>
      </c>
      <c r="AU184">
        <v>9.8618179999999995</v>
      </c>
      <c r="AV184">
        <v>10.22744</v>
      </c>
      <c r="AW184">
        <v>9.2041579999999996</v>
      </c>
      <c r="AX184">
        <v>9.2800670000000007</v>
      </c>
      <c r="AY184">
        <v>9.9433089999999993</v>
      </c>
      <c r="BA184">
        <v>0</v>
      </c>
      <c r="BB184" t="str">
        <f t="shared" si="11"/>
        <v/>
      </c>
      <c r="BC184">
        <v>867284</v>
      </c>
      <c r="BD184">
        <v>1829.9570000000001</v>
      </c>
      <c r="BE184">
        <v>33871293</v>
      </c>
      <c r="BF184">
        <v>13.077780000000001</v>
      </c>
      <c r="BG184">
        <v>1841.3567</v>
      </c>
      <c r="BH184">
        <v>13.077779899999999</v>
      </c>
    </row>
    <row r="185" spans="1:60">
      <c r="A185">
        <v>30980</v>
      </c>
      <c r="B185" t="s">
        <v>992</v>
      </c>
      <c r="C185">
        <v>35428.879999999997</v>
      </c>
      <c r="D185">
        <v>134466</v>
      </c>
      <c r="E185">
        <v>204496</v>
      </c>
      <c r="F185">
        <v>4.41965E-2</v>
      </c>
      <c r="G185">
        <f t="shared" si="9"/>
        <v>44196.5</v>
      </c>
      <c r="H185" s="51">
        <f t="shared" si="10"/>
        <v>9038007464</v>
      </c>
      <c r="I185">
        <v>80.981369999999998</v>
      </c>
      <c r="J185">
        <v>10.47528</v>
      </c>
      <c r="K185">
        <v>-3.1191110000000002</v>
      </c>
      <c r="L185">
        <v>6.9758240000000002</v>
      </c>
      <c r="M185">
        <v>-1.8207800000000001</v>
      </c>
      <c r="N185">
        <v>12.228300000000001</v>
      </c>
      <c r="O185">
        <v>1.8242E-3</v>
      </c>
      <c r="P185">
        <v>0</v>
      </c>
      <c r="Q185">
        <v>788.97159999999997</v>
      </c>
      <c r="R185">
        <v>1070.4390000000001</v>
      </c>
      <c r="S185">
        <v>0</v>
      </c>
      <c r="T185">
        <v>0</v>
      </c>
      <c r="U185">
        <v>373.37490000000003</v>
      </c>
      <c r="V185">
        <v>204496</v>
      </c>
      <c r="W185">
        <v>0</v>
      </c>
      <c r="X185">
        <v>1.8258E-3</v>
      </c>
      <c r="Y185">
        <v>0</v>
      </c>
      <c r="Z185">
        <v>0.20914759999999999</v>
      </c>
      <c r="AE185">
        <v>0</v>
      </c>
      <c r="AF185">
        <v>4.610627</v>
      </c>
      <c r="AG185">
        <v>10.27655</v>
      </c>
      <c r="AH185">
        <v>11.07226</v>
      </c>
      <c r="AI185">
        <v>10.70749</v>
      </c>
      <c r="AJ185">
        <v>10.580719999999999</v>
      </c>
      <c r="AK185">
        <v>10.70715</v>
      </c>
      <c r="AL185">
        <v>10.78416</v>
      </c>
      <c r="AM185">
        <v>10.08028</v>
      </c>
      <c r="AN185">
        <v>10.46579</v>
      </c>
      <c r="AO185">
        <v>10.59723</v>
      </c>
      <c r="AP185">
        <v>10.53814</v>
      </c>
      <c r="AQ185">
        <v>10.87227</v>
      </c>
      <c r="AR185">
        <v>10.902749999999999</v>
      </c>
      <c r="AS185">
        <v>11.01046</v>
      </c>
      <c r="AT185">
        <v>10.067</v>
      </c>
      <c r="AV185">
        <v>10.5281</v>
      </c>
      <c r="AW185">
        <v>9.7799940000000003</v>
      </c>
      <c r="AX185">
        <v>9.3599720000000008</v>
      </c>
      <c r="AY185">
        <v>10.036020000000001</v>
      </c>
      <c r="BB185" t="str">
        <f t="shared" si="11"/>
        <v/>
      </c>
      <c r="BD185">
        <v>1785.222</v>
      </c>
      <c r="BE185">
        <v>113177228</v>
      </c>
      <c r="BF185">
        <v>43.697969999999998</v>
      </c>
      <c r="BG185">
        <v>1806.7686000000001</v>
      </c>
      <c r="BH185">
        <v>43.69797389</v>
      </c>
    </row>
    <row r="186" spans="1:60">
      <c r="A186">
        <v>31020</v>
      </c>
      <c r="B186" t="s">
        <v>440</v>
      </c>
      <c r="C186">
        <v>37439.56</v>
      </c>
      <c r="D186">
        <v>48337</v>
      </c>
      <c r="E186">
        <v>101537</v>
      </c>
      <c r="F186">
        <v>2.48087E-2</v>
      </c>
      <c r="G186">
        <f t="shared" si="9"/>
        <v>24808.7</v>
      </c>
      <c r="H186" s="51">
        <f t="shared" si="10"/>
        <v>2519000971.9000001</v>
      </c>
      <c r="I186">
        <v>27.54983</v>
      </c>
      <c r="J186">
        <v>10.530480000000001</v>
      </c>
      <c r="K186">
        <v>-3.696561</v>
      </c>
      <c r="L186">
        <v>7.2505110000000004</v>
      </c>
      <c r="M186">
        <v>-2.014786</v>
      </c>
      <c r="N186">
        <v>11.528180000000001</v>
      </c>
      <c r="O186">
        <v>9.8989999999999994E-4</v>
      </c>
      <c r="P186">
        <v>0</v>
      </c>
      <c r="Q186">
        <v>906.86580000000004</v>
      </c>
      <c r="R186">
        <v>1408.8240000000001</v>
      </c>
      <c r="S186">
        <v>0</v>
      </c>
      <c r="T186">
        <v>0</v>
      </c>
      <c r="U186">
        <v>100.5587</v>
      </c>
      <c r="V186">
        <v>101537</v>
      </c>
      <c r="W186">
        <v>0</v>
      </c>
      <c r="X186">
        <v>9.904E-4</v>
      </c>
      <c r="Y186">
        <v>0</v>
      </c>
      <c r="Z186">
        <v>8.8314500000000004E-2</v>
      </c>
      <c r="AB186">
        <v>99</v>
      </c>
      <c r="AE186">
        <v>0</v>
      </c>
      <c r="AF186">
        <v>3.6500650000000001</v>
      </c>
      <c r="AG186">
        <v>10.701359999999999</v>
      </c>
      <c r="AH186">
        <v>11.005660000000001</v>
      </c>
      <c r="AJ186">
        <v>10.779669999999999</v>
      </c>
      <c r="AK186">
        <v>10.954829999999999</v>
      </c>
      <c r="AL186">
        <v>10.69354</v>
      </c>
      <c r="AM186">
        <v>10.07691</v>
      </c>
      <c r="AN186">
        <v>10.56073</v>
      </c>
      <c r="AO186">
        <v>10.541270000000001</v>
      </c>
      <c r="AP186">
        <v>10.65977</v>
      </c>
      <c r="AQ186">
        <v>10.01848</v>
      </c>
      <c r="AR186">
        <v>10.54317</v>
      </c>
      <c r="AS186">
        <v>11.326700000000001</v>
      </c>
      <c r="AT186">
        <v>9.7588380000000008</v>
      </c>
      <c r="AU186">
        <v>9.8015930000000004</v>
      </c>
      <c r="AV186">
        <v>10.58304</v>
      </c>
      <c r="AW186">
        <v>9.7361129999999996</v>
      </c>
      <c r="AX186">
        <v>9.4944179999999996</v>
      </c>
      <c r="AY186">
        <v>9.9156890000000004</v>
      </c>
      <c r="BA186">
        <v>0</v>
      </c>
      <c r="BB186" t="str">
        <f t="shared" si="11"/>
        <v/>
      </c>
      <c r="BC186">
        <v>214747</v>
      </c>
      <c r="BD186">
        <v>1138.643</v>
      </c>
      <c r="BE186">
        <v>29254531</v>
      </c>
      <c r="BF186">
        <v>11.29524</v>
      </c>
      <c r="BG186">
        <v>1166.0147999999999</v>
      </c>
      <c r="BH186">
        <v>11.29523805</v>
      </c>
    </row>
    <row r="187" spans="1:60">
      <c r="A187">
        <v>31100</v>
      </c>
      <c r="B187" t="s">
        <v>299</v>
      </c>
      <c r="C187">
        <v>47279</v>
      </c>
      <c r="D187">
        <v>7823094</v>
      </c>
      <c r="E187">
        <v>12768395</v>
      </c>
      <c r="F187">
        <v>5.1326299999999998E-2</v>
      </c>
      <c r="G187">
        <f t="shared" si="9"/>
        <v>51326.299999999996</v>
      </c>
      <c r="H187" s="51">
        <f t="shared" si="10"/>
        <v>655354472288.49988</v>
      </c>
      <c r="I187">
        <v>1851.3679999999999</v>
      </c>
      <c r="J187">
        <v>10.763820000000001</v>
      </c>
      <c r="K187">
        <v>-2.9695510000000001</v>
      </c>
      <c r="L187">
        <v>8.1808929999999993</v>
      </c>
      <c r="M187">
        <v>-1.4093309999999999</v>
      </c>
      <c r="N187">
        <v>16.362480000000001</v>
      </c>
      <c r="O187">
        <v>2.8659999999999997E-4</v>
      </c>
      <c r="P187">
        <v>3.7700000000000002E-5</v>
      </c>
      <c r="Q187">
        <v>2645.846</v>
      </c>
      <c r="R187">
        <v>3572.0419999999999</v>
      </c>
      <c r="S187">
        <v>1</v>
      </c>
      <c r="T187">
        <v>481.3</v>
      </c>
      <c r="U187">
        <v>3660.0680000000002</v>
      </c>
      <c r="V187">
        <v>12768395</v>
      </c>
      <c r="W187">
        <v>3.7700000000000002E-5</v>
      </c>
      <c r="X187">
        <v>2.8669999999999998E-4</v>
      </c>
      <c r="Y187">
        <v>9.92315E-2</v>
      </c>
      <c r="Z187">
        <v>0.75461029999999996</v>
      </c>
      <c r="AB187">
        <v>11926</v>
      </c>
      <c r="AE187">
        <v>0.25996989999999998</v>
      </c>
      <c r="AF187">
        <v>1.976953</v>
      </c>
      <c r="AG187">
        <v>10.32593</v>
      </c>
      <c r="AH187">
        <v>11.323040000000001</v>
      </c>
      <c r="AJ187">
        <v>10.80425</v>
      </c>
      <c r="AK187">
        <v>10.77422</v>
      </c>
      <c r="AL187">
        <v>10.916840000000001</v>
      </c>
      <c r="AM187">
        <v>10.1783</v>
      </c>
      <c r="AN187">
        <v>10.67873</v>
      </c>
      <c r="AO187">
        <v>11.1713</v>
      </c>
      <c r="AP187">
        <v>11.390269999999999</v>
      </c>
      <c r="AQ187">
        <v>10.80899</v>
      </c>
      <c r="AR187">
        <v>11.17666</v>
      </c>
      <c r="AS187">
        <v>11.465210000000001</v>
      </c>
      <c r="AT187">
        <v>10.301740000000001</v>
      </c>
      <c r="AU187">
        <v>10.39902</v>
      </c>
      <c r="AV187">
        <v>10.740349999999999</v>
      </c>
      <c r="AW187">
        <v>11.08079</v>
      </c>
      <c r="AX187">
        <v>9.7712710000000005</v>
      </c>
      <c r="AY187">
        <v>10.21321</v>
      </c>
      <c r="AZ187">
        <v>10.160909999999999</v>
      </c>
      <c r="BA187" s="14">
        <v>31800000</v>
      </c>
      <c r="BB187">
        <f t="shared" si="11"/>
        <v>66071.05755246208</v>
      </c>
      <c r="BC187" s="14">
        <v>221000000</v>
      </c>
      <c r="BD187">
        <v>4850.2749999999996</v>
      </c>
      <c r="BE187">
        <v>2242943688</v>
      </c>
      <c r="BF187">
        <v>866.00540000000001</v>
      </c>
      <c r="BG187">
        <v>5698.8198000000002</v>
      </c>
      <c r="BH187">
        <v>866.00543630000004</v>
      </c>
    </row>
    <row r="188" spans="1:60">
      <c r="A188">
        <v>31140</v>
      </c>
      <c r="B188" t="s">
        <v>441</v>
      </c>
      <c r="C188">
        <v>36665.47</v>
      </c>
      <c r="D188">
        <v>780659</v>
      </c>
      <c r="E188">
        <v>1249739</v>
      </c>
      <c r="F188">
        <v>4.06421E-2</v>
      </c>
      <c r="G188">
        <f t="shared" si="9"/>
        <v>40642.1</v>
      </c>
      <c r="H188" s="51">
        <f t="shared" si="10"/>
        <v>50792017411.900002</v>
      </c>
      <c r="I188">
        <v>424.56360000000001</v>
      </c>
      <c r="J188">
        <v>10.509589999999999</v>
      </c>
      <c r="K188">
        <v>-3.2029510000000001</v>
      </c>
      <c r="L188">
        <v>7.1791479999999996</v>
      </c>
      <c r="M188">
        <v>-1.5629679999999999</v>
      </c>
      <c r="N188">
        <v>14.038449999999999</v>
      </c>
      <c r="O188">
        <v>7.046E-4</v>
      </c>
      <c r="P188">
        <v>0</v>
      </c>
      <c r="Q188">
        <v>1115.009</v>
      </c>
      <c r="R188">
        <v>1311.79</v>
      </c>
      <c r="S188">
        <v>0</v>
      </c>
      <c r="T188">
        <v>0</v>
      </c>
      <c r="U188">
        <v>880.87369999999999</v>
      </c>
      <c r="V188">
        <v>1249739</v>
      </c>
      <c r="W188">
        <v>0</v>
      </c>
      <c r="X188">
        <v>7.048E-4</v>
      </c>
      <c r="Y188">
        <v>0</v>
      </c>
      <c r="Z188">
        <v>0.21300740000000001</v>
      </c>
      <c r="AB188">
        <v>593</v>
      </c>
      <c r="AE188">
        <v>0</v>
      </c>
      <c r="AF188">
        <v>2.0747749999999998</v>
      </c>
      <c r="AG188">
        <v>10.21115</v>
      </c>
      <c r="AH188">
        <v>10.83323</v>
      </c>
      <c r="AI188">
        <v>10.92844</v>
      </c>
      <c r="AJ188">
        <v>10.637180000000001</v>
      </c>
      <c r="AK188">
        <v>10.679729999999999</v>
      </c>
      <c r="AL188">
        <v>10.755940000000001</v>
      </c>
      <c r="AM188">
        <v>10.023070000000001</v>
      </c>
      <c r="AN188">
        <v>10.593109999999999</v>
      </c>
      <c r="AO188">
        <v>10.79341</v>
      </c>
      <c r="AP188">
        <v>10.953939999999999</v>
      </c>
      <c r="AQ188">
        <v>10.555020000000001</v>
      </c>
      <c r="AR188">
        <v>10.787739999999999</v>
      </c>
      <c r="AS188">
        <v>11.3401</v>
      </c>
      <c r="AT188">
        <v>9.9510989999999993</v>
      </c>
      <c r="AU188">
        <v>10.163589999999999</v>
      </c>
      <c r="AV188">
        <v>10.54524</v>
      </c>
      <c r="AW188">
        <v>10.040559999999999</v>
      </c>
      <c r="AX188">
        <v>9.4653340000000004</v>
      </c>
      <c r="AY188">
        <v>10.05306</v>
      </c>
      <c r="AZ188">
        <v>9.7539560000000005</v>
      </c>
      <c r="BA188">
        <v>0</v>
      </c>
      <c r="BB188" t="str">
        <f t="shared" si="11"/>
        <v/>
      </c>
      <c r="BC188">
        <v>7764463</v>
      </c>
      <c r="BD188">
        <v>4135.4129999999996</v>
      </c>
      <c r="BE188">
        <v>562545813</v>
      </c>
      <c r="BF188">
        <v>217.20009999999999</v>
      </c>
      <c r="BG188">
        <v>4195.8140999999996</v>
      </c>
      <c r="BH188">
        <v>217.20016190000001</v>
      </c>
    </row>
    <row r="189" spans="1:60">
      <c r="A189">
        <v>31180</v>
      </c>
      <c r="B189" t="s">
        <v>442</v>
      </c>
      <c r="C189">
        <v>29547.81</v>
      </c>
      <c r="D189">
        <v>170988</v>
      </c>
      <c r="E189">
        <v>271582</v>
      </c>
      <c r="F189">
        <v>2.83266E-2</v>
      </c>
      <c r="G189">
        <f t="shared" si="9"/>
        <v>28326.600000000002</v>
      </c>
      <c r="H189" s="51">
        <f t="shared" si="10"/>
        <v>7692994681.1999998</v>
      </c>
      <c r="I189">
        <v>81.609830000000002</v>
      </c>
      <c r="J189">
        <v>10.29377</v>
      </c>
      <c r="K189">
        <v>-3.5639530000000001</v>
      </c>
      <c r="L189">
        <v>7.2906360000000001</v>
      </c>
      <c r="M189">
        <v>-1.5757460000000001</v>
      </c>
      <c r="N189">
        <v>12.51202</v>
      </c>
      <c r="O189">
        <v>9.8489999999999992E-4</v>
      </c>
      <c r="P189">
        <v>0</v>
      </c>
      <c r="Q189">
        <v>1284.4780000000001</v>
      </c>
      <c r="R189">
        <v>1466.5029999999999</v>
      </c>
      <c r="S189">
        <v>0</v>
      </c>
      <c r="T189">
        <v>0</v>
      </c>
      <c r="U189">
        <v>267.60230000000001</v>
      </c>
      <c r="V189">
        <v>271582</v>
      </c>
      <c r="W189">
        <v>0</v>
      </c>
      <c r="X189">
        <v>9.8529999999999993E-4</v>
      </c>
      <c r="Y189">
        <v>0</v>
      </c>
      <c r="Z189">
        <v>0.14874999999999999</v>
      </c>
      <c r="AB189">
        <v>210</v>
      </c>
      <c r="AE189">
        <v>0</v>
      </c>
      <c r="AF189">
        <v>3.279045</v>
      </c>
      <c r="AH189">
        <v>10.920489999999999</v>
      </c>
      <c r="AI189">
        <v>11.20003</v>
      </c>
      <c r="AJ189">
        <v>10.51614</v>
      </c>
      <c r="AK189">
        <v>10.53511</v>
      </c>
      <c r="AL189">
        <v>10.743830000000001</v>
      </c>
      <c r="AM189">
        <v>9.9430230000000002</v>
      </c>
      <c r="AN189">
        <v>10.31114</v>
      </c>
      <c r="AP189">
        <v>10.658849999999999</v>
      </c>
      <c r="AQ189">
        <v>10.189170000000001</v>
      </c>
      <c r="AR189">
        <v>10.55419</v>
      </c>
      <c r="AT189">
        <v>9.8478159999999999</v>
      </c>
      <c r="AU189">
        <v>9.8131299999999992</v>
      </c>
      <c r="AV189">
        <v>10.569290000000001</v>
      </c>
      <c r="AW189">
        <v>9.5869440000000008</v>
      </c>
      <c r="AX189">
        <v>9.371086</v>
      </c>
      <c r="AY189">
        <v>9.8996879999999994</v>
      </c>
      <c r="AZ189">
        <v>9.2545120000000001</v>
      </c>
      <c r="BA189">
        <v>0</v>
      </c>
      <c r="BB189" t="str">
        <f t="shared" si="11"/>
        <v/>
      </c>
      <c r="BC189">
        <v>1573797</v>
      </c>
      <c r="BD189">
        <v>1799.0070000000001</v>
      </c>
      <c r="BE189">
        <v>178715052</v>
      </c>
      <c r="BF189">
        <v>69.002269999999996</v>
      </c>
      <c r="BG189">
        <v>1802.3942999999999</v>
      </c>
      <c r="BH189">
        <v>69.002270280000005</v>
      </c>
    </row>
    <row r="190" spans="1:60">
      <c r="A190">
        <v>31340</v>
      </c>
      <c r="B190" t="s">
        <v>443</v>
      </c>
      <c r="C190">
        <v>34554.089999999997</v>
      </c>
      <c r="D190">
        <v>142156</v>
      </c>
      <c r="E190">
        <v>245579</v>
      </c>
      <c r="F190">
        <v>3.0690700000000001E-2</v>
      </c>
      <c r="G190">
        <f t="shared" si="9"/>
        <v>30690.7</v>
      </c>
      <c r="H190" s="51">
        <f t="shared" si="10"/>
        <v>7536991415.3000002</v>
      </c>
      <c r="I190">
        <v>86.162610000000001</v>
      </c>
      <c r="J190">
        <v>10.450279999999999</v>
      </c>
      <c r="K190">
        <v>-3.4837940000000001</v>
      </c>
      <c r="L190">
        <v>6.9538589999999996</v>
      </c>
      <c r="M190">
        <v>-1.6625920000000001</v>
      </c>
      <c r="N190">
        <v>12.41137</v>
      </c>
      <c r="O190">
        <v>6.3710000000000004E-4</v>
      </c>
      <c r="P190">
        <v>0</v>
      </c>
      <c r="Q190">
        <v>667.54020000000003</v>
      </c>
      <c r="R190">
        <v>1047.183</v>
      </c>
      <c r="S190">
        <v>0</v>
      </c>
      <c r="T190">
        <v>0</v>
      </c>
      <c r="U190">
        <v>156.5171</v>
      </c>
      <c r="V190">
        <v>245579</v>
      </c>
      <c r="W190">
        <v>0</v>
      </c>
      <c r="X190">
        <v>6.3730000000000004E-4</v>
      </c>
      <c r="Y190">
        <v>0</v>
      </c>
      <c r="Z190">
        <v>0.19350310000000001</v>
      </c>
      <c r="AB190">
        <v>257</v>
      </c>
      <c r="AE190">
        <v>0</v>
      </c>
      <c r="AF190">
        <v>1.816532</v>
      </c>
      <c r="AG190">
        <v>10.331810000000001</v>
      </c>
      <c r="AI190">
        <v>11.03523</v>
      </c>
      <c r="AJ190">
        <v>10.481249999999999</v>
      </c>
      <c r="AK190">
        <v>10.90283</v>
      </c>
      <c r="AL190">
        <v>10.46837</v>
      </c>
      <c r="AM190">
        <v>9.9579050000000002</v>
      </c>
      <c r="AN190">
        <v>10.5075</v>
      </c>
      <c r="AO190">
        <v>10.88926</v>
      </c>
      <c r="AP190">
        <v>10.70468</v>
      </c>
      <c r="AQ190">
        <v>10.32884</v>
      </c>
      <c r="AR190">
        <v>11.018359999999999</v>
      </c>
      <c r="AS190">
        <v>11.447749999999999</v>
      </c>
      <c r="AT190">
        <v>9.8059650000000005</v>
      </c>
      <c r="AU190">
        <v>9.9626199999999994</v>
      </c>
      <c r="AV190">
        <v>10.63838</v>
      </c>
      <c r="AW190">
        <v>9.5687619999999995</v>
      </c>
      <c r="AX190">
        <v>9.3142300000000002</v>
      </c>
      <c r="AY190">
        <v>9.8981379999999994</v>
      </c>
      <c r="BA190">
        <v>0</v>
      </c>
      <c r="BB190" t="str">
        <f t="shared" si="11"/>
        <v/>
      </c>
      <c r="BC190">
        <v>1095454</v>
      </c>
      <c r="BD190">
        <v>808.86130000000003</v>
      </c>
      <c r="BE190">
        <v>92765673</v>
      </c>
      <c r="BF190">
        <v>35.817030000000003</v>
      </c>
      <c r="BG190">
        <v>2146.7280999999998</v>
      </c>
      <c r="BH190">
        <v>35.817028110000003</v>
      </c>
    </row>
    <row r="191" spans="1:60">
      <c r="A191">
        <v>31420</v>
      </c>
      <c r="B191" t="s">
        <v>444</v>
      </c>
      <c r="C191">
        <v>34164.980000000003</v>
      </c>
      <c r="D191">
        <v>136624</v>
      </c>
      <c r="E191">
        <v>230735</v>
      </c>
      <c r="F191">
        <v>2.8487200000000001E-2</v>
      </c>
      <c r="G191">
        <f t="shared" si="9"/>
        <v>28487.200000000001</v>
      </c>
      <c r="H191" s="51">
        <f t="shared" si="10"/>
        <v>6572994092</v>
      </c>
      <c r="I191">
        <v>88.454300000000003</v>
      </c>
      <c r="J191">
        <v>10.43896</v>
      </c>
      <c r="K191">
        <v>-3.5583</v>
      </c>
      <c r="L191">
        <v>7.025455</v>
      </c>
      <c r="M191">
        <v>-1.7097329999999999</v>
      </c>
      <c r="N191">
        <v>12.349019999999999</v>
      </c>
      <c r="O191">
        <v>1.9556999999999999E-3</v>
      </c>
      <c r="P191">
        <v>0</v>
      </c>
      <c r="Q191">
        <v>723.94449999999995</v>
      </c>
      <c r="R191">
        <v>1124.9059999999999</v>
      </c>
      <c r="S191">
        <v>0</v>
      </c>
      <c r="T191">
        <v>0</v>
      </c>
      <c r="U191">
        <v>451.68380000000002</v>
      </c>
      <c r="V191">
        <v>230735</v>
      </c>
      <c r="W191">
        <v>0</v>
      </c>
      <c r="X191">
        <v>1.9575999999999999E-3</v>
      </c>
      <c r="Y191">
        <v>0</v>
      </c>
      <c r="Z191">
        <v>0.2619012</v>
      </c>
      <c r="AB191">
        <v>298</v>
      </c>
      <c r="AE191">
        <v>0</v>
      </c>
      <c r="AF191">
        <v>5.1064090000000002</v>
      </c>
      <c r="AG191">
        <v>10.58273</v>
      </c>
      <c r="AJ191">
        <v>10.524990000000001</v>
      </c>
      <c r="AK191">
        <v>10.64174</v>
      </c>
      <c r="AL191">
        <v>10.71909</v>
      </c>
      <c r="AM191">
        <v>9.9846160000000008</v>
      </c>
      <c r="AN191">
        <v>10.44651</v>
      </c>
      <c r="AO191">
        <v>10.65319</v>
      </c>
      <c r="AP191">
        <v>10.74704</v>
      </c>
      <c r="AQ191">
        <v>10.34473</v>
      </c>
      <c r="AR191">
        <v>10.67873</v>
      </c>
      <c r="AS191">
        <v>10.800179999999999</v>
      </c>
      <c r="AT191">
        <v>10.07504</v>
      </c>
      <c r="AU191">
        <v>10.595890000000001</v>
      </c>
      <c r="AV191">
        <v>10.68845</v>
      </c>
      <c r="AW191">
        <v>9.5619200000000006</v>
      </c>
      <c r="AX191">
        <v>9.3458620000000003</v>
      </c>
      <c r="AY191">
        <v>10.046620000000001</v>
      </c>
      <c r="BA191">
        <v>0</v>
      </c>
      <c r="BB191" t="str">
        <f t="shared" si="11"/>
        <v/>
      </c>
      <c r="BC191">
        <v>1062284</v>
      </c>
      <c r="BD191">
        <v>1724.634</v>
      </c>
      <c r="BE191">
        <v>112011904</v>
      </c>
      <c r="BF191">
        <v>43.248040000000003</v>
      </c>
      <c r="BG191">
        <v>1737.6585</v>
      </c>
      <c r="BH191">
        <v>43.248039759999998</v>
      </c>
    </row>
    <row r="192" spans="1:60">
      <c r="A192">
        <v>31460</v>
      </c>
      <c r="B192" t="s">
        <v>993</v>
      </c>
      <c r="C192">
        <v>34748.39</v>
      </c>
      <c r="D192">
        <v>60184</v>
      </c>
      <c r="E192">
        <v>147577</v>
      </c>
      <c r="F192">
        <v>1.9725300000000001E-2</v>
      </c>
      <c r="G192">
        <f t="shared" si="9"/>
        <v>19725.300000000003</v>
      </c>
      <c r="H192" s="51">
        <f t="shared" si="10"/>
        <v>2911000598.1000004</v>
      </c>
      <c r="I192">
        <v>38.161990000000003</v>
      </c>
      <c r="J192">
        <v>10.45589</v>
      </c>
      <c r="K192">
        <v>-3.925853</v>
      </c>
      <c r="L192">
        <v>6.8011220000000003</v>
      </c>
      <c r="M192">
        <v>-2.1850649999999998</v>
      </c>
      <c r="N192">
        <v>11.90211</v>
      </c>
      <c r="O192">
        <v>1.4369000000000001E-3</v>
      </c>
      <c r="P192">
        <v>0</v>
      </c>
      <c r="Q192">
        <v>494.4973</v>
      </c>
      <c r="R192">
        <v>898.85559999999998</v>
      </c>
      <c r="S192">
        <v>0</v>
      </c>
      <c r="T192">
        <v>0</v>
      </c>
      <c r="U192">
        <v>212.20740000000001</v>
      </c>
      <c r="V192">
        <v>147577</v>
      </c>
      <c r="W192">
        <v>0</v>
      </c>
      <c r="X192">
        <v>1.4379E-3</v>
      </c>
      <c r="Y192">
        <v>0</v>
      </c>
      <c r="Z192">
        <v>9.9354499999999998E-2</v>
      </c>
      <c r="AE192">
        <v>0</v>
      </c>
      <c r="AF192">
        <v>5.5607009999999999</v>
      </c>
      <c r="AJ192">
        <v>10.46768</v>
      </c>
      <c r="AK192">
        <v>10.72893</v>
      </c>
      <c r="AL192">
        <v>10.65494</v>
      </c>
      <c r="AM192">
        <v>10.12069</v>
      </c>
      <c r="AN192">
        <v>10.573119999999999</v>
      </c>
      <c r="AO192">
        <v>10.964589999999999</v>
      </c>
      <c r="AP192">
        <v>10.56879</v>
      </c>
      <c r="AQ192">
        <v>10.1135</v>
      </c>
      <c r="AR192">
        <v>10.76979</v>
      </c>
      <c r="AT192">
        <v>10.110939999999999</v>
      </c>
      <c r="AU192">
        <v>9.9274710000000006</v>
      </c>
      <c r="AV192">
        <v>10.738329999999999</v>
      </c>
      <c r="AW192">
        <v>9.3987160000000003</v>
      </c>
      <c r="AX192">
        <v>9.6064089999999993</v>
      </c>
      <c r="AY192">
        <v>9.8294460000000008</v>
      </c>
      <c r="BB192" t="str">
        <f t="shared" si="11"/>
        <v/>
      </c>
      <c r="BD192">
        <v>2135.8620000000001</v>
      </c>
      <c r="BE192">
        <v>43267528</v>
      </c>
      <c r="BF192">
        <v>16.705690000000001</v>
      </c>
      <c r="BG192">
        <v>2153.2020000000002</v>
      </c>
      <c r="BH192">
        <v>16.705686669999999</v>
      </c>
    </row>
    <row r="193" spans="1:60">
      <c r="A193">
        <v>31540</v>
      </c>
      <c r="B193" t="s">
        <v>445</v>
      </c>
      <c r="C193">
        <v>40185.86</v>
      </c>
      <c r="D193">
        <v>444450</v>
      </c>
      <c r="E193">
        <v>562065</v>
      </c>
      <c r="F193">
        <v>4.87292E-2</v>
      </c>
      <c r="G193">
        <f t="shared" si="9"/>
        <v>48729.2</v>
      </c>
      <c r="H193" s="51">
        <f t="shared" si="10"/>
        <v>27388977798</v>
      </c>
      <c r="I193">
        <v>141.09479999999999</v>
      </c>
      <c r="J193">
        <v>10.60127</v>
      </c>
      <c r="K193">
        <v>-3.0214759999999998</v>
      </c>
      <c r="L193">
        <v>8.0178030000000007</v>
      </c>
      <c r="M193">
        <v>-1.1029279999999999</v>
      </c>
      <c r="N193">
        <v>13.239369999999999</v>
      </c>
      <c r="O193">
        <v>1.3609E-3</v>
      </c>
      <c r="P193">
        <v>0</v>
      </c>
      <c r="Q193">
        <v>1708.702</v>
      </c>
      <c r="R193">
        <v>3034.5039999999999</v>
      </c>
      <c r="S193">
        <v>0</v>
      </c>
      <c r="T193">
        <v>0</v>
      </c>
      <c r="U193">
        <v>765.45479999999998</v>
      </c>
      <c r="V193">
        <v>562065</v>
      </c>
      <c r="W193">
        <v>0</v>
      </c>
      <c r="X193">
        <v>1.3619000000000001E-3</v>
      </c>
      <c r="Y193">
        <v>0</v>
      </c>
      <c r="Z193">
        <v>0.27953090000000003</v>
      </c>
      <c r="AB193">
        <v>522</v>
      </c>
      <c r="AE193">
        <v>0</v>
      </c>
      <c r="AF193">
        <v>5.425109</v>
      </c>
      <c r="AH193">
        <v>11.146520000000001</v>
      </c>
      <c r="AJ193">
        <v>10.8833</v>
      </c>
      <c r="AK193">
        <v>10.78313</v>
      </c>
      <c r="AL193">
        <v>10.77599</v>
      </c>
      <c r="AM193">
        <v>10.03054</v>
      </c>
      <c r="AN193">
        <v>10.3902</v>
      </c>
      <c r="AO193">
        <v>11.02533</v>
      </c>
      <c r="AP193">
        <v>11.017620000000001</v>
      </c>
      <c r="AQ193">
        <v>10.40325</v>
      </c>
      <c r="AR193">
        <v>10.99555</v>
      </c>
      <c r="AS193">
        <v>11.1493</v>
      </c>
      <c r="AT193">
        <v>10.25224</v>
      </c>
      <c r="AU193">
        <v>9.9741949999999999</v>
      </c>
      <c r="AV193">
        <v>10.661110000000001</v>
      </c>
      <c r="AW193">
        <v>9.7233079999999994</v>
      </c>
      <c r="AX193">
        <v>9.407057</v>
      </c>
      <c r="AY193">
        <v>10.253869999999999</v>
      </c>
      <c r="BA193">
        <v>0</v>
      </c>
      <c r="BB193" t="str">
        <f t="shared" si="11"/>
        <v/>
      </c>
      <c r="BC193">
        <v>4706193</v>
      </c>
      <c r="BD193">
        <v>2738.355</v>
      </c>
      <c r="BE193">
        <v>144265032</v>
      </c>
      <c r="BF193">
        <v>55.701039999999999</v>
      </c>
      <c r="BG193">
        <v>2802.1520999999998</v>
      </c>
      <c r="BH193">
        <v>55.701042630000003</v>
      </c>
    </row>
    <row r="194" spans="1:60">
      <c r="A194">
        <v>31740</v>
      </c>
      <c r="B194" t="s">
        <v>1227</v>
      </c>
      <c r="C194">
        <v>26084.04</v>
      </c>
      <c r="D194">
        <v>87270</v>
      </c>
      <c r="E194">
        <v>122049</v>
      </c>
      <c r="F194">
        <v>1.9352899999999999E-2</v>
      </c>
      <c r="G194">
        <f t="shared" si="9"/>
        <v>19352.899999999998</v>
      </c>
      <c r="H194" s="51">
        <f t="shared" si="10"/>
        <v>2362002092.0999999</v>
      </c>
      <c r="I194">
        <v>36.974209999999999</v>
      </c>
      <c r="J194">
        <v>10.169079999999999</v>
      </c>
      <c r="K194">
        <v>-3.9449139999999998</v>
      </c>
      <c r="L194">
        <v>7.5345360000000001</v>
      </c>
      <c r="N194">
        <v>11.71218</v>
      </c>
      <c r="O194">
        <v>2.7855000000000002E-3</v>
      </c>
      <c r="P194">
        <v>0</v>
      </c>
      <c r="Q194">
        <v>1008.352</v>
      </c>
      <c r="R194">
        <v>1871.575</v>
      </c>
      <c r="S194">
        <v>0</v>
      </c>
      <c r="T194">
        <v>0</v>
      </c>
      <c r="U194">
        <v>340.44619999999998</v>
      </c>
      <c r="V194">
        <v>122049</v>
      </c>
      <c r="W194">
        <v>0</v>
      </c>
      <c r="X194">
        <v>2.7894E-3</v>
      </c>
      <c r="Y194">
        <v>0</v>
      </c>
      <c r="Z194">
        <v>0.1851777</v>
      </c>
      <c r="AE194">
        <v>0</v>
      </c>
      <c r="AF194">
        <v>9.2076670000000007</v>
      </c>
      <c r="AJ194">
        <v>10.46808</v>
      </c>
      <c r="AK194">
        <v>10.49752</v>
      </c>
      <c r="AL194">
        <v>10.587479999999999</v>
      </c>
      <c r="AM194">
        <v>9.8848059999999993</v>
      </c>
      <c r="AN194">
        <v>10.173730000000001</v>
      </c>
      <c r="AO194">
        <v>10.31888</v>
      </c>
      <c r="AP194">
        <v>10.503030000000001</v>
      </c>
      <c r="AQ194">
        <v>9.9311579999999999</v>
      </c>
      <c r="AR194">
        <v>10.52347</v>
      </c>
      <c r="AT194">
        <v>10.08642</v>
      </c>
      <c r="AU194">
        <v>9.8079249999999991</v>
      </c>
      <c r="AV194">
        <v>10.23704</v>
      </c>
      <c r="AW194">
        <v>9.7766559999999991</v>
      </c>
      <c r="AX194">
        <v>9.3132470000000005</v>
      </c>
      <c r="AY194">
        <v>10.1165</v>
      </c>
      <c r="BB194" t="str">
        <f t="shared" si="11"/>
        <v/>
      </c>
      <c r="BD194">
        <v>1838.4829999999999</v>
      </c>
      <c r="BE194">
        <v>35870896</v>
      </c>
      <c r="BF194">
        <v>13.849830000000001</v>
      </c>
      <c r="BG194">
        <v>1888.3532</v>
      </c>
      <c r="BH194">
        <v>13.84983096</v>
      </c>
    </row>
    <row r="195" spans="1:60">
      <c r="A195">
        <v>31860</v>
      </c>
      <c r="B195" t="s">
        <v>1228</v>
      </c>
      <c r="C195">
        <v>30568.57</v>
      </c>
      <c r="D195">
        <v>68417</v>
      </c>
      <c r="E195">
        <v>92576</v>
      </c>
      <c r="F195">
        <v>3.4706599999999997E-2</v>
      </c>
      <c r="G195">
        <f t="shared" si="9"/>
        <v>34706.6</v>
      </c>
      <c r="H195" s="51">
        <f t="shared" si="10"/>
        <v>3212998201.5999999</v>
      </c>
      <c r="I195">
        <v>26.59703</v>
      </c>
      <c r="J195">
        <v>10.327730000000001</v>
      </c>
      <c r="K195">
        <v>-3.3608250000000002</v>
      </c>
      <c r="L195">
        <v>7.3716140000000001</v>
      </c>
      <c r="N195">
        <v>11.435790000000001</v>
      </c>
      <c r="O195">
        <v>2.7875999999999999E-3</v>
      </c>
      <c r="P195">
        <v>0</v>
      </c>
      <c r="Q195">
        <v>1304.319</v>
      </c>
      <c r="R195">
        <v>1590.1980000000001</v>
      </c>
      <c r="S195">
        <v>0</v>
      </c>
      <c r="T195">
        <v>0</v>
      </c>
      <c r="U195">
        <v>258.4228</v>
      </c>
      <c r="V195">
        <v>92576</v>
      </c>
      <c r="W195">
        <v>0</v>
      </c>
      <c r="X195">
        <v>2.7915000000000001E-3</v>
      </c>
      <c r="Y195">
        <v>0</v>
      </c>
      <c r="Z195">
        <v>0.21452080000000001</v>
      </c>
      <c r="AE195">
        <v>0</v>
      </c>
      <c r="AF195">
        <v>9.7162290000000002</v>
      </c>
      <c r="AJ195">
        <v>10.764670000000001</v>
      </c>
      <c r="AK195">
        <v>10.497529999999999</v>
      </c>
      <c r="AL195">
        <v>10.76281</v>
      </c>
      <c r="AM195">
        <v>9.846069</v>
      </c>
      <c r="AN195">
        <v>10.265560000000001</v>
      </c>
      <c r="AO195">
        <v>10.665010000000001</v>
      </c>
      <c r="AP195">
        <v>10.707850000000001</v>
      </c>
      <c r="AQ195">
        <v>10.21787</v>
      </c>
      <c r="AR195">
        <v>10.768509999999999</v>
      </c>
      <c r="AS195">
        <v>10.77176</v>
      </c>
      <c r="AT195">
        <v>10.091480000000001</v>
      </c>
      <c r="AU195">
        <v>9.6910830000000008</v>
      </c>
      <c r="AV195">
        <v>10.393129999999999</v>
      </c>
      <c r="AW195">
        <v>9.2576339999999995</v>
      </c>
      <c r="AX195">
        <v>9.2880140000000004</v>
      </c>
      <c r="AY195">
        <v>9.9253099999999996</v>
      </c>
      <c r="AZ195">
        <v>10.227980000000001</v>
      </c>
      <c r="BB195" t="str">
        <f t="shared" si="11"/>
        <v/>
      </c>
      <c r="BD195">
        <v>1204.6510000000001</v>
      </c>
      <c r="BE195">
        <v>47234524</v>
      </c>
      <c r="BF195">
        <v>18.237349999999999</v>
      </c>
      <c r="BG195">
        <v>1232.3072</v>
      </c>
      <c r="BH195">
        <v>18.237352449999999</v>
      </c>
    </row>
    <row r="196" spans="1:60">
      <c r="A196">
        <v>31900</v>
      </c>
      <c r="B196" t="s">
        <v>446</v>
      </c>
      <c r="C196">
        <v>30875.86</v>
      </c>
      <c r="D196">
        <v>69186</v>
      </c>
      <c r="E196">
        <v>125081</v>
      </c>
      <c r="F196">
        <v>2.6175E-2</v>
      </c>
      <c r="G196">
        <f t="shared" si="9"/>
        <v>26175</v>
      </c>
      <c r="H196" s="51">
        <f t="shared" si="10"/>
        <v>3273995175</v>
      </c>
      <c r="I196">
        <v>58.111159999999998</v>
      </c>
      <c r="J196">
        <v>10.337730000000001</v>
      </c>
      <c r="K196">
        <v>-3.6429490000000002</v>
      </c>
      <c r="L196">
        <v>6.9852999999999996</v>
      </c>
      <c r="M196">
        <v>-2.0494520000000001</v>
      </c>
      <c r="N196">
        <v>11.73672</v>
      </c>
      <c r="O196">
        <v>1.0196999999999999E-3</v>
      </c>
      <c r="P196">
        <v>0</v>
      </c>
      <c r="Q196">
        <v>693.60170000000005</v>
      </c>
      <c r="R196">
        <v>1080.6300000000001</v>
      </c>
      <c r="S196">
        <v>0</v>
      </c>
      <c r="T196">
        <v>0</v>
      </c>
      <c r="U196">
        <v>127.6065</v>
      </c>
      <c r="V196">
        <v>125081</v>
      </c>
      <c r="W196">
        <v>0</v>
      </c>
      <c r="X196">
        <v>1.0202E-3</v>
      </c>
      <c r="Y196">
        <v>0</v>
      </c>
      <c r="Z196">
        <v>0.25681730000000003</v>
      </c>
      <c r="AB196">
        <v>89</v>
      </c>
      <c r="AE196">
        <v>0</v>
      </c>
      <c r="AF196">
        <v>2.1959040000000001</v>
      </c>
      <c r="AJ196">
        <v>10.616009999999999</v>
      </c>
      <c r="AK196">
        <v>10.79857</v>
      </c>
      <c r="AL196">
        <v>10.536049999999999</v>
      </c>
      <c r="AM196">
        <v>9.9103399999999997</v>
      </c>
      <c r="AN196">
        <v>10.54838</v>
      </c>
      <c r="AO196">
        <v>10.780889999999999</v>
      </c>
      <c r="AP196">
        <v>10.50319</v>
      </c>
      <c r="AQ196">
        <v>10.08474</v>
      </c>
      <c r="AR196">
        <v>10.564769999999999</v>
      </c>
      <c r="AS196">
        <v>10.933109999999999</v>
      </c>
      <c r="AT196">
        <v>9.4105360000000005</v>
      </c>
      <c r="AU196">
        <v>10.080679999999999</v>
      </c>
      <c r="AV196">
        <v>10.43046</v>
      </c>
      <c r="AW196">
        <v>9.2651420000000009</v>
      </c>
      <c r="AX196">
        <v>9.3027660000000001</v>
      </c>
      <c r="AY196">
        <v>9.7690300000000008</v>
      </c>
      <c r="BA196">
        <v>0</v>
      </c>
      <c r="BB196" t="str">
        <f t="shared" si="11"/>
        <v/>
      </c>
      <c r="BC196">
        <v>232296</v>
      </c>
      <c r="BD196">
        <v>496.87650000000002</v>
      </c>
      <c r="BE196">
        <v>57627193</v>
      </c>
      <c r="BF196">
        <v>22.249980000000001</v>
      </c>
      <c r="BG196">
        <v>500.07724999999999</v>
      </c>
      <c r="BH196">
        <v>22.249984560000001</v>
      </c>
    </row>
    <row r="197" spans="1:60">
      <c r="A197">
        <v>32580</v>
      </c>
      <c r="B197" t="s">
        <v>447</v>
      </c>
      <c r="C197">
        <v>24364.82</v>
      </c>
      <c r="D197">
        <v>306067</v>
      </c>
      <c r="E197">
        <v>721275</v>
      </c>
      <c r="F197">
        <v>1.4854300000000001E-2</v>
      </c>
      <c r="G197">
        <f t="shared" si="9"/>
        <v>14854.300000000001</v>
      </c>
      <c r="H197" s="51">
        <f t="shared" si="10"/>
        <v>10714035232.5</v>
      </c>
      <c r="I197">
        <v>317.90859999999998</v>
      </c>
      <c r="J197">
        <v>10.100899999999999</v>
      </c>
      <c r="K197">
        <v>-4.2094690000000003</v>
      </c>
      <c r="L197">
        <v>7.1301930000000002</v>
      </c>
      <c r="M197">
        <v>-2.1787640000000001</v>
      </c>
      <c r="N197">
        <v>13.48878</v>
      </c>
      <c r="O197">
        <v>3.6549999999999999E-4</v>
      </c>
      <c r="P197">
        <v>0</v>
      </c>
      <c r="Q197">
        <v>557.24189999999999</v>
      </c>
      <c r="R197">
        <v>1249.1179999999999</v>
      </c>
      <c r="S197">
        <v>0</v>
      </c>
      <c r="T197">
        <v>0</v>
      </c>
      <c r="U197">
        <v>263.642</v>
      </c>
      <c r="V197">
        <v>721275</v>
      </c>
      <c r="W197">
        <v>0</v>
      </c>
      <c r="X197">
        <v>3.6549999999999999E-4</v>
      </c>
      <c r="Y197">
        <v>0</v>
      </c>
      <c r="Z197">
        <v>0.16795199999999999</v>
      </c>
      <c r="AB197">
        <v>682</v>
      </c>
      <c r="AE197">
        <v>0</v>
      </c>
      <c r="AF197">
        <v>0.82930139999999997</v>
      </c>
      <c r="AG197">
        <v>9.2506509999999995</v>
      </c>
      <c r="AH197">
        <v>10.97057</v>
      </c>
      <c r="AI197">
        <v>10.906610000000001</v>
      </c>
      <c r="AJ197">
        <v>10.2311</v>
      </c>
      <c r="AK197">
        <v>10.17478</v>
      </c>
      <c r="AL197">
        <v>10.440569999999999</v>
      </c>
      <c r="AM197">
        <v>9.898237</v>
      </c>
      <c r="AN197">
        <v>10.29951</v>
      </c>
      <c r="AO197">
        <v>10.49011</v>
      </c>
      <c r="AP197">
        <v>10.512560000000001</v>
      </c>
      <c r="AQ197">
        <v>10.092980000000001</v>
      </c>
      <c r="AR197">
        <v>10.226330000000001</v>
      </c>
      <c r="AS197">
        <v>10.590680000000001</v>
      </c>
      <c r="AT197">
        <v>9.7824760000000008</v>
      </c>
      <c r="AU197">
        <v>10.137499999999999</v>
      </c>
      <c r="AV197">
        <v>10.230829999999999</v>
      </c>
      <c r="AW197">
        <v>9.4983299999999993</v>
      </c>
      <c r="AX197">
        <v>9.3389229999999994</v>
      </c>
      <c r="AY197">
        <v>9.8444590000000005</v>
      </c>
      <c r="BA197">
        <v>0</v>
      </c>
      <c r="BB197" t="str">
        <f t="shared" si="11"/>
        <v/>
      </c>
      <c r="BC197">
        <v>1133334</v>
      </c>
      <c r="BD197">
        <v>1569.7460000000001</v>
      </c>
      <c r="BE197">
        <v>279275458</v>
      </c>
      <c r="BF197">
        <v>107.8289</v>
      </c>
      <c r="BG197">
        <v>1582.9108000000001</v>
      </c>
      <c r="BH197">
        <v>107.8288618</v>
      </c>
    </row>
    <row r="198" spans="1:60">
      <c r="A198">
        <v>32780</v>
      </c>
      <c r="B198" t="s">
        <v>448</v>
      </c>
      <c r="C198">
        <v>31390.06</v>
      </c>
      <c r="D198">
        <v>120099</v>
      </c>
      <c r="E198">
        <v>200298</v>
      </c>
      <c r="F198">
        <v>2.7154500000000002E-2</v>
      </c>
      <c r="G198">
        <f t="shared" si="9"/>
        <v>27154.5</v>
      </c>
      <c r="H198" s="51">
        <f t="shared" si="10"/>
        <v>5438992041</v>
      </c>
      <c r="I198">
        <v>66.195319999999995</v>
      </c>
      <c r="J198">
        <v>10.35425</v>
      </c>
      <c r="K198">
        <v>-3.6062110000000001</v>
      </c>
      <c r="L198">
        <v>7.5211899999999998</v>
      </c>
      <c r="M198">
        <v>-1.463646</v>
      </c>
      <c r="N198">
        <v>12.207560000000001</v>
      </c>
      <c r="O198">
        <v>1.335E-3</v>
      </c>
      <c r="P198">
        <v>0</v>
      </c>
      <c r="Q198">
        <v>977.47090000000003</v>
      </c>
      <c r="R198">
        <v>1846.7639999999999</v>
      </c>
      <c r="S198">
        <v>0</v>
      </c>
      <c r="T198">
        <v>0</v>
      </c>
      <c r="U198">
        <v>267.57380000000001</v>
      </c>
      <c r="V198">
        <v>200298</v>
      </c>
      <c r="W198">
        <v>0</v>
      </c>
      <c r="X198">
        <v>1.3359000000000001E-3</v>
      </c>
      <c r="Y198">
        <v>0</v>
      </c>
      <c r="Z198">
        <v>9.6070100000000005E-2</v>
      </c>
      <c r="AB198">
        <v>170</v>
      </c>
      <c r="AE198">
        <v>0</v>
      </c>
      <c r="AF198">
        <v>4.0421860000000001</v>
      </c>
      <c r="AG198">
        <v>10.406980000000001</v>
      </c>
      <c r="AH198">
        <v>10.6622</v>
      </c>
      <c r="AI198">
        <v>11.209530000000001</v>
      </c>
      <c r="AJ198">
        <v>10.51366</v>
      </c>
      <c r="AK198">
        <v>10.471830000000001</v>
      </c>
      <c r="AL198">
        <v>10.65075</v>
      </c>
      <c r="AM198">
        <v>10.100529999999999</v>
      </c>
      <c r="AN198">
        <v>10.585889999999999</v>
      </c>
      <c r="AO198">
        <v>10.60895</v>
      </c>
      <c r="AP198">
        <v>10.70256</v>
      </c>
      <c r="AQ198">
        <v>10.147</v>
      </c>
      <c r="AR198">
        <v>10.384460000000001</v>
      </c>
      <c r="AT198">
        <v>10.03054</v>
      </c>
      <c r="AU198">
        <v>9.9342260000000007</v>
      </c>
      <c r="AV198">
        <v>10.615489999999999</v>
      </c>
      <c r="AW198">
        <v>9.8188060000000004</v>
      </c>
      <c r="AX198">
        <v>9.5222259999999999</v>
      </c>
      <c r="AY198">
        <v>10.11172</v>
      </c>
      <c r="BA198">
        <v>0</v>
      </c>
      <c r="BB198" t="str">
        <f t="shared" si="11"/>
        <v/>
      </c>
      <c r="BC198">
        <v>587163</v>
      </c>
      <c r="BD198">
        <v>2785.1930000000002</v>
      </c>
      <c r="BE198">
        <v>64584079</v>
      </c>
      <c r="BF198">
        <v>24.936050000000002</v>
      </c>
      <c r="BG198">
        <v>2801.7139999999999</v>
      </c>
      <c r="BH198">
        <v>24.93605337</v>
      </c>
    </row>
    <row r="199" spans="1:60">
      <c r="A199">
        <v>32820</v>
      </c>
      <c r="B199" t="s">
        <v>301</v>
      </c>
      <c r="C199">
        <v>39486.449999999997</v>
      </c>
      <c r="D199">
        <v>819373</v>
      </c>
      <c r="E199">
        <v>1298529</v>
      </c>
      <c r="F199">
        <v>4.3587000000000001E-2</v>
      </c>
      <c r="G199">
        <f t="shared" si="9"/>
        <v>43587</v>
      </c>
      <c r="H199" s="51">
        <f t="shared" si="10"/>
        <v>56598983523</v>
      </c>
      <c r="I199">
        <v>434.98649999999998</v>
      </c>
      <c r="J199">
        <v>10.58371</v>
      </c>
      <c r="K199">
        <v>-3.1329959999999999</v>
      </c>
      <c r="L199">
        <v>7.3397889999999997</v>
      </c>
      <c r="M199">
        <v>-1.581291</v>
      </c>
      <c r="N199">
        <v>14.076739999999999</v>
      </c>
      <c r="O199">
        <v>8.0940000000000005E-4</v>
      </c>
      <c r="P199" s="14">
        <v>5.3900000000000001E-6</v>
      </c>
      <c r="Q199">
        <v>1074.144</v>
      </c>
      <c r="R199">
        <v>1540.3879999999999</v>
      </c>
      <c r="S199">
        <v>1</v>
      </c>
      <c r="T199">
        <v>7</v>
      </c>
      <c r="U199">
        <v>1051.404</v>
      </c>
      <c r="V199">
        <v>1298529</v>
      </c>
      <c r="W199" s="14">
        <v>5.3900000000000001E-6</v>
      </c>
      <c r="X199">
        <v>8.097E-4</v>
      </c>
      <c r="Y199">
        <v>1.531E-3</v>
      </c>
      <c r="Z199">
        <v>0.2299638</v>
      </c>
      <c r="AB199">
        <v>364</v>
      </c>
      <c r="AE199">
        <v>1.6092499999999999E-2</v>
      </c>
      <c r="AF199">
        <v>2.4170959999999999</v>
      </c>
      <c r="AH199">
        <v>10.3222</v>
      </c>
      <c r="AJ199">
        <v>10.63533</v>
      </c>
      <c r="AK199">
        <v>10.736549999999999</v>
      </c>
      <c r="AL199">
        <v>10.887890000000001</v>
      </c>
      <c r="AM199">
        <v>10.04063</v>
      </c>
      <c r="AN199">
        <v>10.49756</v>
      </c>
      <c r="AO199">
        <v>10.77908</v>
      </c>
      <c r="AP199">
        <v>11.36422</v>
      </c>
      <c r="AQ199">
        <v>10.521660000000001</v>
      </c>
      <c r="AR199">
        <v>10.84967</v>
      </c>
      <c r="AS199">
        <v>11.46294</v>
      </c>
      <c r="AT199">
        <v>10.276680000000001</v>
      </c>
      <c r="AU199">
        <v>10.35993</v>
      </c>
      <c r="AV199">
        <v>10.633150000000001</v>
      </c>
      <c r="AW199">
        <v>10.3216</v>
      </c>
      <c r="AX199">
        <v>9.6514760000000006</v>
      </c>
      <c r="AY199">
        <v>10.059620000000001</v>
      </c>
      <c r="AZ199">
        <v>9.3624480000000005</v>
      </c>
      <c r="BA199">
        <v>447557</v>
      </c>
      <c r="BB199">
        <f t="shared" si="11"/>
        <v>63936.714285714283</v>
      </c>
      <c r="BC199">
        <v>6656329</v>
      </c>
      <c r="BD199">
        <v>4572.0420000000004</v>
      </c>
      <c r="BE199">
        <v>629482803</v>
      </c>
      <c r="BF199">
        <v>243.04470000000001</v>
      </c>
      <c r="BG199">
        <v>4699.2260999999999</v>
      </c>
      <c r="BH199">
        <v>243.04467940000001</v>
      </c>
    </row>
    <row r="200" spans="1:60">
      <c r="A200">
        <v>32900</v>
      </c>
      <c r="B200" t="s">
        <v>449</v>
      </c>
      <c r="C200">
        <v>31168.04</v>
      </c>
      <c r="D200">
        <v>93314</v>
      </c>
      <c r="E200">
        <v>244356</v>
      </c>
      <c r="F200">
        <v>2.1194500000000002E-2</v>
      </c>
      <c r="G200">
        <f t="shared" si="9"/>
        <v>21194.5</v>
      </c>
      <c r="H200" s="51">
        <f t="shared" si="10"/>
        <v>5179003242.000001</v>
      </c>
      <c r="I200">
        <v>60.882899999999999</v>
      </c>
      <c r="J200">
        <v>10.347149999999999</v>
      </c>
      <c r="K200">
        <v>-3.8540139999999998</v>
      </c>
      <c r="L200">
        <v>7.3633740000000003</v>
      </c>
      <c r="M200">
        <v>-2.3170809999999999</v>
      </c>
      <c r="N200">
        <v>12.40638</v>
      </c>
      <c r="O200">
        <v>1.0451E-3</v>
      </c>
      <c r="P200">
        <v>0</v>
      </c>
      <c r="Q200">
        <v>695.44979999999998</v>
      </c>
      <c r="R200">
        <v>1577.1489999999999</v>
      </c>
      <c r="S200">
        <v>0</v>
      </c>
      <c r="T200">
        <v>0</v>
      </c>
      <c r="U200">
        <v>255.5206</v>
      </c>
      <c r="V200">
        <v>244356</v>
      </c>
      <c r="W200">
        <v>0</v>
      </c>
      <c r="X200">
        <v>1.0457000000000001E-3</v>
      </c>
      <c r="Y200">
        <v>0</v>
      </c>
      <c r="Z200">
        <v>0.13248370000000001</v>
      </c>
      <c r="AB200">
        <v>514</v>
      </c>
      <c r="AE200">
        <v>0</v>
      </c>
      <c r="AF200">
        <v>4.1969190000000003</v>
      </c>
      <c r="AG200">
        <v>10.43285</v>
      </c>
      <c r="AJ200">
        <v>10.311310000000001</v>
      </c>
      <c r="AK200">
        <v>10.610060000000001</v>
      </c>
      <c r="AL200">
        <v>10.50717</v>
      </c>
      <c r="AM200">
        <v>10.018940000000001</v>
      </c>
      <c r="AN200">
        <v>10.48969</v>
      </c>
      <c r="AO200">
        <v>10.468360000000001</v>
      </c>
      <c r="AP200">
        <v>10.60468</v>
      </c>
      <c r="AQ200">
        <v>10.015079999999999</v>
      </c>
      <c r="AR200">
        <v>10.35779</v>
      </c>
      <c r="AT200">
        <v>10.10009</v>
      </c>
      <c r="AU200">
        <v>9.5299659999999999</v>
      </c>
      <c r="AV200">
        <v>10.60516</v>
      </c>
      <c r="AW200">
        <v>9.6260100000000008</v>
      </c>
      <c r="AX200">
        <v>9.4037520000000008</v>
      </c>
      <c r="AY200">
        <v>9.9134150000000005</v>
      </c>
      <c r="AZ200">
        <v>9.3413690000000003</v>
      </c>
      <c r="BA200">
        <v>0</v>
      </c>
      <c r="BB200" t="str">
        <f t="shared" si="11"/>
        <v/>
      </c>
      <c r="BC200">
        <v>2784936</v>
      </c>
      <c r="BD200">
        <v>1928.6949999999999</v>
      </c>
      <c r="BE200">
        <v>35170924</v>
      </c>
      <c r="BF200">
        <v>13.57957</v>
      </c>
      <c r="BG200">
        <v>1978.5512000000001</v>
      </c>
      <c r="BH200">
        <v>13.57957025</v>
      </c>
    </row>
    <row r="201" spans="1:60">
      <c r="A201">
        <v>33100</v>
      </c>
      <c r="B201" t="s">
        <v>303</v>
      </c>
      <c r="C201">
        <v>40292.35</v>
      </c>
      <c r="D201">
        <v>3273236</v>
      </c>
      <c r="E201">
        <v>5501752</v>
      </c>
      <c r="F201">
        <v>4.2517199999999998E-2</v>
      </c>
      <c r="G201">
        <f t="shared" si="9"/>
        <v>42517.2</v>
      </c>
      <c r="H201" s="51">
        <f t="shared" si="10"/>
        <v>233919090134.39999</v>
      </c>
      <c r="I201">
        <v>1136.962</v>
      </c>
      <c r="J201">
        <v>10.60392</v>
      </c>
      <c r="K201">
        <v>-3.1578469999999998</v>
      </c>
      <c r="L201">
        <v>8.0628209999999996</v>
      </c>
      <c r="M201">
        <v>-1.357872</v>
      </c>
      <c r="N201">
        <v>15.520580000000001</v>
      </c>
      <c r="O201">
        <v>1.4520000000000001E-4</v>
      </c>
      <c r="P201">
        <v>1.7399999999999999E-5</v>
      </c>
      <c r="Q201">
        <v>1660.8989999999999</v>
      </c>
      <c r="R201">
        <v>3174.2339999999999</v>
      </c>
      <c r="S201">
        <v>1</v>
      </c>
      <c r="T201">
        <v>95.8</v>
      </c>
      <c r="U201">
        <v>798.91139999999996</v>
      </c>
      <c r="V201">
        <v>5501752</v>
      </c>
      <c r="W201">
        <v>1.7399999999999999E-5</v>
      </c>
      <c r="X201">
        <v>1.4520000000000001E-4</v>
      </c>
      <c r="Y201">
        <v>1.8690600000000002E-2</v>
      </c>
      <c r="Z201">
        <v>0.1558679</v>
      </c>
      <c r="AB201">
        <v>2379</v>
      </c>
      <c r="AE201">
        <v>8.4259600000000004E-2</v>
      </c>
      <c r="AF201">
        <v>0.70267190000000002</v>
      </c>
      <c r="AG201">
        <v>9.9281520000000008</v>
      </c>
      <c r="AH201">
        <v>10.97226</v>
      </c>
      <c r="AI201">
        <v>11.24775</v>
      </c>
      <c r="AJ201">
        <v>10.641030000000001</v>
      </c>
      <c r="AK201">
        <v>10.584770000000001</v>
      </c>
      <c r="AL201">
        <v>10.77984</v>
      </c>
      <c r="AM201">
        <v>10.142150000000001</v>
      </c>
      <c r="AN201">
        <v>10.605869999999999</v>
      </c>
      <c r="AO201">
        <v>11.07583</v>
      </c>
      <c r="AP201">
        <v>11.18305</v>
      </c>
      <c r="AQ201">
        <v>10.5373</v>
      </c>
      <c r="AR201">
        <v>11.06582</v>
      </c>
      <c r="AS201">
        <v>11.449759999999999</v>
      </c>
      <c r="AT201">
        <v>10.3718</v>
      </c>
      <c r="AU201">
        <v>10.57734</v>
      </c>
      <c r="AV201">
        <v>10.66611</v>
      </c>
      <c r="AW201">
        <v>10.386839999999999</v>
      </c>
      <c r="AX201">
        <v>9.7705939999999991</v>
      </c>
      <c r="AY201">
        <v>10.131589999999999</v>
      </c>
      <c r="AZ201">
        <v>10.762</v>
      </c>
      <c r="BA201">
        <v>2274364</v>
      </c>
      <c r="BB201">
        <f t="shared" si="11"/>
        <v>23740.751565762006</v>
      </c>
      <c r="BC201" s="14">
        <v>60400000</v>
      </c>
      <c r="BD201">
        <v>5125.567</v>
      </c>
      <c r="BE201">
        <v>589528848</v>
      </c>
      <c r="BF201">
        <v>227.61840000000001</v>
      </c>
      <c r="BG201">
        <v>6137.2016999999996</v>
      </c>
      <c r="BH201">
        <v>227.6183704</v>
      </c>
    </row>
    <row r="202" spans="1:60">
      <c r="A202">
        <v>33140</v>
      </c>
      <c r="B202" t="s">
        <v>994</v>
      </c>
      <c r="C202">
        <v>31934.83</v>
      </c>
      <c r="D202">
        <v>59313</v>
      </c>
      <c r="E202">
        <v>110754</v>
      </c>
      <c r="F202">
        <v>2.6355699999999999E-2</v>
      </c>
      <c r="G202">
        <f t="shared" si="9"/>
        <v>26355.7</v>
      </c>
      <c r="H202" s="51">
        <f t="shared" si="10"/>
        <v>2918999197.7999997</v>
      </c>
      <c r="I202">
        <v>34.584870000000002</v>
      </c>
      <c r="J202">
        <v>10.371449999999999</v>
      </c>
      <c r="K202">
        <v>-3.6360700000000001</v>
      </c>
      <c r="L202">
        <v>6.993843</v>
      </c>
      <c r="M202">
        <v>-1.9580139999999999</v>
      </c>
      <c r="N202">
        <v>11.615069999999999</v>
      </c>
      <c r="O202">
        <v>1.8772999999999999E-3</v>
      </c>
      <c r="P202">
        <v>0</v>
      </c>
      <c r="Q202">
        <v>767.64779999999996</v>
      </c>
      <c r="R202">
        <v>1089.902</v>
      </c>
      <c r="S202">
        <v>0</v>
      </c>
      <c r="T202">
        <v>0</v>
      </c>
      <c r="U202">
        <v>208.11539999999999</v>
      </c>
      <c r="V202">
        <v>110754</v>
      </c>
      <c r="W202">
        <v>0</v>
      </c>
      <c r="X202">
        <v>1.8791000000000001E-3</v>
      </c>
      <c r="Y202">
        <v>0</v>
      </c>
      <c r="Z202">
        <v>0.34788059999999998</v>
      </c>
      <c r="AE202">
        <v>0</v>
      </c>
      <c r="AF202">
        <v>6.0175260000000002</v>
      </c>
      <c r="AH202">
        <v>9.6233529999999998</v>
      </c>
      <c r="AJ202">
        <v>10.878590000000001</v>
      </c>
      <c r="AK202">
        <v>10.64992</v>
      </c>
      <c r="AL202">
        <v>10.5939</v>
      </c>
      <c r="AM202">
        <v>9.8907150000000001</v>
      </c>
      <c r="AN202">
        <v>10.615349999999999</v>
      </c>
      <c r="AO202">
        <v>10.28022</v>
      </c>
      <c r="AP202">
        <v>10.586499999999999</v>
      </c>
      <c r="AQ202">
        <v>10.206009999999999</v>
      </c>
      <c r="AR202">
        <v>10.420529999999999</v>
      </c>
      <c r="AT202">
        <v>9.8909020000000005</v>
      </c>
      <c r="AU202">
        <v>10.05007</v>
      </c>
      <c r="AV202">
        <v>10.50212</v>
      </c>
      <c r="AW202">
        <v>10.08475</v>
      </c>
      <c r="AX202">
        <v>9.6797179999999994</v>
      </c>
      <c r="AY202">
        <v>9.8151910000000004</v>
      </c>
      <c r="BB202" t="str">
        <f t="shared" si="11"/>
        <v/>
      </c>
      <c r="BD202">
        <v>598.23800000000006</v>
      </c>
      <c r="BE202">
        <v>56008185</v>
      </c>
      <c r="BF202">
        <v>21.624880000000001</v>
      </c>
      <c r="BG202">
        <v>613.25957000000005</v>
      </c>
      <c r="BH202">
        <v>21.62488205</v>
      </c>
    </row>
    <row r="203" spans="1:60">
      <c r="A203">
        <v>33260</v>
      </c>
      <c r="B203" t="s">
        <v>1229</v>
      </c>
      <c r="C203">
        <v>48444.43</v>
      </c>
      <c r="D203">
        <v>103295</v>
      </c>
      <c r="E203">
        <v>129159</v>
      </c>
      <c r="F203">
        <v>7.9885999999999999E-2</v>
      </c>
      <c r="G203">
        <f t="shared" si="9"/>
        <v>79886</v>
      </c>
      <c r="H203" s="51">
        <f t="shared" si="10"/>
        <v>10317995874</v>
      </c>
      <c r="I203">
        <v>45.855989999999998</v>
      </c>
      <c r="J203">
        <v>10.788169999999999</v>
      </c>
      <c r="K203">
        <v>-2.5271539999999999</v>
      </c>
      <c r="L203">
        <v>7.2215699999999998</v>
      </c>
      <c r="M203">
        <v>-1.4287129999999999</v>
      </c>
      <c r="N203">
        <v>11.768800000000001</v>
      </c>
      <c r="O203">
        <v>1.2107999999999999E-3</v>
      </c>
      <c r="P203">
        <v>0</v>
      </c>
      <c r="Q203">
        <v>1159.1510000000001</v>
      </c>
      <c r="R203">
        <v>1368.635</v>
      </c>
      <c r="S203">
        <v>0</v>
      </c>
      <c r="T203">
        <v>0</v>
      </c>
      <c r="U203">
        <v>156.4838</v>
      </c>
      <c r="V203">
        <v>129159</v>
      </c>
      <c r="W203">
        <v>0</v>
      </c>
      <c r="X203">
        <v>1.2116E-3</v>
      </c>
      <c r="Y203">
        <v>0</v>
      </c>
      <c r="Z203">
        <v>0.17382259999999999</v>
      </c>
      <c r="AE203">
        <v>0</v>
      </c>
      <c r="AF203">
        <v>3.4125049999999999</v>
      </c>
      <c r="AH203">
        <v>11.260149999999999</v>
      </c>
      <c r="AI203">
        <v>11.285959999999999</v>
      </c>
      <c r="AJ203">
        <v>10.773529999999999</v>
      </c>
      <c r="AK203">
        <v>10.7707</v>
      </c>
      <c r="AL203">
        <v>11.032870000000001</v>
      </c>
      <c r="AM203">
        <v>10.114599999999999</v>
      </c>
      <c r="AN203">
        <v>10.879099999999999</v>
      </c>
      <c r="AO203">
        <v>10.63517</v>
      </c>
      <c r="AP203">
        <v>10.9183</v>
      </c>
      <c r="AQ203">
        <v>10.78144</v>
      </c>
      <c r="AR203">
        <v>10.939</v>
      </c>
      <c r="AS203">
        <v>11.33324</v>
      </c>
      <c r="AT203">
        <v>10.384320000000001</v>
      </c>
      <c r="AU203">
        <v>10.08164</v>
      </c>
      <c r="AV203">
        <v>10.644690000000001</v>
      </c>
      <c r="AW203">
        <v>10.006309999999999</v>
      </c>
      <c r="AX203">
        <v>9.5406639999999996</v>
      </c>
      <c r="AY203">
        <v>10.1586</v>
      </c>
      <c r="AZ203">
        <v>11.050890000000001</v>
      </c>
      <c r="BB203" t="str">
        <f t="shared" si="11"/>
        <v/>
      </c>
      <c r="BD203">
        <v>900.25019999999995</v>
      </c>
      <c r="BE203">
        <v>94134905</v>
      </c>
      <c r="BF203">
        <v>36.345689999999998</v>
      </c>
      <c r="BG203">
        <v>902.04987000000006</v>
      </c>
      <c r="BH203">
        <v>36.345691559999999</v>
      </c>
    </row>
    <row r="204" spans="1:60">
      <c r="A204">
        <v>33340</v>
      </c>
      <c r="B204" t="s">
        <v>450</v>
      </c>
      <c r="C204">
        <v>43313.95</v>
      </c>
      <c r="D204">
        <v>1027088</v>
      </c>
      <c r="E204">
        <v>1550451</v>
      </c>
      <c r="F204">
        <v>4.8821900000000001E-2</v>
      </c>
      <c r="G204">
        <f t="shared" si="9"/>
        <v>48821.9</v>
      </c>
      <c r="H204" s="51">
        <f t="shared" si="10"/>
        <v>75695963676.900009</v>
      </c>
      <c r="I204">
        <v>539.37919999999997</v>
      </c>
      <c r="J204">
        <v>10.67623</v>
      </c>
      <c r="K204">
        <v>-3.0195759999999998</v>
      </c>
      <c r="L204">
        <v>7.9240130000000004</v>
      </c>
      <c r="M204">
        <v>-1.3274809999999999</v>
      </c>
      <c r="N204">
        <v>14.254060000000001</v>
      </c>
      <c r="O204">
        <v>5.6860000000000005E-4</v>
      </c>
      <c r="P204">
        <v>0</v>
      </c>
      <c r="Q204">
        <v>1345.9159999999999</v>
      </c>
      <c r="R204">
        <v>2762.8359999999998</v>
      </c>
      <c r="S204">
        <v>0</v>
      </c>
      <c r="T204">
        <v>0</v>
      </c>
      <c r="U204">
        <v>881.90750000000003</v>
      </c>
      <c r="V204">
        <v>1550451</v>
      </c>
      <c r="W204">
        <v>0</v>
      </c>
      <c r="X204">
        <v>5.6879999999999995E-4</v>
      </c>
      <c r="Y204">
        <v>0</v>
      </c>
      <c r="Z204">
        <v>0.60408910000000005</v>
      </c>
      <c r="AB204">
        <v>1266</v>
      </c>
      <c r="AE204">
        <v>0</v>
      </c>
      <c r="AF204">
        <v>1.6350420000000001</v>
      </c>
      <c r="AG204">
        <v>9.7418589999999998</v>
      </c>
      <c r="AH204">
        <v>13.474399999999999</v>
      </c>
      <c r="AJ204">
        <v>10.92675</v>
      </c>
      <c r="AK204">
        <v>10.86796</v>
      </c>
      <c r="AL204">
        <v>10.94112</v>
      </c>
      <c r="AM204">
        <v>10.02491</v>
      </c>
      <c r="AN204">
        <v>10.50564</v>
      </c>
      <c r="AO204">
        <v>11.00221</v>
      </c>
      <c r="AP204">
        <v>11.20837</v>
      </c>
      <c r="AQ204">
        <v>10.500540000000001</v>
      </c>
      <c r="AR204">
        <v>10.95003</v>
      </c>
      <c r="AS204">
        <v>11.305479999999999</v>
      </c>
      <c r="AT204">
        <v>10.21359</v>
      </c>
      <c r="AU204">
        <v>10.53288</v>
      </c>
      <c r="AV204">
        <v>10.626720000000001</v>
      </c>
      <c r="AW204">
        <v>10.38434</v>
      </c>
      <c r="AX204">
        <v>9.4101339999999993</v>
      </c>
      <c r="AY204">
        <v>10.17</v>
      </c>
      <c r="AZ204">
        <v>11.729380000000001</v>
      </c>
      <c r="BA204">
        <v>0</v>
      </c>
      <c r="BB204" t="str">
        <f t="shared" si="11"/>
        <v/>
      </c>
      <c r="BC204" s="14">
        <v>17900000</v>
      </c>
      <c r="BD204">
        <v>1459.896</v>
      </c>
      <c r="BE204">
        <v>345476926</v>
      </c>
      <c r="BF204">
        <v>133.38939999999999</v>
      </c>
      <c r="BG204">
        <v>3322.0574999999999</v>
      </c>
      <c r="BH204">
        <v>133.38939250000001</v>
      </c>
    </row>
    <row r="205" spans="1:60">
      <c r="A205">
        <v>33460</v>
      </c>
      <c r="B205" t="s">
        <v>305</v>
      </c>
      <c r="C205">
        <v>48866.68</v>
      </c>
      <c r="D205">
        <v>2285862</v>
      </c>
      <c r="E205">
        <v>3237612</v>
      </c>
      <c r="F205">
        <v>5.4353600000000002E-2</v>
      </c>
      <c r="G205">
        <f t="shared" si="9"/>
        <v>54353.599999999999</v>
      </c>
      <c r="H205" s="51">
        <f t="shared" si="10"/>
        <v>175975867603.19998</v>
      </c>
      <c r="I205">
        <v>1019.571</v>
      </c>
      <c r="J205">
        <v>10.796849999999999</v>
      </c>
      <c r="K205">
        <v>-2.9122439999999998</v>
      </c>
      <c r="L205">
        <v>7.9282320000000004</v>
      </c>
      <c r="M205">
        <v>-1.1650100000000001</v>
      </c>
      <c r="N205">
        <v>14.990349999999999</v>
      </c>
      <c r="O205">
        <v>6.7310000000000004E-4</v>
      </c>
      <c r="P205" s="14">
        <v>3.7400000000000002E-6</v>
      </c>
      <c r="Q205">
        <v>1413.2070000000001</v>
      </c>
      <c r="R205">
        <v>2774.518</v>
      </c>
      <c r="S205">
        <v>1</v>
      </c>
      <c r="T205">
        <v>12.1</v>
      </c>
      <c r="U205">
        <v>2179.9380000000001</v>
      </c>
      <c r="V205">
        <v>3237612</v>
      </c>
      <c r="W205" s="14">
        <v>3.7400000000000002E-6</v>
      </c>
      <c r="X205">
        <v>6.7330000000000005E-4</v>
      </c>
      <c r="Y205">
        <v>1.9957E-3</v>
      </c>
      <c r="Z205">
        <v>0.35954360000000002</v>
      </c>
      <c r="AB205">
        <v>4739</v>
      </c>
      <c r="AE205">
        <v>1.18677E-2</v>
      </c>
      <c r="AF205">
        <v>2.1380940000000002</v>
      </c>
      <c r="AG205">
        <v>11.12678</v>
      </c>
      <c r="AH205">
        <v>12.060169999999999</v>
      </c>
      <c r="AI205">
        <v>11.47955</v>
      </c>
      <c r="AJ205">
        <v>11.01336</v>
      </c>
      <c r="AK205">
        <v>10.930400000000001</v>
      </c>
      <c r="AL205">
        <v>11.156409999999999</v>
      </c>
      <c r="AM205">
        <v>10.07869</v>
      </c>
      <c r="AN205">
        <v>10.670640000000001</v>
      </c>
      <c r="AO205">
        <v>11.150230000000001</v>
      </c>
      <c r="AP205">
        <v>11.288679999999999</v>
      </c>
      <c r="AQ205">
        <v>10.512370000000001</v>
      </c>
      <c r="AR205">
        <v>11.03302</v>
      </c>
      <c r="AS205">
        <v>11.705310000000001</v>
      </c>
      <c r="AT205">
        <v>10.34601</v>
      </c>
      <c r="AU205">
        <v>10.19308</v>
      </c>
      <c r="AV205">
        <v>10.64589</v>
      </c>
      <c r="AW205">
        <v>10.30114</v>
      </c>
      <c r="AX205">
        <v>9.6044079999999994</v>
      </c>
      <c r="AY205">
        <v>10.13504</v>
      </c>
      <c r="AZ205">
        <v>10.30123</v>
      </c>
      <c r="BA205">
        <v>1046392</v>
      </c>
      <c r="BB205">
        <f t="shared" si="11"/>
        <v>86478.677685950417</v>
      </c>
      <c r="BC205" s="14">
        <v>31700000</v>
      </c>
      <c r="BD205">
        <v>6063.0690000000004</v>
      </c>
      <c r="BE205">
        <v>672344241</v>
      </c>
      <c r="BF205">
        <v>259.59359999999998</v>
      </c>
      <c r="BG205">
        <v>6363.7196000000004</v>
      </c>
      <c r="BH205">
        <v>259.5935738</v>
      </c>
    </row>
    <row r="206" spans="1:60">
      <c r="A206">
        <v>33540</v>
      </c>
      <c r="B206" t="s">
        <v>451</v>
      </c>
      <c r="C206">
        <v>29380.82</v>
      </c>
      <c r="D206">
        <v>78700</v>
      </c>
      <c r="E206">
        <v>107552</v>
      </c>
      <c r="F206">
        <v>3.6577699999999998E-2</v>
      </c>
      <c r="G206">
        <f t="shared" si="9"/>
        <v>36577.699999999997</v>
      </c>
      <c r="H206" s="51">
        <f t="shared" si="10"/>
        <v>3934004790.3999996</v>
      </c>
      <c r="I206">
        <v>36.446510000000004</v>
      </c>
      <c r="J206">
        <v>10.2881</v>
      </c>
      <c r="K206">
        <v>-3.3083179999999999</v>
      </c>
      <c r="L206">
        <v>7.2645470000000003</v>
      </c>
      <c r="M206">
        <v>-1.2603869999999999</v>
      </c>
      <c r="N206">
        <v>11.58573</v>
      </c>
      <c r="O206">
        <v>2.0419000000000001E-3</v>
      </c>
      <c r="P206">
        <v>0</v>
      </c>
      <c r="Q206">
        <v>1036.1759999999999</v>
      </c>
      <c r="R206">
        <v>1428.7380000000001</v>
      </c>
      <c r="S206">
        <v>0</v>
      </c>
      <c r="T206">
        <v>0</v>
      </c>
      <c r="U206">
        <v>219.8391</v>
      </c>
      <c r="V206">
        <v>107552</v>
      </c>
      <c r="W206">
        <v>0</v>
      </c>
      <c r="X206">
        <v>2.0439999999999998E-3</v>
      </c>
      <c r="Y206">
        <v>0</v>
      </c>
      <c r="Z206">
        <v>8.4619700000000006E-2</v>
      </c>
      <c r="AB206">
        <v>171</v>
      </c>
      <c r="AE206">
        <v>0</v>
      </c>
      <c r="AF206">
        <v>6.0318300000000002</v>
      </c>
      <c r="AG206">
        <v>10.538650000000001</v>
      </c>
      <c r="AH206">
        <v>10.79908</v>
      </c>
      <c r="AI206">
        <v>11.115410000000001</v>
      </c>
      <c r="AJ206">
        <v>10.618040000000001</v>
      </c>
      <c r="AK206">
        <v>10.66826</v>
      </c>
      <c r="AL206">
        <v>10.57062</v>
      </c>
      <c r="AM206">
        <v>10.0284</v>
      </c>
      <c r="AN206">
        <v>10.503360000000001</v>
      </c>
      <c r="AO206">
        <v>10.345420000000001</v>
      </c>
      <c r="AP206">
        <v>10.726599999999999</v>
      </c>
      <c r="AQ206">
        <v>10.295070000000001</v>
      </c>
      <c r="AR206">
        <v>10.57504</v>
      </c>
      <c r="AS206">
        <v>11.273720000000001</v>
      </c>
      <c r="AT206">
        <v>10.026249999999999</v>
      </c>
      <c r="AU206">
        <v>9.8962389999999996</v>
      </c>
      <c r="AV206">
        <v>10.39345</v>
      </c>
      <c r="AW206">
        <v>9.5516760000000005</v>
      </c>
      <c r="AX206">
        <v>9.4068699999999996</v>
      </c>
      <c r="AY206">
        <v>9.9240960000000005</v>
      </c>
      <c r="AZ206">
        <v>8.9130889999999994</v>
      </c>
      <c r="BA206">
        <v>0</v>
      </c>
      <c r="BB206" t="str">
        <f t="shared" si="11"/>
        <v/>
      </c>
      <c r="BC206">
        <v>622808</v>
      </c>
      <c r="BD206">
        <v>2597.9670000000001</v>
      </c>
      <c r="BE206">
        <v>65725960</v>
      </c>
      <c r="BF206">
        <v>25.376940000000001</v>
      </c>
      <c r="BG206">
        <v>2618.3045000000002</v>
      </c>
      <c r="BH206">
        <v>25.376936109999999</v>
      </c>
    </row>
    <row r="207" spans="1:60">
      <c r="A207">
        <v>33660</v>
      </c>
      <c r="B207" t="s">
        <v>452</v>
      </c>
      <c r="C207">
        <v>35575.19</v>
      </c>
      <c r="D207">
        <v>239691</v>
      </c>
      <c r="E207">
        <v>409132</v>
      </c>
      <c r="F207">
        <v>3.18675E-2</v>
      </c>
      <c r="G207">
        <f t="shared" si="9"/>
        <v>31867.5</v>
      </c>
      <c r="H207" s="51">
        <f t="shared" si="10"/>
        <v>13038014010</v>
      </c>
      <c r="I207">
        <v>214.75280000000001</v>
      </c>
      <c r="J207">
        <v>10.4794</v>
      </c>
      <c r="K207">
        <v>-3.44617</v>
      </c>
      <c r="L207">
        <v>6.915915</v>
      </c>
      <c r="M207">
        <v>-1.721552</v>
      </c>
      <c r="N207">
        <v>12.92179</v>
      </c>
      <c r="O207">
        <v>6.9309999999999999E-4</v>
      </c>
      <c r="P207">
        <v>0</v>
      </c>
      <c r="Q207">
        <v>651.90769999999998</v>
      </c>
      <c r="R207">
        <v>1008.193</v>
      </c>
      <c r="S207">
        <v>0</v>
      </c>
      <c r="T207">
        <v>0</v>
      </c>
      <c r="U207">
        <v>283.65019999999998</v>
      </c>
      <c r="V207">
        <v>409132</v>
      </c>
      <c r="W207">
        <v>0</v>
      </c>
      <c r="X207">
        <v>6.9329999999999999E-4</v>
      </c>
      <c r="Y207">
        <v>0</v>
      </c>
      <c r="Z207">
        <v>0.23003190000000001</v>
      </c>
      <c r="AB207">
        <v>127</v>
      </c>
      <c r="AE207">
        <v>0</v>
      </c>
      <c r="AF207">
        <v>1.3208219999999999</v>
      </c>
      <c r="AG207">
        <v>10.003159999999999</v>
      </c>
      <c r="AH207">
        <v>11.315899999999999</v>
      </c>
      <c r="AI207">
        <v>11.23382</v>
      </c>
      <c r="AJ207">
        <v>10.56795</v>
      </c>
      <c r="AK207">
        <v>10.82427</v>
      </c>
      <c r="AL207">
        <v>10.71442</v>
      </c>
      <c r="AM207">
        <v>9.9941890000000004</v>
      </c>
      <c r="AN207">
        <v>10.602209999999999</v>
      </c>
      <c r="AO207">
        <v>10.748760000000001</v>
      </c>
      <c r="AP207">
        <v>11.293240000000001</v>
      </c>
      <c r="AQ207">
        <v>10.40418</v>
      </c>
      <c r="AR207">
        <v>10.734529999999999</v>
      </c>
      <c r="AS207">
        <v>11.18014</v>
      </c>
      <c r="AT207">
        <v>10.05097</v>
      </c>
      <c r="AV207">
        <v>10.576980000000001</v>
      </c>
      <c r="AW207">
        <v>9.5393550000000005</v>
      </c>
      <c r="AX207">
        <v>9.3330160000000006</v>
      </c>
      <c r="AY207">
        <v>9.9482470000000003</v>
      </c>
      <c r="BA207">
        <v>0</v>
      </c>
      <c r="BB207" t="str">
        <f t="shared" si="11"/>
        <v/>
      </c>
      <c r="BC207">
        <v>1255186</v>
      </c>
      <c r="BD207">
        <v>1233.0909999999999</v>
      </c>
      <c r="BE207">
        <v>306628782</v>
      </c>
      <c r="BF207">
        <v>118.39</v>
      </c>
      <c r="BG207">
        <v>1644.0120999999999</v>
      </c>
      <c r="BH207">
        <v>118.39003959999999</v>
      </c>
    </row>
    <row r="208" spans="1:60">
      <c r="A208">
        <v>33700</v>
      </c>
      <c r="B208" t="s">
        <v>453</v>
      </c>
      <c r="C208">
        <v>36124.019999999997</v>
      </c>
      <c r="D208">
        <v>223870</v>
      </c>
      <c r="E208">
        <v>507450</v>
      </c>
      <c r="F208">
        <v>2.6491299999999999E-2</v>
      </c>
      <c r="G208">
        <f t="shared" si="9"/>
        <v>26491.3</v>
      </c>
      <c r="H208" s="51">
        <f t="shared" si="10"/>
        <v>13443010185</v>
      </c>
      <c r="I208">
        <v>120.8355</v>
      </c>
      <c r="J208">
        <v>10.49471</v>
      </c>
      <c r="K208">
        <v>-3.6309399999999998</v>
      </c>
      <c r="L208">
        <v>7.484032</v>
      </c>
      <c r="M208">
        <v>-2.0412819999999998</v>
      </c>
      <c r="N208">
        <v>13.13715</v>
      </c>
      <c r="O208">
        <v>4.5639999999999998E-4</v>
      </c>
      <c r="P208">
        <v>0</v>
      </c>
      <c r="Q208">
        <v>1069.587</v>
      </c>
      <c r="R208">
        <v>1779.4</v>
      </c>
      <c r="S208">
        <v>0</v>
      </c>
      <c r="T208">
        <v>0</v>
      </c>
      <c r="U208">
        <v>231.65629999999999</v>
      </c>
      <c r="V208">
        <v>507450</v>
      </c>
      <c r="W208">
        <v>0</v>
      </c>
      <c r="X208">
        <v>4.5649999999999998E-4</v>
      </c>
      <c r="Y208">
        <v>0</v>
      </c>
      <c r="Z208">
        <v>0.15507950000000001</v>
      </c>
      <c r="AB208">
        <v>602</v>
      </c>
      <c r="AE208">
        <v>0</v>
      </c>
      <c r="AF208">
        <v>1.917122</v>
      </c>
      <c r="AG208">
        <v>9.9690980000000007</v>
      </c>
      <c r="AJ208">
        <v>10.68004</v>
      </c>
      <c r="AK208">
        <v>10.80678</v>
      </c>
      <c r="AL208">
        <v>10.75728</v>
      </c>
      <c r="AM208">
        <v>10.09491</v>
      </c>
      <c r="AN208">
        <v>10.609310000000001</v>
      </c>
      <c r="AO208">
        <v>10.644310000000001</v>
      </c>
      <c r="AP208">
        <v>10.802479999999999</v>
      </c>
      <c r="AQ208">
        <v>10.45341</v>
      </c>
      <c r="AR208">
        <v>10.547140000000001</v>
      </c>
      <c r="AS208">
        <v>10.90194</v>
      </c>
      <c r="AT208">
        <v>10.049390000000001</v>
      </c>
      <c r="AU208">
        <v>10.10234</v>
      </c>
      <c r="AV208">
        <v>10.777279999999999</v>
      </c>
      <c r="AW208">
        <v>9.6398650000000004</v>
      </c>
      <c r="AX208">
        <v>9.4626760000000001</v>
      </c>
      <c r="AY208">
        <v>10.147489999999999</v>
      </c>
      <c r="BA208">
        <v>0</v>
      </c>
      <c r="BB208" t="str">
        <f t="shared" si="11"/>
        <v/>
      </c>
      <c r="BC208">
        <v>1943843</v>
      </c>
      <c r="BD208">
        <v>1493.7909999999999</v>
      </c>
      <c r="BE208">
        <v>104916775</v>
      </c>
      <c r="BF208">
        <v>40.508589999999998</v>
      </c>
      <c r="BG208">
        <v>1514.5664999999999</v>
      </c>
      <c r="BH208">
        <v>40.508595020000001</v>
      </c>
    </row>
    <row r="209" spans="1:60">
      <c r="A209">
        <v>33740</v>
      </c>
      <c r="B209" t="s">
        <v>454</v>
      </c>
      <c r="C209">
        <v>30402.61</v>
      </c>
      <c r="D209">
        <v>100683</v>
      </c>
      <c r="E209">
        <v>172981</v>
      </c>
      <c r="F209">
        <v>3.2032400000000003E-2</v>
      </c>
      <c r="G209">
        <f t="shared" si="9"/>
        <v>32032.400000000001</v>
      </c>
      <c r="H209" s="51">
        <f t="shared" si="10"/>
        <v>5540996584.4000006</v>
      </c>
      <c r="I209">
        <v>81.629109999999997</v>
      </c>
      <c r="J209">
        <v>10.322279999999999</v>
      </c>
      <c r="K209">
        <v>-3.4410069999999999</v>
      </c>
      <c r="L209">
        <v>7.3405310000000004</v>
      </c>
      <c r="M209">
        <v>-1.6208309999999999</v>
      </c>
      <c r="N209">
        <v>12.06094</v>
      </c>
      <c r="O209">
        <v>9.9139999999999992E-4</v>
      </c>
      <c r="P209">
        <v>0</v>
      </c>
      <c r="Q209">
        <v>737.22469999999998</v>
      </c>
      <c r="R209">
        <v>1541.53</v>
      </c>
      <c r="S209">
        <v>0</v>
      </c>
      <c r="T209">
        <v>0</v>
      </c>
      <c r="U209">
        <v>171.58420000000001</v>
      </c>
      <c r="V209">
        <v>172981</v>
      </c>
      <c r="W209">
        <v>0</v>
      </c>
      <c r="X209">
        <v>9.9189999999999999E-4</v>
      </c>
      <c r="Y209">
        <v>0</v>
      </c>
      <c r="Z209">
        <v>0.1153019</v>
      </c>
      <c r="AB209">
        <v>184</v>
      </c>
      <c r="AE209">
        <v>0</v>
      </c>
      <c r="AF209">
        <v>2.101998</v>
      </c>
      <c r="AG209">
        <v>10.423579999999999</v>
      </c>
      <c r="AH209">
        <v>11.29034</v>
      </c>
      <c r="AJ209">
        <v>10.441330000000001</v>
      </c>
      <c r="AK209">
        <v>10.71851</v>
      </c>
      <c r="AL209">
        <v>10.56747</v>
      </c>
      <c r="AM209">
        <v>9.9537840000000006</v>
      </c>
      <c r="AN209">
        <v>10.254849999999999</v>
      </c>
      <c r="AP209">
        <v>10.57978</v>
      </c>
      <c r="AQ209">
        <v>10.193530000000001</v>
      </c>
      <c r="AR209">
        <v>10.344939999999999</v>
      </c>
      <c r="AS209">
        <v>10.706720000000001</v>
      </c>
      <c r="AT209">
        <v>10.00989</v>
      </c>
      <c r="AU209">
        <v>9.8262610000000006</v>
      </c>
      <c r="AV209">
        <v>10.392709999999999</v>
      </c>
      <c r="AW209">
        <v>9.4007290000000001</v>
      </c>
      <c r="AX209">
        <v>9.3243369999999999</v>
      </c>
      <c r="AY209">
        <v>9.8852740000000008</v>
      </c>
      <c r="BA209">
        <v>0</v>
      </c>
      <c r="BB209" t="str">
        <f t="shared" si="11"/>
        <v/>
      </c>
      <c r="BC209">
        <v>623726</v>
      </c>
      <c r="BD209">
        <v>1488.13</v>
      </c>
      <c r="BE209">
        <v>68880737</v>
      </c>
      <c r="BF209">
        <v>26.594999999999999</v>
      </c>
      <c r="BG209">
        <v>1538.1015</v>
      </c>
      <c r="BH209">
        <v>26.59500237</v>
      </c>
    </row>
    <row r="210" spans="1:60">
      <c r="A210">
        <v>33780</v>
      </c>
      <c r="B210" t="s">
        <v>1230</v>
      </c>
      <c r="C210">
        <v>36867.79</v>
      </c>
      <c r="D210">
        <v>58328</v>
      </c>
      <c r="E210">
        <v>152870</v>
      </c>
      <c r="F210">
        <v>2.1796300000000001E-2</v>
      </c>
      <c r="G210">
        <f t="shared" si="9"/>
        <v>21796.3</v>
      </c>
      <c r="H210" s="51">
        <f t="shared" si="10"/>
        <v>3332000381.0000005</v>
      </c>
      <c r="I210">
        <v>63.480429999999998</v>
      </c>
      <c r="J210">
        <v>10.515090000000001</v>
      </c>
      <c r="K210">
        <v>-3.8260149999999999</v>
      </c>
      <c r="L210">
        <v>7.032864</v>
      </c>
      <c r="M210">
        <v>-1.973376</v>
      </c>
      <c r="N210">
        <v>11.937340000000001</v>
      </c>
      <c r="O210">
        <v>1.0578E-3</v>
      </c>
      <c r="P210">
        <v>0</v>
      </c>
      <c r="Q210">
        <v>375.4228</v>
      </c>
      <c r="R210">
        <v>1133.271</v>
      </c>
      <c r="S210">
        <v>0</v>
      </c>
      <c r="T210">
        <v>0</v>
      </c>
      <c r="U210">
        <v>161.7971</v>
      </c>
      <c r="V210">
        <v>152870</v>
      </c>
      <c r="W210">
        <v>0</v>
      </c>
      <c r="X210">
        <v>1.0583999999999999E-3</v>
      </c>
      <c r="Y210">
        <v>0</v>
      </c>
      <c r="Z210">
        <v>0.2935893</v>
      </c>
      <c r="AE210">
        <v>0</v>
      </c>
      <c r="AF210">
        <v>2.548772</v>
      </c>
      <c r="AJ210">
        <v>10.67844</v>
      </c>
      <c r="AK210">
        <v>10.867979999999999</v>
      </c>
      <c r="AL210">
        <v>10.72925</v>
      </c>
      <c r="AM210">
        <v>9.975244</v>
      </c>
      <c r="AN210">
        <v>10.459720000000001</v>
      </c>
      <c r="AO210">
        <v>10.456009999999999</v>
      </c>
      <c r="AP210">
        <v>10.542210000000001</v>
      </c>
      <c r="AQ210">
        <v>9.8971499999999999</v>
      </c>
      <c r="AS210">
        <v>11.35768</v>
      </c>
      <c r="AT210">
        <v>10.03332</v>
      </c>
      <c r="AU210">
        <v>10.07267</v>
      </c>
      <c r="AV210">
        <v>10.440580000000001</v>
      </c>
      <c r="AW210">
        <v>9.6566510000000001</v>
      </c>
      <c r="AX210">
        <v>9.2251290000000008</v>
      </c>
      <c r="AY210">
        <v>10.178839999999999</v>
      </c>
      <c r="BB210" t="str">
        <f t="shared" si="11"/>
        <v/>
      </c>
      <c r="BD210">
        <v>551.10029999999995</v>
      </c>
      <c r="BE210">
        <v>15527066</v>
      </c>
      <c r="BF210">
        <v>5.9950340000000004</v>
      </c>
      <c r="BG210">
        <v>680.01831000000004</v>
      </c>
      <c r="BH210">
        <v>5.9950339540000002</v>
      </c>
    </row>
    <row r="211" spans="1:60">
      <c r="A211">
        <v>33860</v>
      </c>
      <c r="B211" t="s">
        <v>995</v>
      </c>
      <c r="C211">
        <v>32845.410000000003</v>
      </c>
      <c r="D211">
        <v>235414</v>
      </c>
      <c r="E211">
        <v>365596</v>
      </c>
      <c r="F211">
        <v>3.0719699999999999E-2</v>
      </c>
      <c r="G211">
        <f t="shared" si="9"/>
        <v>30719.7</v>
      </c>
      <c r="H211" s="51">
        <f t="shared" si="10"/>
        <v>11230999441.199999</v>
      </c>
      <c r="I211">
        <v>134.16059999999999</v>
      </c>
      <c r="J211">
        <v>10.399570000000001</v>
      </c>
      <c r="K211">
        <v>-3.4828510000000001</v>
      </c>
      <c r="L211">
        <v>7.011088</v>
      </c>
      <c r="M211">
        <v>-1.4687479999999999</v>
      </c>
      <c r="N211">
        <v>12.809279999999999</v>
      </c>
      <c r="O211">
        <v>1.3588000000000001E-3</v>
      </c>
      <c r="P211">
        <v>0</v>
      </c>
      <c r="Q211">
        <v>920.45630000000006</v>
      </c>
      <c r="R211">
        <v>1108.8599999999999</v>
      </c>
      <c r="S211">
        <v>0</v>
      </c>
      <c r="T211">
        <v>0</v>
      </c>
      <c r="U211">
        <v>497.12389999999999</v>
      </c>
      <c r="V211">
        <v>365596</v>
      </c>
      <c r="W211">
        <v>0</v>
      </c>
      <c r="X211">
        <v>1.3598E-3</v>
      </c>
      <c r="Y211">
        <v>0</v>
      </c>
      <c r="Z211">
        <v>0.18243590000000001</v>
      </c>
      <c r="AB211">
        <v>223</v>
      </c>
      <c r="AE211">
        <v>0</v>
      </c>
      <c r="AF211">
        <v>3.705438</v>
      </c>
      <c r="AG211">
        <v>10.849410000000001</v>
      </c>
      <c r="AH211">
        <v>10.56574</v>
      </c>
      <c r="AI211">
        <v>11.15476</v>
      </c>
      <c r="AJ211">
        <v>10.49948</v>
      </c>
      <c r="AK211">
        <v>10.66935</v>
      </c>
      <c r="AL211">
        <v>10.69069</v>
      </c>
      <c r="AM211">
        <v>9.9786129999999993</v>
      </c>
      <c r="AN211">
        <v>10.43694</v>
      </c>
      <c r="AO211">
        <v>10.63496</v>
      </c>
      <c r="AP211">
        <v>10.83276</v>
      </c>
      <c r="AQ211">
        <v>10.32741</v>
      </c>
      <c r="AR211">
        <v>10.94042</v>
      </c>
      <c r="AS211">
        <v>10.873239999999999</v>
      </c>
      <c r="AT211">
        <v>9.7956500000000002</v>
      </c>
      <c r="AU211">
        <v>10.28457</v>
      </c>
      <c r="AV211">
        <v>10.5761</v>
      </c>
      <c r="AW211">
        <v>9.7830840000000006</v>
      </c>
      <c r="AX211">
        <v>9.3647740000000006</v>
      </c>
      <c r="AY211">
        <v>10.087540000000001</v>
      </c>
      <c r="BA211">
        <v>0</v>
      </c>
      <c r="BB211" t="str">
        <f t="shared" si="11"/>
        <v/>
      </c>
      <c r="BD211">
        <v>2724.9229999999998</v>
      </c>
      <c r="BE211">
        <v>252292863</v>
      </c>
      <c r="BF211">
        <v>97.410820000000001</v>
      </c>
      <c r="BG211">
        <v>2786.4047</v>
      </c>
      <c r="BH211">
        <v>97.410823140000005</v>
      </c>
    </row>
    <row r="212" spans="1:60">
      <c r="A212">
        <v>34060</v>
      </c>
      <c r="B212" t="s">
        <v>455</v>
      </c>
      <c r="C212">
        <v>32752.75</v>
      </c>
      <c r="D212">
        <v>75249</v>
      </c>
      <c r="E212">
        <v>118931</v>
      </c>
      <c r="F212">
        <v>3.3935600000000003E-2</v>
      </c>
      <c r="G212">
        <f t="shared" si="9"/>
        <v>33935.600000000006</v>
      </c>
      <c r="H212" s="51">
        <f t="shared" si="10"/>
        <v>4035994843.6000004</v>
      </c>
      <c r="I212">
        <v>36.589129999999997</v>
      </c>
      <c r="J212">
        <v>10.396739999999999</v>
      </c>
      <c r="K212">
        <v>-3.383289</v>
      </c>
      <c r="L212">
        <v>7.0884460000000002</v>
      </c>
      <c r="M212">
        <v>-1.5109250000000001</v>
      </c>
      <c r="N212">
        <v>11.686299999999999</v>
      </c>
      <c r="O212">
        <v>1.918E-3</v>
      </c>
      <c r="P212">
        <v>0</v>
      </c>
      <c r="Q212">
        <v>883.13109999999995</v>
      </c>
      <c r="R212">
        <v>1198.0440000000001</v>
      </c>
      <c r="S212">
        <v>0</v>
      </c>
      <c r="T212">
        <v>0</v>
      </c>
      <c r="U212">
        <v>228.32579999999999</v>
      </c>
      <c r="V212">
        <v>118931</v>
      </c>
      <c r="W212">
        <v>0</v>
      </c>
      <c r="X212">
        <v>1.9197999999999999E-3</v>
      </c>
      <c r="Y212">
        <v>0</v>
      </c>
      <c r="Z212">
        <v>0.22618089999999999</v>
      </c>
      <c r="AB212">
        <v>276</v>
      </c>
      <c r="AE212">
        <v>0</v>
      </c>
      <c r="AF212">
        <v>6.2402629999999997</v>
      </c>
      <c r="AG212">
        <v>9.9020779999999995</v>
      </c>
      <c r="AH212">
        <v>10.98551</v>
      </c>
      <c r="AJ212">
        <v>10.512650000000001</v>
      </c>
      <c r="AK212">
        <v>10.790839999999999</v>
      </c>
      <c r="AL212">
        <v>10.63392</v>
      </c>
      <c r="AM212">
        <v>9.8093400000000006</v>
      </c>
      <c r="AN212">
        <v>10.534319999999999</v>
      </c>
      <c r="AO212">
        <v>10.65734</v>
      </c>
      <c r="AP212">
        <v>10.75623</v>
      </c>
      <c r="AQ212">
        <v>10.0519</v>
      </c>
      <c r="AR212">
        <v>10.88598</v>
      </c>
      <c r="AS212">
        <v>10.63034</v>
      </c>
      <c r="AT212">
        <v>10.160439999999999</v>
      </c>
      <c r="AU212">
        <v>9.9532530000000001</v>
      </c>
      <c r="AV212">
        <v>10.594250000000001</v>
      </c>
      <c r="AW212">
        <v>9.6048050000000007</v>
      </c>
      <c r="AX212">
        <v>9.3502159999999996</v>
      </c>
      <c r="AY212">
        <v>9.939584</v>
      </c>
      <c r="BA212">
        <v>0</v>
      </c>
      <c r="BB212" t="str">
        <f t="shared" si="11"/>
        <v/>
      </c>
      <c r="BC212">
        <v>945902</v>
      </c>
      <c r="BD212">
        <v>1009.4829999999999</v>
      </c>
      <c r="BE212">
        <v>22751275</v>
      </c>
      <c r="BF212">
        <v>8.7843160000000005</v>
      </c>
      <c r="BG212">
        <v>1017.2602000000001</v>
      </c>
      <c r="BH212">
        <v>8.7843167609999995</v>
      </c>
    </row>
    <row r="213" spans="1:60">
      <c r="A213">
        <v>34100</v>
      </c>
      <c r="B213" t="s">
        <v>1231</v>
      </c>
      <c r="C213">
        <v>29160.37</v>
      </c>
      <c r="D213">
        <v>69332</v>
      </c>
      <c r="E213">
        <v>136579</v>
      </c>
      <c r="F213">
        <v>2.3978800000000002E-2</v>
      </c>
      <c r="G213">
        <f t="shared" si="9"/>
        <v>23978.800000000003</v>
      </c>
      <c r="H213" s="51">
        <f t="shared" si="10"/>
        <v>3275000525.2000003</v>
      </c>
      <c r="I213">
        <v>45.472520000000003</v>
      </c>
      <c r="J213">
        <v>10.280570000000001</v>
      </c>
      <c r="K213">
        <v>-3.730585</v>
      </c>
      <c r="L213">
        <v>6.7516850000000002</v>
      </c>
      <c r="M213">
        <v>-2.115332</v>
      </c>
      <c r="N213">
        <v>11.82466</v>
      </c>
      <c r="O213">
        <v>1.3757999999999999E-3</v>
      </c>
      <c r="P213">
        <v>0</v>
      </c>
      <c r="Q213">
        <v>547.7595</v>
      </c>
      <c r="R213">
        <v>855.4991</v>
      </c>
      <c r="S213">
        <v>0</v>
      </c>
      <c r="T213">
        <v>0</v>
      </c>
      <c r="U213">
        <v>188.02969999999999</v>
      </c>
      <c r="V213">
        <v>136579</v>
      </c>
      <c r="W213">
        <v>0</v>
      </c>
      <c r="X213">
        <v>1.3767E-3</v>
      </c>
      <c r="Y213">
        <v>0</v>
      </c>
      <c r="Z213">
        <v>0.26291369999999997</v>
      </c>
      <c r="AE213">
        <v>0</v>
      </c>
      <c r="AF213">
        <v>4.1350189999999998</v>
      </c>
      <c r="AJ213">
        <v>10.26834</v>
      </c>
      <c r="AK213">
        <v>10.46679</v>
      </c>
      <c r="AL213">
        <v>10.64522</v>
      </c>
      <c r="AM213">
        <v>9.9611070000000002</v>
      </c>
      <c r="AN213">
        <v>10.49492</v>
      </c>
      <c r="AO213">
        <v>10.60294</v>
      </c>
      <c r="AP213">
        <v>10.49249</v>
      </c>
      <c r="AQ213">
        <v>10.43322</v>
      </c>
      <c r="AR213">
        <v>10.337149999999999</v>
      </c>
      <c r="AT213">
        <v>9.8972370000000005</v>
      </c>
      <c r="AU213">
        <v>9.5841999999999992</v>
      </c>
      <c r="AV213">
        <v>10.36683</v>
      </c>
      <c r="AW213">
        <v>10.85998</v>
      </c>
      <c r="AX213">
        <v>9.3252590000000009</v>
      </c>
      <c r="AY213">
        <v>9.9339980000000008</v>
      </c>
      <c r="BB213" t="str">
        <f t="shared" si="11"/>
        <v/>
      </c>
      <c r="BD213">
        <v>715.17669999999998</v>
      </c>
      <c r="BE213">
        <v>59214061</v>
      </c>
      <c r="BF213">
        <v>22.862680000000001</v>
      </c>
      <c r="BG213">
        <v>792.56645000000003</v>
      </c>
      <c r="BH213">
        <v>22.862677739999999</v>
      </c>
    </row>
    <row r="214" spans="1:60">
      <c r="A214">
        <v>34580</v>
      </c>
      <c r="B214" t="s">
        <v>996</v>
      </c>
      <c r="C214">
        <v>35154.550000000003</v>
      </c>
      <c r="D214">
        <v>68113</v>
      </c>
      <c r="E214">
        <v>118373</v>
      </c>
      <c r="F214">
        <v>3.4306799999999998E-2</v>
      </c>
      <c r="G214">
        <f t="shared" si="9"/>
        <v>34306.799999999996</v>
      </c>
      <c r="H214" s="51">
        <f t="shared" si="10"/>
        <v>4060998836.3999996</v>
      </c>
      <c r="I214">
        <v>41.675930000000001</v>
      </c>
      <c r="J214">
        <v>10.467510000000001</v>
      </c>
      <c r="K214">
        <v>-3.372411</v>
      </c>
      <c r="L214">
        <v>6.9320089999999999</v>
      </c>
      <c r="M214">
        <v>-1.560338</v>
      </c>
      <c r="N214">
        <v>11.6816</v>
      </c>
      <c r="O214">
        <v>1.2024E-3</v>
      </c>
      <c r="P214">
        <v>0</v>
      </c>
      <c r="Q214">
        <v>681.6884</v>
      </c>
      <c r="R214">
        <v>1024.55</v>
      </c>
      <c r="S214">
        <v>0</v>
      </c>
      <c r="T214">
        <v>0</v>
      </c>
      <c r="U214">
        <v>142.4118</v>
      </c>
      <c r="V214">
        <v>118373</v>
      </c>
      <c r="W214">
        <v>0</v>
      </c>
      <c r="X214">
        <v>1.2030999999999999E-3</v>
      </c>
      <c r="Y214">
        <v>0</v>
      </c>
      <c r="Z214">
        <v>8.2075200000000001E-2</v>
      </c>
      <c r="AE214">
        <v>0</v>
      </c>
      <c r="AF214">
        <v>3.4171239999999998</v>
      </c>
      <c r="AH214">
        <v>10.776870000000001</v>
      </c>
      <c r="AJ214">
        <v>10.844139999999999</v>
      </c>
      <c r="AK214">
        <v>10.77117</v>
      </c>
      <c r="AL214">
        <v>10.63977</v>
      </c>
      <c r="AM214">
        <v>10.11609</v>
      </c>
      <c r="AN214">
        <v>10.5999</v>
      </c>
      <c r="AO214">
        <v>10.66652</v>
      </c>
      <c r="AP214">
        <v>10.701700000000001</v>
      </c>
      <c r="AQ214">
        <v>10.241009999999999</v>
      </c>
      <c r="AR214">
        <v>10.683199999999999</v>
      </c>
      <c r="AS214">
        <v>11.15574</v>
      </c>
      <c r="AT214">
        <v>10.388070000000001</v>
      </c>
      <c r="AU214">
        <v>10.11974</v>
      </c>
      <c r="AV214">
        <v>10.57358</v>
      </c>
      <c r="AW214">
        <v>9.9317639999999994</v>
      </c>
      <c r="AX214">
        <v>9.6616929999999996</v>
      </c>
      <c r="AY214">
        <v>10.04983</v>
      </c>
      <c r="BB214" t="str">
        <f t="shared" si="11"/>
        <v/>
      </c>
      <c r="BD214">
        <v>1735.1379999999999</v>
      </c>
      <c r="BE214">
        <v>43864593</v>
      </c>
      <c r="BF214">
        <v>16.936209999999999</v>
      </c>
      <c r="BG214">
        <v>1920.1143999999999</v>
      </c>
      <c r="BH214">
        <v>16.936214759999999</v>
      </c>
    </row>
    <row r="215" spans="1:60">
      <c r="A215">
        <v>34620</v>
      </c>
      <c r="B215" t="s">
        <v>456</v>
      </c>
      <c r="C215">
        <v>29640.58</v>
      </c>
      <c r="D215">
        <v>62966</v>
      </c>
      <c r="E215">
        <v>114897</v>
      </c>
      <c r="F215">
        <v>2.3281699999999999E-2</v>
      </c>
      <c r="G215">
        <f t="shared" si="9"/>
        <v>23281.7</v>
      </c>
      <c r="H215" s="51">
        <f t="shared" si="10"/>
        <v>2674997484.9000001</v>
      </c>
      <c r="I215">
        <v>43.731360000000002</v>
      </c>
      <c r="J215">
        <v>10.296900000000001</v>
      </c>
      <c r="K215">
        <v>-3.760087</v>
      </c>
      <c r="L215">
        <v>7.098624</v>
      </c>
      <c r="M215">
        <v>-1.703867</v>
      </c>
      <c r="N215">
        <v>11.65179</v>
      </c>
      <c r="O215">
        <v>1.1881000000000001E-3</v>
      </c>
      <c r="P215">
        <v>0</v>
      </c>
      <c r="Q215">
        <v>787.37540000000001</v>
      </c>
      <c r="R215">
        <v>1210.3</v>
      </c>
      <c r="S215">
        <v>0</v>
      </c>
      <c r="T215">
        <v>0</v>
      </c>
      <c r="U215">
        <v>136.59049999999999</v>
      </c>
      <c r="V215">
        <v>114897</v>
      </c>
      <c r="W215">
        <v>0</v>
      </c>
      <c r="X215">
        <v>1.1888000000000001E-3</v>
      </c>
      <c r="Y215">
        <v>0</v>
      </c>
      <c r="Z215">
        <v>0.34730080000000002</v>
      </c>
      <c r="AB215">
        <v>215</v>
      </c>
      <c r="AE215">
        <v>0</v>
      </c>
      <c r="AF215">
        <v>3.1234000000000002</v>
      </c>
      <c r="AJ215">
        <v>10.60225</v>
      </c>
      <c r="AK215">
        <v>10.61383</v>
      </c>
      <c r="AL215">
        <v>10.65479</v>
      </c>
      <c r="AM215">
        <v>9.9139490000000006</v>
      </c>
      <c r="AN215">
        <v>10.65573</v>
      </c>
      <c r="AP215">
        <v>10.64161</v>
      </c>
      <c r="AQ215">
        <v>10.46942</v>
      </c>
      <c r="AR215">
        <v>10.58812</v>
      </c>
      <c r="AT215">
        <v>10.120900000000001</v>
      </c>
      <c r="AU215">
        <v>9.4118340000000007</v>
      </c>
      <c r="AV215">
        <v>10.36284</v>
      </c>
      <c r="AW215">
        <v>9.4790949999999992</v>
      </c>
      <c r="AX215">
        <v>9.2124009999999998</v>
      </c>
      <c r="AY215">
        <v>9.8900330000000007</v>
      </c>
      <c r="BA215">
        <v>0</v>
      </c>
      <c r="BB215" t="str">
        <f t="shared" si="11"/>
        <v/>
      </c>
      <c r="BC215">
        <v>862554</v>
      </c>
      <c r="BD215">
        <v>393.29180000000002</v>
      </c>
      <c r="BE215">
        <v>70074955</v>
      </c>
      <c r="BF215">
        <v>27.056090000000001</v>
      </c>
      <c r="BG215">
        <v>395.90908000000002</v>
      </c>
      <c r="BH215">
        <v>27.056092540000002</v>
      </c>
    </row>
    <row r="216" spans="1:60">
      <c r="A216">
        <v>34740</v>
      </c>
      <c r="B216" t="s">
        <v>457</v>
      </c>
      <c r="C216">
        <v>33652.78</v>
      </c>
      <c r="D216">
        <v>84059</v>
      </c>
      <c r="E216">
        <v>174569</v>
      </c>
      <c r="F216">
        <v>2.38301E-2</v>
      </c>
      <c r="G216">
        <f t="shared" si="9"/>
        <v>23830.1</v>
      </c>
      <c r="H216" s="51">
        <f t="shared" si="10"/>
        <v>4159996726.9000001</v>
      </c>
      <c r="I216">
        <v>77.406940000000006</v>
      </c>
      <c r="J216">
        <v>10.42385</v>
      </c>
      <c r="K216">
        <v>-3.7368049999999999</v>
      </c>
      <c r="L216">
        <v>6.8943070000000004</v>
      </c>
      <c r="M216">
        <v>-1.985557</v>
      </c>
      <c r="N216">
        <v>12.070080000000001</v>
      </c>
      <c r="O216">
        <v>5.953E-4</v>
      </c>
      <c r="P216">
        <v>0</v>
      </c>
      <c r="Q216">
        <v>598.17629999999997</v>
      </c>
      <c r="R216">
        <v>986.64179999999999</v>
      </c>
      <c r="S216">
        <v>0</v>
      </c>
      <c r="T216">
        <v>0</v>
      </c>
      <c r="U216">
        <v>103.9478</v>
      </c>
      <c r="V216">
        <v>174569</v>
      </c>
      <c r="W216">
        <v>0</v>
      </c>
      <c r="X216">
        <v>5.955E-4</v>
      </c>
      <c r="Y216">
        <v>0</v>
      </c>
      <c r="Z216">
        <v>0.20417299999999999</v>
      </c>
      <c r="AB216">
        <v>146</v>
      </c>
      <c r="AE216">
        <v>0</v>
      </c>
      <c r="AF216">
        <v>1.342875</v>
      </c>
      <c r="AJ216">
        <v>10.82991</v>
      </c>
      <c r="AK216">
        <v>10.750069999999999</v>
      </c>
      <c r="AL216">
        <v>10.79669</v>
      </c>
      <c r="AM216">
        <v>9.9070330000000002</v>
      </c>
      <c r="AN216">
        <v>10.587149999999999</v>
      </c>
      <c r="AO216">
        <v>10.58006</v>
      </c>
      <c r="AP216">
        <v>10.56466</v>
      </c>
      <c r="AQ216">
        <v>10.26581</v>
      </c>
      <c r="AR216">
        <v>10.72701</v>
      </c>
      <c r="AS216">
        <v>11.061070000000001</v>
      </c>
      <c r="AT216">
        <v>9.7318060000000006</v>
      </c>
      <c r="AU216">
        <v>10.02169</v>
      </c>
      <c r="AV216">
        <v>10.599399999999999</v>
      </c>
      <c r="AW216">
        <v>10.09792</v>
      </c>
      <c r="AX216">
        <v>9.3718629999999994</v>
      </c>
      <c r="AY216">
        <v>9.7844759999999997</v>
      </c>
      <c r="BA216">
        <v>0</v>
      </c>
      <c r="BB216" t="str">
        <f t="shared" si="11"/>
        <v/>
      </c>
      <c r="BC216">
        <v>415818</v>
      </c>
      <c r="BD216">
        <v>509.11649999999997</v>
      </c>
      <c r="BE216">
        <v>74829791</v>
      </c>
      <c r="BF216">
        <v>28.891940000000002</v>
      </c>
      <c r="BG216">
        <v>1460.0229999999999</v>
      </c>
      <c r="BH216">
        <v>28.891945060000001</v>
      </c>
    </row>
    <row r="217" spans="1:60">
      <c r="A217">
        <v>34820</v>
      </c>
      <c r="B217" t="s">
        <v>458</v>
      </c>
      <c r="C217">
        <v>25575.77</v>
      </c>
      <c r="D217">
        <v>154966</v>
      </c>
      <c r="E217">
        <v>258790</v>
      </c>
      <c r="F217">
        <v>3.2393100000000001E-2</v>
      </c>
      <c r="G217">
        <f t="shared" si="9"/>
        <v>32393.100000000002</v>
      </c>
      <c r="H217" s="51">
        <f t="shared" si="10"/>
        <v>8383010349</v>
      </c>
      <c r="I217">
        <v>97.99776</v>
      </c>
      <c r="J217">
        <v>10.1494</v>
      </c>
      <c r="K217">
        <v>-3.4298109999999999</v>
      </c>
      <c r="L217">
        <v>7.2333069999999999</v>
      </c>
      <c r="M217">
        <v>-1.6512</v>
      </c>
      <c r="N217">
        <v>12.46377</v>
      </c>
      <c r="O217">
        <v>1.0020999999999999E-3</v>
      </c>
      <c r="P217">
        <v>0</v>
      </c>
      <c r="Q217">
        <v>868.37699999999995</v>
      </c>
      <c r="R217">
        <v>1384.7940000000001</v>
      </c>
      <c r="S217">
        <v>0</v>
      </c>
      <c r="T217">
        <v>0</v>
      </c>
      <c r="U217">
        <v>259.45999999999998</v>
      </c>
      <c r="V217">
        <v>258790</v>
      </c>
      <c r="W217">
        <v>0</v>
      </c>
      <c r="X217">
        <v>1.0026E-3</v>
      </c>
      <c r="Y217">
        <v>0</v>
      </c>
      <c r="Z217">
        <v>0.22886490000000001</v>
      </c>
      <c r="AB217">
        <v>147</v>
      </c>
      <c r="AE217">
        <v>0</v>
      </c>
      <c r="AF217">
        <v>2.6476120000000001</v>
      </c>
      <c r="AG217">
        <v>10.484870000000001</v>
      </c>
      <c r="AH217">
        <v>10.675179999999999</v>
      </c>
      <c r="AI217">
        <v>10.71209</v>
      </c>
      <c r="AJ217">
        <v>10.3245</v>
      </c>
      <c r="AK217">
        <v>10.572150000000001</v>
      </c>
      <c r="AL217">
        <v>10.499499999999999</v>
      </c>
      <c r="AM217">
        <v>9.9604060000000008</v>
      </c>
      <c r="AN217">
        <v>10.241910000000001</v>
      </c>
      <c r="AO217">
        <v>10.65978</v>
      </c>
      <c r="AP217">
        <v>10.74015</v>
      </c>
      <c r="AQ217">
        <v>10.2759</v>
      </c>
      <c r="AR217">
        <v>10.56156</v>
      </c>
      <c r="AS217">
        <v>10.958970000000001</v>
      </c>
      <c r="AT217">
        <v>9.9701079999999997</v>
      </c>
      <c r="AU217">
        <v>9.8999100000000002</v>
      </c>
      <c r="AV217">
        <v>10.588800000000001</v>
      </c>
      <c r="AW217">
        <v>9.8374520000000008</v>
      </c>
      <c r="AX217">
        <v>9.6147320000000001</v>
      </c>
      <c r="AY217">
        <v>9.9259869999999992</v>
      </c>
      <c r="BA217">
        <v>0</v>
      </c>
      <c r="BB217" t="str">
        <f t="shared" si="11"/>
        <v/>
      </c>
      <c r="BC217">
        <v>797732</v>
      </c>
      <c r="BD217">
        <v>1133.682</v>
      </c>
      <c r="BE217">
        <v>114950827</v>
      </c>
      <c r="BF217">
        <v>44.382759999999998</v>
      </c>
      <c r="BG217">
        <v>1255.0025000000001</v>
      </c>
      <c r="BH217">
        <v>44.38276432</v>
      </c>
    </row>
    <row r="218" spans="1:60">
      <c r="A218">
        <v>34900</v>
      </c>
      <c r="B218" t="s">
        <v>997</v>
      </c>
      <c r="C218">
        <v>43822.07</v>
      </c>
      <c r="D218">
        <v>92995</v>
      </c>
      <c r="E218">
        <v>133591</v>
      </c>
      <c r="F218">
        <v>4.9853700000000001E-2</v>
      </c>
      <c r="G218">
        <f t="shared" si="9"/>
        <v>49853.700000000004</v>
      </c>
      <c r="H218" s="51">
        <f t="shared" si="10"/>
        <v>6660005636.6999998</v>
      </c>
      <c r="I218">
        <v>35.708260000000003</v>
      </c>
      <c r="J218">
        <v>10.687889999999999</v>
      </c>
      <c r="K218">
        <v>-2.9986630000000001</v>
      </c>
      <c r="L218">
        <v>7.352201</v>
      </c>
      <c r="M218">
        <v>-1.2942009999999999</v>
      </c>
      <c r="N218">
        <v>11.80254</v>
      </c>
      <c r="O218">
        <v>7.5480000000000002E-4</v>
      </c>
      <c r="P218">
        <v>0</v>
      </c>
      <c r="Q218">
        <v>1111.732</v>
      </c>
      <c r="R218">
        <v>1559.625</v>
      </c>
      <c r="S218">
        <v>0</v>
      </c>
      <c r="T218">
        <v>0</v>
      </c>
      <c r="U218">
        <v>100.87779999999999</v>
      </c>
      <c r="V218">
        <v>133591</v>
      </c>
      <c r="W218">
        <v>0</v>
      </c>
      <c r="X218">
        <v>7.5509999999999998E-4</v>
      </c>
      <c r="Y218">
        <v>0</v>
      </c>
      <c r="Z218">
        <v>0.1338375</v>
      </c>
      <c r="AE218">
        <v>0</v>
      </c>
      <c r="AF218">
        <v>2.825056</v>
      </c>
      <c r="AG218">
        <v>10.615640000000001</v>
      </c>
      <c r="AJ218">
        <v>10.82488</v>
      </c>
      <c r="AK218">
        <v>10.93535</v>
      </c>
      <c r="AL218">
        <v>11.02971</v>
      </c>
      <c r="AM218">
        <v>10.21557</v>
      </c>
      <c r="AN218">
        <v>10.792</v>
      </c>
      <c r="AO218">
        <v>11.1203</v>
      </c>
      <c r="AP218">
        <v>11.22217</v>
      </c>
      <c r="AQ218">
        <v>10.524290000000001</v>
      </c>
      <c r="AR218">
        <v>11.002179999999999</v>
      </c>
      <c r="AS218">
        <v>11.457929999999999</v>
      </c>
      <c r="AT218">
        <v>10.532500000000001</v>
      </c>
      <c r="AV218">
        <v>10.838200000000001</v>
      </c>
      <c r="AW218">
        <v>10.05902</v>
      </c>
      <c r="AX218">
        <v>10.072749999999999</v>
      </c>
      <c r="AY218">
        <v>10.37088</v>
      </c>
      <c r="AZ218">
        <v>9.0067419999999991</v>
      </c>
      <c r="BB218" t="str">
        <f t="shared" si="11"/>
        <v/>
      </c>
      <c r="BD218">
        <v>753.73360000000002</v>
      </c>
      <c r="BE218">
        <v>43417639</v>
      </c>
      <c r="BF218">
        <v>16.763639999999999</v>
      </c>
      <c r="BG218">
        <v>788.59564999999998</v>
      </c>
      <c r="BH218">
        <v>16.763644849999999</v>
      </c>
    </row>
    <row r="219" spans="1:60">
      <c r="A219">
        <v>34940</v>
      </c>
      <c r="B219" t="s">
        <v>459</v>
      </c>
      <c r="C219">
        <v>36657.72</v>
      </c>
      <c r="D219">
        <v>186669</v>
      </c>
      <c r="E219">
        <v>315533</v>
      </c>
      <c r="F219">
        <v>4.1580400000000003E-2</v>
      </c>
      <c r="G219">
        <f t="shared" si="9"/>
        <v>41580.400000000001</v>
      </c>
      <c r="H219" s="51">
        <f t="shared" si="10"/>
        <v>13119988353.200001</v>
      </c>
      <c r="I219">
        <v>139.53970000000001</v>
      </c>
      <c r="J219">
        <v>10.50938</v>
      </c>
      <c r="K219">
        <v>-3.1801249999999999</v>
      </c>
      <c r="L219">
        <v>7.2552099999999999</v>
      </c>
      <c r="M219">
        <v>-1.065062</v>
      </c>
      <c r="N219">
        <v>12.66202</v>
      </c>
      <c r="O219">
        <v>7.9009999999999996E-4</v>
      </c>
      <c r="P219">
        <v>0</v>
      </c>
      <c r="Q219">
        <v>724.75419999999997</v>
      </c>
      <c r="R219">
        <v>1415.46</v>
      </c>
      <c r="S219">
        <v>0</v>
      </c>
      <c r="T219">
        <v>0</v>
      </c>
      <c r="U219">
        <v>249.3861</v>
      </c>
      <c r="V219">
        <v>315533</v>
      </c>
      <c r="W219">
        <v>0</v>
      </c>
      <c r="X219">
        <v>7.9040000000000002E-4</v>
      </c>
      <c r="Y219">
        <v>0</v>
      </c>
      <c r="Z219">
        <v>0.1231328</v>
      </c>
      <c r="AB219">
        <v>162</v>
      </c>
      <c r="AE219">
        <v>0</v>
      </c>
      <c r="AF219">
        <v>1.7872049999999999</v>
      </c>
      <c r="AH219">
        <v>11.209</v>
      </c>
      <c r="AJ219">
        <v>10.637600000000001</v>
      </c>
      <c r="AK219">
        <v>10.656330000000001</v>
      </c>
      <c r="AL219">
        <v>10.99898</v>
      </c>
      <c r="AM219">
        <v>10.18726</v>
      </c>
      <c r="AN219">
        <v>10.29449</v>
      </c>
      <c r="AO219">
        <v>10.96744</v>
      </c>
      <c r="AP219">
        <v>11.21513</v>
      </c>
      <c r="AQ219">
        <v>10.477930000000001</v>
      </c>
      <c r="AR219">
        <v>11.00272</v>
      </c>
      <c r="AS219">
        <v>11.821300000000001</v>
      </c>
      <c r="AT219">
        <v>10.242229999999999</v>
      </c>
      <c r="AU219">
        <v>10.57371</v>
      </c>
      <c r="AV219">
        <v>10.78753</v>
      </c>
      <c r="AW219">
        <v>10.369669999999999</v>
      </c>
      <c r="AX219">
        <v>9.8163040000000006</v>
      </c>
      <c r="AY219">
        <v>10.14274</v>
      </c>
      <c r="BA219">
        <v>0</v>
      </c>
      <c r="BB219" t="str">
        <f t="shared" si="11"/>
        <v/>
      </c>
      <c r="BC219">
        <v>1214814</v>
      </c>
      <c r="BD219">
        <v>2025.3409999999999</v>
      </c>
      <c r="BE219">
        <v>50567946</v>
      </c>
      <c r="BF219">
        <v>19.52439</v>
      </c>
      <c r="BG219">
        <v>2308.4205000000002</v>
      </c>
      <c r="BH219">
        <v>19.52439394</v>
      </c>
    </row>
    <row r="220" spans="1:60">
      <c r="A220">
        <v>34980</v>
      </c>
      <c r="B220" t="s">
        <v>306</v>
      </c>
      <c r="C220">
        <v>40648.57</v>
      </c>
      <c r="D220">
        <v>1038536</v>
      </c>
      <c r="E220">
        <v>1556368</v>
      </c>
      <c r="F220">
        <v>4.6239700000000002E-2</v>
      </c>
      <c r="G220">
        <f t="shared" si="9"/>
        <v>46239.700000000004</v>
      </c>
      <c r="H220" s="51">
        <f t="shared" si="10"/>
        <v>71965989409.600006</v>
      </c>
      <c r="I220">
        <v>588.01869999999997</v>
      </c>
      <c r="J220">
        <v>10.612719999999999</v>
      </c>
      <c r="K220">
        <v>-3.0739160000000001</v>
      </c>
      <c r="L220">
        <v>7.2767109999999997</v>
      </c>
      <c r="M220">
        <v>-1.424382</v>
      </c>
      <c r="N220">
        <v>14.25787</v>
      </c>
      <c r="O220">
        <v>9.7849999999999999E-4</v>
      </c>
      <c r="P220">
        <v>2.0599999999999999E-5</v>
      </c>
      <c r="Q220">
        <v>1050.0940000000001</v>
      </c>
      <c r="R220">
        <v>1446.223</v>
      </c>
      <c r="S220">
        <v>1</v>
      </c>
      <c r="T220">
        <v>32</v>
      </c>
      <c r="U220">
        <v>1523.704</v>
      </c>
      <c r="V220">
        <v>1556368</v>
      </c>
      <c r="W220">
        <v>2.0599999999999999E-5</v>
      </c>
      <c r="X220">
        <v>9.7900000000000005E-4</v>
      </c>
      <c r="Y220">
        <v>5.6271999999999997E-3</v>
      </c>
      <c r="Z220">
        <v>0.26794259999999998</v>
      </c>
      <c r="AB220">
        <v>459</v>
      </c>
      <c r="AE220">
        <v>5.4420000000000003E-2</v>
      </c>
      <c r="AF220">
        <v>2.5912500000000001</v>
      </c>
      <c r="AJ220">
        <v>10.719290000000001</v>
      </c>
      <c r="AK220">
        <v>10.678269999999999</v>
      </c>
      <c r="AL220">
        <v>10.85806</v>
      </c>
      <c r="AM220">
        <v>10.05547</v>
      </c>
      <c r="AN220">
        <v>10.620900000000001</v>
      </c>
      <c r="AO220">
        <v>10.89859</v>
      </c>
      <c r="AP220">
        <v>11.067270000000001</v>
      </c>
      <c r="AQ220">
        <v>10.483140000000001</v>
      </c>
      <c r="AR220">
        <v>10.90817</v>
      </c>
      <c r="AS220">
        <v>11.44097</v>
      </c>
      <c r="AT220">
        <v>10.23236</v>
      </c>
      <c r="AU220">
        <v>10.437810000000001</v>
      </c>
      <c r="AV220">
        <v>10.766220000000001</v>
      </c>
      <c r="AW220">
        <v>10.69181</v>
      </c>
      <c r="AX220">
        <v>9.574147</v>
      </c>
      <c r="AY220">
        <v>10.136559999999999</v>
      </c>
      <c r="AZ220">
        <v>9.6715160000000004</v>
      </c>
      <c r="BA220">
        <v>95750</v>
      </c>
      <c r="BB220">
        <f t="shared" si="11"/>
        <v>2992.1875</v>
      </c>
      <c r="BC220">
        <v>4477224</v>
      </c>
      <c r="BD220">
        <v>5686.6809999999996</v>
      </c>
      <c r="BE220">
        <v>834137844</v>
      </c>
      <c r="BF220">
        <v>322.06240000000003</v>
      </c>
      <c r="BG220">
        <v>5762.5389999999998</v>
      </c>
      <c r="BH220">
        <v>322.0624358</v>
      </c>
    </row>
    <row r="221" spans="1:60">
      <c r="A221">
        <v>35380</v>
      </c>
      <c r="B221" t="s">
        <v>308</v>
      </c>
      <c r="C221">
        <v>41724.58</v>
      </c>
      <c r="D221">
        <v>710250</v>
      </c>
      <c r="E221">
        <v>1168547</v>
      </c>
      <c r="F221">
        <v>5.6378600000000001E-2</v>
      </c>
      <c r="G221">
        <f t="shared" si="9"/>
        <v>56378.6</v>
      </c>
      <c r="H221" s="51">
        <f t="shared" si="10"/>
        <v>65881043894.200005</v>
      </c>
      <c r="I221">
        <v>353.21100000000001</v>
      </c>
      <c r="J221">
        <v>10.63885</v>
      </c>
      <c r="K221">
        <v>-2.8756659999999998</v>
      </c>
      <c r="L221">
        <v>7.6484949999999996</v>
      </c>
      <c r="M221">
        <v>-1.5260670000000001</v>
      </c>
      <c r="N221">
        <v>13.971270000000001</v>
      </c>
      <c r="O221">
        <v>6.0780000000000003E-4</v>
      </c>
      <c r="P221">
        <v>1.1E-5</v>
      </c>
      <c r="Q221">
        <v>1173.9949999999999</v>
      </c>
      <c r="R221">
        <v>2097.4870000000001</v>
      </c>
      <c r="S221">
        <v>1</v>
      </c>
      <c r="T221">
        <v>12.9</v>
      </c>
      <c r="U221">
        <v>710.47400000000005</v>
      </c>
      <c r="V221">
        <v>1168547</v>
      </c>
      <c r="W221">
        <v>1.1E-5</v>
      </c>
      <c r="X221">
        <v>6.0800000000000003E-4</v>
      </c>
      <c r="Y221">
        <v>4.0908999999999997E-3</v>
      </c>
      <c r="Z221">
        <v>0.2253069</v>
      </c>
      <c r="AB221">
        <v>584</v>
      </c>
      <c r="AE221">
        <v>3.6522100000000002E-2</v>
      </c>
      <c r="AF221">
        <v>2.0114719999999999</v>
      </c>
      <c r="AG221">
        <v>11.28978</v>
      </c>
      <c r="AH221">
        <v>11.41259</v>
      </c>
      <c r="AJ221">
        <v>10.72133</v>
      </c>
      <c r="AK221">
        <v>11.05039</v>
      </c>
      <c r="AL221">
        <v>10.85425</v>
      </c>
      <c r="AM221">
        <v>10.08731</v>
      </c>
      <c r="AN221">
        <v>10.868309999999999</v>
      </c>
      <c r="AO221">
        <v>10.90761</v>
      </c>
      <c r="AP221">
        <v>11.00586</v>
      </c>
      <c r="AQ221">
        <v>10.4893</v>
      </c>
      <c r="AR221">
        <v>11.04053</v>
      </c>
      <c r="AS221">
        <v>11.699960000000001</v>
      </c>
      <c r="AT221">
        <v>10.29668</v>
      </c>
      <c r="AU221">
        <v>10.5707</v>
      </c>
      <c r="AV221">
        <v>10.63158</v>
      </c>
      <c r="AW221">
        <v>10.362769999999999</v>
      </c>
      <c r="AX221">
        <v>9.7731809999999992</v>
      </c>
      <c r="AY221">
        <v>10.179360000000001</v>
      </c>
      <c r="AZ221">
        <v>10.610010000000001</v>
      </c>
      <c r="BA221">
        <v>756815</v>
      </c>
      <c r="BB221">
        <f t="shared" si="11"/>
        <v>58667.829457364336</v>
      </c>
      <c r="BC221">
        <v>5131601</v>
      </c>
      <c r="BD221">
        <v>3153.3609999999999</v>
      </c>
      <c r="BE221">
        <v>280744102</v>
      </c>
      <c r="BF221">
        <v>108.3959</v>
      </c>
      <c r="BG221">
        <v>7612.7181</v>
      </c>
      <c r="BH221">
        <v>108.3959084</v>
      </c>
    </row>
    <row r="222" spans="1:60">
      <c r="A222">
        <v>35620</v>
      </c>
      <c r="B222" t="s">
        <v>310</v>
      </c>
      <c r="C222">
        <v>63346.31</v>
      </c>
      <c r="D222">
        <v>11166752</v>
      </c>
      <c r="E222">
        <v>18968501</v>
      </c>
      <c r="F222">
        <v>6.1040299999999999E-2</v>
      </c>
      <c r="G222">
        <f t="shared" si="9"/>
        <v>61040.299999999996</v>
      </c>
      <c r="H222" s="51">
        <f t="shared" si="10"/>
        <v>1157842991590.2998</v>
      </c>
      <c r="I222">
        <v>3436.74</v>
      </c>
      <c r="J222">
        <v>11.056369999999999</v>
      </c>
      <c r="K222">
        <v>-2.7962210000000001</v>
      </c>
      <c r="L222">
        <v>9.0840669999999992</v>
      </c>
      <c r="M222">
        <v>-1.1940299999999999</v>
      </c>
      <c r="N222">
        <v>16.758289999999999</v>
      </c>
      <c r="O222">
        <v>2.4699999999999999E-4</v>
      </c>
      <c r="P222">
        <v>6.5500000000000006E-5</v>
      </c>
      <c r="Q222">
        <v>2065.7289999999998</v>
      </c>
      <c r="R222">
        <v>8813.7450000000008</v>
      </c>
      <c r="S222">
        <v>1</v>
      </c>
      <c r="T222">
        <v>1243.2</v>
      </c>
      <c r="U222">
        <v>4686.38</v>
      </c>
      <c r="V222">
        <v>18968501</v>
      </c>
      <c r="W222">
        <v>6.5500000000000006E-5</v>
      </c>
      <c r="X222">
        <v>2.4709999999999999E-4</v>
      </c>
      <c r="Y222">
        <v>0.184839</v>
      </c>
      <c r="Z222">
        <v>0.69677109999999998</v>
      </c>
      <c r="AB222">
        <v>24109</v>
      </c>
      <c r="AE222">
        <v>0.36173820000000001</v>
      </c>
      <c r="AF222">
        <v>1.363612</v>
      </c>
      <c r="AG222">
        <v>10.79439</v>
      </c>
      <c r="AH222">
        <v>11.487740000000001</v>
      </c>
      <c r="AI222">
        <v>11.66892</v>
      </c>
      <c r="AJ222">
        <v>11.00065</v>
      </c>
      <c r="AK222">
        <v>10.8445</v>
      </c>
      <c r="AL222">
        <v>11.135199999999999</v>
      </c>
      <c r="AM222">
        <v>10.2464</v>
      </c>
      <c r="AN222">
        <v>10.654590000000001</v>
      </c>
      <c r="AO222">
        <v>11.411720000000001</v>
      </c>
      <c r="AP222">
        <v>12.17966</v>
      </c>
      <c r="AQ222">
        <v>10.91652</v>
      </c>
      <c r="AR222">
        <v>11.33872</v>
      </c>
      <c r="AS222">
        <v>11.784319999999999</v>
      </c>
      <c r="AT222">
        <v>10.53825</v>
      </c>
      <c r="AU222">
        <v>10.55382</v>
      </c>
      <c r="AV222">
        <v>10.73075</v>
      </c>
      <c r="AW222">
        <v>10.666790000000001</v>
      </c>
      <c r="AX222">
        <v>9.9561810000000008</v>
      </c>
      <c r="AY222">
        <v>10.400270000000001</v>
      </c>
      <c r="AZ222">
        <v>12.209099999999999</v>
      </c>
      <c r="BA222" s="14">
        <v>70300000</v>
      </c>
      <c r="BB222">
        <f t="shared" si="11"/>
        <v>56547.619047619046</v>
      </c>
      <c r="BC222" s="14">
        <v>412000000</v>
      </c>
      <c r="BD222">
        <v>6725.8519999999999</v>
      </c>
      <c r="BE222">
        <v>1018708740</v>
      </c>
      <c r="BF222">
        <v>393.32569999999998</v>
      </c>
      <c r="BG222">
        <v>9211.2209000000003</v>
      </c>
      <c r="BH222">
        <v>393.32566020000002</v>
      </c>
    </row>
    <row r="223" spans="1:60">
      <c r="A223">
        <v>35660</v>
      </c>
      <c r="B223" t="s">
        <v>460</v>
      </c>
      <c r="C223">
        <v>35029.129999999997</v>
      </c>
      <c r="D223">
        <v>87983</v>
      </c>
      <c r="E223">
        <v>160319</v>
      </c>
      <c r="F223">
        <v>3.0788599999999999E-2</v>
      </c>
      <c r="G223">
        <f t="shared" si="9"/>
        <v>30788.6</v>
      </c>
      <c r="H223" s="51">
        <f t="shared" si="10"/>
        <v>4935997563.4000006</v>
      </c>
      <c r="I223">
        <v>90.827510000000004</v>
      </c>
      <c r="J223">
        <v>10.46393</v>
      </c>
      <c r="K223">
        <v>-3.48061</v>
      </c>
      <c r="L223">
        <v>6.8368479999999998</v>
      </c>
      <c r="M223">
        <v>-1.60581</v>
      </c>
      <c r="N223">
        <v>11.984920000000001</v>
      </c>
      <c r="O223">
        <v>1.3817E-3</v>
      </c>
      <c r="P223">
        <v>0</v>
      </c>
      <c r="Q223">
        <v>467.61160000000001</v>
      </c>
      <c r="R223">
        <v>931.54859999999996</v>
      </c>
      <c r="S223">
        <v>0</v>
      </c>
      <c r="T223">
        <v>0</v>
      </c>
      <c r="U223">
        <v>221.66990000000001</v>
      </c>
      <c r="V223">
        <v>160319</v>
      </c>
      <c r="W223">
        <v>0</v>
      </c>
      <c r="X223">
        <v>1.3826999999999999E-3</v>
      </c>
      <c r="Y223">
        <v>0</v>
      </c>
      <c r="Z223">
        <v>0.38821359999999999</v>
      </c>
      <c r="AB223">
        <v>47</v>
      </c>
      <c r="AE223">
        <v>0</v>
      </c>
      <c r="AF223">
        <v>2.4405589999999999</v>
      </c>
      <c r="AH223">
        <v>11.37604</v>
      </c>
      <c r="AJ223">
        <v>10.65404</v>
      </c>
      <c r="AK223">
        <v>10.672280000000001</v>
      </c>
      <c r="AL223">
        <v>10.64883</v>
      </c>
      <c r="AM223">
        <v>9.9817499999999999</v>
      </c>
      <c r="AN223">
        <v>10.338010000000001</v>
      </c>
      <c r="AO223">
        <v>10.55855</v>
      </c>
      <c r="AP223">
        <v>10.580410000000001</v>
      </c>
      <c r="AQ223">
        <v>10.11158</v>
      </c>
      <c r="AR223">
        <v>10.813800000000001</v>
      </c>
      <c r="AT223">
        <v>10.03288</v>
      </c>
      <c r="AU223">
        <v>9.6223580000000002</v>
      </c>
      <c r="AV223">
        <v>10.458069999999999</v>
      </c>
      <c r="AW223">
        <v>9.6502300000000005</v>
      </c>
      <c r="AX223">
        <v>9.4720359999999992</v>
      </c>
      <c r="AY223">
        <v>9.9025110000000005</v>
      </c>
      <c r="AZ223">
        <v>10.021269999999999</v>
      </c>
      <c r="BA223">
        <v>0</v>
      </c>
      <c r="BB223" t="str">
        <f t="shared" si="11"/>
        <v/>
      </c>
      <c r="BC223">
        <v>53620</v>
      </c>
      <c r="BD223">
        <v>570.99980000000005</v>
      </c>
      <c r="BE223">
        <v>26159876</v>
      </c>
      <c r="BF223">
        <v>10.100379999999999</v>
      </c>
      <c r="BG223">
        <v>1581.4736</v>
      </c>
      <c r="BH223">
        <v>10.100385019999999</v>
      </c>
    </row>
    <row r="224" spans="1:60">
      <c r="A224">
        <v>36100</v>
      </c>
      <c r="B224" t="s">
        <v>998</v>
      </c>
      <c r="C224">
        <v>30394.76</v>
      </c>
      <c r="D224">
        <v>144635</v>
      </c>
      <c r="E224">
        <v>327172</v>
      </c>
      <c r="F224">
        <v>1.9821399999999999E-2</v>
      </c>
      <c r="G224">
        <f t="shared" si="9"/>
        <v>19821.399999999998</v>
      </c>
      <c r="H224" s="51">
        <f t="shared" si="10"/>
        <v>6485007080.8000002</v>
      </c>
      <c r="I224">
        <v>144.99950000000001</v>
      </c>
      <c r="J224">
        <v>10.32203</v>
      </c>
      <c r="K224">
        <v>-3.9209939999999999</v>
      </c>
      <c r="L224">
        <v>7.0541910000000003</v>
      </c>
      <c r="M224">
        <v>-1.7725789999999999</v>
      </c>
      <c r="N224">
        <v>12.69824</v>
      </c>
      <c r="O224">
        <v>9.2869999999999997E-4</v>
      </c>
      <c r="P224">
        <v>0</v>
      </c>
      <c r="Q224">
        <v>455.86349999999999</v>
      </c>
      <c r="R224">
        <v>1157.7</v>
      </c>
      <c r="S224">
        <v>0</v>
      </c>
      <c r="T224">
        <v>0</v>
      </c>
      <c r="U224">
        <v>303.97649999999999</v>
      </c>
      <c r="V224">
        <v>327172</v>
      </c>
      <c r="W224">
        <v>0</v>
      </c>
      <c r="X224">
        <v>9.2909999999999998E-4</v>
      </c>
      <c r="Y224">
        <v>0</v>
      </c>
      <c r="Z224">
        <v>0.19252929999999999</v>
      </c>
      <c r="AE224">
        <v>0</v>
      </c>
      <c r="AF224">
        <v>2.0963959999999999</v>
      </c>
      <c r="AG224">
        <v>10.06582</v>
      </c>
      <c r="AH224">
        <v>10.59296</v>
      </c>
      <c r="AI224">
        <v>11.111750000000001</v>
      </c>
      <c r="AJ224">
        <v>10.36922</v>
      </c>
      <c r="AK224">
        <v>10.49297</v>
      </c>
      <c r="AL224">
        <v>10.554180000000001</v>
      </c>
      <c r="AM224">
        <v>10.015610000000001</v>
      </c>
      <c r="AN224">
        <v>10.35894</v>
      </c>
      <c r="AO224">
        <v>10.41381</v>
      </c>
      <c r="AP224">
        <v>10.82532</v>
      </c>
      <c r="AQ224">
        <v>10.118690000000001</v>
      </c>
      <c r="AR224">
        <v>10.550599999999999</v>
      </c>
      <c r="AS224">
        <v>10.57748</v>
      </c>
      <c r="AT224">
        <v>9.9532659999999993</v>
      </c>
      <c r="AU224">
        <v>10.085369999999999</v>
      </c>
      <c r="AV224">
        <v>10.627890000000001</v>
      </c>
      <c r="AW224">
        <v>9.828894</v>
      </c>
      <c r="AX224">
        <v>9.4524489999999997</v>
      </c>
      <c r="AY224">
        <v>9.8960059999999999</v>
      </c>
      <c r="AZ224">
        <v>10.596629999999999</v>
      </c>
      <c r="BB224" t="str">
        <f t="shared" si="11"/>
        <v/>
      </c>
      <c r="BD224">
        <v>1578.8579999999999</v>
      </c>
      <c r="BE224">
        <v>117047215</v>
      </c>
      <c r="BF224">
        <v>45.19218</v>
      </c>
      <c r="BG224">
        <v>1662.6510000000001</v>
      </c>
      <c r="BH224">
        <v>45.19218429</v>
      </c>
    </row>
    <row r="225" spans="1:60">
      <c r="A225">
        <v>36140</v>
      </c>
      <c r="B225" t="s">
        <v>1234</v>
      </c>
      <c r="C225">
        <v>35993.919999999998</v>
      </c>
      <c r="D225">
        <v>65033</v>
      </c>
      <c r="E225">
        <v>96470</v>
      </c>
      <c r="F225">
        <v>3.4819099999999999E-2</v>
      </c>
      <c r="G225">
        <f t="shared" si="9"/>
        <v>34819.1</v>
      </c>
      <c r="H225" s="51">
        <f t="shared" si="10"/>
        <v>3358998577</v>
      </c>
      <c r="I225">
        <v>62.333550000000002</v>
      </c>
      <c r="J225">
        <v>10.491110000000001</v>
      </c>
      <c r="K225">
        <v>-3.3575889999999999</v>
      </c>
      <c r="L225">
        <v>6.5443490000000004</v>
      </c>
      <c r="M225">
        <v>-1.3642430000000001</v>
      </c>
      <c r="N225">
        <v>11.476990000000001</v>
      </c>
      <c r="O225">
        <v>1.292E-3</v>
      </c>
      <c r="P225">
        <v>0</v>
      </c>
      <c r="Q225">
        <v>328.71539999999999</v>
      </c>
      <c r="R225">
        <v>695.30409999999995</v>
      </c>
      <c r="S225">
        <v>0</v>
      </c>
      <c r="T225">
        <v>0</v>
      </c>
      <c r="U225">
        <v>124.7227</v>
      </c>
      <c r="V225">
        <v>96470</v>
      </c>
      <c r="W225">
        <v>0</v>
      </c>
      <c r="X225">
        <v>1.2929E-3</v>
      </c>
      <c r="Y225">
        <v>0</v>
      </c>
      <c r="Z225">
        <v>0.48875269999999998</v>
      </c>
      <c r="AE225">
        <v>0</v>
      </c>
      <c r="AF225">
        <v>2.0008910000000002</v>
      </c>
      <c r="AH225">
        <v>10.579700000000001</v>
      </c>
      <c r="AI225">
        <v>11.46069</v>
      </c>
      <c r="AJ225">
        <v>10.571389999999999</v>
      </c>
      <c r="AK225">
        <v>10.466139999999999</v>
      </c>
      <c r="AL225">
        <v>10.80147</v>
      </c>
      <c r="AM225">
        <v>10.27961</v>
      </c>
      <c r="AN225">
        <v>10.419600000000001</v>
      </c>
      <c r="AO225">
        <v>10.797549999999999</v>
      </c>
      <c r="AP225">
        <v>10.875209999999999</v>
      </c>
      <c r="AQ225">
        <v>10.499309999999999</v>
      </c>
      <c r="AR225">
        <v>10.77491</v>
      </c>
      <c r="AT225">
        <v>10.31813</v>
      </c>
      <c r="AU225">
        <v>10.020519999999999</v>
      </c>
      <c r="AV225">
        <v>10.544969999999999</v>
      </c>
      <c r="AW225">
        <v>10.42437</v>
      </c>
      <c r="AX225">
        <v>10.452500000000001</v>
      </c>
      <c r="AY225">
        <v>10.152850000000001</v>
      </c>
      <c r="AZ225">
        <v>10.84934</v>
      </c>
      <c r="BB225" t="str">
        <f t="shared" si="11"/>
        <v/>
      </c>
      <c r="BD225">
        <v>255.1857</v>
      </c>
      <c r="BE225">
        <v>15890730</v>
      </c>
      <c r="BF225">
        <v>6.1354449999999998</v>
      </c>
      <c r="BG225">
        <v>620.39414999999997</v>
      </c>
      <c r="BH225">
        <v>6.1354454150000004</v>
      </c>
    </row>
    <row r="226" spans="1:60">
      <c r="A226">
        <v>36220</v>
      </c>
      <c r="B226" t="s">
        <v>461</v>
      </c>
      <c r="C226">
        <v>42021.41</v>
      </c>
      <c r="D226">
        <v>80386</v>
      </c>
      <c r="E226">
        <v>131180</v>
      </c>
      <c r="F226">
        <v>4.3322199999999998E-2</v>
      </c>
      <c r="G226">
        <f t="shared" si="9"/>
        <v>43322.2</v>
      </c>
      <c r="H226" s="51">
        <f t="shared" si="10"/>
        <v>5683006195.999999</v>
      </c>
      <c r="I226">
        <v>52.051349999999999</v>
      </c>
      <c r="J226">
        <v>10.64593</v>
      </c>
      <c r="K226">
        <v>-3.1390910000000001</v>
      </c>
      <c r="L226">
        <v>7.1726369999999999</v>
      </c>
      <c r="M226">
        <v>-2.1964890000000001</v>
      </c>
      <c r="N226">
        <v>11.784330000000001</v>
      </c>
      <c r="O226">
        <v>1.4547E-3</v>
      </c>
      <c r="P226">
        <v>0</v>
      </c>
      <c r="Q226">
        <v>843.64769999999999</v>
      </c>
      <c r="R226">
        <v>1303.277</v>
      </c>
      <c r="S226">
        <v>0</v>
      </c>
      <c r="T226">
        <v>0</v>
      </c>
      <c r="U226">
        <v>190.96340000000001</v>
      </c>
      <c r="V226">
        <v>131180</v>
      </c>
      <c r="W226">
        <v>0</v>
      </c>
      <c r="X226">
        <v>1.4557000000000001E-3</v>
      </c>
      <c r="Y226">
        <v>0</v>
      </c>
      <c r="Z226">
        <v>0.2119328</v>
      </c>
      <c r="AB226">
        <v>43</v>
      </c>
      <c r="AE226">
        <v>0</v>
      </c>
      <c r="AF226">
        <v>3.6687500000000002</v>
      </c>
      <c r="AH226">
        <v>11.160259999999999</v>
      </c>
      <c r="AI226">
        <v>11.190759999999999</v>
      </c>
      <c r="AJ226">
        <v>10.972009999999999</v>
      </c>
      <c r="AK226">
        <v>10.94233</v>
      </c>
      <c r="AL226">
        <v>11.031790000000001</v>
      </c>
      <c r="AM226">
        <v>10.158440000000001</v>
      </c>
      <c r="AN226">
        <v>10.720140000000001</v>
      </c>
      <c r="AP226">
        <v>10.57685</v>
      </c>
      <c r="AQ226">
        <v>10.887180000000001</v>
      </c>
      <c r="AR226">
        <v>10.7875</v>
      </c>
      <c r="AS226">
        <v>11.20004</v>
      </c>
      <c r="AT226">
        <v>10.21266</v>
      </c>
      <c r="AU226">
        <v>9.7252209999999994</v>
      </c>
      <c r="AV226">
        <v>10.46442</v>
      </c>
      <c r="AW226">
        <v>9.4797849999999997</v>
      </c>
      <c r="AX226">
        <v>9.4543850000000003</v>
      </c>
      <c r="AY226">
        <v>10.391970000000001</v>
      </c>
      <c r="BA226">
        <v>0</v>
      </c>
      <c r="BB226" t="str">
        <f t="shared" si="11"/>
        <v/>
      </c>
      <c r="BC226">
        <v>737349</v>
      </c>
      <c r="BD226">
        <v>901.05650000000003</v>
      </c>
      <c r="BE226">
        <v>66375461</v>
      </c>
      <c r="BF226">
        <v>25.62771</v>
      </c>
      <c r="BG226">
        <v>901.77815999999996</v>
      </c>
      <c r="BH226">
        <v>25.62770986</v>
      </c>
    </row>
    <row r="227" spans="1:60">
      <c r="A227">
        <v>36260</v>
      </c>
      <c r="B227" t="s">
        <v>1235</v>
      </c>
      <c r="C227">
        <v>31484.99</v>
      </c>
      <c r="D227">
        <v>286821</v>
      </c>
      <c r="E227">
        <v>530998</v>
      </c>
      <c r="F227">
        <v>2.37722E-2</v>
      </c>
      <c r="G227">
        <f t="shared" si="9"/>
        <v>23772.2</v>
      </c>
      <c r="H227" s="51">
        <f t="shared" si="10"/>
        <v>12622990655.6</v>
      </c>
      <c r="I227">
        <v>180.42959999999999</v>
      </c>
      <c r="J227">
        <v>10.35727</v>
      </c>
      <c r="K227">
        <v>-3.7392379999999998</v>
      </c>
      <c r="L227">
        <v>7.3788270000000002</v>
      </c>
      <c r="M227">
        <v>-1.56978</v>
      </c>
      <c r="N227">
        <v>13.182510000000001</v>
      </c>
      <c r="O227">
        <v>2.878E-4</v>
      </c>
      <c r="P227">
        <v>0</v>
      </c>
      <c r="Q227">
        <v>786.81119999999999</v>
      </c>
      <c r="R227">
        <v>1601.71</v>
      </c>
      <c r="S227">
        <v>0</v>
      </c>
      <c r="T227">
        <v>0</v>
      </c>
      <c r="U227">
        <v>152.85929999999999</v>
      </c>
      <c r="V227">
        <v>530998</v>
      </c>
      <c r="W227">
        <v>0</v>
      </c>
      <c r="X227">
        <v>2.879E-4</v>
      </c>
      <c r="Y227">
        <v>0</v>
      </c>
      <c r="Z227">
        <v>0.10264909999999999</v>
      </c>
      <c r="AE227">
        <v>0</v>
      </c>
      <c r="AF227">
        <v>0.84719670000000002</v>
      </c>
      <c r="AH227">
        <v>11.063739999999999</v>
      </c>
      <c r="AJ227">
        <v>10.518140000000001</v>
      </c>
      <c r="AK227">
        <v>10.60369</v>
      </c>
      <c r="AL227">
        <v>10.57673</v>
      </c>
      <c r="AM227">
        <v>10.01038</v>
      </c>
      <c r="AN227">
        <v>10.494630000000001</v>
      </c>
      <c r="AO227">
        <v>10.50536</v>
      </c>
      <c r="AP227">
        <v>10.50198</v>
      </c>
      <c r="AQ227">
        <v>10.11181</v>
      </c>
      <c r="AR227">
        <v>10.82165</v>
      </c>
      <c r="AS227">
        <v>11.388</v>
      </c>
      <c r="AT227">
        <v>10.022629999999999</v>
      </c>
      <c r="AU227">
        <v>10.026759999999999</v>
      </c>
      <c r="AV227">
        <v>10.46008</v>
      </c>
      <c r="AW227">
        <v>9.2613679999999992</v>
      </c>
      <c r="AX227">
        <v>9.3054729999999992</v>
      </c>
      <c r="AY227">
        <v>10.02661</v>
      </c>
      <c r="AZ227">
        <v>12.862299999999999</v>
      </c>
      <c r="BB227" t="str">
        <f t="shared" si="11"/>
        <v/>
      </c>
      <c r="BD227">
        <v>1489.145</v>
      </c>
      <c r="BE227">
        <v>96551938</v>
      </c>
      <c r="BF227">
        <v>37.278910000000003</v>
      </c>
      <c r="BG227">
        <v>1904.0748000000001</v>
      </c>
      <c r="BH227">
        <v>37.278913260000003</v>
      </c>
    </row>
    <row r="228" spans="1:60">
      <c r="A228">
        <v>36420</v>
      </c>
      <c r="B228" t="s">
        <v>462</v>
      </c>
      <c r="C228">
        <v>36706.5</v>
      </c>
      <c r="D228">
        <v>778170</v>
      </c>
      <c r="E228">
        <v>1207519</v>
      </c>
      <c r="F228">
        <v>3.9582800000000001E-2</v>
      </c>
      <c r="G228">
        <f t="shared" si="9"/>
        <v>39582.800000000003</v>
      </c>
      <c r="H228" s="51">
        <f t="shared" si="10"/>
        <v>47796983073.200005</v>
      </c>
      <c r="I228">
        <v>386.78570000000002</v>
      </c>
      <c r="J228">
        <v>10.51071</v>
      </c>
      <c r="K228">
        <v>-3.2293599999999998</v>
      </c>
      <c r="L228">
        <v>7.2866309999999999</v>
      </c>
      <c r="M228">
        <v>-1.488057</v>
      </c>
      <c r="N228">
        <v>14.00408</v>
      </c>
      <c r="O228">
        <v>7.649E-4</v>
      </c>
      <c r="P228">
        <v>0</v>
      </c>
      <c r="Q228">
        <v>1139.3050000000001</v>
      </c>
      <c r="R228">
        <v>1460.6420000000001</v>
      </c>
      <c r="S228">
        <v>0</v>
      </c>
      <c r="T228">
        <v>0</v>
      </c>
      <c r="U228">
        <v>923.95939999999996</v>
      </c>
      <c r="V228">
        <v>1207519</v>
      </c>
      <c r="W228">
        <v>0</v>
      </c>
      <c r="X228">
        <v>7.6519999999999995E-4</v>
      </c>
      <c r="Y228">
        <v>0</v>
      </c>
      <c r="Z228">
        <v>0.16745260000000001</v>
      </c>
      <c r="AB228">
        <v>700</v>
      </c>
      <c r="AE228">
        <v>0</v>
      </c>
      <c r="AF228">
        <v>2.3888150000000001</v>
      </c>
      <c r="AG228">
        <v>10.194660000000001</v>
      </c>
      <c r="AH228">
        <v>11.51078</v>
      </c>
      <c r="AI228">
        <v>10.970269999999999</v>
      </c>
      <c r="AJ228">
        <v>10.6159</v>
      </c>
      <c r="AK228">
        <v>10.61758</v>
      </c>
      <c r="AL228">
        <v>10.77408</v>
      </c>
      <c r="AM228">
        <v>10.050000000000001</v>
      </c>
      <c r="AN228">
        <v>10.583909999999999</v>
      </c>
      <c r="AO228">
        <v>10.78274</v>
      </c>
      <c r="AP228">
        <v>10.79735</v>
      </c>
      <c r="AQ228">
        <v>10.433450000000001</v>
      </c>
      <c r="AR228">
        <v>10.81634</v>
      </c>
      <c r="AS228">
        <v>11.26168</v>
      </c>
      <c r="AT228">
        <v>10.188409999999999</v>
      </c>
      <c r="AU228">
        <v>9.97302</v>
      </c>
      <c r="AV228">
        <v>10.58469</v>
      </c>
      <c r="AW228">
        <v>10.39819</v>
      </c>
      <c r="AX228">
        <v>9.416639</v>
      </c>
      <c r="AY228">
        <v>9.973096</v>
      </c>
      <c r="AZ228">
        <v>11.620279999999999</v>
      </c>
      <c r="BA228">
        <v>0</v>
      </c>
      <c r="BB228" t="str">
        <f t="shared" si="11"/>
        <v/>
      </c>
      <c r="BC228">
        <v>3118661</v>
      </c>
      <c r="BD228">
        <v>5517.7380000000003</v>
      </c>
      <c r="BE228">
        <v>509343911</v>
      </c>
      <c r="BF228">
        <v>196.65880000000001</v>
      </c>
      <c r="BG228">
        <v>5581.6710000000003</v>
      </c>
      <c r="BH228">
        <v>196.65879190000001</v>
      </c>
    </row>
    <row r="229" spans="1:60">
      <c r="A229">
        <v>36500</v>
      </c>
      <c r="B229" t="s">
        <v>463</v>
      </c>
      <c r="C229">
        <v>33295.160000000003</v>
      </c>
      <c r="D229">
        <v>136087</v>
      </c>
      <c r="E229">
        <v>245571</v>
      </c>
      <c r="F229">
        <v>2.3366000000000001E-2</v>
      </c>
      <c r="G229">
        <f t="shared" si="9"/>
        <v>23366</v>
      </c>
      <c r="H229" s="51">
        <f t="shared" si="10"/>
        <v>5738011986</v>
      </c>
      <c r="I229">
        <v>104.9045</v>
      </c>
      <c r="J229">
        <v>10.413169999999999</v>
      </c>
      <c r="K229">
        <v>-3.756475</v>
      </c>
      <c r="L229">
        <v>7.819941</v>
      </c>
      <c r="M229">
        <v>-1.2540359999999999</v>
      </c>
      <c r="N229">
        <v>12.411339999999999</v>
      </c>
      <c r="O229">
        <v>5.1869999999999998E-4</v>
      </c>
      <c r="P229">
        <v>0</v>
      </c>
      <c r="Q229">
        <v>772.80780000000004</v>
      </c>
      <c r="R229">
        <v>2489.7579999999998</v>
      </c>
      <c r="S229">
        <v>0</v>
      </c>
      <c r="T229">
        <v>0</v>
      </c>
      <c r="U229">
        <v>127.4229</v>
      </c>
      <c r="V229">
        <v>245571</v>
      </c>
      <c r="W229">
        <v>0</v>
      </c>
      <c r="X229">
        <v>5.1889999999999998E-4</v>
      </c>
      <c r="Y229">
        <v>0</v>
      </c>
      <c r="Z229">
        <v>0.17526710000000001</v>
      </c>
      <c r="AB229">
        <v>345</v>
      </c>
      <c r="AE229">
        <v>0</v>
      </c>
      <c r="AF229">
        <v>1.2146570000000001</v>
      </c>
      <c r="AG229">
        <v>10.67535</v>
      </c>
      <c r="AH229">
        <v>10.58764</v>
      </c>
      <c r="AJ229">
        <v>10.71424</v>
      </c>
      <c r="AK229">
        <v>10.62654</v>
      </c>
      <c r="AL229">
        <v>10.72601</v>
      </c>
      <c r="AM229">
        <v>10.137</v>
      </c>
      <c r="AN229">
        <v>10.40413</v>
      </c>
      <c r="AO229">
        <v>10.95509</v>
      </c>
      <c r="AP229">
        <v>10.79185</v>
      </c>
      <c r="AQ229">
        <v>10.18417</v>
      </c>
      <c r="AR229">
        <v>10.834199999999999</v>
      </c>
      <c r="AS229">
        <v>10.90014</v>
      </c>
      <c r="AT229">
        <v>10.0634</v>
      </c>
      <c r="AU229">
        <v>9.9023099999999999</v>
      </c>
      <c r="AV229">
        <v>10.59764</v>
      </c>
      <c r="AW229">
        <v>10.1142</v>
      </c>
      <c r="AX229">
        <v>9.5438799999999997</v>
      </c>
      <c r="AY229">
        <v>10.248010000000001</v>
      </c>
      <c r="BA229">
        <v>0</v>
      </c>
      <c r="BB229" t="str">
        <f t="shared" si="11"/>
        <v/>
      </c>
      <c r="BC229">
        <v>2579552</v>
      </c>
      <c r="BD229">
        <v>727.02149999999995</v>
      </c>
      <c r="BE229">
        <v>50324523</v>
      </c>
      <c r="BF229">
        <v>19.430409999999998</v>
      </c>
      <c r="BG229">
        <v>773.33712000000003</v>
      </c>
      <c r="BH229">
        <v>19.43040779</v>
      </c>
    </row>
    <row r="230" spans="1:60">
      <c r="A230">
        <v>36540</v>
      </c>
      <c r="B230" t="s">
        <v>464</v>
      </c>
      <c r="C230">
        <v>39681.230000000003</v>
      </c>
      <c r="D230">
        <v>586818</v>
      </c>
      <c r="E230">
        <v>839265</v>
      </c>
      <c r="F230">
        <v>4.7076899999999998E-2</v>
      </c>
      <c r="G230">
        <f t="shared" si="9"/>
        <v>47076.9</v>
      </c>
      <c r="H230" s="51">
        <f t="shared" si="10"/>
        <v>39509994478.5</v>
      </c>
      <c r="I230">
        <v>242.50559999999999</v>
      </c>
      <c r="J230">
        <v>10.58863</v>
      </c>
      <c r="K230">
        <v>-3.0559729999999998</v>
      </c>
      <c r="L230">
        <v>7.5265420000000001</v>
      </c>
      <c r="M230">
        <v>-1.358913</v>
      </c>
      <c r="N230">
        <v>13.640280000000001</v>
      </c>
      <c r="O230">
        <v>1.2083E-3</v>
      </c>
      <c r="P230">
        <v>0</v>
      </c>
      <c r="Q230">
        <v>1451.6079999999999</v>
      </c>
      <c r="R230">
        <v>1856.673</v>
      </c>
      <c r="S230">
        <v>0</v>
      </c>
      <c r="T230">
        <v>0</v>
      </c>
      <c r="U230">
        <v>1014.718</v>
      </c>
      <c r="V230">
        <v>839265</v>
      </c>
      <c r="W230">
        <v>0</v>
      </c>
      <c r="X230">
        <v>1.2091000000000001E-3</v>
      </c>
      <c r="Y230">
        <v>0</v>
      </c>
      <c r="Z230">
        <v>0.23259569999999999</v>
      </c>
      <c r="AB230">
        <v>437</v>
      </c>
      <c r="AE230">
        <v>0</v>
      </c>
      <c r="AF230">
        <v>4.1843060000000003</v>
      </c>
      <c r="AG230">
        <v>10.49966</v>
      </c>
      <c r="AH230">
        <v>11.30982</v>
      </c>
      <c r="AI230">
        <v>12.29696</v>
      </c>
      <c r="AJ230">
        <v>10.72034</v>
      </c>
      <c r="AK230">
        <v>10.542680000000001</v>
      </c>
      <c r="AL230">
        <v>10.984159999999999</v>
      </c>
      <c r="AM230">
        <v>10.02712</v>
      </c>
      <c r="AN230">
        <v>10.587389999999999</v>
      </c>
      <c r="AO230">
        <v>10.88904</v>
      </c>
      <c r="AP230">
        <v>11.059469999999999</v>
      </c>
      <c r="AQ230">
        <v>10.48016</v>
      </c>
      <c r="AR230">
        <v>10.832979999999999</v>
      </c>
      <c r="AS230">
        <v>11.18317</v>
      </c>
      <c r="AT230">
        <v>10.41287</v>
      </c>
      <c r="AU230">
        <v>10.385149999999999</v>
      </c>
      <c r="AV230">
        <v>10.724080000000001</v>
      </c>
      <c r="AW230">
        <v>9.7404480000000007</v>
      </c>
      <c r="AX230">
        <v>9.5032639999999997</v>
      </c>
      <c r="AY230">
        <v>10.092140000000001</v>
      </c>
      <c r="AZ230">
        <v>12.69158</v>
      </c>
      <c r="BA230">
        <v>0</v>
      </c>
      <c r="BB230" t="str">
        <f t="shared" si="11"/>
        <v/>
      </c>
      <c r="BC230">
        <v>3996024</v>
      </c>
      <c r="BD230">
        <v>4362.5820000000003</v>
      </c>
      <c r="BE230">
        <v>413620103</v>
      </c>
      <c r="BF230">
        <v>159.6996</v>
      </c>
      <c r="BG230">
        <v>4407.1958999999997</v>
      </c>
      <c r="BH230">
        <v>159.69962140000001</v>
      </c>
    </row>
    <row r="231" spans="1:60">
      <c r="A231">
        <v>36740</v>
      </c>
      <c r="B231" t="s">
        <v>465</v>
      </c>
      <c r="C231">
        <v>36216.47</v>
      </c>
      <c r="D231">
        <v>1311657</v>
      </c>
      <c r="E231">
        <v>2060968</v>
      </c>
      <c r="F231">
        <v>4.6421900000000002E-2</v>
      </c>
      <c r="G231">
        <f t="shared" si="9"/>
        <v>46421.9</v>
      </c>
      <c r="H231" s="51">
        <f t="shared" si="10"/>
        <v>95674050399.199997</v>
      </c>
      <c r="I231">
        <v>661.82640000000004</v>
      </c>
      <c r="J231">
        <v>10.49727</v>
      </c>
      <c r="K231">
        <v>-3.0699839999999998</v>
      </c>
      <c r="L231">
        <v>7.8461559999999997</v>
      </c>
      <c r="M231">
        <v>-1.4165829999999999</v>
      </c>
      <c r="N231">
        <v>14.538690000000001</v>
      </c>
      <c r="O231">
        <v>5.0350000000000004E-4</v>
      </c>
      <c r="P231">
        <v>0</v>
      </c>
      <c r="Q231">
        <v>1112.825</v>
      </c>
      <c r="R231">
        <v>2555.8890000000001</v>
      </c>
      <c r="S231">
        <v>0</v>
      </c>
      <c r="T231">
        <v>0</v>
      </c>
      <c r="U231">
        <v>1038.0119999999999</v>
      </c>
      <c r="V231">
        <v>2060968</v>
      </c>
      <c r="W231">
        <v>0</v>
      </c>
      <c r="X231">
        <v>5.0370000000000005E-4</v>
      </c>
      <c r="Y231">
        <v>0</v>
      </c>
      <c r="Z231">
        <v>0.29736439999999997</v>
      </c>
      <c r="AB231">
        <v>1750</v>
      </c>
      <c r="AE231">
        <v>0</v>
      </c>
      <c r="AF231">
        <v>1.568405</v>
      </c>
      <c r="AG231">
        <v>10.44624</v>
      </c>
      <c r="AH231">
        <v>10.65199</v>
      </c>
      <c r="AI231">
        <v>11.62049</v>
      </c>
      <c r="AJ231">
        <v>10.623329999999999</v>
      </c>
      <c r="AK231">
        <v>10.78148</v>
      </c>
      <c r="AL231">
        <v>10.80054</v>
      </c>
      <c r="AM231">
        <v>10.03567</v>
      </c>
      <c r="AN231">
        <v>10.637180000000001</v>
      </c>
      <c r="AO231">
        <v>10.999320000000001</v>
      </c>
      <c r="AP231">
        <v>10.906750000000001</v>
      </c>
      <c r="AQ231">
        <v>10.60812</v>
      </c>
      <c r="AR231">
        <v>11.020110000000001</v>
      </c>
      <c r="AS231">
        <v>11.00291</v>
      </c>
      <c r="AT231">
        <v>10.167339999999999</v>
      </c>
      <c r="AU231">
        <v>10.374129999999999</v>
      </c>
      <c r="AV231">
        <v>10.68928</v>
      </c>
      <c r="AW231">
        <v>10.121549999999999</v>
      </c>
      <c r="AX231">
        <v>9.7506039999999992</v>
      </c>
      <c r="AY231">
        <v>10.10671</v>
      </c>
      <c r="AZ231">
        <v>10.1935</v>
      </c>
      <c r="BA231">
        <v>0</v>
      </c>
      <c r="BB231" t="str">
        <f t="shared" si="11"/>
        <v/>
      </c>
      <c r="BC231" s="14">
        <v>15500000</v>
      </c>
      <c r="BD231">
        <v>3490.7060000000001</v>
      </c>
      <c r="BE231">
        <v>247722430</v>
      </c>
      <c r="BF231">
        <v>95.646159999999995</v>
      </c>
      <c r="BG231">
        <v>4011.35</v>
      </c>
      <c r="BH231">
        <v>95.646169020000002</v>
      </c>
    </row>
    <row r="232" spans="1:60">
      <c r="A232">
        <v>36780</v>
      </c>
      <c r="B232" t="s">
        <v>466</v>
      </c>
      <c r="C232">
        <v>42682.17</v>
      </c>
      <c r="D232">
        <v>110144</v>
      </c>
      <c r="E232">
        <v>162099</v>
      </c>
      <c r="F232">
        <v>4.1807799999999999E-2</v>
      </c>
      <c r="G232">
        <f t="shared" si="9"/>
        <v>41807.799999999996</v>
      </c>
      <c r="H232" s="51">
        <f t="shared" si="10"/>
        <v>6777002572.1999998</v>
      </c>
      <c r="I232">
        <v>49.267420000000001</v>
      </c>
      <c r="J232">
        <v>10.66154</v>
      </c>
      <c r="K232">
        <v>-3.1746729999999999</v>
      </c>
      <c r="L232">
        <v>7.5543620000000002</v>
      </c>
      <c r="M232">
        <v>-1.5323439999999999</v>
      </c>
      <c r="N232">
        <v>11.99596</v>
      </c>
      <c r="O232">
        <v>1.1215000000000001E-3</v>
      </c>
      <c r="P232">
        <v>0</v>
      </c>
      <c r="Q232">
        <v>1420.5329999999999</v>
      </c>
      <c r="R232">
        <v>1909.0530000000001</v>
      </c>
      <c r="S232">
        <v>0</v>
      </c>
      <c r="T232">
        <v>0</v>
      </c>
      <c r="U232">
        <v>181.89760000000001</v>
      </c>
      <c r="V232">
        <v>162099</v>
      </c>
      <c r="W232">
        <v>0</v>
      </c>
      <c r="X232">
        <v>1.1221E-3</v>
      </c>
      <c r="Y232">
        <v>0</v>
      </c>
      <c r="Z232">
        <v>0.41473870000000002</v>
      </c>
      <c r="AB232">
        <v>170</v>
      </c>
      <c r="AE232">
        <v>0</v>
      </c>
      <c r="AF232">
        <v>3.6920470000000001</v>
      </c>
      <c r="AG232">
        <v>9.7946489999999997</v>
      </c>
      <c r="AJ232">
        <v>10.933070000000001</v>
      </c>
      <c r="AK232">
        <v>10.835129999999999</v>
      </c>
      <c r="AL232">
        <v>10.64522</v>
      </c>
      <c r="AM232">
        <v>9.9382479999999997</v>
      </c>
      <c r="AN232">
        <v>10.46547</v>
      </c>
      <c r="AO232">
        <v>10.85238</v>
      </c>
      <c r="AP232">
        <v>10.6122</v>
      </c>
      <c r="AQ232">
        <v>10.14814</v>
      </c>
      <c r="AR232">
        <v>10.862439999999999</v>
      </c>
      <c r="AT232">
        <v>10.525639999999999</v>
      </c>
      <c r="AU232">
        <v>9.9224490000000003</v>
      </c>
      <c r="AV232">
        <v>10.58038</v>
      </c>
      <c r="AW232">
        <v>9.5055019999999999</v>
      </c>
      <c r="AX232">
        <v>9.2165269999999992</v>
      </c>
      <c r="AY232">
        <v>10.00877</v>
      </c>
      <c r="BA232">
        <v>0</v>
      </c>
      <c r="BB232" t="str">
        <f t="shared" si="11"/>
        <v/>
      </c>
      <c r="BC232">
        <v>546381</v>
      </c>
      <c r="BD232">
        <v>438.58359999999999</v>
      </c>
      <c r="BE232">
        <v>70559965</v>
      </c>
      <c r="BF232">
        <v>27.24335</v>
      </c>
      <c r="BG232">
        <v>578.57826999999997</v>
      </c>
      <c r="BH232">
        <v>27.243355950000002</v>
      </c>
    </row>
    <row r="233" spans="1:60">
      <c r="A233">
        <v>36980</v>
      </c>
      <c r="B233" t="s">
        <v>999</v>
      </c>
      <c r="C233">
        <v>32536.45</v>
      </c>
      <c r="D233">
        <v>66169</v>
      </c>
      <c r="E233">
        <v>112945</v>
      </c>
      <c r="F233">
        <v>3.2307799999999998E-2</v>
      </c>
      <c r="G233">
        <f t="shared" si="9"/>
        <v>32307.8</v>
      </c>
      <c r="H233" s="51">
        <f t="shared" si="10"/>
        <v>3649004470.9999995</v>
      </c>
      <c r="I233">
        <v>38.898310000000002</v>
      </c>
      <c r="J233">
        <v>10.39012</v>
      </c>
      <c r="K233">
        <v>-3.4324479999999999</v>
      </c>
      <c r="L233">
        <v>7.2456930000000002</v>
      </c>
      <c r="M233">
        <v>-1.859111</v>
      </c>
      <c r="N233">
        <v>11.63466</v>
      </c>
      <c r="O233">
        <v>1.3561000000000001E-3</v>
      </c>
      <c r="P233">
        <v>0</v>
      </c>
      <c r="Q233">
        <v>946.51919999999996</v>
      </c>
      <c r="R233">
        <v>1402.0540000000001</v>
      </c>
      <c r="S233">
        <v>0</v>
      </c>
      <c r="T233">
        <v>0</v>
      </c>
      <c r="U233">
        <v>153.2637</v>
      </c>
      <c r="V233">
        <v>112945</v>
      </c>
      <c r="W233">
        <v>0</v>
      </c>
      <c r="X233">
        <v>1.3569999999999999E-3</v>
      </c>
      <c r="Y233">
        <v>0</v>
      </c>
      <c r="Z233">
        <v>0.16926150000000001</v>
      </c>
      <c r="AE233">
        <v>0</v>
      </c>
      <c r="AF233">
        <v>3.9401109999999999</v>
      </c>
      <c r="AH233">
        <v>11.004020000000001</v>
      </c>
      <c r="AJ233">
        <v>10.72147</v>
      </c>
      <c r="AK233">
        <v>10.782069999999999</v>
      </c>
      <c r="AL233">
        <v>10.608180000000001</v>
      </c>
      <c r="AM233">
        <v>9.9615259999999992</v>
      </c>
      <c r="AN233">
        <v>10.83677</v>
      </c>
      <c r="AO233">
        <v>10.487550000000001</v>
      </c>
      <c r="AP233">
        <v>10.59125</v>
      </c>
      <c r="AQ233">
        <v>9.9809830000000002</v>
      </c>
      <c r="AR233">
        <v>10.51397</v>
      </c>
      <c r="AS233">
        <v>11.11763</v>
      </c>
      <c r="AT233">
        <v>9.8221209999999992</v>
      </c>
      <c r="AU233">
        <v>9.9488020000000006</v>
      </c>
      <c r="AV233">
        <v>10.402240000000001</v>
      </c>
      <c r="AW233">
        <v>10.137180000000001</v>
      </c>
      <c r="AX233">
        <v>9.2856930000000002</v>
      </c>
      <c r="AY233">
        <v>9.8192029999999999</v>
      </c>
      <c r="BB233" t="str">
        <f t="shared" si="11"/>
        <v/>
      </c>
      <c r="BD233">
        <v>905.48450000000003</v>
      </c>
      <c r="BE233">
        <v>58713998</v>
      </c>
      <c r="BF233">
        <v>22.669599999999999</v>
      </c>
      <c r="BG233">
        <v>931.59254999999996</v>
      </c>
      <c r="BH233">
        <v>22.66960233</v>
      </c>
    </row>
    <row r="234" spans="1:60">
      <c r="A234">
        <v>37100</v>
      </c>
      <c r="B234" t="s">
        <v>467</v>
      </c>
      <c r="C234">
        <v>44984.92</v>
      </c>
      <c r="D234">
        <v>440871</v>
      </c>
      <c r="E234">
        <v>794778</v>
      </c>
      <c r="F234">
        <v>3.8906499999999997E-2</v>
      </c>
      <c r="G234">
        <f t="shared" si="9"/>
        <v>38906.5</v>
      </c>
      <c r="H234" s="51">
        <f t="shared" si="10"/>
        <v>30922030257</v>
      </c>
      <c r="I234">
        <v>202.98150000000001</v>
      </c>
      <c r="J234">
        <v>10.714079999999999</v>
      </c>
      <c r="K234">
        <v>-3.2465950000000001</v>
      </c>
      <c r="L234">
        <v>7.24261</v>
      </c>
      <c r="M234">
        <v>-1.3679300000000001</v>
      </c>
      <c r="N234">
        <v>13.58582</v>
      </c>
      <c r="O234">
        <v>5.775E-4</v>
      </c>
      <c r="P234">
        <v>0</v>
      </c>
      <c r="Q234">
        <v>1013.802</v>
      </c>
      <c r="R234">
        <v>1397.7360000000001</v>
      </c>
      <c r="S234">
        <v>0</v>
      </c>
      <c r="T234">
        <v>0</v>
      </c>
      <c r="U234">
        <v>459.07709999999997</v>
      </c>
      <c r="V234">
        <v>794778</v>
      </c>
      <c r="W234">
        <v>0</v>
      </c>
      <c r="X234">
        <v>5.7760000000000005E-4</v>
      </c>
      <c r="Y234">
        <v>0</v>
      </c>
      <c r="Z234">
        <v>0.248782</v>
      </c>
      <c r="AB234">
        <v>604</v>
      </c>
      <c r="AE234">
        <v>0</v>
      </c>
      <c r="AF234">
        <v>2.2616700000000001</v>
      </c>
      <c r="AG234">
        <v>10.49119</v>
      </c>
      <c r="AH234">
        <v>11.1973</v>
      </c>
      <c r="AJ234">
        <v>10.66977</v>
      </c>
      <c r="AK234">
        <v>10.8492</v>
      </c>
      <c r="AL234">
        <v>11.17</v>
      </c>
      <c r="AM234">
        <v>10.169739999999999</v>
      </c>
      <c r="AN234">
        <v>10.48128</v>
      </c>
      <c r="AO234">
        <v>11.100709999999999</v>
      </c>
      <c r="AP234">
        <v>11.14913</v>
      </c>
      <c r="AQ234">
        <v>10.667920000000001</v>
      </c>
      <c r="AR234">
        <v>11.447929999999999</v>
      </c>
      <c r="AS234">
        <v>11.37171</v>
      </c>
      <c r="AT234">
        <v>10.27389</v>
      </c>
      <c r="AU234">
        <v>10.234920000000001</v>
      </c>
      <c r="AV234">
        <v>10.67792</v>
      </c>
      <c r="AW234">
        <v>10.01914</v>
      </c>
      <c r="AX234">
        <v>9.6326820000000009</v>
      </c>
      <c r="AY234">
        <v>10.086069999999999</v>
      </c>
      <c r="BA234">
        <v>0</v>
      </c>
      <c r="BB234" t="str">
        <f t="shared" si="11"/>
        <v/>
      </c>
      <c r="BC234">
        <v>3115667</v>
      </c>
      <c r="BD234">
        <v>1845.299</v>
      </c>
      <c r="BE234">
        <v>279643623</v>
      </c>
      <c r="BF234">
        <v>107.971</v>
      </c>
      <c r="BG234">
        <v>2208.1558</v>
      </c>
      <c r="BH234">
        <v>107.9710111</v>
      </c>
    </row>
    <row r="235" spans="1:60">
      <c r="A235">
        <v>37340</v>
      </c>
      <c r="B235" t="s">
        <v>468</v>
      </c>
      <c r="C235">
        <v>37999.870000000003</v>
      </c>
      <c r="D235">
        <v>281209</v>
      </c>
      <c r="E235">
        <v>536314</v>
      </c>
      <c r="F235">
        <v>2.7875500000000001E-2</v>
      </c>
      <c r="G235">
        <f t="shared" si="9"/>
        <v>27875.5</v>
      </c>
      <c r="H235" s="51">
        <f t="shared" si="10"/>
        <v>14950020907</v>
      </c>
      <c r="I235">
        <v>254.33690000000001</v>
      </c>
      <c r="J235">
        <v>10.545339999999999</v>
      </c>
      <c r="K235">
        <v>-3.580009</v>
      </c>
      <c r="L235">
        <v>6.6334099999999996</v>
      </c>
      <c r="M235">
        <v>-1.3095509999999999</v>
      </c>
      <c r="N235">
        <v>13.19248</v>
      </c>
      <c r="O235">
        <v>6.3400000000000001E-4</v>
      </c>
      <c r="P235">
        <v>0</v>
      </c>
      <c r="Q235">
        <v>578.92909999999995</v>
      </c>
      <c r="R235">
        <v>760.06979999999999</v>
      </c>
      <c r="S235">
        <v>0</v>
      </c>
      <c r="T235">
        <v>0</v>
      </c>
      <c r="U235">
        <v>340.1379</v>
      </c>
      <c r="V235">
        <v>536314</v>
      </c>
      <c r="W235">
        <v>0</v>
      </c>
      <c r="X235">
        <v>6.3420000000000002E-4</v>
      </c>
      <c r="Y235">
        <v>0</v>
      </c>
      <c r="Z235">
        <v>0.33406160000000001</v>
      </c>
      <c r="AB235">
        <v>309</v>
      </c>
      <c r="AE235">
        <v>0</v>
      </c>
      <c r="AF235">
        <v>1.3373520000000001</v>
      </c>
      <c r="AH235">
        <v>10.414529999999999</v>
      </c>
      <c r="AJ235">
        <v>10.42975</v>
      </c>
      <c r="AK235">
        <v>10.93867</v>
      </c>
      <c r="AL235">
        <v>10.67905</v>
      </c>
      <c r="AM235">
        <v>9.9779640000000001</v>
      </c>
      <c r="AO235">
        <v>10.7563</v>
      </c>
      <c r="AP235">
        <v>10.954929999999999</v>
      </c>
      <c r="AQ235">
        <v>10.31213</v>
      </c>
      <c r="AR235">
        <v>11.009980000000001</v>
      </c>
      <c r="AS235">
        <v>11.097479999999999</v>
      </c>
      <c r="AT235">
        <v>10.4726</v>
      </c>
      <c r="AU235">
        <v>10.2842</v>
      </c>
      <c r="AV235">
        <v>10.659829999999999</v>
      </c>
      <c r="AW235">
        <v>9.8613409999999995</v>
      </c>
      <c r="AX235">
        <v>9.4583379999999995</v>
      </c>
      <c r="AY235">
        <v>9.9649370000000008</v>
      </c>
      <c r="BA235">
        <v>0</v>
      </c>
      <c r="BB235" t="str">
        <f t="shared" si="11"/>
        <v/>
      </c>
      <c r="BC235">
        <v>1321461</v>
      </c>
      <c r="BD235">
        <v>1018.189</v>
      </c>
      <c r="BE235">
        <v>265824250</v>
      </c>
      <c r="BF235">
        <v>102.6353</v>
      </c>
      <c r="BG235">
        <v>1557.143</v>
      </c>
      <c r="BH235">
        <v>102.6353211</v>
      </c>
    </row>
    <row r="236" spans="1:60">
      <c r="A236">
        <v>37380</v>
      </c>
      <c r="B236" t="s">
        <v>1236</v>
      </c>
      <c r="C236">
        <v>28761.14</v>
      </c>
      <c r="D236">
        <v>22587</v>
      </c>
      <c r="E236">
        <v>90700</v>
      </c>
      <c r="F236">
        <v>1.13451E-2</v>
      </c>
      <c r="G236">
        <f t="shared" si="9"/>
        <v>11345.1</v>
      </c>
      <c r="H236" s="51">
        <f t="shared" si="10"/>
        <v>1029000569.9999999</v>
      </c>
      <c r="I236">
        <v>24.789809999999999</v>
      </c>
      <c r="J236">
        <v>10.266780000000001</v>
      </c>
      <c r="K236">
        <v>-4.4789700000000003</v>
      </c>
      <c r="L236">
        <v>5.7795100000000001</v>
      </c>
      <c r="M236">
        <v>-1.2572700000000001</v>
      </c>
      <c r="N236">
        <v>11.41531</v>
      </c>
      <c r="O236">
        <v>1.1494000000000001E-3</v>
      </c>
      <c r="P236">
        <v>0</v>
      </c>
      <c r="Q236">
        <v>305.08499999999998</v>
      </c>
      <c r="R236">
        <v>323.60079999999999</v>
      </c>
      <c r="S236">
        <v>0</v>
      </c>
      <c r="T236">
        <v>0</v>
      </c>
      <c r="U236">
        <v>104.3116</v>
      </c>
      <c r="V236">
        <v>90700</v>
      </c>
      <c r="W236">
        <v>0</v>
      </c>
      <c r="X236">
        <v>1.1501E-3</v>
      </c>
      <c r="Y236">
        <v>0</v>
      </c>
      <c r="Z236">
        <v>0.2150772</v>
      </c>
      <c r="AE236">
        <v>0</v>
      </c>
      <c r="AF236">
        <v>4.2078389999999999</v>
      </c>
      <c r="AG236">
        <v>10.4093</v>
      </c>
      <c r="AJ236">
        <v>10.482559999999999</v>
      </c>
      <c r="AK236">
        <v>10.36182</v>
      </c>
      <c r="AM236">
        <v>9.9990799999999993</v>
      </c>
      <c r="AN236">
        <v>9.8373480000000004</v>
      </c>
      <c r="AP236">
        <v>10.60261</v>
      </c>
      <c r="AQ236">
        <v>10.26243</v>
      </c>
      <c r="AR236">
        <v>10.65821</v>
      </c>
      <c r="AT236">
        <v>10.130850000000001</v>
      </c>
      <c r="AV236">
        <v>10.623620000000001</v>
      </c>
      <c r="AW236">
        <v>9.9998149999999999</v>
      </c>
      <c r="AX236">
        <v>9.5036470000000008</v>
      </c>
      <c r="AY236">
        <v>9.8487950000000009</v>
      </c>
      <c r="BB236" t="str">
        <f t="shared" si="11"/>
        <v/>
      </c>
      <c r="BD236">
        <v>484.99599999999998</v>
      </c>
      <c r="BE236">
        <v>52592000</v>
      </c>
      <c r="BF236">
        <v>20.305890000000002</v>
      </c>
      <c r="BG236">
        <v>570.82767999999999</v>
      </c>
      <c r="BH236">
        <v>20.305885589999999</v>
      </c>
    </row>
    <row r="237" spans="1:60">
      <c r="A237">
        <v>37460</v>
      </c>
      <c r="B237" t="s">
        <v>469</v>
      </c>
      <c r="C237">
        <v>32162.14</v>
      </c>
      <c r="D237">
        <v>101769</v>
      </c>
      <c r="E237">
        <v>163802</v>
      </c>
      <c r="F237">
        <v>3.0579599999999998E-2</v>
      </c>
      <c r="G237">
        <f t="shared" si="9"/>
        <v>30579.599999999999</v>
      </c>
      <c r="H237" s="51">
        <f t="shared" si="10"/>
        <v>5008999639.1999998</v>
      </c>
      <c r="I237">
        <v>99.747079999999997</v>
      </c>
      <c r="J237">
        <v>10.378539999999999</v>
      </c>
      <c r="K237">
        <v>-3.487422</v>
      </c>
      <c r="L237">
        <v>7.1309440000000004</v>
      </c>
      <c r="M237">
        <v>-1.7255210000000001</v>
      </c>
      <c r="N237">
        <v>12.006410000000001</v>
      </c>
      <c r="O237">
        <v>1.1666999999999999E-3</v>
      </c>
      <c r="P237">
        <v>0</v>
      </c>
      <c r="Q237">
        <v>653.28229999999996</v>
      </c>
      <c r="R237">
        <v>1250.057</v>
      </c>
      <c r="S237">
        <v>0</v>
      </c>
      <c r="T237">
        <v>0</v>
      </c>
      <c r="U237">
        <v>191.2157</v>
      </c>
      <c r="V237">
        <v>163802</v>
      </c>
      <c r="W237">
        <v>0</v>
      </c>
      <c r="X237">
        <v>1.1674000000000001E-3</v>
      </c>
      <c r="Y237">
        <v>0</v>
      </c>
      <c r="Z237">
        <v>0.25038779999999999</v>
      </c>
      <c r="AB237">
        <v>458</v>
      </c>
      <c r="AE237">
        <v>0</v>
      </c>
      <c r="AF237">
        <v>1.917006</v>
      </c>
      <c r="AG237">
        <v>10.31887</v>
      </c>
      <c r="AJ237">
        <v>10.36971</v>
      </c>
      <c r="AK237">
        <v>10.84483</v>
      </c>
      <c r="AL237">
        <v>10.55021</v>
      </c>
      <c r="AM237">
        <v>10.016349999999999</v>
      </c>
      <c r="AN237">
        <v>10.6119</v>
      </c>
      <c r="AO237">
        <v>10.5154</v>
      </c>
      <c r="AP237">
        <v>10.64906</v>
      </c>
      <c r="AQ237">
        <v>10.340809999999999</v>
      </c>
      <c r="AR237">
        <v>10.846399999999999</v>
      </c>
      <c r="AS237">
        <v>10.675269999999999</v>
      </c>
      <c r="AT237">
        <v>10.708550000000001</v>
      </c>
      <c r="AU237">
        <v>10.034470000000001</v>
      </c>
      <c r="AV237">
        <v>10.601039999999999</v>
      </c>
      <c r="AW237">
        <v>10.01037</v>
      </c>
      <c r="AX237">
        <v>9.5791179999999994</v>
      </c>
      <c r="AY237">
        <v>9.8431309999999996</v>
      </c>
      <c r="BA237">
        <v>0</v>
      </c>
      <c r="BB237" t="str">
        <f t="shared" si="11"/>
        <v/>
      </c>
      <c r="BC237">
        <v>970608</v>
      </c>
      <c r="BD237">
        <v>763.67819999999995</v>
      </c>
      <c r="BE237">
        <v>102991888</v>
      </c>
      <c r="BF237">
        <v>39.765389999999996</v>
      </c>
      <c r="BG237">
        <v>1033.1371999999999</v>
      </c>
      <c r="BH237">
        <v>39.765391960000002</v>
      </c>
    </row>
    <row r="238" spans="1:60">
      <c r="A238">
        <v>37620</v>
      </c>
      <c r="B238" t="s">
        <v>1000</v>
      </c>
      <c r="C238">
        <v>31874.94</v>
      </c>
      <c r="D238">
        <v>91382</v>
      </c>
      <c r="E238">
        <v>160921</v>
      </c>
      <c r="F238">
        <v>3.0387600000000001E-2</v>
      </c>
      <c r="G238">
        <f t="shared" si="9"/>
        <v>30387.600000000002</v>
      </c>
      <c r="H238" s="51">
        <f t="shared" si="10"/>
        <v>4890002979.5999994</v>
      </c>
      <c r="I238">
        <v>52.51717</v>
      </c>
      <c r="J238">
        <v>10.369579999999999</v>
      </c>
      <c r="K238">
        <v>-3.4937209999999999</v>
      </c>
      <c r="L238">
        <v>7.1981349999999997</v>
      </c>
      <c r="M238">
        <v>-1.876827</v>
      </c>
      <c r="N238">
        <v>11.988670000000001</v>
      </c>
      <c r="O238">
        <v>1.5770000000000001E-3</v>
      </c>
      <c r="P238">
        <v>0</v>
      </c>
      <c r="Q238">
        <v>860.48059999999998</v>
      </c>
      <c r="R238">
        <v>1336.9349999999999</v>
      </c>
      <c r="S238">
        <v>0</v>
      </c>
      <c r="T238">
        <v>0</v>
      </c>
      <c r="U238">
        <v>253.9795</v>
      </c>
      <c r="V238">
        <v>160921</v>
      </c>
      <c r="W238">
        <v>0</v>
      </c>
      <c r="X238">
        <v>1.5782999999999999E-3</v>
      </c>
      <c r="Y238">
        <v>0</v>
      </c>
      <c r="Z238">
        <v>0.18590809999999999</v>
      </c>
      <c r="AE238">
        <v>0</v>
      </c>
      <c r="AF238">
        <v>4.8361229999999997</v>
      </c>
      <c r="AH238">
        <v>10.74259</v>
      </c>
      <c r="AI238">
        <v>11.195349999999999</v>
      </c>
      <c r="AJ238">
        <v>10.85093</v>
      </c>
      <c r="AK238">
        <v>10.869339999999999</v>
      </c>
      <c r="AL238">
        <v>10.465170000000001</v>
      </c>
      <c r="AM238">
        <v>9.9347460000000005</v>
      </c>
      <c r="AN238">
        <v>11.64263</v>
      </c>
      <c r="AO238">
        <v>10.44336</v>
      </c>
      <c r="AP238">
        <v>11.700419999999999</v>
      </c>
      <c r="AQ238">
        <v>10.31156</v>
      </c>
      <c r="AR238">
        <v>10.5205</v>
      </c>
      <c r="AS238">
        <v>10.87778</v>
      </c>
      <c r="AT238">
        <v>9.9256080000000004</v>
      </c>
      <c r="AU238">
        <v>9.8002109999999991</v>
      </c>
      <c r="AV238">
        <v>10.40185</v>
      </c>
      <c r="AW238">
        <v>9.5214890000000008</v>
      </c>
      <c r="AX238">
        <v>9.3129220000000004</v>
      </c>
      <c r="AY238">
        <v>9.7645239999999998</v>
      </c>
      <c r="BB238" t="str">
        <f t="shared" si="11"/>
        <v/>
      </c>
      <c r="BD238">
        <v>1366.1559999999999</v>
      </c>
      <c r="BE238">
        <v>71066357</v>
      </c>
      <c r="BF238">
        <v>27.438870000000001</v>
      </c>
      <c r="BG238">
        <v>1386.0763999999999</v>
      </c>
      <c r="BH238">
        <v>27.43887501</v>
      </c>
    </row>
    <row r="239" spans="1:60">
      <c r="A239">
        <v>37700</v>
      </c>
      <c r="B239" t="s">
        <v>1237</v>
      </c>
      <c r="C239">
        <v>39474.86</v>
      </c>
      <c r="D239">
        <v>76124</v>
      </c>
      <c r="E239">
        <v>154510</v>
      </c>
      <c r="F239">
        <v>3.0282799999999999E-2</v>
      </c>
      <c r="G239">
        <f t="shared" si="9"/>
        <v>30282.799999999999</v>
      </c>
      <c r="H239" s="51">
        <f t="shared" si="10"/>
        <v>4678995428</v>
      </c>
      <c r="I239">
        <v>56.333620000000003</v>
      </c>
      <c r="J239">
        <v>10.58342</v>
      </c>
      <c r="K239">
        <v>-3.4971749999999999</v>
      </c>
      <c r="L239">
        <v>7.7278979999999997</v>
      </c>
      <c r="M239">
        <v>-1.9218789999999999</v>
      </c>
      <c r="N239">
        <v>11.94801</v>
      </c>
      <c r="O239">
        <v>1.4136000000000001E-3</v>
      </c>
      <c r="P239">
        <v>0</v>
      </c>
      <c r="Q239">
        <v>696.15620000000001</v>
      </c>
      <c r="R239">
        <v>2270.8229999999999</v>
      </c>
      <c r="S239">
        <v>0</v>
      </c>
      <c r="T239">
        <v>0</v>
      </c>
      <c r="U239">
        <v>218.57329999999999</v>
      </c>
      <c r="V239">
        <v>154510</v>
      </c>
      <c r="W239">
        <v>0</v>
      </c>
      <c r="X239">
        <v>1.4146E-3</v>
      </c>
      <c r="Y239">
        <v>0</v>
      </c>
      <c r="Z239">
        <v>0.18135960000000001</v>
      </c>
      <c r="AE239">
        <v>0</v>
      </c>
      <c r="AF239">
        <v>3.8799790000000001</v>
      </c>
      <c r="AI239">
        <v>10.92333</v>
      </c>
      <c r="AJ239">
        <v>10.57189</v>
      </c>
      <c r="AK239">
        <v>10.906639999999999</v>
      </c>
      <c r="AL239">
        <v>10.439690000000001</v>
      </c>
      <c r="AM239">
        <v>9.9532720000000001</v>
      </c>
      <c r="AN239">
        <v>10.816190000000001</v>
      </c>
      <c r="AO239">
        <v>13.40147</v>
      </c>
      <c r="AP239">
        <v>10.55325</v>
      </c>
      <c r="AQ239">
        <v>10.099320000000001</v>
      </c>
      <c r="AR239">
        <v>10.745520000000001</v>
      </c>
      <c r="AS239">
        <v>10.766959999999999</v>
      </c>
      <c r="AT239">
        <v>10.25469</v>
      </c>
      <c r="AU239">
        <v>9.5838370000000008</v>
      </c>
      <c r="AV239">
        <v>10.62392</v>
      </c>
      <c r="AW239">
        <v>9.6427659999999999</v>
      </c>
      <c r="AX239">
        <v>9.3750389999999992</v>
      </c>
      <c r="AY239">
        <v>9.8249720000000007</v>
      </c>
      <c r="BB239" t="str">
        <f t="shared" si="11"/>
        <v/>
      </c>
      <c r="BD239">
        <v>1205.193</v>
      </c>
      <c r="BE239">
        <v>28977962</v>
      </c>
      <c r="BF239">
        <v>11.18845</v>
      </c>
      <c r="BG239">
        <v>1527.0146999999999</v>
      </c>
      <c r="BH239">
        <v>11.18845415</v>
      </c>
    </row>
    <row r="240" spans="1:60">
      <c r="A240">
        <v>37860</v>
      </c>
      <c r="B240" t="s">
        <v>470</v>
      </c>
      <c r="C240">
        <v>31701.14</v>
      </c>
      <c r="D240">
        <v>230530</v>
      </c>
      <c r="E240">
        <v>453132</v>
      </c>
      <c r="F240">
        <v>2.1903100000000002E-2</v>
      </c>
      <c r="G240">
        <f t="shared" si="9"/>
        <v>21903.100000000002</v>
      </c>
      <c r="H240" s="51">
        <f t="shared" si="10"/>
        <v>9924995509.2000008</v>
      </c>
      <c r="I240">
        <v>244.6293</v>
      </c>
      <c r="J240">
        <v>10.36411</v>
      </c>
      <c r="K240">
        <v>-3.8211270000000002</v>
      </c>
      <c r="L240">
        <v>7.6914569999999998</v>
      </c>
      <c r="M240">
        <v>-1.570727</v>
      </c>
      <c r="N240">
        <v>13.02394</v>
      </c>
      <c r="O240">
        <v>9.2270000000000004E-4</v>
      </c>
      <c r="P240">
        <v>0</v>
      </c>
      <c r="Q240">
        <v>704.15520000000004</v>
      </c>
      <c r="R240">
        <v>2189.5630000000001</v>
      </c>
      <c r="S240">
        <v>0</v>
      </c>
      <c r="T240">
        <v>0</v>
      </c>
      <c r="U240">
        <v>418.30059999999997</v>
      </c>
      <c r="V240">
        <v>453132</v>
      </c>
      <c r="W240">
        <v>0</v>
      </c>
      <c r="X240">
        <v>9.2310000000000005E-4</v>
      </c>
      <c r="Y240">
        <v>0</v>
      </c>
      <c r="Z240">
        <v>0.24909529999999999</v>
      </c>
      <c r="AB240">
        <v>500</v>
      </c>
      <c r="AE240">
        <v>0</v>
      </c>
      <c r="AF240">
        <v>1.709937</v>
      </c>
      <c r="AG240">
        <v>10.206490000000001</v>
      </c>
      <c r="AI240">
        <v>10.793749999999999</v>
      </c>
      <c r="AJ240">
        <v>10.529210000000001</v>
      </c>
      <c r="AK240">
        <v>10.7881</v>
      </c>
      <c r="AL240">
        <v>10.608599999999999</v>
      </c>
      <c r="AM240">
        <v>10.036530000000001</v>
      </c>
      <c r="AN240">
        <v>10.558680000000001</v>
      </c>
      <c r="AO240">
        <v>10.649710000000001</v>
      </c>
      <c r="AP240">
        <v>10.673539999999999</v>
      </c>
      <c r="AQ240">
        <v>10.13508</v>
      </c>
      <c r="AR240">
        <v>10.716379999999999</v>
      </c>
      <c r="AS240">
        <v>13.6539</v>
      </c>
      <c r="AT240">
        <v>10.04026</v>
      </c>
      <c r="AU240">
        <v>9.6857159999999993</v>
      </c>
      <c r="AV240">
        <v>10.676209999999999</v>
      </c>
      <c r="AW240">
        <v>9.5464289999999998</v>
      </c>
      <c r="AX240">
        <v>9.4416980000000006</v>
      </c>
      <c r="AY240">
        <v>9.9390280000000004</v>
      </c>
      <c r="AZ240">
        <v>10.404260000000001</v>
      </c>
      <c r="BA240">
        <v>0</v>
      </c>
      <c r="BB240" t="str">
        <f t="shared" si="11"/>
        <v/>
      </c>
      <c r="BC240">
        <v>2097217</v>
      </c>
      <c r="BD240">
        <v>1679.279</v>
      </c>
      <c r="BE240">
        <v>125666715</v>
      </c>
      <c r="BF240">
        <v>48.520189999999999</v>
      </c>
      <c r="BG240">
        <v>2048.473</v>
      </c>
      <c r="BH240">
        <v>48.520191990000001</v>
      </c>
    </row>
    <row r="241" spans="1:60">
      <c r="A241">
        <v>37900</v>
      </c>
      <c r="B241" t="s">
        <v>471</v>
      </c>
      <c r="C241">
        <v>42859.7</v>
      </c>
      <c r="D241">
        <v>234083</v>
      </c>
      <c r="E241">
        <v>372638</v>
      </c>
      <c r="F241">
        <v>4.3033700000000001E-2</v>
      </c>
      <c r="G241">
        <f t="shared" si="9"/>
        <v>43033.700000000004</v>
      </c>
      <c r="H241" s="51">
        <f t="shared" si="10"/>
        <v>16035991900.6</v>
      </c>
      <c r="I241">
        <v>145.20419999999999</v>
      </c>
      <c r="J241">
        <v>10.66569</v>
      </c>
      <c r="K241">
        <v>-3.1457709999999999</v>
      </c>
      <c r="L241">
        <v>7.3571099999999996</v>
      </c>
      <c r="M241">
        <v>-1.5542419999999999</v>
      </c>
      <c r="N241">
        <v>12.82836</v>
      </c>
      <c r="O241">
        <v>1.48E-3</v>
      </c>
      <c r="P241">
        <v>0</v>
      </c>
      <c r="Q241">
        <v>810.42430000000002</v>
      </c>
      <c r="R241">
        <v>1567.3</v>
      </c>
      <c r="S241">
        <v>0</v>
      </c>
      <c r="T241">
        <v>0</v>
      </c>
      <c r="U241">
        <v>551.91420000000005</v>
      </c>
      <c r="V241">
        <v>372638</v>
      </c>
      <c r="W241">
        <v>0</v>
      </c>
      <c r="X241">
        <v>1.4811E-3</v>
      </c>
      <c r="Y241">
        <v>0</v>
      </c>
      <c r="Z241">
        <v>0.2234169</v>
      </c>
      <c r="AB241">
        <v>273</v>
      </c>
      <c r="AE241">
        <v>0</v>
      </c>
      <c r="AF241">
        <v>3.8009520000000001</v>
      </c>
      <c r="AH241">
        <v>10.998390000000001</v>
      </c>
      <c r="AJ241">
        <v>10.948700000000001</v>
      </c>
      <c r="AK241">
        <v>10.657819999999999</v>
      </c>
      <c r="AL241">
        <v>10.74288</v>
      </c>
      <c r="AM241">
        <v>10.0177</v>
      </c>
      <c r="AN241">
        <v>10.4237</v>
      </c>
      <c r="AO241">
        <v>10.68403</v>
      </c>
      <c r="AP241">
        <v>10.920680000000001</v>
      </c>
      <c r="AQ241">
        <v>10.24292</v>
      </c>
      <c r="AR241">
        <v>10.84418</v>
      </c>
      <c r="AS241">
        <v>11.14011</v>
      </c>
      <c r="AT241">
        <v>10.102</v>
      </c>
      <c r="AU241">
        <v>9.7139810000000004</v>
      </c>
      <c r="AV241">
        <v>10.566269999999999</v>
      </c>
      <c r="AW241">
        <v>9.5397200000000009</v>
      </c>
      <c r="AX241">
        <v>9.4330099999999995</v>
      </c>
      <c r="AY241">
        <v>10.2661</v>
      </c>
      <c r="AZ241">
        <v>10.463100000000001</v>
      </c>
      <c r="BA241">
        <v>0</v>
      </c>
      <c r="BB241" t="str">
        <f t="shared" si="11"/>
        <v/>
      </c>
      <c r="BC241">
        <v>1835964</v>
      </c>
      <c r="BD241">
        <v>2470.3330000000001</v>
      </c>
      <c r="BE241">
        <v>104524969</v>
      </c>
      <c r="BF241">
        <v>40.357320000000001</v>
      </c>
      <c r="BG241">
        <v>2518.0439999999999</v>
      </c>
      <c r="BH241">
        <v>40.357317870000003</v>
      </c>
    </row>
    <row r="242" spans="1:60">
      <c r="A242">
        <v>37980</v>
      </c>
      <c r="B242" t="s">
        <v>312</v>
      </c>
      <c r="C242">
        <v>48715.18</v>
      </c>
      <c r="D242">
        <v>3532815</v>
      </c>
      <c r="E242">
        <v>5940496</v>
      </c>
      <c r="F242">
        <v>5.1052800000000002E-2</v>
      </c>
      <c r="G242">
        <f t="shared" si="9"/>
        <v>51052.800000000003</v>
      </c>
      <c r="H242" s="51">
        <f t="shared" si="10"/>
        <v>303278954188.79999</v>
      </c>
      <c r="I242">
        <v>1942.058</v>
      </c>
      <c r="J242">
        <v>10.793749999999999</v>
      </c>
      <c r="K242">
        <v>-2.9748950000000001</v>
      </c>
      <c r="L242">
        <v>8.3534620000000004</v>
      </c>
      <c r="M242">
        <v>-1.2796639999999999</v>
      </c>
      <c r="N242">
        <v>15.597300000000001</v>
      </c>
      <c r="O242">
        <v>4.3590000000000002E-4</v>
      </c>
      <c r="P242">
        <v>5.66E-5</v>
      </c>
      <c r="Q242">
        <v>1188.059</v>
      </c>
      <c r="R242">
        <v>4244.8509999999997</v>
      </c>
      <c r="S242">
        <v>1</v>
      </c>
      <c r="T242">
        <v>336.2</v>
      </c>
      <c r="U242">
        <v>2589.8249999999998</v>
      </c>
      <c r="V242">
        <v>5940496</v>
      </c>
      <c r="W242">
        <v>5.66E-5</v>
      </c>
      <c r="X242">
        <v>4.3600000000000003E-4</v>
      </c>
      <c r="Y242">
        <v>7.2619100000000006E-2</v>
      </c>
      <c r="Z242">
        <v>0.5594017</v>
      </c>
      <c r="AB242">
        <v>1487</v>
      </c>
      <c r="AE242">
        <v>0.1731153</v>
      </c>
      <c r="AF242">
        <v>1.3335459999999999</v>
      </c>
      <c r="AG242">
        <v>10.612270000000001</v>
      </c>
      <c r="AH242">
        <v>11.20529</v>
      </c>
      <c r="AI242">
        <v>11.74335</v>
      </c>
      <c r="AJ242">
        <v>10.970610000000001</v>
      </c>
      <c r="AK242">
        <v>10.95627</v>
      </c>
      <c r="AL242">
        <v>11.12754</v>
      </c>
      <c r="AM242">
        <v>10.12697</v>
      </c>
      <c r="AN242">
        <v>10.51632</v>
      </c>
      <c r="AO242">
        <v>11.10943</v>
      </c>
      <c r="AP242">
        <v>11.29435</v>
      </c>
      <c r="AQ242">
        <v>10.73907</v>
      </c>
      <c r="AR242">
        <v>11.24366</v>
      </c>
      <c r="AS242">
        <v>11.484819999999999</v>
      </c>
      <c r="AT242">
        <v>10.443910000000001</v>
      </c>
      <c r="AU242">
        <v>10.620889999999999</v>
      </c>
      <c r="AV242">
        <v>10.6607</v>
      </c>
      <c r="AW242">
        <v>10.398569999999999</v>
      </c>
      <c r="AX242">
        <v>9.6787580000000002</v>
      </c>
      <c r="AY242">
        <v>10.19384</v>
      </c>
      <c r="AZ242">
        <v>11.882110000000001</v>
      </c>
      <c r="BA242" s="14">
        <v>14600000</v>
      </c>
      <c r="BB242">
        <f t="shared" si="11"/>
        <v>43426.531826293874</v>
      </c>
      <c r="BC242" s="14">
        <v>60600000</v>
      </c>
      <c r="BD242">
        <v>4629.634</v>
      </c>
      <c r="BE242">
        <v>399222983</v>
      </c>
      <c r="BF242">
        <v>154.14089999999999</v>
      </c>
      <c r="BG242">
        <v>4870.5564999999997</v>
      </c>
      <c r="BH242">
        <v>154.140862</v>
      </c>
    </row>
    <row r="243" spans="1:60">
      <c r="A243">
        <v>38060</v>
      </c>
      <c r="B243" t="s">
        <v>472</v>
      </c>
      <c r="C243">
        <v>40903.370000000003</v>
      </c>
      <c r="D243">
        <v>2382340</v>
      </c>
      <c r="E243">
        <v>4287323</v>
      </c>
      <c r="F243">
        <v>3.9424800000000003E-2</v>
      </c>
      <c r="G243">
        <f t="shared" ref="G243:G302" si="12">F243*1000000</f>
        <v>39424.800000000003</v>
      </c>
      <c r="H243" s="51">
        <f t="shared" ref="H243:H302" si="13">+F243*E243*1000000</f>
        <v>169026851810.40002</v>
      </c>
      <c r="I243">
        <v>903.34939999999995</v>
      </c>
      <c r="J243">
        <v>10.618969999999999</v>
      </c>
      <c r="K243">
        <v>-3.2333590000000001</v>
      </c>
      <c r="L243">
        <v>7.7058400000000002</v>
      </c>
      <c r="M243">
        <v>-1.4254519999999999</v>
      </c>
      <c r="N243">
        <v>15.27117</v>
      </c>
      <c r="O243">
        <v>3.5740000000000001E-4</v>
      </c>
      <c r="P243">
        <v>0</v>
      </c>
      <c r="Q243">
        <v>1575.7919999999999</v>
      </c>
      <c r="R243">
        <v>2221.2820000000002</v>
      </c>
      <c r="S243">
        <v>0</v>
      </c>
      <c r="T243">
        <v>0</v>
      </c>
      <c r="U243">
        <v>1532.6790000000001</v>
      </c>
      <c r="V243">
        <v>4287323</v>
      </c>
      <c r="W243">
        <v>0</v>
      </c>
      <c r="X243">
        <v>3.5750000000000002E-4</v>
      </c>
      <c r="Y243">
        <v>0</v>
      </c>
      <c r="Z243">
        <v>0.1051744</v>
      </c>
      <c r="AB243">
        <v>2178</v>
      </c>
      <c r="AE243">
        <v>0</v>
      </c>
      <c r="AF243">
        <v>1.6966619999999999</v>
      </c>
      <c r="AG243">
        <v>10.171340000000001</v>
      </c>
      <c r="AH243">
        <v>10.97015</v>
      </c>
      <c r="AI243">
        <v>11.10473</v>
      </c>
      <c r="AJ243">
        <v>10.647019999999999</v>
      </c>
      <c r="AK243">
        <v>10.825369999999999</v>
      </c>
      <c r="AL243">
        <v>10.90987</v>
      </c>
      <c r="AM243">
        <v>10.06142</v>
      </c>
      <c r="AN243">
        <v>10.563549999999999</v>
      </c>
      <c r="AO243">
        <v>11.025270000000001</v>
      </c>
      <c r="AP243">
        <v>10.93727</v>
      </c>
      <c r="AQ243">
        <v>10.62189</v>
      </c>
      <c r="AR243">
        <v>11.00727</v>
      </c>
      <c r="AS243">
        <v>11.33961</v>
      </c>
      <c r="AT243">
        <v>10.538650000000001</v>
      </c>
      <c r="AU243">
        <v>10.52717</v>
      </c>
      <c r="AV243">
        <v>10.747769999999999</v>
      </c>
      <c r="AW243">
        <v>10.466379999999999</v>
      </c>
      <c r="AX243">
        <v>9.6611340000000006</v>
      </c>
      <c r="AY243">
        <v>10.12717</v>
      </c>
      <c r="AZ243">
        <v>9.9486080000000001</v>
      </c>
      <c r="BA243">
        <v>0</v>
      </c>
      <c r="BB243" t="str">
        <f t="shared" ref="BB243:BB302" si="14">IF(T243&gt;0,BA243/T243,"")</f>
        <v/>
      </c>
      <c r="BC243" s="14">
        <v>38400000</v>
      </c>
      <c r="BD243">
        <v>14572.73</v>
      </c>
      <c r="BE243">
        <v>1324720829</v>
      </c>
      <c r="BF243">
        <v>511.4776</v>
      </c>
      <c r="BG243">
        <v>14598.886</v>
      </c>
      <c r="BH243">
        <v>511.47759330000002</v>
      </c>
    </row>
    <row r="244" spans="1:60">
      <c r="A244">
        <v>38220</v>
      </c>
      <c r="B244" t="s">
        <v>1001</v>
      </c>
      <c r="C244">
        <v>31347.94</v>
      </c>
      <c r="D244">
        <v>48042</v>
      </c>
      <c r="E244">
        <v>101307</v>
      </c>
      <c r="F244">
        <v>2.1735899999999999E-2</v>
      </c>
      <c r="G244">
        <f t="shared" si="12"/>
        <v>21735.899999999998</v>
      </c>
      <c r="H244" s="51">
        <f t="shared" si="13"/>
        <v>2201998821.2999997</v>
      </c>
      <c r="I244">
        <v>35.407969999999999</v>
      </c>
      <c r="J244">
        <v>10.3529</v>
      </c>
      <c r="K244">
        <v>-3.828789</v>
      </c>
      <c r="L244">
        <v>6.4995830000000003</v>
      </c>
      <c r="M244">
        <v>-1.9973050000000001</v>
      </c>
      <c r="N244">
        <v>11.52591</v>
      </c>
      <c r="O244">
        <v>2.879E-3</v>
      </c>
      <c r="P244">
        <v>0</v>
      </c>
      <c r="Q244">
        <v>584.35990000000004</v>
      </c>
      <c r="R244">
        <v>664.86440000000005</v>
      </c>
      <c r="S244">
        <v>0</v>
      </c>
      <c r="T244">
        <v>0</v>
      </c>
      <c r="U244">
        <v>292.0797</v>
      </c>
      <c r="V244">
        <v>101307</v>
      </c>
      <c r="W244">
        <v>0</v>
      </c>
      <c r="X244">
        <v>2.8831E-3</v>
      </c>
      <c r="Y244">
        <v>0</v>
      </c>
      <c r="Z244">
        <v>0.14291319999999999</v>
      </c>
      <c r="AE244">
        <v>0</v>
      </c>
      <c r="AF244">
        <v>8.2489799999999995</v>
      </c>
      <c r="AG244">
        <v>10.777799999999999</v>
      </c>
      <c r="AI244">
        <v>9.9316589999999998</v>
      </c>
      <c r="AJ244">
        <v>10.5938</v>
      </c>
      <c r="AK244">
        <v>10.58212</v>
      </c>
      <c r="AL244">
        <v>10.6043</v>
      </c>
      <c r="AM244">
        <v>9.9452590000000001</v>
      </c>
      <c r="AN244">
        <v>10.307130000000001</v>
      </c>
      <c r="AP244">
        <v>10.534079999999999</v>
      </c>
      <c r="AR244">
        <v>10.850989999999999</v>
      </c>
      <c r="AS244">
        <v>10.73015</v>
      </c>
      <c r="AT244">
        <v>9.9318500000000007</v>
      </c>
      <c r="AV244">
        <v>10.353009999999999</v>
      </c>
      <c r="AW244">
        <v>9.5636989999999997</v>
      </c>
      <c r="AX244">
        <v>9.1819520000000008</v>
      </c>
      <c r="AY244">
        <v>10.039070000000001</v>
      </c>
      <c r="BB244" t="str">
        <f t="shared" si="14"/>
        <v/>
      </c>
      <c r="BD244">
        <v>2043.7560000000001</v>
      </c>
      <c r="BE244">
        <v>73858930</v>
      </c>
      <c r="BF244">
        <v>28.51709</v>
      </c>
      <c r="BG244">
        <v>2084.7089000000001</v>
      </c>
      <c r="BH244">
        <v>28.51709352</v>
      </c>
    </row>
    <row r="245" spans="1:60">
      <c r="A245">
        <v>38300</v>
      </c>
      <c r="B245" t="s">
        <v>313</v>
      </c>
      <c r="C245">
        <v>40947</v>
      </c>
      <c r="D245">
        <v>1452482</v>
      </c>
      <c r="E245">
        <v>2355391</v>
      </c>
      <c r="F245">
        <v>4.4896600000000002E-2</v>
      </c>
      <c r="G245">
        <f t="shared" si="12"/>
        <v>44896.6</v>
      </c>
      <c r="H245" s="51">
        <f t="shared" si="13"/>
        <v>105749047570.60001</v>
      </c>
      <c r="I245">
        <v>1018.171</v>
      </c>
      <c r="J245">
        <v>10.62003</v>
      </c>
      <c r="K245">
        <v>-3.1033940000000002</v>
      </c>
      <c r="L245">
        <v>8.2971819999999994</v>
      </c>
      <c r="M245">
        <v>-1.364419</v>
      </c>
      <c r="N245">
        <v>14.672219999999999</v>
      </c>
      <c r="O245">
        <v>8.987E-4</v>
      </c>
      <c r="P245" s="14">
        <v>9.3400000000000004E-6</v>
      </c>
      <c r="Q245">
        <v>861.35310000000004</v>
      </c>
      <c r="R245">
        <v>4012.5479999999998</v>
      </c>
      <c r="S245">
        <v>1</v>
      </c>
      <c r="T245">
        <v>22</v>
      </c>
      <c r="U245">
        <v>2117.8069999999998</v>
      </c>
      <c r="V245">
        <v>2355391</v>
      </c>
      <c r="W245" s="14">
        <v>9.3400000000000004E-6</v>
      </c>
      <c r="X245">
        <v>8.9910000000000001E-4</v>
      </c>
      <c r="Y245">
        <v>4.1669999999999997E-3</v>
      </c>
      <c r="Z245">
        <v>0.40113330000000003</v>
      </c>
      <c r="AB245">
        <v>1788</v>
      </c>
      <c r="AE245">
        <v>2.1607399999999999E-2</v>
      </c>
      <c r="AF245">
        <v>2.0800109999999998</v>
      </c>
      <c r="AG245">
        <v>10.2491</v>
      </c>
      <c r="AH245">
        <v>11.033580000000001</v>
      </c>
      <c r="AI245">
        <v>11.287470000000001</v>
      </c>
      <c r="AJ245">
        <v>10.80443</v>
      </c>
      <c r="AK245">
        <v>10.81029</v>
      </c>
      <c r="AL245">
        <v>10.87355</v>
      </c>
      <c r="AM245">
        <v>9.9944229999999994</v>
      </c>
      <c r="AN245">
        <v>10.3901</v>
      </c>
      <c r="AO245">
        <v>10.920249999999999</v>
      </c>
      <c r="AP245">
        <v>11.09722</v>
      </c>
      <c r="AQ245">
        <v>10.555540000000001</v>
      </c>
      <c r="AR245">
        <v>11.06884</v>
      </c>
      <c r="AS245">
        <v>11.523099999999999</v>
      </c>
      <c r="AT245">
        <v>10.21777</v>
      </c>
      <c r="AU245">
        <v>10.42177</v>
      </c>
      <c r="AV245">
        <v>10.57859</v>
      </c>
      <c r="AW245">
        <v>10.42881</v>
      </c>
      <c r="AX245">
        <v>9.4614759999999993</v>
      </c>
      <c r="AY245">
        <v>10.014060000000001</v>
      </c>
      <c r="AZ245">
        <v>9.5746179999999992</v>
      </c>
      <c r="BA245">
        <v>1217246</v>
      </c>
      <c r="BB245">
        <f t="shared" si="14"/>
        <v>55329.36363636364</v>
      </c>
      <c r="BC245" s="14">
        <v>27800000</v>
      </c>
      <c r="BD245">
        <v>5279.5590000000002</v>
      </c>
      <c r="BE245">
        <v>162840365</v>
      </c>
      <c r="BF245">
        <v>62.873019999999997</v>
      </c>
      <c r="BG245">
        <v>5342.5328</v>
      </c>
      <c r="BH245">
        <v>62.8730191</v>
      </c>
    </row>
    <row r="246" spans="1:60">
      <c r="A246">
        <v>38540</v>
      </c>
      <c r="B246" t="s">
        <v>473</v>
      </c>
      <c r="C246">
        <v>28777.56</v>
      </c>
      <c r="D246">
        <v>52972</v>
      </c>
      <c r="E246">
        <v>88984</v>
      </c>
      <c r="F246">
        <v>2.2633299999999999E-2</v>
      </c>
      <c r="G246">
        <f t="shared" si="12"/>
        <v>22633.3</v>
      </c>
      <c r="H246" s="51">
        <f t="shared" si="13"/>
        <v>2014001567.2</v>
      </c>
      <c r="I246">
        <v>31.520949999999999</v>
      </c>
      <c r="J246">
        <v>10.26735</v>
      </c>
      <c r="K246">
        <v>-3.7883339999999999</v>
      </c>
      <c r="L246">
        <v>6.9773170000000002</v>
      </c>
      <c r="M246">
        <v>-1.5748420000000001</v>
      </c>
      <c r="N246">
        <v>11.39621</v>
      </c>
      <c r="O246">
        <v>2.0858000000000001E-3</v>
      </c>
      <c r="P246">
        <v>0</v>
      </c>
      <c r="Q246">
        <v>934.87019999999995</v>
      </c>
      <c r="R246">
        <v>1072.039</v>
      </c>
      <c r="S246">
        <v>0</v>
      </c>
      <c r="T246">
        <v>0</v>
      </c>
      <c r="U246">
        <v>185.7988</v>
      </c>
      <c r="V246">
        <v>88984</v>
      </c>
      <c r="W246">
        <v>0</v>
      </c>
      <c r="X246">
        <v>2.088E-3</v>
      </c>
      <c r="Y246">
        <v>0</v>
      </c>
      <c r="Z246">
        <v>7.3762900000000006E-2</v>
      </c>
      <c r="AB246">
        <v>334</v>
      </c>
      <c r="AE246">
        <v>0</v>
      </c>
      <c r="AF246">
        <v>5.8944549999999998</v>
      </c>
      <c r="AI246">
        <v>11.215</v>
      </c>
      <c r="AJ246">
        <v>10.43788</v>
      </c>
      <c r="AK246">
        <v>10.59501</v>
      </c>
      <c r="AL246">
        <v>10.52955</v>
      </c>
      <c r="AM246">
        <v>9.8970470000000006</v>
      </c>
      <c r="AN246">
        <v>10.13655</v>
      </c>
      <c r="AO246">
        <v>10.318989999999999</v>
      </c>
      <c r="AP246">
        <v>10.664569999999999</v>
      </c>
      <c r="AQ246">
        <v>10.10882</v>
      </c>
      <c r="AR246">
        <v>10.24933</v>
      </c>
      <c r="AS246">
        <v>11.596489999999999</v>
      </c>
      <c r="AT246">
        <v>9.9446329999999996</v>
      </c>
      <c r="AU246">
        <v>9.7744250000000008</v>
      </c>
      <c r="AV246">
        <v>10.382709999999999</v>
      </c>
      <c r="AW246">
        <v>9.191122</v>
      </c>
      <c r="AX246">
        <v>9.2549949999999992</v>
      </c>
      <c r="AY246">
        <v>10.0107</v>
      </c>
      <c r="BA246">
        <v>0</v>
      </c>
      <c r="BB246" t="str">
        <f t="shared" si="14"/>
        <v/>
      </c>
      <c r="BC246">
        <v>296787</v>
      </c>
      <c r="BD246">
        <v>2518.864</v>
      </c>
      <c r="BE246">
        <v>60432484</v>
      </c>
      <c r="BF246">
        <v>23.333110000000001</v>
      </c>
      <c r="BG246">
        <v>2590.1113</v>
      </c>
      <c r="BH246">
        <v>23.33311351</v>
      </c>
    </row>
    <row r="247" spans="1:60">
      <c r="A247">
        <v>38860</v>
      </c>
      <c r="B247" t="s">
        <v>1002</v>
      </c>
      <c r="C247">
        <v>38003.480000000003</v>
      </c>
      <c r="D247">
        <v>356333</v>
      </c>
      <c r="E247">
        <v>516026</v>
      </c>
      <c r="F247">
        <v>4.2166500000000003E-2</v>
      </c>
      <c r="G247">
        <f t="shared" si="12"/>
        <v>42166.5</v>
      </c>
      <c r="H247" s="51">
        <f t="shared" si="13"/>
        <v>21759010329</v>
      </c>
      <c r="I247">
        <v>206.54470000000001</v>
      </c>
      <c r="J247">
        <v>10.54543</v>
      </c>
      <c r="K247">
        <v>-3.1661299999999999</v>
      </c>
      <c r="L247">
        <v>7.7810499999999996</v>
      </c>
      <c r="M247">
        <v>-1.2123600000000001</v>
      </c>
      <c r="N247">
        <v>13.15391</v>
      </c>
      <c r="O247">
        <v>1.0734E-3</v>
      </c>
      <c r="P247">
        <v>0</v>
      </c>
      <c r="Q247">
        <v>765.15160000000003</v>
      </c>
      <c r="R247">
        <v>2394.7890000000002</v>
      </c>
      <c r="S247">
        <v>0</v>
      </c>
      <c r="T247">
        <v>0</v>
      </c>
      <c r="U247">
        <v>554.221</v>
      </c>
      <c r="V247">
        <v>516026</v>
      </c>
      <c r="W247">
        <v>0</v>
      </c>
      <c r="X247">
        <v>1.0740000000000001E-3</v>
      </c>
      <c r="Y247">
        <v>0</v>
      </c>
      <c r="Z247">
        <v>0.26641090000000001</v>
      </c>
      <c r="AB247">
        <v>89</v>
      </c>
      <c r="AE247">
        <v>0</v>
      </c>
      <c r="AF247">
        <v>2.6832980000000002</v>
      </c>
      <c r="AG247">
        <v>10.43196</v>
      </c>
      <c r="AH247">
        <v>11.49569</v>
      </c>
      <c r="AI247">
        <v>10.938789999999999</v>
      </c>
      <c r="AJ247">
        <v>10.67098</v>
      </c>
      <c r="AK247">
        <v>10.652760000000001</v>
      </c>
      <c r="AL247">
        <v>10.76731</v>
      </c>
      <c r="AM247">
        <v>10.047700000000001</v>
      </c>
      <c r="AN247">
        <v>10.46636</v>
      </c>
      <c r="AO247">
        <v>10.766629999999999</v>
      </c>
      <c r="AP247">
        <v>11.08225</v>
      </c>
      <c r="AQ247">
        <v>10.39401</v>
      </c>
      <c r="AR247">
        <v>10.94219</v>
      </c>
      <c r="AS247">
        <v>11.271800000000001</v>
      </c>
      <c r="AT247">
        <v>10.360760000000001</v>
      </c>
      <c r="AU247">
        <v>10.168340000000001</v>
      </c>
      <c r="AV247">
        <v>10.58196</v>
      </c>
      <c r="AW247">
        <v>10.11698</v>
      </c>
      <c r="AX247">
        <v>9.8121880000000008</v>
      </c>
      <c r="AY247">
        <v>10.09079</v>
      </c>
      <c r="AZ247">
        <v>9.8736339999999991</v>
      </c>
      <c r="BB247" t="str">
        <f t="shared" si="14"/>
        <v/>
      </c>
      <c r="BD247">
        <v>2080.3240000000001</v>
      </c>
      <c r="BE247">
        <v>81430133</v>
      </c>
      <c r="BF247">
        <v>31.440349999999999</v>
      </c>
      <c r="BG247">
        <v>2858.2791999999999</v>
      </c>
      <c r="BH247">
        <v>31.440351459999999</v>
      </c>
    </row>
    <row r="248" spans="1:60">
      <c r="A248">
        <v>38900</v>
      </c>
      <c r="B248" t="s">
        <v>315</v>
      </c>
      <c r="C248">
        <v>43022.45</v>
      </c>
      <c r="D248">
        <v>1388060</v>
      </c>
      <c r="E248">
        <v>2203745</v>
      </c>
      <c r="F248">
        <v>4.5935400000000001E-2</v>
      </c>
      <c r="G248">
        <f t="shared" si="12"/>
        <v>45935.4</v>
      </c>
      <c r="H248" s="51">
        <f t="shared" si="13"/>
        <v>101229908073</v>
      </c>
      <c r="I248">
        <v>525.80050000000006</v>
      </c>
      <c r="J248">
        <v>10.66948</v>
      </c>
      <c r="K248">
        <v>-3.0805180000000001</v>
      </c>
      <c r="L248">
        <v>7.8617819999999998</v>
      </c>
      <c r="M248">
        <v>-1.2947770000000001</v>
      </c>
      <c r="N248">
        <v>14.60567</v>
      </c>
      <c r="O248">
        <v>5.0699999999999996E-4</v>
      </c>
      <c r="P248">
        <v>2.1999999999999999E-5</v>
      </c>
      <c r="Q248">
        <v>1594.7049999999999</v>
      </c>
      <c r="R248">
        <v>2596.1419999999998</v>
      </c>
      <c r="S248">
        <v>1</v>
      </c>
      <c r="T248">
        <v>48.4</v>
      </c>
      <c r="U248">
        <v>1117.6389999999999</v>
      </c>
      <c r="V248">
        <v>2203745</v>
      </c>
      <c r="W248">
        <v>2.1999999999999999E-5</v>
      </c>
      <c r="X248">
        <v>5.0719999999999997E-4</v>
      </c>
      <c r="Y248">
        <v>7.2411000000000003E-3</v>
      </c>
      <c r="Z248">
        <v>0.16720869999999999</v>
      </c>
      <c r="AB248">
        <v>1867</v>
      </c>
      <c r="AE248">
        <v>9.2050099999999996E-2</v>
      </c>
      <c r="AF248">
        <v>2.1255950000000001</v>
      </c>
      <c r="AG248">
        <v>11.28359</v>
      </c>
      <c r="AH248">
        <v>11.06377</v>
      </c>
      <c r="AI248">
        <v>11.467449999999999</v>
      </c>
      <c r="AJ248">
        <v>10.803649999999999</v>
      </c>
      <c r="AK248">
        <v>10.814170000000001</v>
      </c>
      <c r="AL248">
        <v>10.99324</v>
      </c>
      <c r="AM248">
        <v>10.12581</v>
      </c>
      <c r="AN248">
        <v>10.5989</v>
      </c>
      <c r="AO248">
        <v>11.04424</v>
      </c>
      <c r="AP248">
        <v>11.00647</v>
      </c>
      <c r="AQ248">
        <v>10.447240000000001</v>
      </c>
      <c r="AR248">
        <v>11.10154</v>
      </c>
      <c r="AS248">
        <v>11.332380000000001</v>
      </c>
      <c r="AT248">
        <v>10.19811</v>
      </c>
      <c r="AU248">
        <v>10.15821</v>
      </c>
      <c r="AV248">
        <v>10.734640000000001</v>
      </c>
      <c r="AW248">
        <v>10.273669999999999</v>
      </c>
      <c r="AX248">
        <v>9.6457259999999998</v>
      </c>
      <c r="AY248">
        <v>10.176740000000001</v>
      </c>
      <c r="AZ248">
        <v>10.82311</v>
      </c>
      <c r="BA248">
        <v>3838237</v>
      </c>
      <c r="BB248">
        <f t="shared" si="14"/>
        <v>79302.417355371901</v>
      </c>
      <c r="BC248" s="14">
        <v>31600000</v>
      </c>
      <c r="BD248">
        <v>6684.0959999999995</v>
      </c>
      <c r="BE248">
        <v>524780168</v>
      </c>
      <c r="BF248">
        <v>202.61879999999999</v>
      </c>
      <c r="BG248">
        <v>6817.8369000000002</v>
      </c>
      <c r="BH248">
        <v>202.61876430000001</v>
      </c>
    </row>
    <row r="249" spans="1:60">
      <c r="A249">
        <v>38940</v>
      </c>
      <c r="B249" t="s">
        <v>474</v>
      </c>
      <c r="C249">
        <v>31359.47</v>
      </c>
      <c r="D249">
        <v>188921</v>
      </c>
      <c r="E249">
        <v>404726</v>
      </c>
      <c r="F249">
        <v>2.46117E-2</v>
      </c>
      <c r="G249">
        <f t="shared" si="12"/>
        <v>24611.7</v>
      </c>
      <c r="H249" s="51">
        <f t="shared" si="13"/>
        <v>9960994894.2000008</v>
      </c>
      <c r="I249">
        <v>177.86680000000001</v>
      </c>
      <c r="J249">
        <v>10.35327</v>
      </c>
      <c r="K249">
        <v>-3.7045330000000001</v>
      </c>
      <c r="L249">
        <v>5.643294</v>
      </c>
      <c r="M249">
        <v>-1.3915329999999999</v>
      </c>
      <c r="N249">
        <v>12.910970000000001</v>
      </c>
      <c r="O249">
        <v>8.9289999999999997E-4</v>
      </c>
      <c r="P249">
        <v>0</v>
      </c>
      <c r="Q249">
        <v>527.68129999999996</v>
      </c>
      <c r="R249">
        <v>282.39150000000001</v>
      </c>
      <c r="S249">
        <v>0</v>
      </c>
      <c r="T249">
        <v>0</v>
      </c>
      <c r="U249">
        <v>361.52510000000001</v>
      </c>
      <c r="V249">
        <v>404726</v>
      </c>
      <c r="W249">
        <v>0</v>
      </c>
      <c r="X249">
        <v>8.9329999999999998E-4</v>
      </c>
      <c r="Y249">
        <v>0</v>
      </c>
      <c r="Z249">
        <v>0.32048369999999998</v>
      </c>
      <c r="AB249">
        <v>154</v>
      </c>
      <c r="AE249">
        <v>0</v>
      </c>
      <c r="AF249">
        <v>2.0325609999999998</v>
      </c>
      <c r="AG249">
        <v>9.9153559999999992</v>
      </c>
      <c r="AH249">
        <v>10.669549999999999</v>
      </c>
      <c r="AJ249">
        <v>10.39561</v>
      </c>
      <c r="AK249">
        <v>10.62495</v>
      </c>
      <c r="AL249">
        <v>10.589</v>
      </c>
      <c r="AM249">
        <v>10.080970000000001</v>
      </c>
      <c r="AN249">
        <v>10.48874</v>
      </c>
      <c r="AO249">
        <v>10.644360000000001</v>
      </c>
      <c r="AP249">
        <v>10.92905</v>
      </c>
      <c r="AQ249">
        <v>10.271269999999999</v>
      </c>
      <c r="AR249">
        <v>10.75132</v>
      </c>
      <c r="AS249">
        <v>10.892770000000001</v>
      </c>
      <c r="AT249">
        <v>10.14514</v>
      </c>
      <c r="AU249">
        <v>10.117050000000001</v>
      </c>
      <c r="AV249">
        <v>10.5992</v>
      </c>
      <c r="AW249">
        <v>10.00609</v>
      </c>
      <c r="AX249">
        <v>9.4480719999999998</v>
      </c>
      <c r="AY249">
        <v>9.9956600000000009</v>
      </c>
      <c r="BA249">
        <v>0</v>
      </c>
      <c r="BB249" t="str">
        <f t="shared" si="14"/>
        <v/>
      </c>
      <c r="BC249">
        <v>247015</v>
      </c>
      <c r="BD249">
        <v>1128.0609999999999</v>
      </c>
      <c r="BE249">
        <v>154257516</v>
      </c>
      <c r="BF249">
        <v>59.559159999999999</v>
      </c>
      <c r="BG249">
        <v>1440.9367999999999</v>
      </c>
      <c r="BH249">
        <v>59.559162440000001</v>
      </c>
    </row>
    <row r="250" spans="1:60">
      <c r="A250">
        <v>39100</v>
      </c>
      <c r="B250" t="s">
        <v>475</v>
      </c>
      <c r="C250">
        <v>37933.53</v>
      </c>
      <c r="D250">
        <v>340746</v>
      </c>
      <c r="E250">
        <v>672020</v>
      </c>
      <c r="F250">
        <v>2.46258E-2</v>
      </c>
      <c r="G250">
        <f t="shared" si="12"/>
        <v>24625.8</v>
      </c>
      <c r="H250" s="51">
        <f t="shared" si="13"/>
        <v>16549030115.999998</v>
      </c>
      <c r="I250">
        <v>321.34320000000002</v>
      </c>
      <c r="J250">
        <v>10.54359</v>
      </c>
      <c r="K250">
        <v>-3.7039620000000002</v>
      </c>
      <c r="L250">
        <v>7.582084</v>
      </c>
      <c r="M250">
        <v>-1.4306730000000001</v>
      </c>
      <c r="N250">
        <v>13.41804</v>
      </c>
      <c r="O250">
        <v>1.0712E-3</v>
      </c>
      <c r="P250">
        <v>0</v>
      </c>
      <c r="Q250">
        <v>490.49419999999998</v>
      </c>
      <c r="R250">
        <v>1962.7149999999999</v>
      </c>
      <c r="S250">
        <v>0</v>
      </c>
      <c r="T250">
        <v>0</v>
      </c>
      <c r="U250">
        <v>720.28679999999997</v>
      </c>
      <c r="V250">
        <v>672020</v>
      </c>
      <c r="W250">
        <v>0</v>
      </c>
      <c r="X250">
        <v>1.0717999999999999E-3</v>
      </c>
      <c r="Y250">
        <v>0</v>
      </c>
      <c r="Z250">
        <v>0.44518970000000002</v>
      </c>
      <c r="AB250">
        <v>648</v>
      </c>
      <c r="AE250">
        <v>0</v>
      </c>
      <c r="AF250">
        <v>2.2414879999999999</v>
      </c>
      <c r="AG250">
        <v>10.104520000000001</v>
      </c>
      <c r="AH250">
        <v>13.354620000000001</v>
      </c>
      <c r="AJ250">
        <v>10.71293</v>
      </c>
      <c r="AK250">
        <v>11.13194</v>
      </c>
      <c r="AL250">
        <v>10.71547</v>
      </c>
      <c r="AM250">
        <v>10.09165</v>
      </c>
      <c r="AN250">
        <v>10.462580000000001</v>
      </c>
      <c r="AO250">
        <v>10.859500000000001</v>
      </c>
      <c r="AP250">
        <v>10.760249999999999</v>
      </c>
      <c r="AQ250">
        <v>10.404909999999999</v>
      </c>
      <c r="AR250">
        <v>10.781409999999999</v>
      </c>
      <c r="AS250">
        <v>11.20269</v>
      </c>
      <c r="AT250">
        <v>10.353149999999999</v>
      </c>
      <c r="AU250">
        <v>10.212009999999999</v>
      </c>
      <c r="AV250">
        <v>10.624499999999999</v>
      </c>
      <c r="AW250">
        <v>9.857367</v>
      </c>
      <c r="AX250">
        <v>9.6035350000000008</v>
      </c>
      <c r="AY250">
        <v>10.15662</v>
      </c>
      <c r="AZ250">
        <v>9.8273259999999993</v>
      </c>
      <c r="BA250">
        <v>0</v>
      </c>
      <c r="BB250" t="str">
        <f t="shared" si="14"/>
        <v/>
      </c>
      <c r="BC250">
        <v>2750456</v>
      </c>
      <c r="BD250">
        <v>1617.932</v>
      </c>
      <c r="BE250">
        <v>56469408</v>
      </c>
      <c r="BF250">
        <v>21.802959999999999</v>
      </c>
      <c r="BG250">
        <v>1663.9988000000001</v>
      </c>
      <c r="BH250">
        <v>21.802961249999999</v>
      </c>
    </row>
    <row r="251" spans="1:60">
      <c r="A251">
        <v>39140</v>
      </c>
      <c r="B251" t="s">
        <v>1239</v>
      </c>
      <c r="C251">
        <v>29297.49</v>
      </c>
      <c r="D251">
        <v>91743</v>
      </c>
      <c r="E251">
        <v>214930</v>
      </c>
      <c r="F251">
        <v>1.7438200000000001E-2</v>
      </c>
      <c r="G251">
        <f t="shared" si="12"/>
        <v>17438.2</v>
      </c>
      <c r="H251" s="51">
        <f t="shared" si="13"/>
        <v>3747992326</v>
      </c>
      <c r="I251">
        <v>71.862870000000001</v>
      </c>
      <c r="J251">
        <v>10.285259999999999</v>
      </c>
      <c r="K251">
        <v>-4.0490899999999996</v>
      </c>
      <c r="L251">
        <v>6.69191</v>
      </c>
      <c r="M251">
        <v>-1.3984909999999999</v>
      </c>
      <c r="N251">
        <v>12.27807</v>
      </c>
      <c r="O251">
        <v>1.1437000000000001E-3</v>
      </c>
      <c r="P251">
        <v>0</v>
      </c>
      <c r="Q251">
        <v>515.17570000000001</v>
      </c>
      <c r="R251">
        <v>805.85969999999998</v>
      </c>
      <c r="S251">
        <v>0</v>
      </c>
      <c r="T251">
        <v>0</v>
      </c>
      <c r="U251">
        <v>245.96530000000001</v>
      </c>
      <c r="V251">
        <v>214930</v>
      </c>
      <c r="W251">
        <v>0</v>
      </c>
      <c r="X251">
        <v>1.1444000000000001E-3</v>
      </c>
      <c r="Y251">
        <v>0</v>
      </c>
      <c r="Z251">
        <v>3.0279E-2</v>
      </c>
      <c r="AE251">
        <v>0</v>
      </c>
      <c r="AF251">
        <v>3.422704</v>
      </c>
      <c r="AJ251">
        <v>10.278320000000001</v>
      </c>
      <c r="AK251">
        <v>10.590389999999999</v>
      </c>
      <c r="AL251">
        <v>10.538589999999999</v>
      </c>
      <c r="AM251">
        <v>10.010759999999999</v>
      </c>
      <c r="AN251">
        <v>10.30003</v>
      </c>
      <c r="AO251">
        <v>10.463200000000001</v>
      </c>
      <c r="AP251">
        <v>10.587870000000001</v>
      </c>
      <c r="AQ251">
        <v>10.368410000000001</v>
      </c>
      <c r="AR251">
        <v>10.48739</v>
      </c>
      <c r="AT251">
        <v>10.19552</v>
      </c>
      <c r="AU251">
        <v>10.342650000000001</v>
      </c>
      <c r="AV251">
        <v>10.5421</v>
      </c>
      <c r="AW251">
        <v>9.8381869999999996</v>
      </c>
      <c r="AX251">
        <v>9.6209369999999996</v>
      </c>
      <c r="AY251">
        <v>9.9731249999999996</v>
      </c>
      <c r="BB251" t="str">
        <f t="shared" si="14"/>
        <v/>
      </c>
      <c r="BD251">
        <v>8123.3010000000004</v>
      </c>
      <c r="BE251">
        <v>65962993</v>
      </c>
      <c r="BF251">
        <v>25.468450000000001</v>
      </c>
      <c r="BG251">
        <v>8127.5650999999998</v>
      </c>
      <c r="BH251">
        <v>25.468455070000001</v>
      </c>
    </row>
    <row r="252" spans="1:60">
      <c r="A252">
        <v>39300</v>
      </c>
      <c r="B252" t="s">
        <v>317</v>
      </c>
      <c r="C252">
        <v>39287.08</v>
      </c>
      <c r="D252">
        <v>890702</v>
      </c>
      <c r="E252">
        <v>1599312</v>
      </c>
      <c r="F252">
        <v>3.5660299999999999E-2</v>
      </c>
      <c r="G252">
        <f t="shared" si="12"/>
        <v>35660.299999999996</v>
      </c>
      <c r="H252" s="51">
        <f t="shared" si="13"/>
        <v>57031945713.599998</v>
      </c>
      <c r="I252">
        <v>652.05740000000003</v>
      </c>
      <c r="J252">
        <v>10.57865</v>
      </c>
      <c r="K252">
        <v>-3.3337159999999999</v>
      </c>
      <c r="L252">
        <v>7.8116089999999998</v>
      </c>
      <c r="M252">
        <v>-1.4311590000000001</v>
      </c>
      <c r="N252">
        <v>14.285080000000001</v>
      </c>
      <c r="O252">
        <v>5.6130000000000004E-4</v>
      </c>
      <c r="P252" s="14">
        <v>4.25E-6</v>
      </c>
      <c r="Q252">
        <v>604.3057</v>
      </c>
      <c r="R252">
        <v>2469.1010000000001</v>
      </c>
      <c r="S252">
        <v>1</v>
      </c>
      <c r="T252">
        <v>6.8</v>
      </c>
      <c r="U252">
        <v>897.98329999999999</v>
      </c>
      <c r="V252">
        <v>1599312</v>
      </c>
      <c r="W252" s="14">
        <v>4.25E-6</v>
      </c>
      <c r="X252">
        <v>5.6150000000000004E-4</v>
      </c>
      <c r="Y252">
        <v>4.2475000000000004E-3</v>
      </c>
      <c r="Z252">
        <v>0.56091579999999996</v>
      </c>
      <c r="AB252">
        <v>895</v>
      </c>
      <c r="AE252">
        <v>1.04285E-2</v>
      </c>
      <c r="AF252">
        <v>1.377154</v>
      </c>
      <c r="AG252">
        <v>10.26507</v>
      </c>
      <c r="AH252">
        <v>11.051880000000001</v>
      </c>
      <c r="AI252">
        <v>11.268470000000001</v>
      </c>
      <c r="AJ252">
        <v>10.904640000000001</v>
      </c>
      <c r="AK252">
        <v>10.728260000000001</v>
      </c>
      <c r="AL252">
        <v>10.944979999999999</v>
      </c>
      <c r="AM252">
        <v>10.07335</v>
      </c>
      <c r="AN252">
        <v>10.44877</v>
      </c>
      <c r="AO252">
        <v>10.9017</v>
      </c>
      <c r="AP252">
        <v>11.04308</v>
      </c>
      <c r="AQ252">
        <v>10.469530000000001</v>
      </c>
      <c r="AR252">
        <v>11.0298</v>
      </c>
      <c r="AS252">
        <v>11.59834</v>
      </c>
      <c r="AT252">
        <v>10.258470000000001</v>
      </c>
      <c r="AU252">
        <v>10.360379999999999</v>
      </c>
      <c r="AV252">
        <v>10.5692</v>
      </c>
      <c r="AW252">
        <v>9.9873030000000007</v>
      </c>
      <c r="AX252">
        <v>9.5929269999999995</v>
      </c>
      <c r="AY252">
        <v>10.117100000000001</v>
      </c>
      <c r="AZ252">
        <v>13.08708</v>
      </c>
      <c r="BB252">
        <f t="shared" si="14"/>
        <v>0</v>
      </c>
      <c r="BC252">
        <v>9264064</v>
      </c>
      <c r="BD252">
        <v>1600.923</v>
      </c>
      <c r="BE252">
        <v>194481414</v>
      </c>
      <c r="BF252">
        <v>75.089690000000004</v>
      </c>
      <c r="BG252">
        <v>2236.2100999999998</v>
      </c>
      <c r="BH252">
        <v>75.089696939999996</v>
      </c>
    </row>
    <row r="253" spans="1:60">
      <c r="A253">
        <v>39340</v>
      </c>
      <c r="B253" t="s">
        <v>1240</v>
      </c>
      <c r="C253">
        <v>33088.519999999997</v>
      </c>
      <c r="D253">
        <v>265048</v>
      </c>
      <c r="E253">
        <v>539754</v>
      </c>
      <c r="F253">
        <v>2.2575100000000001E-2</v>
      </c>
      <c r="G253">
        <f t="shared" si="12"/>
        <v>22575.100000000002</v>
      </c>
      <c r="H253" s="51">
        <f t="shared" si="13"/>
        <v>12185000525.400002</v>
      </c>
      <c r="I253">
        <v>108.1024</v>
      </c>
      <c r="J253">
        <v>10.406940000000001</v>
      </c>
      <c r="K253">
        <v>-3.7909079999999999</v>
      </c>
      <c r="L253">
        <v>7.6129230000000003</v>
      </c>
      <c r="M253">
        <v>-1.538443</v>
      </c>
      <c r="N253">
        <v>13.198869999999999</v>
      </c>
      <c r="O253">
        <v>6.512E-4</v>
      </c>
      <c r="P253">
        <v>0</v>
      </c>
      <c r="Q253">
        <v>1108.597</v>
      </c>
      <c r="R253">
        <v>2024.1849999999999</v>
      </c>
      <c r="S253">
        <v>0</v>
      </c>
      <c r="T253">
        <v>0</v>
      </c>
      <c r="U253">
        <v>351.59699999999998</v>
      </c>
      <c r="V253">
        <v>539754</v>
      </c>
      <c r="W253">
        <v>0</v>
      </c>
      <c r="X253">
        <v>6.514E-4</v>
      </c>
      <c r="Y253">
        <v>0</v>
      </c>
      <c r="Z253">
        <v>6.5230499999999997E-2</v>
      </c>
      <c r="AE253">
        <v>0</v>
      </c>
      <c r="AF253">
        <v>3.252443</v>
      </c>
      <c r="AI253">
        <v>11.51169</v>
      </c>
      <c r="AJ253">
        <v>10.417160000000001</v>
      </c>
      <c r="AK253">
        <v>10.738720000000001</v>
      </c>
      <c r="AL253">
        <v>10.820919999999999</v>
      </c>
      <c r="AM253">
        <v>10.02134</v>
      </c>
      <c r="AN253">
        <v>10.377370000000001</v>
      </c>
      <c r="AO253">
        <v>11.235329999999999</v>
      </c>
      <c r="AP253">
        <v>10.634449999999999</v>
      </c>
      <c r="AQ253">
        <v>10.054779999999999</v>
      </c>
      <c r="AR253">
        <v>10.574590000000001</v>
      </c>
      <c r="AS253">
        <v>11.0242</v>
      </c>
      <c r="AT253">
        <v>10.38997</v>
      </c>
      <c r="AV253">
        <v>10.439679999999999</v>
      </c>
      <c r="AW253">
        <v>9.8286490000000004</v>
      </c>
      <c r="AX253">
        <v>9.3315870000000007</v>
      </c>
      <c r="AY253">
        <v>9.978332</v>
      </c>
      <c r="AZ253">
        <v>10.76497</v>
      </c>
      <c r="BB253" t="str">
        <f t="shared" si="14"/>
        <v/>
      </c>
      <c r="BD253">
        <v>5390.07</v>
      </c>
      <c r="BE253">
        <v>91430759</v>
      </c>
      <c r="BF253">
        <v>35.301609999999997</v>
      </c>
      <c r="BG253">
        <v>5550.4291000000003</v>
      </c>
      <c r="BH253">
        <v>35.301614909999998</v>
      </c>
    </row>
    <row r="254" spans="1:60">
      <c r="A254">
        <v>39380</v>
      </c>
      <c r="B254" t="s">
        <v>476</v>
      </c>
      <c r="C254">
        <v>30336.55</v>
      </c>
      <c r="D254">
        <v>77291</v>
      </c>
      <c r="E254">
        <v>156009</v>
      </c>
      <c r="F254">
        <v>2.0344999999999999E-2</v>
      </c>
      <c r="G254">
        <f t="shared" si="12"/>
        <v>20345</v>
      </c>
      <c r="H254" s="51">
        <f t="shared" si="13"/>
        <v>3174003105</v>
      </c>
      <c r="I254">
        <v>52.489939999999997</v>
      </c>
      <c r="J254">
        <v>10.32011</v>
      </c>
      <c r="K254">
        <v>-3.8949210000000001</v>
      </c>
      <c r="L254">
        <v>7.0846559999999998</v>
      </c>
      <c r="M254">
        <v>-1.6773130000000001</v>
      </c>
      <c r="N254">
        <v>11.95767</v>
      </c>
      <c r="O254">
        <v>1.3680000000000001E-3</v>
      </c>
      <c r="P254">
        <v>0</v>
      </c>
      <c r="Q254">
        <v>749.28650000000005</v>
      </c>
      <c r="R254">
        <v>1193.5129999999999</v>
      </c>
      <c r="S254">
        <v>0</v>
      </c>
      <c r="T254">
        <v>0</v>
      </c>
      <c r="U254">
        <v>213.56290000000001</v>
      </c>
      <c r="V254">
        <v>156009</v>
      </c>
      <c r="W254">
        <v>0</v>
      </c>
      <c r="X254">
        <v>1.3688999999999999E-3</v>
      </c>
      <c r="Y254">
        <v>0</v>
      </c>
      <c r="Z254">
        <v>8.9405999999999999E-2</v>
      </c>
      <c r="AB254">
        <v>296</v>
      </c>
      <c r="AE254">
        <v>0</v>
      </c>
      <c r="AF254">
        <v>4.0686450000000001</v>
      </c>
      <c r="AI254">
        <v>11.28233</v>
      </c>
      <c r="AJ254">
        <v>10.546340000000001</v>
      </c>
      <c r="AK254">
        <v>10.75961</v>
      </c>
      <c r="AL254">
        <v>10.666679999999999</v>
      </c>
      <c r="AM254">
        <v>10.069369999999999</v>
      </c>
      <c r="AN254">
        <v>10.48208</v>
      </c>
      <c r="AO254">
        <v>10.42966</v>
      </c>
      <c r="AP254">
        <v>10.57596</v>
      </c>
      <c r="AQ254">
        <v>10.204090000000001</v>
      </c>
      <c r="AR254">
        <v>10.63378</v>
      </c>
      <c r="AT254">
        <v>9.8236460000000001</v>
      </c>
      <c r="AU254">
        <v>10.19394</v>
      </c>
      <c r="AV254">
        <v>10.49607</v>
      </c>
      <c r="AW254">
        <v>10.054729999999999</v>
      </c>
      <c r="AX254">
        <v>9.3365109999999998</v>
      </c>
      <c r="AY254">
        <v>9.8955590000000004</v>
      </c>
      <c r="BA254">
        <v>0</v>
      </c>
      <c r="BB254" t="str">
        <f t="shared" si="14"/>
        <v/>
      </c>
      <c r="BC254">
        <v>552039</v>
      </c>
      <c r="BD254">
        <v>2388.6869999999999</v>
      </c>
      <c r="BE254">
        <v>78983463</v>
      </c>
      <c r="BF254">
        <v>30.49569</v>
      </c>
      <c r="BG254">
        <v>2397.7936</v>
      </c>
      <c r="BH254">
        <v>30.495686849999998</v>
      </c>
    </row>
    <row r="255" spans="1:60">
      <c r="A255">
        <v>39460</v>
      </c>
      <c r="B255" t="s">
        <v>775</v>
      </c>
      <c r="C255">
        <v>26097.54</v>
      </c>
      <c r="D255">
        <v>68665</v>
      </c>
      <c r="E255">
        <v>157736</v>
      </c>
      <c r="F255">
        <v>1.8822599999999998E-2</v>
      </c>
      <c r="G255">
        <f t="shared" si="12"/>
        <v>18822.599999999999</v>
      </c>
      <c r="H255" s="51">
        <f t="shared" si="13"/>
        <v>2969001633.5999999</v>
      </c>
      <c r="I255">
        <v>93.924580000000006</v>
      </c>
      <c r="J255">
        <v>10.169600000000001</v>
      </c>
      <c r="K255">
        <v>-3.9726970000000001</v>
      </c>
      <c r="L255">
        <v>6.5977959999999998</v>
      </c>
      <c r="M255">
        <v>-1.3257030000000001</v>
      </c>
      <c r="N255">
        <v>11.968680000000001</v>
      </c>
      <c r="O255">
        <v>9.4740000000000004E-4</v>
      </c>
      <c r="P255">
        <v>0</v>
      </c>
      <c r="Q255">
        <v>351.67579999999998</v>
      </c>
      <c r="R255">
        <v>733.47670000000005</v>
      </c>
      <c r="S255">
        <v>0</v>
      </c>
      <c r="T255">
        <v>0</v>
      </c>
      <c r="U255">
        <v>149.51740000000001</v>
      </c>
      <c r="V255">
        <v>157736</v>
      </c>
      <c r="W255">
        <v>0</v>
      </c>
      <c r="X255">
        <v>9.479E-4</v>
      </c>
      <c r="Y255">
        <v>0</v>
      </c>
      <c r="Z255">
        <v>0.2155659</v>
      </c>
      <c r="AB255">
        <v>0</v>
      </c>
      <c r="AE255">
        <v>0</v>
      </c>
      <c r="AF255">
        <v>1.591888</v>
      </c>
      <c r="AI255">
        <v>10.72785</v>
      </c>
      <c r="AJ255">
        <v>10.41602</v>
      </c>
      <c r="AK255">
        <v>10.497059999999999</v>
      </c>
      <c r="AL255">
        <v>10.52999</v>
      </c>
      <c r="AM255">
        <v>9.9804460000000006</v>
      </c>
      <c r="AN255">
        <v>10.387510000000001</v>
      </c>
      <c r="AP255">
        <v>10.71856</v>
      </c>
      <c r="AQ255">
        <v>10.10098</v>
      </c>
      <c r="AR255">
        <v>10.637420000000001</v>
      </c>
      <c r="AT255">
        <v>10.111079999999999</v>
      </c>
      <c r="AU255">
        <v>9.7893159999999995</v>
      </c>
      <c r="AV255">
        <v>10.65705</v>
      </c>
      <c r="AW255">
        <v>9.6045149999999992</v>
      </c>
      <c r="AX255">
        <v>9.4474250000000008</v>
      </c>
      <c r="AY255">
        <v>9.8737010000000005</v>
      </c>
      <c r="BA255">
        <v>0</v>
      </c>
      <c r="BB255" t="str">
        <f t="shared" si="14"/>
        <v/>
      </c>
      <c r="BC255">
        <v>0</v>
      </c>
      <c r="BD255">
        <v>693.60379999999998</v>
      </c>
      <c r="BE255">
        <v>22235412</v>
      </c>
      <c r="BF255">
        <v>8.5851400000000009</v>
      </c>
      <c r="BG255">
        <v>858.31314999999995</v>
      </c>
      <c r="BH255">
        <v>8.5851409350000001</v>
      </c>
    </row>
    <row r="256" spans="1:60">
      <c r="A256">
        <v>39540</v>
      </c>
      <c r="B256" t="s">
        <v>477</v>
      </c>
      <c r="C256">
        <v>40663.699999999997</v>
      </c>
      <c r="D256">
        <v>94881</v>
      </c>
      <c r="E256">
        <v>200109</v>
      </c>
      <c r="F256">
        <v>3.2317400000000003E-2</v>
      </c>
      <c r="G256">
        <f t="shared" si="12"/>
        <v>32317.4</v>
      </c>
      <c r="H256" s="51">
        <f t="shared" si="13"/>
        <v>6467002596.6000004</v>
      </c>
      <c r="I256">
        <v>72.700469999999996</v>
      </c>
      <c r="J256">
        <v>10.61309</v>
      </c>
      <c r="K256">
        <v>-3.43215</v>
      </c>
      <c r="L256">
        <v>7.5835840000000001</v>
      </c>
      <c r="M256">
        <v>-1.6083810000000001</v>
      </c>
      <c r="N256">
        <v>12.206619999999999</v>
      </c>
      <c r="O256">
        <v>9.0580000000000001E-4</v>
      </c>
      <c r="P256">
        <v>0</v>
      </c>
      <c r="Q256">
        <v>818.05520000000001</v>
      </c>
      <c r="R256">
        <v>1965.6610000000001</v>
      </c>
      <c r="S256">
        <v>0</v>
      </c>
      <c r="T256">
        <v>0</v>
      </c>
      <c r="U256">
        <v>181.3426</v>
      </c>
      <c r="V256">
        <v>200109</v>
      </c>
      <c r="W256">
        <v>0</v>
      </c>
      <c r="X256">
        <v>9.0620000000000002E-4</v>
      </c>
      <c r="Y256">
        <v>0</v>
      </c>
      <c r="Z256">
        <v>0.54441360000000005</v>
      </c>
      <c r="AB256">
        <v>92</v>
      </c>
      <c r="AE256">
        <v>0</v>
      </c>
      <c r="AF256">
        <v>2.49438</v>
      </c>
      <c r="AJ256">
        <v>10.83282</v>
      </c>
      <c r="AK256">
        <v>10.922610000000001</v>
      </c>
      <c r="AL256">
        <v>10.760809999999999</v>
      </c>
      <c r="AM256">
        <v>9.9321640000000002</v>
      </c>
      <c r="AN256">
        <v>10.457470000000001</v>
      </c>
      <c r="AO256">
        <v>10.57607</v>
      </c>
      <c r="AP256">
        <v>10.87161</v>
      </c>
      <c r="AQ256">
        <v>10.0656</v>
      </c>
      <c r="AR256">
        <v>10.700279999999999</v>
      </c>
      <c r="AS256">
        <v>11.70246</v>
      </c>
      <c r="AT256">
        <v>10.033200000000001</v>
      </c>
      <c r="AU256">
        <v>10.11905</v>
      </c>
      <c r="AV256">
        <v>10.42215</v>
      </c>
      <c r="AW256">
        <v>9.7840659999999993</v>
      </c>
      <c r="AX256">
        <v>9.3118750000000006</v>
      </c>
      <c r="AY256">
        <v>9.945055</v>
      </c>
      <c r="AZ256">
        <v>10.04325</v>
      </c>
      <c r="BA256">
        <v>0</v>
      </c>
      <c r="BB256" t="str">
        <f t="shared" si="14"/>
        <v/>
      </c>
      <c r="BC256">
        <v>1160421</v>
      </c>
      <c r="BD256">
        <v>333.09710000000001</v>
      </c>
      <c r="BE256">
        <v>37603469</v>
      </c>
      <c r="BF256">
        <v>14.51878</v>
      </c>
      <c r="BG256">
        <v>792.11419999999998</v>
      </c>
      <c r="BH256">
        <v>14.51878117</v>
      </c>
    </row>
    <row r="257" spans="1:60">
      <c r="A257">
        <v>39660</v>
      </c>
      <c r="B257" t="s">
        <v>478</v>
      </c>
      <c r="C257">
        <v>31293.37</v>
      </c>
      <c r="D257">
        <v>83022</v>
      </c>
      <c r="E257">
        <v>122697</v>
      </c>
      <c r="F257">
        <v>3.20627E-2</v>
      </c>
      <c r="G257">
        <f t="shared" si="12"/>
        <v>32062.7</v>
      </c>
      <c r="H257" s="51">
        <f t="shared" si="13"/>
        <v>3933997101.9000001</v>
      </c>
      <c r="I257">
        <v>39.61112</v>
      </c>
      <c r="J257">
        <v>10.35116</v>
      </c>
      <c r="K257">
        <v>-3.440061</v>
      </c>
      <c r="L257">
        <v>7.0750659999999996</v>
      </c>
      <c r="M257">
        <v>-1.520337</v>
      </c>
      <c r="N257">
        <v>11.71747</v>
      </c>
      <c r="O257">
        <v>4.2021999999999997E-3</v>
      </c>
      <c r="P257">
        <v>0</v>
      </c>
      <c r="Q257">
        <v>867.20600000000002</v>
      </c>
      <c r="R257">
        <v>1182.1220000000001</v>
      </c>
      <c r="S257">
        <v>0</v>
      </c>
      <c r="T257">
        <v>0</v>
      </c>
      <c r="U257">
        <v>516.68150000000003</v>
      </c>
      <c r="V257">
        <v>122697</v>
      </c>
      <c r="W257">
        <v>0</v>
      </c>
      <c r="X257">
        <v>4.2110000000000003E-3</v>
      </c>
      <c r="Y257">
        <v>0</v>
      </c>
      <c r="Z257">
        <v>8.2711699999999999E-2</v>
      </c>
      <c r="AB257">
        <v>82</v>
      </c>
      <c r="AE257">
        <v>0</v>
      </c>
      <c r="AF257">
        <v>13.043850000000001</v>
      </c>
      <c r="AG257">
        <v>10.62133</v>
      </c>
      <c r="AJ257">
        <v>10.499269999999999</v>
      </c>
      <c r="AK257">
        <v>10.46186</v>
      </c>
      <c r="AL257">
        <v>10.62853</v>
      </c>
      <c r="AM257">
        <v>10.07047</v>
      </c>
      <c r="AN257">
        <v>10.41291</v>
      </c>
      <c r="AO257">
        <v>10.475110000000001</v>
      </c>
      <c r="AP257">
        <v>10.523350000000001</v>
      </c>
      <c r="AQ257">
        <v>10.06259</v>
      </c>
      <c r="AR257">
        <v>10.5047</v>
      </c>
      <c r="AS257">
        <v>10.939410000000001</v>
      </c>
      <c r="AT257">
        <v>10.03628</v>
      </c>
      <c r="AU257">
        <v>10.15227</v>
      </c>
      <c r="AV257">
        <v>10.66539</v>
      </c>
      <c r="AW257">
        <v>9.8403790000000004</v>
      </c>
      <c r="AX257">
        <v>9.5473789999999994</v>
      </c>
      <c r="AY257">
        <v>10.014530000000001</v>
      </c>
      <c r="AZ257">
        <v>10.23996</v>
      </c>
      <c r="BA257">
        <v>0</v>
      </c>
      <c r="BB257" t="str">
        <f t="shared" si="14"/>
        <v/>
      </c>
      <c r="BC257">
        <v>210608</v>
      </c>
      <c r="BD257">
        <v>6246.7790000000005</v>
      </c>
      <c r="BE257">
        <v>66636040</v>
      </c>
      <c r="BF257">
        <v>25.72832</v>
      </c>
      <c r="BG257">
        <v>6267.1287000000002</v>
      </c>
      <c r="BH257">
        <v>25.728319979999998</v>
      </c>
    </row>
    <row r="258" spans="1:60">
      <c r="A258">
        <v>39740</v>
      </c>
      <c r="B258" t="s">
        <v>479</v>
      </c>
      <c r="C258">
        <v>39030.93</v>
      </c>
      <c r="D258">
        <v>229249</v>
      </c>
      <c r="E258">
        <v>404771</v>
      </c>
      <c r="F258">
        <v>3.3102699999999999E-2</v>
      </c>
      <c r="G258">
        <f t="shared" si="12"/>
        <v>33102.699999999997</v>
      </c>
      <c r="H258" s="51">
        <f t="shared" si="13"/>
        <v>13399012981.699999</v>
      </c>
      <c r="I258">
        <v>123.4218</v>
      </c>
      <c r="J258">
        <v>10.57211</v>
      </c>
      <c r="K258">
        <v>-3.4081410000000001</v>
      </c>
      <c r="L258">
        <v>8.1135610000000007</v>
      </c>
      <c r="M258">
        <v>-1.6592629999999999</v>
      </c>
      <c r="N258">
        <v>12.91108</v>
      </c>
      <c r="O258">
        <v>6.9309999999999999E-4</v>
      </c>
      <c r="P258">
        <v>0</v>
      </c>
      <c r="Q258">
        <v>1002.375</v>
      </c>
      <c r="R258">
        <v>3339.4479999999999</v>
      </c>
      <c r="S258">
        <v>0</v>
      </c>
      <c r="T258">
        <v>0</v>
      </c>
      <c r="U258">
        <v>280.65039999999999</v>
      </c>
      <c r="V258">
        <v>404771</v>
      </c>
      <c r="W258">
        <v>0</v>
      </c>
      <c r="X258">
        <v>6.9340000000000005E-4</v>
      </c>
      <c r="Y258">
        <v>0</v>
      </c>
      <c r="Z258">
        <v>0.32676319999999998</v>
      </c>
      <c r="AB258">
        <v>380</v>
      </c>
      <c r="AE258">
        <v>0</v>
      </c>
      <c r="AF258">
        <v>2.2739129999999999</v>
      </c>
      <c r="AH258">
        <v>10.83098</v>
      </c>
      <c r="AI258">
        <v>11.27234</v>
      </c>
      <c r="AJ258">
        <v>10.786530000000001</v>
      </c>
      <c r="AK258">
        <v>10.769780000000001</v>
      </c>
      <c r="AL258">
        <v>10.85177</v>
      </c>
      <c r="AM258">
        <v>10.01375</v>
      </c>
      <c r="AN258">
        <v>10.478569999999999</v>
      </c>
      <c r="AO258">
        <v>10.64611</v>
      </c>
      <c r="AP258">
        <v>10.836309999999999</v>
      </c>
      <c r="AQ258">
        <v>10.30219</v>
      </c>
      <c r="AR258">
        <v>11.182600000000001</v>
      </c>
      <c r="AS258">
        <v>11.198779999999999</v>
      </c>
      <c r="AT258">
        <v>10.068809999999999</v>
      </c>
      <c r="AU258">
        <v>10.13702</v>
      </c>
      <c r="AV258">
        <v>10.64795</v>
      </c>
      <c r="AW258">
        <v>9.6335510000000006</v>
      </c>
      <c r="AX258">
        <v>9.4112010000000001</v>
      </c>
      <c r="AY258">
        <v>9.9571330000000007</v>
      </c>
      <c r="AZ258">
        <v>9.5868179999999992</v>
      </c>
      <c r="BA258">
        <v>0</v>
      </c>
      <c r="BB258" t="str">
        <f t="shared" si="14"/>
        <v/>
      </c>
      <c r="BC258">
        <v>1513281</v>
      </c>
      <c r="BD258">
        <v>858.88019999999995</v>
      </c>
      <c r="BE258">
        <v>25638914</v>
      </c>
      <c r="BF258">
        <v>9.8992400000000007</v>
      </c>
      <c r="BG258">
        <v>865.85608999999999</v>
      </c>
      <c r="BH258">
        <v>9.8992404599999997</v>
      </c>
    </row>
    <row r="259" spans="1:60">
      <c r="A259">
        <v>39820</v>
      </c>
      <c r="B259" t="s">
        <v>480</v>
      </c>
      <c r="C259">
        <v>32991.9</v>
      </c>
      <c r="D259">
        <v>93524</v>
      </c>
      <c r="E259">
        <v>180515</v>
      </c>
      <c r="F259">
        <v>2.5011800000000001E-2</v>
      </c>
      <c r="G259">
        <f t="shared" si="12"/>
        <v>25011.8</v>
      </c>
      <c r="H259" s="51">
        <f t="shared" si="13"/>
        <v>4515005077</v>
      </c>
      <c r="I259">
        <v>77.33408</v>
      </c>
      <c r="J259">
        <v>10.404019999999999</v>
      </c>
      <c r="K259">
        <v>-3.688409</v>
      </c>
      <c r="L259">
        <v>6.7795620000000003</v>
      </c>
      <c r="M259">
        <v>-1.768084</v>
      </c>
      <c r="N259">
        <v>12.103569999999999</v>
      </c>
      <c r="O259">
        <v>2.7192000000000002E-3</v>
      </c>
      <c r="P259">
        <v>0</v>
      </c>
      <c r="Q259">
        <v>636.0326</v>
      </c>
      <c r="R259">
        <v>879.68340000000001</v>
      </c>
      <c r="S259">
        <v>0</v>
      </c>
      <c r="T259">
        <v>0</v>
      </c>
      <c r="U259">
        <v>491.53039999999999</v>
      </c>
      <c r="V259">
        <v>180515</v>
      </c>
      <c r="W259">
        <v>0</v>
      </c>
      <c r="X259">
        <v>2.7228999999999999E-3</v>
      </c>
      <c r="Y259">
        <v>0</v>
      </c>
      <c r="Z259">
        <v>0.1298561</v>
      </c>
      <c r="AB259">
        <v>177</v>
      </c>
      <c r="AE259">
        <v>0</v>
      </c>
      <c r="AF259">
        <v>6.3559349999999997</v>
      </c>
      <c r="AG259">
        <v>11.15691</v>
      </c>
      <c r="AI259">
        <v>11.41854</v>
      </c>
      <c r="AJ259">
        <v>10.70204</v>
      </c>
      <c r="AK259">
        <v>10.570180000000001</v>
      </c>
      <c r="AL259">
        <v>10.59361</v>
      </c>
      <c r="AM259">
        <v>10.13138</v>
      </c>
      <c r="AN259">
        <v>10.46485</v>
      </c>
      <c r="AO259">
        <v>10.503450000000001</v>
      </c>
      <c r="AP259">
        <v>10.66558</v>
      </c>
      <c r="AQ259">
        <v>10.1709</v>
      </c>
      <c r="AR259">
        <v>10.699149999999999</v>
      </c>
      <c r="AS259">
        <v>11.25933</v>
      </c>
      <c r="AT259">
        <v>10.53811</v>
      </c>
      <c r="AU259">
        <v>9.8711339999999996</v>
      </c>
      <c r="AV259">
        <v>10.607889999999999</v>
      </c>
      <c r="AW259">
        <v>10.00726</v>
      </c>
      <c r="AX259">
        <v>9.4864219999999992</v>
      </c>
      <c r="AY259">
        <v>10.08563</v>
      </c>
      <c r="BA259">
        <v>0</v>
      </c>
      <c r="BB259" t="str">
        <f t="shared" si="14"/>
        <v/>
      </c>
      <c r="BC259">
        <v>687880</v>
      </c>
      <c r="BD259">
        <v>3785.1950000000002</v>
      </c>
      <c r="BE259">
        <v>117189083</v>
      </c>
      <c r="BF259">
        <v>45.246960000000001</v>
      </c>
      <c r="BG259">
        <v>3847.4081999999999</v>
      </c>
      <c r="BH259">
        <v>45.246959830000002</v>
      </c>
    </row>
    <row r="260" spans="1:60">
      <c r="A260">
        <v>39900</v>
      </c>
      <c r="B260" t="s">
        <v>481</v>
      </c>
      <c r="C260">
        <v>38358.839999999997</v>
      </c>
      <c r="D260">
        <v>281187</v>
      </c>
      <c r="E260">
        <v>416657</v>
      </c>
      <c r="F260">
        <v>4.37962E-2</v>
      </c>
      <c r="G260">
        <f t="shared" si="12"/>
        <v>43796.2</v>
      </c>
      <c r="H260" s="51">
        <f t="shared" si="13"/>
        <v>18247993303.399998</v>
      </c>
      <c r="I260">
        <v>126.31959999999999</v>
      </c>
      <c r="J260">
        <v>10.554740000000001</v>
      </c>
      <c r="K260">
        <v>-3.1282079999999999</v>
      </c>
      <c r="L260">
        <v>7.4428869999999998</v>
      </c>
      <c r="M260">
        <v>-1.4926060000000001</v>
      </c>
      <c r="N260">
        <v>12.940020000000001</v>
      </c>
      <c r="O260">
        <v>8.0429999999999998E-4</v>
      </c>
      <c r="P260">
        <v>0</v>
      </c>
      <c r="Q260">
        <v>1223.7449999999999</v>
      </c>
      <c r="R260">
        <v>1707.673</v>
      </c>
      <c r="S260">
        <v>0</v>
      </c>
      <c r="T260">
        <v>0</v>
      </c>
      <c r="U260">
        <v>335.23489999999998</v>
      </c>
      <c r="V260">
        <v>416657</v>
      </c>
      <c r="W260">
        <v>0</v>
      </c>
      <c r="X260">
        <v>8.0460000000000004E-4</v>
      </c>
      <c r="Y260">
        <v>0</v>
      </c>
      <c r="Z260">
        <v>5.0749200000000001E-2</v>
      </c>
      <c r="AB260">
        <v>1030</v>
      </c>
      <c r="AE260">
        <v>0</v>
      </c>
      <c r="AF260">
        <v>2.6538629999999999</v>
      </c>
      <c r="AG260">
        <v>10.58616</v>
      </c>
      <c r="AH260">
        <v>11.378410000000001</v>
      </c>
      <c r="AJ260">
        <v>10.76342</v>
      </c>
      <c r="AK260">
        <v>10.88494</v>
      </c>
      <c r="AL260">
        <v>10.723039999999999</v>
      </c>
      <c r="AM260">
        <v>10.16648</v>
      </c>
      <c r="AN260">
        <v>10.48122</v>
      </c>
      <c r="AO260">
        <v>10.83145</v>
      </c>
      <c r="AP260">
        <v>10.973089999999999</v>
      </c>
      <c r="AQ260">
        <v>10.430339999999999</v>
      </c>
      <c r="AR260">
        <v>10.971299999999999</v>
      </c>
      <c r="AS260">
        <v>11.323499999999999</v>
      </c>
      <c r="AT260">
        <v>10.419919999999999</v>
      </c>
      <c r="AU260">
        <v>10.20079</v>
      </c>
      <c r="AV260">
        <v>10.799720000000001</v>
      </c>
      <c r="AW260">
        <v>9.9536899999999999</v>
      </c>
      <c r="AX260">
        <v>9.9099690000000002</v>
      </c>
      <c r="AY260">
        <v>10.24184</v>
      </c>
      <c r="AZ260">
        <v>10.10887</v>
      </c>
      <c r="BA260">
        <v>0</v>
      </c>
      <c r="BB260" t="str">
        <f t="shared" si="14"/>
        <v/>
      </c>
      <c r="BC260">
        <v>7219914</v>
      </c>
      <c r="BD260">
        <v>6605.7240000000002</v>
      </c>
      <c r="BE260">
        <v>223550515</v>
      </c>
      <c r="BF260">
        <v>86.313339999999997</v>
      </c>
      <c r="BG260">
        <v>6805.9183999999996</v>
      </c>
      <c r="BH260">
        <v>86.313340060000002</v>
      </c>
    </row>
    <row r="261" spans="1:60">
      <c r="A261">
        <v>40060</v>
      </c>
      <c r="B261" t="s">
        <v>482</v>
      </c>
      <c r="C261">
        <v>43093.29</v>
      </c>
      <c r="D261">
        <v>783366</v>
      </c>
      <c r="E261">
        <v>1227115</v>
      </c>
      <c r="F261">
        <v>4.28428E-2</v>
      </c>
      <c r="G261">
        <f t="shared" si="12"/>
        <v>42842.8</v>
      </c>
      <c r="H261" s="51">
        <f t="shared" si="13"/>
        <v>52573042522</v>
      </c>
      <c r="I261">
        <v>440.827</v>
      </c>
      <c r="J261">
        <v>10.67112</v>
      </c>
      <c r="K261">
        <v>-3.1502180000000002</v>
      </c>
      <c r="L261">
        <v>7.8030929999999996</v>
      </c>
      <c r="M261">
        <v>-1.3128759999999999</v>
      </c>
      <c r="N261">
        <v>14.02018</v>
      </c>
      <c r="O261">
        <v>8.2879999999999998E-4</v>
      </c>
      <c r="P261">
        <v>0</v>
      </c>
      <c r="Q261">
        <v>1012.992</v>
      </c>
      <c r="R261">
        <v>2448.163</v>
      </c>
      <c r="S261">
        <v>0</v>
      </c>
      <c r="T261">
        <v>0</v>
      </c>
      <c r="U261">
        <v>1017.4109999999999</v>
      </c>
      <c r="V261">
        <v>1227115</v>
      </c>
      <c r="W261">
        <v>0</v>
      </c>
      <c r="X261">
        <v>8.2910000000000004E-4</v>
      </c>
      <c r="Y261">
        <v>0</v>
      </c>
      <c r="Z261">
        <v>0.20755380000000001</v>
      </c>
      <c r="AB261">
        <v>130</v>
      </c>
      <c r="AE261">
        <v>0</v>
      </c>
      <c r="AF261">
        <v>2.30796</v>
      </c>
      <c r="AG261">
        <v>10.524710000000001</v>
      </c>
      <c r="AH261">
        <v>11.11491</v>
      </c>
      <c r="AI261">
        <v>11.281890000000001</v>
      </c>
      <c r="AJ261">
        <v>10.61993</v>
      </c>
      <c r="AK261">
        <v>10.89392</v>
      </c>
      <c r="AL261">
        <v>10.90263</v>
      </c>
      <c r="AM261">
        <v>10.025230000000001</v>
      </c>
      <c r="AN261">
        <v>10.563029999999999</v>
      </c>
      <c r="AO261">
        <v>10.909990000000001</v>
      </c>
      <c r="AP261">
        <v>11.163</v>
      </c>
      <c r="AQ261">
        <v>10.636469999999999</v>
      </c>
      <c r="AR261">
        <v>11.04002</v>
      </c>
      <c r="AS261">
        <v>11.10323</v>
      </c>
      <c r="AT261">
        <v>10.25329</v>
      </c>
      <c r="AU261">
        <v>10.22687</v>
      </c>
      <c r="AV261">
        <v>10.699009999999999</v>
      </c>
      <c r="AW261">
        <v>9.8574619999999999</v>
      </c>
      <c r="AX261">
        <v>9.4926539999999999</v>
      </c>
      <c r="AY261">
        <v>10.16653</v>
      </c>
      <c r="AZ261">
        <v>11.525700000000001</v>
      </c>
      <c r="BA261">
        <v>0</v>
      </c>
      <c r="BB261" t="str">
        <f t="shared" si="14"/>
        <v/>
      </c>
      <c r="BC261">
        <v>418260</v>
      </c>
      <c r="BD261">
        <v>4901.9139999999998</v>
      </c>
      <c r="BE261">
        <v>155892506</v>
      </c>
      <c r="BF261">
        <v>60.190429999999999</v>
      </c>
      <c r="BG261">
        <v>5841.0057999999999</v>
      </c>
      <c r="BH261">
        <v>60.190435630000003</v>
      </c>
    </row>
    <row r="262" spans="1:60">
      <c r="A262">
        <v>40140</v>
      </c>
      <c r="B262" t="s">
        <v>483</v>
      </c>
      <c r="C262">
        <v>33652.25</v>
      </c>
      <c r="D262">
        <v>1744551</v>
      </c>
      <c r="E262">
        <v>4092831</v>
      </c>
      <c r="F262">
        <v>2.2814500000000001E-2</v>
      </c>
      <c r="G262">
        <f t="shared" si="12"/>
        <v>22814.5</v>
      </c>
      <c r="H262" s="51">
        <f t="shared" si="13"/>
        <v>93375892849.5</v>
      </c>
      <c r="I262">
        <v>1402.712</v>
      </c>
      <c r="J262">
        <v>10.42384</v>
      </c>
      <c r="K262">
        <v>-3.7803580000000001</v>
      </c>
      <c r="L262">
        <v>7.2644900000000003</v>
      </c>
      <c r="M262">
        <v>-1.8910130000000001</v>
      </c>
      <c r="N262">
        <v>15.22475</v>
      </c>
      <c r="O262">
        <v>6.4249999999999995E-4</v>
      </c>
      <c r="P262">
        <v>0</v>
      </c>
      <c r="Q262">
        <v>604.63589999999999</v>
      </c>
      <c r="R262">
        <v>1428.6559999999999</v>
      </c>
      <c r="S262">
        <v>0</v>
      </c>
      <c r="T262">
        <v>0</v>
      </c>
      <c r="U262">
        <v>2630.3069999999998</v>
      </c>
      <c r="V262">
        <v>4092831</v>
      </c>
      <c r="W262">
        <v>0</v>
      </c>
      <c r="X262">
        <v>6.4269999999999996E-4</v>
      </c>
      <c r="Y262">
        <v>0</v>
      </c>
      <c r="Z262">
        <v>9.6490099999999995E-2</v>
      </c>
      <c r="AB262">
        <v>1019</v>
      </c>
      <c r="AE262">
        <v>0</v>
      </c>
      <c r="AF262">
        <v>1.8751580000000001</v>
      </c>
      <c r="AG262">
        <v>10.137510000000001</v>
      </c>
      <c r="AH262">
        <v>11.03735</v>
      </c>
      <c r="AJ262">
        <v>10.64588</v>
      </c>
      <c r="AK262">
        <v>10.60313</v>
      </c>
      <c r="AL262">
        <v>10.699400000000001</v>
      </c>
      <c r="AM262">
        <v>10.09112</v>
      </c>
      <c r="AN262">
        <v>10.50395</v>
      </c>
      <c r="AO262">
        <v>10.80297</v>
      </c>
      <c r="AP262">
        <v>10.780989999999999</v>
      </c>
      <c r="AQ262">
        <v>10.424519999999999</v>
      </c>
      <c r="AR262">
        <v>10.71266</v>
      </c>
      <c r="AS262">
        <v>11.08196</v>
      </c>
      <c r="AT262">
        <v>10.13641</v>
      </c>
      <c r="AU262">
        <v>10.235530000000001</v>
      </c>
      <c r="AV262">
        <v>10.688269999999999</v>
      </c>
      <c r="AW262">
        <v>10.05452</v>
      </c>
      <c r="AX262">
        <v>9.6658550000000005</v>
      </c>
      <c r="AY262">
        <v>10.08488</v>
      </c>
      <c r="AZ262">
        <v>10.13649</v>
      </c>
      <c r="BA262">
        <v>0</v>
      </c>
      <c r="BB262" t="str">
        <f t="shared" si="14"/>
        <v/>
      </c>
      <c r="BC262" s="14">
        <v>11900000</v>
      </c>
      <c r="BD262">
        <v>27259.87</v>
      </c>
      <c r="BE262">
        <v>734130911</v>
      </c>
      <c r="BF262">
        <v>283.4495</v>
      </c>
      <c r="BG262">
        <v>27408.288</v>
      </c>
      <c r="BH262">
        <v>283.44954150000001</v>
      </c>
    </row>
    <row r="263" spans="1:60">
      <c r="A263">
        <v>40220</v>
      </c>
      <c r="B263" t="s">
        <v>484</v>
      </c>
      <c r="C263">
        <v>34645.519999999997</v>
      </c>
      <c r="D263">
        <v>206153</v>
      </c>
      <c r="E263">
        <v>298920</v>
      </c>
      <c r="F263">
        <v>3.6625199999999997E-2</v>
      </c>
      <c r="G263">
        <f t="shared" si="12"/>
        <v>36625.199999999997</v>
      </c>
      <c r="H263" s="51">
        <f t="shared" si="13"/>
        <v>10948004783.999998</v>
      </c>
      <c r="I263">
        <v>115.4726</v>
      </c>
      <c r="J263">
        <v>10.452920000000001</v>
      </c>
      <c r="K263">
        <v>-3.3070189999999999</v>
      </c>
      <c r="L263">
        <v>7.4028289999999997</v>
      </c>
      <c r="M263">
        <v>-1.5013460000000001</v>
      </c>
      <c r="N263">
        <v>12.60793</v>
      </c>
      <c r="O263">
        <v>7.4109999999999996E-4</v>
      </c>
      <c r="P263">
        <v>0</v>
      </c>
      <c r="Q263">
        <v>1181.5619999999999</v>
      </c>
      <c r="R263">
        <v>1640.6189999999999</v>
      </c>
      <c r="S263">
        <v>0</v>
      </c>
      <c r="T263">
        <v>0</v>
      </c>
      <c r="U263">
        <v>221.61859999999999</v>
      </c>
      <c r="V263">
        <v>298920</v>
      </c>
      <c r="W263">
        <v>0</v>
      </c>
      <c r="X263">
        <v>7.4140000000000002E-4</v>
      </c>
      <c r="Y263">
        <v>0</v>
      </c>
      <c r="Z263">
        <v>0.13780229999999999</v>
      </c>
      <c r="AB263">
        <v>338</v>
      </c>
      <c r="AE263">
        <v>0</v>
      </c>
      <c r="AF263">
        <v>1.9192309999999999</v>
      </c>
      <c r="AG263">
        <v>10.085240000000001</v>
      </c>
      <c r="AH263">
        <v>10.870950000000001</v>
      </c>
      <c r="AJ263">
        <v>10.524050000000001</v>
      </c>
      <c r="AK263">
        <v>10.62149</v>
      </c>
      <c r="AL263">
        <v>10.71705</v>
      </c>
      <c r="AM263">
        <v>9.9888820000000003</v>
      </c>
      <c r="AN263">
        <v>10.427759999999999</v>
      </c>
      <c r="AO263">
        <v>10.7517</v>
      </c>
      <c r="AP263">
        <v>10.459</v>
      </c>
      <c r="AQ263">
        <v>10.335369999999999</v>
      </c>
      <c r="AR263">
        <v>10.814500000000001</v>
      </c>
      <c r="AS263">
        <v>11.07029</v>
      </c>
      <c r="AT263">
        <v>10.10248</v>
      </c>
      <c r="AU263">
        <v>10.224959999999999</v>
      </c>
      <c r="AV263">
        <v>10.69106</v>
      </c>
      <c r="AW263">
        <v>9.9508220000000005</v>
      </c>
      <c r="AX263">
        <v>9.4362390000000005</v>
      </c>
      <c r="AY263">
        <v>9.9853400000000008</v>
      </c>
      <c r="BA263">
        <v>0</v>
      </c>
      <c r="BB263" t="str">
        <f t="shared" si="14"/>
        <v/>
      </c>
      <c r="BC263">
        <v>3015018</v>
      </c>
      <c r="BD263">
        <v>1608.2349999999999</v>
      </c>
      <c r="BE263">
        <v>110400799</v>
      </c>
      <c r="BF263">
        <v>42.625990000000002</v>
      </c>
      <c r="BG263">
        <v>1896.7606000000001</v>
      </c>
      <c r="BH263">
        <v>42.62598861</v>
      </c>
    </row>
    <row r="264" spans="1:60">
      <c r="A264">
        <v>40340</v>
      </c>
      <c r="B264" t="s">
        <v>485</v>
      </c>
      <c r="C264">
        <v>41982.69</v>
      </c>
      <c r="D264">
        <v>132624</v>
      </c>
      <c r="E264">
        <v>183394</v>
      </c>
      <c r="F264">
        <v>4.3605600000000001E-2</v>
      </c>
      <c r="G264">
        <f t="shared" si="12"/>
        <v>43605.599999999999</v>
      </c>
      <c r="H264" s="51">
        <f t="shared" si="13"/>
        <v>7997005406.4000006</v>
      </c>
      <c r="I264">
        <v>52.520510000000002</v>
      </c>
      <c r="J264">
        <v>10.645009999999999</v>
      </c>
      <c r="K264">
        <v>-3.1325699999999999</v>
      </c>
      <c r="L264">
        <v>7.4496250000000002</v>
      </c>
      <c r="M264">
        <v>-1.2181090000000001</v>
      </c>
      <c r="N264">
        <v>12.119389999999999</v>
      </c>
      <c r="O264">
        <v>1.9639000000000002E-3</v>
      </c>
      <c r="P264">
        <v>0</v>
      </c>
      <c r="Q264">
        <v>1268.2850000000001</v>
      </c>
      <c r="R264">
        <v>1719.2180000000001</v>
      </c>
      <c r="S264">
        <v>0</v>
      </c>
      <c r="T264">
        <v>0</v>
      </c>
      <c r="U264">
        <v>360.52710000000002</v>
      </c>
      <c r="V264">
        <v>183394</v>
      </c>
      <c r="W264">
        <v>0</v>
      </c>
      <c r="X264">
        <v>1.9659E-3</v>
      </c>
      <c r="Y264">
        <v>0</v>
      </c>
      <c r="Z264">
        <v>0.22288849999999999</v>
      </c>
      <c r="AB264">
        <v>247</v>
      </c>
      <c r="AE264">
        <v>0</v>
      </c>
      <c r="AF264">
        <v>6.8645009999999997</v>
      </c>
      <c r="AI264">
        <v>11.087910000000001</v>
      </c>
      <c r="AJ264">
        <v>10.838369999999999</v>
      </c>
      <c r="AK264">
        <v>10.598839999999999</v>
      </c>
      <c r="AL264">
        <v>10.711349999999999</v>
      </c>
      <c r="AM264">
        <v>9.9600229999999996</v>
      </c>
      <c r="AN264">
        <v>10.23494</v>
      </c>
      <c r="AO264">
        <v>10.611129999999999</v>
      </c>
      <c r="AP264">
        <v>10.914529999999999</v>
      </c>
      <c r="AQ264">
        <v>10.212289999999999</v>
      </c>
      <c r="AR264">
        <v>10.802009999999999</v>
      </c>
      <c r="AT264">
        <v>10.090960000000001</v>
      </c>
      <c r="AU264">
        <v>9.8400590000000001</v>
      </c>
      <c r="AV264">
        <v>10.23865</v>
      </c>
      <c r="AW264">
        <v>9.4850600000000007</v>
      </c>
      <c r="AX264">
        <v>9.5196699999999996</v>
      </c>
      <c r="AY264">
        <v>9.8004759999999997</v>
      </c>
      <c r="BA264">
        <v>0</v>
      </c>
      <c r="BB264" t="str">
        <f t="shared" si="14"/>
        <v/>
      </c>
      <c r="BC264">
        <v>981866</v>
      </c>
      <c r="BD264">
        <v>1617.5219999999999</v>
      </c>
      <c r="BE264">
        <v>93343740</v>
      </c>
      <c r="BF264">
        <v>36.040219999999998</v>
      </c>
      <c r="BG264">
        <v>1644.0008</v>
      </c>
      <c r="BH264">
        <v>36.040221039999999</v>
      </c>
    </row>
    <row r="265" spans="1:60">
      <c r="A265">
        <v>40380</v>
      </c>
      <c r="B265" t="s">
        <v>486</v>
      </c>
      <c r="C265">
        <v>39006.65</v>
      </c>
      <c r="D265">
        <v>635709</v>
      </c>
      <c r="E265">
        <v>1033155</v>
      </c>
      <c r="F265">
        <v>3.9077399999999998E-2</v>
      </c>
      <c r="G265">
        <f t="shared" si="12"/>
        <v>39077.4</v>
      </c>
      <c r="H265" s="51">
        <f t="shared" si="13"/>
        <v>40373011197</v>
      </c>
      <c r="I265">
        <v>373.52870000000001</v>
      </c>
      <c r="J265">
        <v>10.571490000000001</v>
      </c>
      <c r="K265">
        <v>-3.2422110000000002</v>
      </c>
      <c r="L265">
        <v>8.2277050000000003</v>
      </c>
      <c r="M265">
        <v>-1.296524</v>
      </c>
      <c r="N265">
        <v>13.848129999999999</v>
      </c>
      <c r="O265">
        <v>1.1563000000000001E-3</v>
      </c>
      <c r="P265">
        <v>0</v>
      </c>
      <c r="Q265">
        <v>1039.4359999999999</v>
      </c>
      <c r="R265">
        <v>3743.2310000000002</v>
      </c>
      <c r="S265">
        <v>0</v>
      </c>
      <c r="T265">
        <v>0</v>
      </c>
      <c r="U265">
        <v>1195.3</v>
      </c>
      <c r="V265">
        <v>1033155</v>
      </c>
      <c r="W265">
        <v>0</v>
      </c>
      <c r="X265">
        <v>1.1569E-3</v>
      </c>
      <c r="Y265">
        <v>0</v>
      </c>
      <c r="Z265">
        <v>0.4077556</v>
      </c>
      <c r="AB265">
        <v>770</v>
      </c>
      <c r="AE265">
        <v>0</v>
      </c>
      <c r="AF265">
        <v>3.2000229999999998</v>
      </c>
      <c r="AG265">
        <v>10.16483</v>
      </c>
      <c r="AH265">
        <v>10.780570000000001</v>
      </c>
      <c r="AI265">
        <v>11.256489999999999</v>
      </c>
      <c r="AJ265">
        <v>10.85341</v>
      </c>
      <c r="AK265">
        <v>10.79773</v>
      </c>
      <c r="AL265">
        <v>10.967320000000001</v>
      </c>
      <c r="AM265">
        <v>9.9724660000000007</v>
      </c>
      <c r="AN265">
        <v>10.37988</v>
      </c>
      <c r="AO265">
        <v>10.928369999999999</v>
      </c>
      <c r="AP265">
        <v>10.99105</v>
      </c>
      <c r="AQ265">
        <v>10.329040000000001</v>
      </c>
      <c r="AR265">
        <v>10.847390000000001</v>
      </c>
      <c r="AS265">
        <v>11.41</v>
      </c>
      <c r="AT265">
        <v>10.29833</v>
      </c>
      <c r="AU265">
        <v>10.06535</v>
      </c>
      <c r="AV265">
        <v>10.48629</v>
      </c>
      <c r="AW265">
        <v>9.7423040000000007</v>
      </c>
      <c r="AX265">
        <v>9.47438</v>
      </c>
      <c r="AY265">
        <v>10.08131</v>
      </c>
      <c r="BA265">
        <v>0</v>
      </c>
      <c r="BB265" t="str">
        <f t="shared" si="14"/>
        <v/>
      </c>
      <c r="BC265">
        <v>5122614</v>
      </c>
      <c r="BD265">
        <v>2931.413</v>
      </c>
      <c r="BE265">
        <v>95195382</v>
      </c>
      <c r="BF265">
        <v>36.755139999999997</v>
      </c>
      <c r="BG265">
        <v>4869.9724999999999</v>
      </c>
      <c r="BH265">
        <v>36.755144039999998</v>
      </c>
    </row>
    <row r="266" spans="1:60">
      <c r="A266">
        <v>40420</v>
      </c>
      <c r="B266" t="s">
        <v>487</v>
      </c>
      <c r="C266">
        <v>36955.879999999997</v>
      </c>
      <c r="D266">
        <v>195403</v>
      </c>
      <c r="E266">
        <v>353381</v>
      </c>
      <c r="F266">
        <v>3.2189099999999998E-2</v>
      </c>
      <c r="G266">
        <f t="shared" si="12"/>
        <v>32189.1</v>
      </c>
      <c r="H266" s="51">
        <f t="shared" si="13"/>
        <v>11375016347.1</v>
      </c>
      <c r="I266">
        <v>148.1129</v>
      </c>
      <c r="J266">
        <v>10.517480000000001</v>
      </c>
      <c r="K266">
        <v>-3.4361290000000002</v>
      </c>
      <c r="L266">
        <v>7.2734310000000004</v>
      </c>
      <c r="M266">
        <v>-1.6794089999999999</v>
      </c>
      <c r="N266">
        <v>12.7753</v>
      </c>
      <c r="O266">
        <v>6.9200000000000002E-4</v>
      </c>
      <c r="P266">
        <v>0</v>
      </c>
      <c r="Q266">
        <v>840.17650000000003</v>
      </c>
      <c r="R266">
        <v>1441.4880000000001</v>
      </c>
      <c r="S266">
        <v>0</v>
      </c>
      <c r="T266">
        <v>0</v>
      </c>
      <c r="U266">
        <v>244.61949999999999</v>
      </c>
      <c r="V266">
        <v>353381</v>
      </c>
      <c r="W266">
        <v>0</v>
      </c>
      <c r="X266">
        <v>6.9220000000000002E-4</v>
      </c>
      <c r="Y266">
        <v>0</v>
      </c>
      <c r="Z266">
        <v>0.30769669999999999</v>
      </c>
      <c r="AB266">
        <v>168</v>
      </c>
      <c r="AE266">
        <v>0</v>
      </c>
      <c r="AF266">
        <v>1.6515740000000001</v>
      </c>
      <c r="AH266">
        <v>11.611969999999999</v>
      </c>
      <c r="AJ266">
        <v>10.94121</v>
      </c>
      <c r="AK266">
        <v>10.868069999999999</v>
      </c>
      <c r="AL266">
        <v>10.702260000000001</v>
      </c>
      <c r="AM266">
        <v>10.00408</v>
      </c>
      <c r="AN266">
        <v>10.388249999999999</v>
      </c>
      <c r="AO266">
        <v>10.55264</v>
      </c>
      <c r="AP266">
        <v>10.76728</v>
      </c>
      <c r="AQ266">
        <v>10.26078</v>
      </c>
      <c r="AR266">
        <v>10.769270000000001</v>
      </c>
      <c r="AS266">
        <v>11.222160000000001</v>
      </c>
      <c r="AT266">
        <v>10.167310000000001</v>
      </c>
      <c r="AU266">
        <v>9.8792439999999999</v>
      </c>
      <c r="AV266">
        <v>10.596780000000001</v>
      </c>
      <c r="AW266">
        <v>9.6062049999999992</v>
      </c>
      <c r="AX266">
        <v>9.4328690000000002</v>
      </c>
      <c r="AY266">
        <v>9.9985660000000003</v>
      </c>
      <c r="BA266">
        <v>0</v>
      </c>
      <c r="BB266" t="str">
        <f t="shared" si="14"/>
        <v/>
      </c>
      <c r="BC266">
        <v>1286854</v>
      </c>
      <c r="BD266">
        <v>795.00210000000004</v>
      </c>
      <c r="BE266">
        <v>156510974</v>
      </c>
      <c r="BF266">
        <v>60.429229999999997</v>
      </c>
      <c r="BG266">
        <v>801.28097000000002</v>
      </c>
      <c r="BH266">
        <v>60.429227470000001</v>
      </c>
    </row>
    <row r="267" spans="1:60">
      <c r="A267">
        <v>40660</v>
      </c>
      <c r="B267" t="s">
        <v>488</v>
      </c>
      <c r="C267">
        <v>31276.95</v>
      </c>
      <c r="D267">
        <v>54438</v>
      </c>
      <c r="E267">
        <v>95696</v>
      </c>
      <c r="F267">
        <v>2.6646900000000001E-2</v>
      </c>
      <c r="G267">
        <f t="shared" si="12"/>
        <v>26646.9</v>
      </c>
      <c r="H267" s="51">
        <f t="shared" si="13"/>
        <v>2550001742.4000001</v>
      </c>
      <c r="I267">
        <v>40.472099999999998</v>
      </c>
      <c r="J267">
        <v>10.35064</v>
      </c>
      <c r="K267">
        <v>-3.6250830000000001</v>
      </c>
      <c r="L267">
        <v>6.8819780000000002</v>
      </c>
      <c r="M267">
        <v>-1.8602050000000001</v>
      </c>
      <c r="N267">
        <v>11.46893</v>
      </c>
      <c r="O267">
        <v>1.3414E-3</v>
      </c>
      <c r="P267">
        <v>0</v>
      </c>
      <c r="Q267">
        <v>641.65200000000004</v>
      </c>
      <c r="R267">
        <v>974.5521</v>
      </c>
      <c r="S267">
        <v>0</v>
      </c>
      <c r="T267">
        <v>0</v>
      </c>
      <c r="U267">
        <v>128.45349999999999</v>
      </c>
      <c r="V267">
        <v>95696</v>
      </c>
      <c r="W267">
        <v>0</v>
      </c>
      <c r="X267">
        <v>1.3423E-3</v>
      </c>
      <c r="Y267">
        <v>0</v>
      </c>
      <c r="Z267">
        <v>0.25033309999999998</v>
      </c>
      <c r="AB267">
        <v>440</v>
      </c>
      <c r="AE267">
        <v>0</v>
      </c>
      <c r="AF267">
        <v>3.1738770000000001</v>
      </c>
      <c r="AG267">
        <v>10.69323</v>
      </c>
      <c r="AJ267">
        <v>10.381169999999999</v>
      </c>
      <c r="AK267">
        <v>10.519220000000001</v>
      </c>
      <c r="AL267">
        <v>10.483879999999999</v>
      </c>
      <c r="AM267">
        <v>9.9348480000000006</v>
      </c>
      <c r="AN267">
        <v>10.31526</v>
      </c>
      <c r="AP267">
        <v>10.84023</v>
      </c>
      <c r="AQ267">
        <v>10.2758</v>
      </c>
      <c r="AR267">
        <v>10.451599999999999</v>
      </c>
      <c r="AT267">
        <v>10.075699999999999</v>
      </c>
      <c r="AU267">
        <v>9.8960830000000009</v>
      </c>
      <c r="AV267">
        <v>10.65423</v>
      </c>
      <c r="AW267">
        <v>9.6526759999999996</v>
      </c>
      <c r="AX267">
        <v>9.2975519999999996</v>
      </c>
      <c r="AY267">
        <v>9.8733609999999992</v>
      </c>
      <c r="BA267">
        <v>0</v>
      </c>
      <c r="BB267" t="str">
        <f t="shared" si="14"/>
        <v/>
      </c>
      <c r="BC267">
        <v>472359</v>
      </c>
      <c r="BD267">
        <v>513.13019999999995</v>
      </c>
      <c r="BE267">
        <v>64596088</v>
      </c>
      <c r="BF267">
        <v>24.94069</v>
      </c>
      <c r="BG267">
        <v>518.56844000000001</v>
      </c>
      <c r="BH267">
        <v>24.940690069999999</v>
      </c>
    </row>
    <row r="268" spans="1:60">
      <c r="A268">
        <v>40900</v>
      </c>
      <c r="B268" t="s">
        <v>319</v>
      </c>
      <c r="C268">
        <v>42165.06</v>
      </c>
      <c r="D268">
        <v>1227055</v>
      </c>
      <c r="E268">
        <v>2101138</v>
      </c>
      <c r="F268">
        <v>3.4375700000000002E-2</v>
      </c>
      <c r="G268">
        <f t="shared" si="12"/>
        <v>34375.700000000004</v>
      </c>
      <c r="H268" s="51">
        <f t="shared" si="13"/>
        <v>72228089546.600006</v>
      </c>
      <c r="I268">
        <v>470.4692</v>
      </c>
      <c r="J268">
        <v>10.64935</v>
      </c>
      <c r="K268">
        <v>-3.3704070000000002</v>
      </c>
      <c r="L268">
        <v>7.6613160000000002</v>
      </c>
      <c r="M268">
        <v>-1.374822</v>
      </c>
      <c r="N268">
        <v>14.55799</v>
      </c>
      <c r="O268">
        <v>6.244E-4</v>
      </c>
      <c r="P268">
        <v>1.7600000000000001E-5</v>
      </c>
      <c r="Q268">
        <v>1221.021</v>
      </c>
      <c r="R268">
        <v>2124.5520000000001</v>
      </c>
      <c r="S268">
        <v>1</v>
      </c>
      <c r="T268">
        <v>36.9</v>
      </c>
      <c r="U268">
        <v>1312.367</v>
      </c>
      <c r="V268">
        <v>2101138</v>
      </c>
      <c r="W268">
        <v>1.7600000000000001E-5</v>
      </c>
      <c r="X268">
        <v>6.246E-4</v>
      </c>
      <c r="Y268">
        <v>7.2436000000000002E-3</v>
      </c>
      <c r="Z268">
        <v>0.2576232</v>
      </c>
      <c r="AB268">
        <v>4221</v>
      </c>
      <c r="AE268">
        <v>7.8432299999999996E-2</v>
      </c>
      <c r="AF268">
        <v>2.789485</v>
      </c>
      <c r="AG268">
        <v>10.502660000000001</v>
      </c>
      <c r="AH268">
        <v>11.51172</v>
      </c>
      <c r="AI268">
        <v>11.59285</v>
      </c>
      <c r="AJ268">
        <v>10.85754</v>
      </c>
      <c r="AK268">
        <v>10.871420000000001</v>
      </c>
      <c r="AL268">
        <v>10.92206</v>
      </c>
      <c r="AM268">
        <v>10.147069999999999</v>
      </c>
      <c r="AN268">
        <v>10.53913</v>
      </c>
      <c r="AO268">
        <v>11.040509999999999</v>
      </c>
      <c r="AP268">
        <v>11.017160000000001</v>
      </c>
      <c r="AQ268">
        <v>10.49469</v>
      </c>
      <c r="AR268">
        <v>11.15255</v>
      </c>
      <c r="AS268">
        <v>11.2423</v>
      </c>
      <c r="AT268">
        <v>10.292389999999999</v>
      </c>
      <c r="AU268">
        <v>10.33043</v>
      </c>
      <c r="AV268">
        <v>10.81504</v>
      </c>
      <c r="AW268">
        <v>10.037559999999999</v>
      </c>
      <c r="AX268">
        <v>9.5648420000000005</v>
      </c>
      <c r="AY268">
        <v>10.32169</v>
      </c>
      <c r="AZ268">
        <v>9.9503400000000006</v>
      </c>
      <c r="BA268">
        <v>1610033</v>
      </c>
      <c r="BB268">
        <f t="shared" si="14"/>
        <v>43632.330623306232</v>
      </c>
      <c r="BC268" s="14">
        <v>18100000</v>
      </c>
      <c r="BD268">
        <v>5094.1329999999998</v>
      </c>
      <c r="BE268">
        <v>411497509</v>
      </c>
      <c r="BF268">
        <v>158.8801</v>
      </c>
      <c r="BG268">
        <v>5306.5847999999996</v>
      </c>
      <c r="BH268">
        <v>158.8800832</v>
      </c>
    </row>
    <row r="269" spans="1:60">
      <c r="A269">
        <v>40980</v>
      </c>
      <c r="B269" t="s">
        <v>489</v>
      </c>
      <c r="C269">
        <v>34359.43</v>
      </c>
      <c r="D269">
        <v>107289</v>
      </c>
      <c r="E269">
        <v>200858</v>
      </c>
      <c r="F269">
        <v>2.7551800000000001E-2</v>
      </c>
      <c r="G269">
        <f t="shared" si="12"/>
        <v>27551.800000000003</v>
      </c>
      <c r="H269" s="51">
        <f t="shared" si="13"/>
        <v>5533999444.4000006</v>
      </c>
      <c r="I269">
        <v>75.382090000000005</v>
      </c>
      <c r="J269">
        <v>10.44463</v>
      </c>
      <c r="K269">
        <v>-3.5916869999999999</v>
      </c>
      <c r="L269">
        <v>7.1977409999999997</v>
      </c>
      <c r="M269">
        <v>-1.8393349999999999</v>
      </c>
      <c r="N269">
        <v>12.21035</v>
      </c>
      <c r="O269">
        <v>1.1704E-3</v>
      </c>
      <c r="P269">
        <v>0</v>
      </c>
      <c r="Q269">
        <v>708.97479999999996</v>
      </c>
      <c r="R269">
        <v>1336.4090000000001</v>
      </c>
      <c r="S269">
        <v>0</v>
      </c>
      <c r="T269">
        <v>0</v>
      </c>
      <c r="U269">
        <v>235.2278</v>
      </c>
      <c r="V269">
        <v>200858</v>
      </c>
      <c r="W269">
        <v>0</v>
      </c>
      <c r="X269">
        <v>1.1711E-3</v>
      </c>
      <c r="Y269">
        <v>0</v>
      </c>
      <c r="Z269">
        <v>0.2907883</v>
      </c>
      <c r="AB269">
        <v>245</v>
      </c>
      <c r="AE269">
        <v>0</v>
      </c>
      <c r="AF269">
        <v>3.1204740000000002</v>
      </c>
      <c r="AJ269">
        <v>10.86331</v>
      </c>
      <c r="AK269">
        <v>10.958209999999999</v>
      </c>
      <c r="AL269">
        <v>10.60088</v>
      </c>
      <c r="AM269">
        <v>9.916328</v>
      </c>
      <c r="AN269">
        <v>10.539199999999999</v>
      </c>
      <c r="AO269">
        <v>10.78187</v>
      </c>
      <c r="AP269">
        <v>10.925000000000001</v>
      </c>
      <c r="AQ269">
        <v>10.10872</v>
      </c>
      <c r="AR269">
        <v>10.60938</v>
      </c>
      <c r="AS269">
        <v>10.838340000000001</v>
      </c>
      <c r="AT269">
        <v>10.292199999999999</v>
      </c>
      <c r="AU269">
        <v>9.6078639999999993</v>
      </c>
      <c r="AV269">
        <v>10.53726</v>
      </c>
      <c r="AW269">
        <v>9.6865389999999998</v>
      </c>
      <c r="AX269">
        <v>9.3896010000000008</v>
      </c>
      <c r="AY269">
        <v>9.8975000000000009</v>
      </c>
      <c r="AZ269">
        <v>9.8996340000000007</v>
      </c>
      <c r="BA269">
        <v>0</v>
      </c>
      <c r="BB269" t="str">
        <f t="shared" si="14"/>
        <v/>
      </c>
      <c r="BC269">
        <v>705698</v>
      </c>
      <c r="BD269">
        <v>808.93150000000003</v>
      </c>
      <c r="BE269">
        <v>77342551</v>
      </c>
      <c r="BF269">
        <v>29.862130000000001</v>
      </c>
      <c r="BG269">
        <v>815.96572000000003</v>
      </c>
      <c r="BH269">
        <v>29.86212716</v>
      </c>
    </row>
    <row r="270" spans="1:60">
      <c r="A270">
        <v>41060</v>
      </c>
      <c r="B270" t="s">
        <v>512</v>
      </c>
      <c r="C270">
        <v>33679.86</v>
      </c>
      <c r="D270">
        <v>130785</v>
      </c>
      <c r="E270">
        <v>187672</v>
      </c>
      <c r="F270">
        <v>3.5109099999999997E-2</v>
      </c>
      <c r="G270">
        <f t="shared" si="12"/>
        <v>35109.1</v>
      </c>
      <c r="H270" s="51">
        <f t="shared" si="13"/>
        <v>6588995015.1999989</v>
      </c>
      <c r="I270">
        <v>44.797359999999998</v>
      </c>
      <c r="J270">
        <v>10.42465</v>
      </c>
      <c r="K270">
        <v>-3.349294</v>
      </c>
      <c r="L270">
        <v>7.49993</v>
      </c>
      <c r="M270">
        <v>-1.713195</v>
      </c>
      <c r="N270">
        <v>12.14245</v>
      </c>
      <c r="O270">
        <v>2.0070000000000001E-3</v>
      </c>
      <c r="P270">
        <v>0</v>
      </c>
      <c r="Q270">
        <v>1313.85</v>
      </c>
      <c r="R270">
        <v>1807.9159999999999</v>
      </c>
      <c r="S270">
        <v>0</v>
      </c>
      <c r="T270">
        <v>0</v>
      </c>
      <c r="U270">
        <v>377.02670000000001</v>
      </c>
      <c r="V270">
        <v>187672</v>
      </c>
      <c r="W270">
        <v>0</v>
      </c>
      <c r="X270">
        <v>2.0089999999999999E-3</v>
      </c>
      <c r="Y270">
        <v>0</v>
      </c>
      <c r="Z270">
        <v>0.2151005</v>
      </c>
      <c r="AB270">
        <v>351</v>
      </c>
      <c r="AE270">
        <v>0</v>
      </c>
      <c r="AF270">
        <v>8.4162700000000008</v>
      </c>
      <c r="AH270">
        <v>11.053850000000001</v>
      </c>
      <c r="AJ270">
        <v>10.87692</v>
      </c>
      <c r="AK270">
        <v>10.59369</v>
      </c>
      <c r="AL270">
        <v>10.80289</v>
      </c>
      <c r="AM270">
        <v>9.9270379999999996</v>
      </c>
      <c r="AN270">
        <v>10.487019999999999</v>
      </c>
      <c r="AO270">
        <v>10.53342</v>
      </c>
      <c r="AP270">
        <v>10.81015</v>
      </c>
      <c r="AQ270">
        <v>10.366199999999999</v>
      </c>
      <c r="AR270">
        <v>10.479340000000001</v>
      </c>
      <c r="AS270">
        <v>11.362360000000001</v>
      </c>
      <c r="AT270">
        <v>10.038069999999999</v>
      </c>
      <c r="AU270">
        <v>10.063499999999999</v>
      </c>
      <c r="AV270">
        <v>10.694459999999999</v>
      </c>
      <c r="AW270">
        <v>9.3146059999999995</v>
      </c>
      <c r="AX270">
        <v>9.2434419999999999</v>
      </c>
      <c r="AY270">
        <v>9.8410849999999996</v>
      </c>
      <c r="BA270">
        <v>0</v>
      </c>
      <c r="BB270" t="str">
        <f t="shared" si="14"/>
        <v/>
      </c>
      <c r="BC270">
        <v>1069852</v>
      </c>
      <c r="BD270">
        <v>1752.7929999999999</v>
      </c>
      <c r="BE270">
        <v>60220032</v>
      </c>
      <c r="BF270">
        <v>23.251090000000001</v>
      </c>
      <c r="BG270">
        <v>1803.0242000000001</v>
      </c>
      <c r="BH270">
        <v>23.251085329999999</v>
      </c>
    </row>
    <row r="271" spans="1:60">
      <c r="A271">
        <v>41100</v>
      </c>
      <c r="B271" t="s">
        <v>1003</v>
      </c>
      <c r="C271">
        <v>26837.3</v>
      </c>
      <c r="D271">
        <v>74358</v>
      </c>
      <c r="E271">
        <v>135678</v>
      </c>
      <c r="F271">
        <v>2.2494400000000001E-2</v>
      </c>
      <c r="G271">
        <f t="shared" si="12"/>
        <v>22494.400000000001</v>
      </c>
      <c r="H271" s="51">
        <f t="shared" si="13"/>
        <v>3051995203.2000003</v>
      </c>
      <c r="I271">
        <v>38.718350000000001</v>
      </c>
      <c r="J271">
        <v>10.19755</v>
      </c>
      <c r="K271">
        <v>-3.7944870000000002</v>
      </c>
      <c r="L271">
        <v>7.1596330000000004</v>
      </c>
      <c r="M271">
        <v>-1.5703130000000001</v>
      </c>
      <c r="N271">
        <v>11.81804</v>
      </c>
      <c r="O271">
        <v>1.1735000000000001E-3</v>
      </c>
      <c r="P271">
        <v>0</v>
      </c>
      <c r="Q271">
        <v>999.26779999999997</v>
      </c>
      <c r="R271">
        <v>1286.4390000000001</v>
      </c>
      <c r="S271">
        <v>0</v>
      </c>
      <c r="T271">
        <v>0</v>
      </c>
      <c r="U271">
        <v>159.30609999999999</v>
      </c>
      <c r="V271">
        <v>135678</v>
      </c>
      <c r="W271">
        <v>0</v>
      </c>
      <c r="X271">
        <v>1.1741E-3</v>
      </c>
      <c r="Y271">
        <v>0</v>
      </c>
      <c r="Z271">
        <v>6.5649200000000005E-2</v>
      </c>
      <c r="AE271">
        <v>0</v>
      </c>
      <c r="AF271">
        <v>4.1144850000000002</v>
      </c>
      <c r="AH271">
        <v>10.067310000000001</v>
      </c>
      <c r="AJ271">
        <v>10.015650000000001</v>
      </c>
      <c r="AK271">
        <v>10.528119999999999</v>
      </c>
      <c r="AL271">
        <v>10.666779999999999</v>
      </c>
      <c r="AM271">
        <v>9.9803870000000003</v>
      </c>
      <c r="AN271">
        <v>10.511749999999999</v>
      </c>
      <c r="AO271">
        <v>10.122199999999999</v>
      </c>
      <c r="AP271">
        <v>10.56897</v>
      </c>
      <c r="AQ271">
        <v>10.06648</v>
      </c>
      <c r="AR271">
        <v>10.53219</v>
      </c>
      <c r="AT271">
        <v>10.168519999999999</v>
      </c>
      <c r="AU271">
        <v>9.9768129999999999</v>
      </c>
      <c r="AV271">
        <v>10.45368</v>
      </c>
      <c r="AW271">
        <v>9.8042719999999992</v>
      </c>
      <c r="AX271">
        <v>9.5053970000000003</v>
      </c>
      <c r="AY271">
        <v>9.9571570000000005</v>
      </c>
      <c r="BB271" t="str">
        <f t="shared" si="14"/>
        <v/>
      </c>
      <c r="BD271">
        <v>2426.625</v>
      </c>
      <c r="BE271">
        <v>64908793</v>
      </c>
      <c r="BF271">
        <v>25.061419999999998</v>
      </c>
      <c r="BG271">
        <v>2429.8681999999999</v>
      </c>
      <c r="BH271">
        <v>25.061426149999999</v>
      </c>
    </row>
    <row r="272" spans="1:60">
      <c r="A272">
        <v>41140</v>
      </c>
      <c r="B272" t="s">
        <v>513</v>
      </c>
      <c r="C272">
        <v>32280.68</v>
      </c>
      <c r="D272">
        <v>76449</v>
      </c>
      <c r="E272">
        <v>126051</v>
      </c>
      <c r="F272">
        <v>2.9012099999999999E-2</v>
      </c>
      <c r="G272">
        <f t="shared" si="12"/>
        <v>29012.1</v>
      </c>
      <c r="H272" s="51">
        <f t="shared" si="13"/>
        <v>3657004217.0999999</v>
      </c>
      <c r="I272">
        <v>42.77028</v>
      </c>
      <c r="J272">
        <v>10.38222</v>
      </c>
      <c r="K272">
        <v>-3.5400429999999998</v>
      </c>
      <c r="L272">
        <v>7.0381910000000003</v>
      </c>
      <c r="M272">
        <v>-1.8277920000000001</v>
      </c>
      <c r="N272">
        <v>11.744440000000001</v>
      </c>
      <c r="O272">
        <v>2.3048000000000001E-3</v>
      </c>
      <c r="P272">
        <v>0</v>
      </c>
      <c r="Q272">
        <v>975.67740000000003</v>
      </c>
      <c r="R272">
        <v>1139.3240000000001</v>
      </c>
      <c r="S272">
        <v>0</v>
      </c>
      <c r="T272">
        <v>0</v>
      </c>
      <c r="U272">
        <v>290.85770000000002</v>
      </c>
      <c r="V272">
        <v>126051</v>
      </c>
      <c r="W272">
        <v>0</v>
      </c>
      <c r="X272">
        <v>2.3075000000000001E-3</v>
      </c>
      <c r="Y272">
        <v>0</v>
      </c>
      <c r="Z272">
        <v>0.1750795</v>
      </c>
      <c r="AB272">
        <v>100</v>
      </c>
      <c r="AE272">
        <v>0</v>
      </c>
      <c r="AF272">
        <v>6.8004619999999996</v>
      </c>
      <c r="AI272">
        <v>11.132400000000001</v>
      </c>
      <c r="AJ272">
        <v>10.739850000000001</v>
      </c>
      <c r="AK272">
        <v>10.511799999999999</v>
      </c>
      <c r="AL272">
        <v>10.731490000000001</v>
      </c>
      <c r="AM272">
        <v>9.9887379999999997</v>
      </c>
      <c r="AN272">
        <v>10.59905</v>
      </c>
      <c r="AO272">
        <v>10.28571</v>
      </c>
      <c r="AP272">
        <v>10.614940000000001</v>
      </c>
      <c r="AQ272">
        <v>10.13982</v>
      </c>
      <c r="AR272">
        <v>10.8879</v>
      </c>
      <c r="AT272">
        <v>9.9466439999999992</v>
      </c>
      <c r="AU272">
        <v>9.9051229999999997</v>
      </c>
      <c r="AV272">
        <v>10.553879999999999</v>
      </c>
      <c r="AW272">
        <v>9.6902690000000007</v>
      </c>
      <c r="AX272">
        <v>9.3632829999999991</v>
      </c>
      <c r="AY272">
        <v>10.07695</v>
      </c>
      <c r="AZ272">
        <v>13.310499999999999</v>
      </c>
      <c r="BA272">
        <v>0</v>
      </c>
      <c r="BB272" t="str">
        <f t="shared" si="14"/>
        <v/>
      </c>
      <c r="BC272">
        <v>771112</v>
      </c>
      <c r="BD272">
        <v>1661.29</v>
      </c>
      <c r="BE272">
        <v>89250718</v>
      </c>
      <c r="BF272">
        <v>34.459899999999998</v>
      </c>
      <c r="BG272">
        <v>1674.3893</v>
      </c>
      <c r="BH272">
        <v>34.45989634</v>
      </c>
    </row>
    <row r="273" spans="1:60">
      <c r="A273">
        <v>41180</v>
      </c>
      <c r="B273" t="s">
        <v>321</v>
      </c>
      <c r="C273">
        <v>42578.1</v>
      </c>
      <c r="D273">
        <v>1731976</v>
      </c>
      <c r="E273">
        <v>2818688</v>
      </c>
      <c r="F273">
        <v>4.1175499999999997E-2</v>
      </c>
      <c r="G273">
        <f t="shared" si="12"/>
        <v>41175.5</v>
      </c>
      <c r="H273" s="51">
        <f t="shared" si="13"/>
        <v>116060887744</v>
      </c>
      <c r="I273">
        <v>996.34389999999996</v>
      </c>
      <c r="J273">
        <v>10.659090000000001</v>
      </c>
      <c r="K273">
        <v>-3.1899109999999999</v>
      </c>
      <c r="L273">
        <v>7.9834440000000004</v>
      </c>
      <c r="M273">
        <v>-1.399378</v>
      </c>
      <c r="N273">
        <v>14.85178</v>
      </c>
      <c r="O273">
        <v>8.1979999999999998E-4</v>
      </c>
      <c r="P273">
        <v>1.63E-5</v>
      </c>
      <c r="Q273">
        <v>1088.692</v>
      </c>
      <c r="R273">
        <v>2932.011</v>
      </c>
      <c r="S273">
        <v>1</v>
      </c>
      <c r="T273">
        <v>45.9</v>
      </c>
      <c r="U273">
        <v>2311.83</v>
      </c>
      <c r="V273">
        <v>2818688</v>
      </c>
      <c r="W273">
        <v>1.63E-5</v>
      </c>
      <c r="X273">
        <v>8.2019999999999999E-4</v>
      </c>
      <c r="Y273">
        <v>5.3068000000000004E-3</v>
      </c>
      <c r="Z273">
        <v>0.26728659999999999</v>
      </c>
      <c r="AB273">
        <v>825</v>
      </c>
      <c r="AE273">
        <v>4.6068400000000002E-2</v>
      </c>
      <c r="AF273">
        <v>2.3203140000000002</v>
      </c>
      <c r="AG273">
        <v>10.081490000000001</v>
      </c>
      <c r="AH273">
        <v>10.981210000000001</v>
      </c>
      <c r="AI273">
        <v>11.218719999999999</v>
      </c>
      <c r="AJ273">
        <v>10.86861</v>
      </c>
      <c r="AK273">
        <v>10.9232</v>
      </c>
      <c r="AL273">
        <v>10.95135</v>
      </c>
      <c r="AM273">
        <v>10.06662</v>
      </c>
      <c r="AN273">
        <v>10.592510000000001</v>
      </c>
      <c r="AO273">
        <v>11.062200000000001</v>
      </c>
      <c r="AP273">
        <v>10.987629999999999</v>
      </c>
      <c r="AQ273">
        <v>10.5167</v>
      </c>
      <c r="AR273">
        <v>11.01713</v>
      </c>
      <c r="AS273">
        <v>11.55167</v>
      </c>
      <c r="AT273">
        <v>10.28534</v>
      </c>
      <c r="AU273">
        <v>10.54036</v>
      </c>
      <c r="AV273">
        <v>10.537940000000001</v>
      </c>
      <c r="AW273">
        <v>10.45618</v>
      </c>
      <c r="AX273">
        <v>9.5140360000000008</v>
      </c>
      <c r="AY273">
        <v>10.15361</v>
      </c>
      <c r="AZ273">
        <v>11.35041</v>
      </c>
      <c r="BA273">
        <v>3382495</v>
      </c>
      <c r="BB273">
        <f t="shared" si="14"/>
        <v>73692.701525054465</v>
      </c>
      <c r="BC273" s="14">
        <v>24000000</v>
      </c>
      <c r="BD273">
        <v>8649.2559999999994</v>
      </c>
      <c r="BE273">
        <v>213207680</v>
      </c>
      <c r="BF273">
        <v>82.319950000000006</v>
      </c>
      <c r="BG273">
        <v>8844.3559000000005</v>
      </c>
      <c r="BH273">
        <v>82.319948969999999</v>
      </c>
    </row>
    <row r="274" spans="1:60">
      <c r="A274">
        <v>41420</v>
      </c>
      <c r="B274" t="s">
        <v>490</v>
      </c>
      <c r="C274">
        <v>31322.09</v>
      </c>
      <c r="D274">
        <v>208890</v>
      </c>
      <c r="E274">
        <v>390561</v>
      </c>
      <c r="F274">
        <v>2.32512E-2</v>
      </c>
      <c r="G274">
        <f t="shared" si="12"/>
        <v>23251.200000000001</v>
      </c>
      <c r="H274" s="51">
        <f t="shared" si="13"/>
        <v>9081011923.1999989</v>
      </c>
      <c r="I274">
        <v>108.71939999999999</v>
      </c>
      <c r="J274">
        <v>10.352080000000001</v>
      </c>
      <c r="K274">
        <v>-3.7614000000000001</v>
      </c>
      <c r="L274">
        <v>7.4893609999999997</v>
      </c>
      <c r="M274">
        <v>-1.6109869999999999</v>
      </c>
      <c r="N274">
        <v>12.87534</v>
      </c>
      <c r="O274">
        <v>1.1674999999999999E-3</v>
      </c>
      <c r="P274">
        <v>0</v>
      </c>
      <c r="Q274">
        <v>1106.1780000000001</v>
      </c>
      <c r="R274">
        <v>1788.91</v>
      </c>
      <c r="S274">
        <v>0</v>
      </c>
      <c r="T274">
        <v>0</v>
      </c>
      <c r="U274">
        <v>456.22820000000002</v>
      </c>
      <c r="V274">
        <v>390561</v>
      </c>
      <c r="W274">
        <v>0</v>
      </c>
      <c r="X274">
        <v>1.1681E-3</v>
      </c>
      <c r="Y274">
        <v>0</v>
      </c>
      <c r="Z274">
        <v>0.2370042</v>
      </c>
      <c r="AB274">
        <v>457</v>
      </c>
      <c r="AE274">
        <v>0</v>
      </c>
      <c r="AF274">
        <v>4.1963819999999998</v>
      </c>
      <c r="AG274">
        <v>10.206379999999999</v>
      </c>
      <c r="AH274">
        <v>11.28059</v>
      </c>
      <c r="AI274">
        <v>11.119630000000001</v>
      </c>
      <c r="AJ274">
        <v>10.623279999999999</v>
      </c>
      <c r="AK274">
        <v>10.474880000000001</v>
      </c>
      <c r="AL274">
        <v>10.69481</v>
      </c>
      <c r="AM274">
        <v>10.046290000000001</v>
      </c>
      <c r="AN274">
        <v>10.650180000000001</v>
      </c>
      <c r="AO274">
        <v>10.512930000000001</v>
      </c>
      <c r="AP274">
        <v>10.744450000000001</v>
      </c>
      <c r="AQ274">
        <v>10.140079999999999</v>
      </c>
      <c r="AR274">
        <v>10.61931</v>
      </c>
      <c r="AS274">
        <v>10.87463</v>
      </c>
      <c r="AT274">
        <v>10.20391</v>
      </c>
      <c r="AU274">
        <v>9.5909379999999995</v>
      </c>
      <c r="AV274">
        <v>10.53659</v>
      </c>
      <c r="AW274">
        <v>9.7171330000000005</v>
      </c>
      <c r="AX274">
        <v>9.4740339999999996</v>
      </c>
      <c r="AY274">
        <v>10.03861</v>
      </c>
      <c r="BA274">
        <v>0</v>
      </c>
      <c r="BB274" t="str">
        <f t="shared" si="14"/>
        <v/>
      </c>
      <c r="BC274">
        <v>2150744</v>
      </c>
      <c r="BD274">
        <v>1924.98</v>
      </c>
      <c r="BE274">
        <v>120418092</v>
      </c>
      <c r="BF274">
        <v>46.493690000000001</v>
      </c>
      <c r="BG274">
        <v>1940.1945000000001</v>
      </c>
      <c r="BH274">
        <v>46.493687229999999</v>
      </c>
    </row>
    <row r="275" spans="1:60">
      <c r="A275">
        <v>41500</v>
      </c>
      <c r="B275" t="s">
        <v>1004</v>
      </c>
      <c r="C275">
        <v>39199.199999999997</v>
      </c>
      <c r="D275">
        <v>229157</v>
      </c>
      <c r="E275">
        <v>405660</v>
      </c>
      <c r="F275">
        <v>3.8428700000000003E-2</v>
      </c>
      <c r="G275">
        <f t="shared" si="12"/>
        <v>38428.700000000004</v>
      </c>
      <c r="H275" s="51">
        <f t="shared" si="13"/>
        <v>15588986442.000002</v>
      </c>
      <c r="I275">
        <v>100.1621</v>
      </c>
      <c r="J275">
        <v>10.576409999999999</v>
      </c>
      <c r="K275">
        <v>-3.25895</v>
      </c>
      <c r="L275">
        <v>7.8232720000000002</v>
      </c>
      <c r="M275">
        <v>-1.580055</v>
      </c>
      <c r="N275">
        <v>12.913270000000001</v>
      </c>
      <c r="O275">
        <v>8.7239999999999996E-4</v>
      </c>
      <c r="P275">
        <v>0</v>
      </c>
      <c r="Q275">
        <v>983.30600000000004</v>
      </c>
      <c r="R275">
        <v>2498.0659999999998</v>
      </c>
      <c r="S275">
        <v>0</v>
      </c>
      <c r="T275">
        <v>0</v>
      </c>
      <c r="U275">
        <v>354.05329999999998</v>
      </c>
      <c r="V275">
        <v>405660</v>
      </c>
      <c r="W275">
        <v>0</v>
      </c>
      <c r="X275">
        <v>8.7279999999999996E-4</v>
      </c>
      <c r="Y275">
        <v>0</v>
      </c>
      <c r="Z275">
        <v>0.10657990000000001</v>
      </c>
      <c r="AE275">
        <v>0</v>
      </c>
      <c r="AF275">
        <v>3.5348030000000001</v>
      </c>
      <c r="AG275">
        <v>10.868370000000001</v>
      </c>
      <c r="AH275">
        <v>10.884040000000001</v>
      </c>
      <c r="AI275">
        <v>11.440989999999999</v>
      </c>
      <c r="AJ275">
        <v>10.698829999999999</v>
      </c>
      <c r="AK275">
        <v>10.683299999999999</v>
      </c>
      <c r="AL275">
        <v>10.92775</v>
      </c>
      <c r="AM275">
        <v>10.18802</v>
      </c>
      <c r="AN275">
        <v>10.619859999999999</v>
      </c>
      <c r="AO275">
        <v>11.02608</v>
      </c>
      <c r="AP275">
        <v>11.051360000000001</v>
      </c>
      <c r="AQ275">
        <v>10.45102</v>
      </c>
      <c r="AR275">
        <v>10.856170000000001</v>
      </c>
      <c r="AS275">
        <v>11.236140000000001</v>
      </c>
      <c r="AT275">
        <v>10.259650000000001</v>
      </c>
      <c r="AU275">
        <v>10.34961</v>
      </c>
      <c r="AV275">
        <v>10.89161</v>
      </c>
      <c r="AW275">
        <v>10.530290000000001</v>
      </c>
      <c r="AX275">
        <v>9.9058069999999994</v>
      </c>
      <c r="AY275">
        <v>10.207420000000001</v>
      </c>
      <c r="AZ275">
        <v>10.23512</v>
      </c>
      <c r="BB275" t="str">
        <f t="shared" si="14"/>
        <v/>
      </c>
      <c r="BD275">
        <v>3321.953</v>
      </c>
      <c r="BE275">
        <v>42262976</v>
      </c>
      <c r="BF275">
        <v>16.317830000000001</v>
      </c>
      <c r="BG275">
        <v>3771.22</v>
      </c>
      <c r="BH275">
        <v>16.317826960000001</v>
      </c>
    </row>
    <row r="276" spans="1:60">
      <c r="A276">
        <v>41540</v>
      </c>
      <c r="B276" t="s">
        <v>1005</v>
      </c>
      <c r="C276">
        <v>32843.11</v>
      </c>
      <c r="D276">
        <v>70971</v>
      </c>
      <c r="E276">
        <v>119990</v>
      </c>
      <c r="F276">
        <v>2.7585599999999998E-2</v>
      </c>
      <c r="G276">
        <f t="shared" si="12"/>
        <v>27585.599999999999</v>
      </c>
      <c r="H276" s="51">
        <f t="shared" si="13"/>
        <v>3309996143.9999995</v>
      </c>
      <c r="I276">
        <v>48.40822</v>
      </c>
      <c r="J276">
        <v>10.3995</v>
      </c>
      <c r="K276">
        <v>-3.5904600000000002</v>
      </c>
      <c r="L276">
        <v>7.4463939999999997</v>
      </c>
      <c r="M276">
        <v>-1.6954929999999999</v>
      </c>
      <c r="N276">
        <v>11.69516</v>
      </c>
      <c r="O276">
        <v>1.0665E-3</v>
      </c>
      <c r="P276">
        <v>0</v>
      </c>
      <c r="Q276">
        <v>682.36339999999996</v>
      </c>
      <c r="R276">
        <v>1713.673</v>
      </c>
      <c r="S276">
        <v>0</v>
      </c>
      <c r="T276">
        <v>0</v>
      </c>
      <c r="U276">
        <v>128.03229999999999</v>
      </c>
      <c r="V276">
        <v>119990</v>
      </c>
      <c r="W276">
        <v>0</v>
      </c>
      <c r="X276">
        <v>1.067E-3</v>
      </c>
      <c r="Y276">
        <v>0</v>
      </c>
      <c r="Z276">
        <v>0.18176439999999999</v>
      </c>
      <c r="AE276">
        <v>0</v>
      </c>
      <c r="AF276">
        <v>2.6448459999999998</v>
      </c>
      <c r="AG276">
        <v>10.45326</v>
      </c>
      <c r="AJ276">
        <v>10.50264</v>
      </c>
      <c r="AK276">
        <v>10.461069999999999</v>
      </c>
      <c r="AL276">
        <v>10.648580000000001</v>
      </c>
      <c r="AM276">
        <v>9.9431100000000008</v>
      </c>
      <c r="AN276">
        <v>10.47109</v>
      </c>
      <c r="AO276">
        <v>10.63043</v>
      </c>
      <c r="AP276">
        <v>10.695959999999999</v>
      </c>
      <c r="AQ276">
        <v>10.30261</v>
      </c>
      <c r="AR276">
        <v>10.63353</v>
      </c>
      <c r="AT276">
        <v>10.11553</v>
      </c>
      <c r="AU276">
        <v>9.9797410000000006</v>
      </c>
      <c r="AV276">
        <v>10.67365</v>
      </c>
      <c r="AW276">
        <v>9.2434200000000004</v>
      </c>
      <c r="AX276">
        <v>9.3985199999999995</v>
      </c>
      <c r="AY276">
        <v>10.00665</v>
      </c>
      <c r="BB276" t="str">
        <f t="shared" si="14"/>
        <v/>
      </c>
      <c r="BD276">
        <v>704.38589999999999</v>
      </c>
      <c r="BE276">
        <v>32990114</v>
      </c>
      <c r="BF276">
        <v>12.737550000000001</v>
      </c>
      <c r="BG276">
        <v>1010.5213</v>
      </c>
      <c r="BH276">
        <v>12.737554769999999</v>
      </c>
    </row>
    <row r="277" spans="1:60">
      <c r="A277">
        <v>41620</v>
      </c>
      <c r="B277" t="s">
        <v>323</v>
      </c>
      <c r="C277">
        <v>39217.54</v>
      </c>
      <c r="D277">
        <v>834207</v>
      </c>
      <c r="E277">
        <v>1111600</v>
      </c>
      <c r="F277">
        <v>4.9721099999999997E-2</v>
      </c>
      <c r="G277">
        <f t="shared" si="12"/>
        <v>49721.1</v>
      </c>
      <c r="H277" s="51">
        <f t="shared" si="13"/>
        <v>55269974760</v>
      </c>
      <c r="I277">
        <v>253.70570000000001</v>
      </c>
      <c r="J277">
        <v>10.576879999999999</v>
      </c>
      <c r="K277">
        <v>-3.001325</v>
      </c>
      <c r="L277">
        <v>8.1286129999999996</v>
      </c>
      <c r="M277">
        <v>-1.4544520000000001</v>
      </c>
      <c r="N277">
        <v>13.92131</v>
      </c>
      <c r="O277">
        <v>5.4759999999999997E-4</v>
      </c>
      <c r="P277">
        <v>1.7099999999999999E-5</v>
      </c>
      <c r="Q277">
        <v>1865.3820000000001</v>
      </c>
      <c r="R277">
        <v>3390.0940000000001</v>
      </c>
      <c r="S277">
        <v>1</v>
      </c>
      <c r="T277">
        <v>19</v>
      </c>
      <c r="U277">
        <v>608.90840000000003</v>
      </c>
      <c r="V277">
        <v>1111600</v>
      </c>
      <c r="W277">
        <v>1.7099999999999999E-5</v>
      </c>
      <c r="X277">
        <v>5.4779999999999998E-4</v>
      </c>
      <c r="Y277">
        <v>1.9919E-3</v>
      </c>
      <c r="Z277">
        <v>6.3835100000000006E-2</v>
      </c>
      <c r="AB277">
        <v>1103</v>
      </c>
      <c r="AE277">
        <v>7.4889899999999995E-2</v>
      </c>
      <c r="AF277">
        <v>2.400058</v>
      </c>
      <c r="AG277">
        <v>11.14803</v>
      </c>
      <c r="AH277">
        <v>11.07475</v>
      </c>
      <c r="AI277">
        <v>11.056979999999999</v>
      </c>
      <c r="AJ277">
        <v>10.67047</v>
      </c>
      <c r="AK277">
        <v>10.81114</v>
      </c>
      <c r="AL277">
        <v>10.807639999999999</v>
      </c>
      <c r="AM277">
        <v>10.15667</v>
      </c>
      <c r="AN277">
        <v>10.51263</v>
      </c>
      <c r="AO277">
        <v>10.86163</v>
      </c>
      <c r="AP277">
        <v>10.9451</v>
      </c>
      <c r="AQ277">
        <v>10.4155</v>
      </c>
      <c r="AR277">
        <v>10.99685</v>
      </c>
      <c r="AS277">
        <v>11.28997</v>
      </c>
      <c r="AT277">
        <v>10.189439999999999</v>
      </c>
      <c r="AU277">
        <v>10.352819999999999</v>
      </c>
      <c r="AV277">
        <v>10.65043</v>
      </c>
      <c r="AW277">
        <v>10.031470000000001</v>
      </c>
      <c r="AX277">
        <v>9.5660889999999998</v>
      </c>
      <c r="AY277">
        <v>10.350669999999999</v>
      </c>
      <c r="BA277">
        <v>1626254</v>
      </c>
      <c r="BB277">
        <f t="shared" si="14"/>
        <v>85592.31578947368</v>
      </c>
      <c r="BC277" s="14">
        <v>18400000</v>
      </c>
      <c r="BD277">
        <v>9538.7790000000005</v>
      </c>
      <c r="BE277">
        <v>117764026</v>
      </c>
      <c r="BF277">
        <v>45.468940000000003</v>
      </c>
      <c r="BG277">
        <v>9975.5764999999992</v>
      </c>
      <c r="BH277">
        <v>45.46894657</v>
      </c>
    </row>
    <row r="278" spans="1:60">
      <c r="A278">
        <v>41660</v>
      </c>
      <c r="B278" t="s">
        <v>491</v>
      </c>
      <c r="C278">
        <v>29170.97</v>
      </c>
      <c r="D278">
        <v>67417</v>
      </c>
      <c r="E278">
        <v>109152</v>
      </c>
      <c r="F278">
        <v>2.6458499999999999E-2</v>
      </c>
      <c r="G278">
        <f t="shared" si="12"/>
        <v>26458.5</v>
      </c>
      <c r="H278" s="51">
        <f t="shared" si="13"/>
        <v>2887998192</v>
      </c>
      <c r="I278">
        <v>45.784959999999998</v>
      </c>
      <c r="J278">
        <v>10.28093</v>
      </c>
      <c r="K278">
        <v>-3.632177</v>
      </c>
      <c r="L278">
        <v>6.6049309999999997</v>
      </c>
      <c r="M278">
        <v>-1.697881</v>
      </c>
      <c r="N278">
        <v>11.6005</v>
      </c>
      <c r="O278">
        <v>1.7068000000000001E-3</v>
      </c>
      <c r="P278">
        <v>0</v>
      </c>
      <c r="Q278">
        <v>708.15830000000005</v>
      </c>
      <c r="R278">
        <v>738.72879999999998</v>
      </c>
      <c r="S278">
        <v>0</v>
      </c>
      <c r="T278">
        <v>0</v>
      </c>
      <c r="U278">
        <v>186.464</v>
      </c>
      <c r="V278">
        <v>109152</v>
      </c>
      <c r="W278">
        <v>0</v>
      </c>
      <c r="X278">
        <v>1.7083000000000001E-3</v>
      </c>
      <c r="Y278">
        <v>0</v>
      </c>
      <c r="Z278">
        <v>7.2453299999999998E-2</v>
      </c>
      <c r="AB278">
        <v>104</v>
      </c>
      <c r="AE278">
        <v>0</v>
      </c>
      <c r="AF278">
        <v>4.072603</v>
      </c>
      <c r="AG278">
        <v>10.53121</v>
      </c>
      <c r="AH278">
        <v>10.49587</v>
      </c>
      <c r="AI278">
        <v>11.06894</v>
      </c>
      <c r="AJ278">
        <v>10.43324</v>
      </c>
      <c r="AK278">
        <v>10.52328</v>
      </c>
      <c r="AL278">
        <v>10.65734</v>
      </c>
      <c r="AM278">
        <v>10.00483</v>
      </c>
      <c r="AN278">
        <v>10.54748</v>
      </c>
      <c r="AO278">
        <v>10.59801</v>
      </c>
      <c r="AP278">
        <v>10.50619</v>
      </c>
      <c r="AQ278">
        <v>10.06161</v>
      </c>
      <c r="AR278">
        <v>10.363619999999999</v>
      </c>
      <c r="AT278">
        <v>9.8777360000000005</v>
      </c>
      <c r="AU278">
        <v>9.6588770000000004</v>
      </c>
      <c r="AV278">
        <v>10.587820000000001</v>
      </c>
      <c r="AW278">
        <v>9.5641649999999991</v>
      </c>
      <c r="AX278">
        <v>9.3635199999999994</v>
      </c>
      <c r="AY278">
        <v>9.8943440000000002</v>
      </c>
      <c r="AZ278">
        <v>9.5196620000000003</v>
      </c>
      <c r="BA278">
        <v>0</v>
      </c>
      <c r="BB278" t="str">
        <f t="shared" si="14"/>
        <v/>
      </c>
      <c r="BC278">
        <v>363964</v>
      </c>
      <c r="BD278">
        <v>2573.5729999999999</v>
      </c>
      <c r="BE278">
        <v>113247532</v>
      </c>
      <c r="BF278">
        <v>43.725119999999997</v>
      </c>
      <c r="BG278">
        <v>2592.1529999999998</v>
      </c>
      <c r="BH278">
        <v>43.725118420000001</v>
      </c>
    </row>
    <row r="279" spans="1:60">
      <c r="A279">
        <v>41700</v>
      </c>
      <c r="B279" t="s">
        <v>492</v>
      </c>
      <c r="C279">
        <v>36215.96</v>
      </c>
      <c r="D279">
        <v>1186323</v>
      </c>
      <c r="E279">
        <v>2030691</v>
      </c>
      <c r="F279">
        <v>3.2903099999999998E-2</v>
      </c>
      <c r="G279">
        <f t="shared" si="12"/>
        <v>32903.1</v>
      </c>
      <c r="H279" s="51">
        <f t="shared" si="13"/>
        <v>66816029042.099998</v>
      </c>
      <c r="I279">
        <v>494.4298</v>
      </c>
      <c r="J279">
        <v>10.497260000000001</v>
      </c>
      <c r="K279">
        <v>-3.4141889999999999</v>
      </c>
      <c r="L279">
        <v>7.4278050000000002</v>
      </c>
      <c r="M279">
        <v>-1.5792040000000001</v>
      </c>
      <c r="N279">
        <v>14.52389</v>
      </c>
      <c r="O279">
        <v>5.3109999999999995E-4</v>
      </c>
      <c r="P279">
        <v>0</v>
      </c>
      <c r="Q279">
        <v>1343.671</v>
      </c>
      <c r="R279">
        <v>1682.1120000000001</v>
      </c>
      <c r="S279">
        <v>0</v>
      </c>
      <c r="T279">
        <v>0</v>
      </c>
      <c r="U279">
        <v>1078.7809999999999</v>
      </c>
      <c r="V279">
        <v>2030691</v>
      </c>
      <c r="W279">
        <v>0</v>
      </c>
      <c r="X279">
        <v>5.3120000000000001E-4</v>
      </c>
      <c r="Y279">
        <v>0</v>
      </c>
      <c r="Z279">
        <v>0.14696390000000001</v>
      </c>
      <c r="AB279">
        <v>515</v>
      </c>
      <c r="AE279">
        <v>0</v>
      </c>
      <c r="AF279">
        <v>2.1818680000000001</v>
      </c>
      <c r="AG279">
        <v>11.4344</v>
      </c>
      <c r="AH279">
        <v>11.1225</v>
      </c>
      <c r="AI279">
        <v>10.970829999999999</v>
      </c>
      <c r="AJ279">
        <v>10.72977</v>
      </c>
      <c r="AK279">
        <v>10.51919</v>
      </c>
      <c r="AL279">
        <v>10.788019999999999</v>
      </c>
      <c r="AM279">
        <v>10.05711</v>
      </c>
      <c r="AN279">
        <v>10.56819</v>
      </c>
      <c r="AO279">
        <v>11.03886</v>
      </c>
      <c r="AP279">
        <v>10.92272</v>
      </c>
      <c r="AQ279">
        <v>10.52839</v>
      </c>
      <c r="AR279">
        <v>10.9482</v>
      </c>
      <c r="AS279">
        <v>11.3203</v>
      </c>
      <c r="AT279">
        <v>10.209860000000001</v>
      </c>
      <c r="AU279">
        <v>10.230079999999999</v>
      </c>
      <c r="AV279">
        <v>10.52079</v>
      </c>
      <c r="AW279">
        <v>10.18355</v>
      </c>
      <c r="AX279">
        <v>9.5848019999999998</v>
      </c>
      <c r="AY279">
        <v>9.9636329999999997</v>
      </c>
      <c r="AZ279">
        <v>10.50362</v>
      </c>
      <c r="BA279">
        <v>0</v>
      </c>
      <c r="BB279" t="str">
        <f t="shared" si="14"/>
        <v/>
      </c>
      <c r="BC279" s="14">
        <v>19600000</v>
      </c>
      <c r="BD279">
        <v>7340.4459999999999</v>
      </c>
      <c r="BE279">
        <v>846709505</v>
      </c>
      <c r="BF279">
        <v>326.91640000000001</v>
      </c>
      <c r="BG279">
        <v>7370.8382000000001</v>
      </c>
      <c r="BH279">
        <v>326.9163815</v>
      </c>
    </row>
    <row r="280" spans="1:60">
      <c r="A280">
        <v>41740</v>
      </c>
      <c r="B280" t="s">
        <v>325</v>
      </c>
      <c r="C280">
        <v>44562.98</v>
      </c>
      <c r="D280">
        <v>1920205</v>
      </c>
      <c r="E280">
        <v>3019274</v>
      </c>
      <c r="F280">
        <v>4.6546999999999998E-2</v>
      </c>
      <c r="G280">
        <f t="shared" si="12"/>
        <v>46547</v>
      </c>
      <c r="H280" s="51">
        <f t="shared" si="13"/>
        <v>140538146878</v>
      </c>
      <c r="I280">
        <v>804.07240000000002</v>
      </c>
      <c r="J280">
        <v>10.704660000000001</v>
      </c>
      <c r="K280">
        <v>-3.067294</v>
      </c>
      <c r="L280">
        <v>7.7817449999999999</v>
      </c>
      <c r="M280">
        <v>-1.28766</v>
      </c>
      <c r="N280">
        <v>14.920529999999999</v>
      </c>
      <c r="O280">
        <v>3.1829999999999998E-4</v>
      </c>
      <c r="P280">
        <v>3.0800000000000003E-5</v>
      </c>
      <c r="Q280">
        <v>1237.45</v>
      </c>
      <c r="R280">
        <v>2396.4549999999999</v>
      </c>
      <c r="S280">
        <v>1</v>
      </c>
      <c r="T280">
        <v>92.9</v>
      </c>
      <c r="U280">
        <v>961.16279999999995</v>
      </c>
      <c r="V280">
        <v>3019274</v>
      </c>
      <c r="W280">
        <v>3.0800000000000003E-5</v>
      </c>
      <c r="X280">
        <v>3.1829999999999998E-4</v>
      </c>
      <c r="Y280">
        <v>2.21196E-2</v>
      </c>
      <c r="Z280">
        <v>0.22885430000000001</v>
      </c>
      <c r="AB280">
        <v>1588</v>
      </c>
      <c r="AE280">
        <v>0.1155369</v>
      </c>
      <c r="AF280">
        <v>1.1953689999999999</v>
      </c>
      <c r="AG280">
        <v>10.658860000000001</v>
      </c>
      <c r="AH280">
        <v>10.900080000000001</v>
      </c>
      <c r="AJ280">
        <v>10.80002</v>
      </c>
      <c r="AK280">
        <v>10.93149</v>
      </c>
      <c r="AL280">
        <v>11.26061</v>
      </c>
      <c r="AM280">
        <v>10.14697</v>
      </c>
      <c r="AN280">
        <v>10.46401</v>
      </c>
      <c r="AO280">
        <v>11.25156</v>
      </c>
      <c r="AP280">
        <v>11.096819999999999</v>
      </c>
      <c r="AQ280">
        <v>10.69816</v>
      </c>
      <c r="AR280">
        <v>11.117710000000001</v>
      </c>
      <c r="AS280">
        <v>11.24062</v>
      </c>
      <c r="AT280">
        <v>10.36149</v>
      </c>
      <c r="AU280">
        <v>10.38354</v>
      </c>
      <c r="AV280">
        <v>10.736230000000001</v>
      </c>
      <c r="AW280">
        <v>10.38339</v>
      </c>
      <c r="AX280">
        <v>9.8182259999999992</v>
      </c>
      <c r="AY280">
        <v>10.171939999999999</v>
      </c>
      <c r="AZ280">
        <v>10.2334</v>
      </c>
      <c r="BA280">
        <v>3662095</v>
      </c>
      <c r="BB280">
        <f t="shared" si="14"/>
        <v>39419.752421959092</v>
      </c>
      <c r="BC280" s="14">
        <v>30300000</v>
      </c>
      <c r="BD280">
        <v>4199.8909999999996</v>
      </c>
      <c r="BE280">
        <v>728413730</v>
      </c>
      <c r="BF280">
        <v>281.24209999999999</v>
      </c>
      <c r="BG280">
        <v>4525.6296000000002</v>
      </c>
      <c r="BH280">
        <v>281.24212540000002</v>
      </c>
    </row>
    <row r="281" spans="1:60">
      <c r="A281">
        <v>41780</v>
      </c>
      <c r="B281" t="s">
        <v>776</v>
      </c>
      <c r="C281">
        <v>33320.33</v>
      </c>
      <c r="D281">
        <v>48792</v>
      </c>
      <c r="E281">
        <v>77339</v>
      </c>
      <c r="F281">
        <v>3.4044900000000003E-2</v>
      </c>
      <c r="G281">
        <f t="shared" si="12"/>
        <v>34044.9</v>
      </c>
      <c r="H281" s="51">
        <f t="shared" si="13"/>
        <v>2632998521.1000004</v>
      </c>
      <c r="I281">
        <v>34.062739999999998</v>
      </c>
      <c r="J281">
        <v>10.413919999999999</v>
      </c>
      <c r="K281">
        <v>-3.3800750000000002</v>
      </c>
      <c r="L281">
        <v>7.0903039999999997</v>
      </c>
      <c r="M281">
        <v>-1.7346790000000001</v>
      </c>
      <c r="N281">
        <v>11.25595</v>
      </c>
      <c r="O281">
        <v>1.4677E-3</v>
      </c>
      <c r="P281">
        <v>0</v>
      </c>
      <c r="Q281">
        <v>741.63149999999996</v>
      </c>
      <c r="R281">
        <v>1200.2719999999999</v>
      </c>
      <c r="S281">
        <v>0</v>
      </c>
      <c r="T281">
        <v>0</v>
      </c>
      <c r="U281">
        <v>113.5959</v>
      </c>
      <c r="V281">
        <v>77339</v>
      </c>
      <c r="W281">
        <v>0</v>
      </c>
      <c r="X281">
        <v>1.4687999999999999E-3</v>
      </c>
      <c r="Y281">
        <v>0</v>
      </c>
      <c r="Z281">
        <v>0.44568940000000001</v>
      </c>
      <c r="AB281">
        <v>0</v>
      </c>
      <c r="AE281">
        <v>0</v>
      </c>
      <c r="AF281">
        <v>3.3349030000000002</v>
      </c>
      <c r="AG281">
        <v>11.8056</v>
      </c>
      <c r="AJ281">
        <v>10.6267</v>
      </c>
      <c r="AK281">
        <v>10.84113</v>
      </c>
      <c r="AL281">
        <v>10.690910000000001</v>
      </c>
      <c r="AM281">
        <v>9.9698320000000002</v>
      </c>
      <c r="AN281">
        <v>10.480499999999999</v>
      </c>
      <c r="AO281">
        <v>10.33236</v>
      </c>
      <c r="AP281">
        <v>10.55073</v>
      </c>
      <c r="AQ281">
        <v>10.24189</v>
      </c>
      <c r="AR281">
        <v>10.647779999999999</v>
      </c>
      <c r="AS281">
        <v>10.815519999999999</v>
      </c>
      <c r="AT281">
        <v>10.20937</v>
      </c>
      <c r="AU281">
        <v>9.8812949999999997</v>
      </c>
      <c r="AV281">
        <v>10.456519999999999</v>
      </c>
      <c r="AX281">
        <v>9.4641079999999995</v>
      </c>
      <c r="AY281">
        <v>9.8506640000000001</v>
      </c>
      <c r="BA281">
        <v>0</v>
      </c>
      <c r="BB281" t="str">
        <f t="shared" si="14"/>
        <v/>
      </c>
      <c r="BC281">
        <v>0</v>
      </c>
      <c r="BD281">
        <v>254.87690000000001</v>
      </c>
      <c r="BE281">
        <v>24083579</v>
      </c>
      <c r="BF281">
        <v>9.2987219999999997</v>
      </c>
      <c r="BG281">
        <v>626.00117999999998</v>
      </c>
      <c r="BH281">
        <v>9.2987222329999994</v>
      </c>
    </row>
    <row r="282" spans="1:60">
      <c r="A282">
        <v>41860</v>
      </c>
      <c r="B282" t="s">
        <v>327</v>
      </c>
      <c r="C282">
        <v>61146.07</v>
      </c>
      <c r="D282">
        <v>2849527</v>
      </c>
      <c r="E282">
        <v>4260236</v>
      </c>
      <c r="F282">
        <v>6.6430600000000006E-2</v>
      </c>
      <c r="G282">
        <f t="shared" si="12"/>
        <v>66430.600000000006</v>
      </c>
      <c r="H282" s="51">
        <f t="shared" si="13"/>
        <v>283010033621.60004</v>
      </c>
      <c r="I282">
        <v>798.38900000000001</v>
      </c>
      <c r="J282">
        <v>11.02102</v>
      </c>
      <c r="K282">
        <v>-2.711598</v>
      </c>
      <c r="L282">
        <v>8.3213620000000006</v>
      </c>
      <c r="M282">
        <v>-0.95361130000000005</v>
      </c>
      <c r="N282">
        <v>15.26484</v>
      </c>
      <c r="O282">
        <v>2.7460000000000001E-4</v>
      </c>
      <c r="P282">
        <v>4.3800000000000001E-5</v>
      </c>
      <c r="Q282">
        <v>2135.433</v>
      </c>
      <c r="R282">
        <v>4110.7539999999999</v>
      </c>
      <c r="S282">
        <v>1</v>
      </c>
      <c r="T282">
        <v>186.5</v>
      </c>
      <c r="U282">
        <v>1169.886</v>
      </c>
      <c r="V282">
        <v>4260236</v>
      </c>
      <c r="W282">
        <v>4.3800000000000001E-5</v>
      </c>
      <c r="X282">
        <v>2.7460000000000001E-4</v>
      </c>
      <c r="Y282">
        <v>7.5412000000000007E-2</v>
      </c>
      <c r="Z282">
        <v>0.47304790000000002</v>
      </c>
      <c r="AB282">
        <v>6814</v>
      </c>
      <c r="AE282">
        <v>0.23359540000000001</v>
      </c>
      <c r="AF282">
        <v>1.465309</v>
      </c>
      <c r="AG282">
        <v>10.928380000000001</v>
      </c>
      <c r="AH282">
        <v>11.59374</v>
      </c>
      <c r="AI282">
        <v>11.603529999999999</v>
      </c>
      <c r="AJ282">
        <v>11.025969999999999</v>
      </c>
      <c r="AK282">
        <v>11.16677</v>
      </c>
      <c r="AL282">
        <v>11.232480000000001</v>
      </c>
      <c r="AM282">
        <v>10.291029999999999</v>
      </c>
      <c r="AN282">
        <v>10.801259999999999</v>
      </c>
      <c r="AO282">
        <v>11.60543</v>
      </c>
      <c r="AP282">
        <v>11.77115</v>
      </c>
      <c r="AQ282">
        <v>10.903040000000001</v>
      </c>
      <c r="AR282">
        <v>11.36009</v>
      </c>
      <c r="AS282">
        <v>11.566179999999999</v>
      </c>
      <c r="AT282">
        <v>10.500400000000001</v>
      </c>
      <c r="AU282">
        <v>10.433619999999999</v>
      </c>
      <c r="AV282">
        <v>10.91671</v>
      </c>
      <c r="AW282">
        <v>10.57638</v>
      </c>
      <c r="AX282">
        <v>9.9044699999999999</v>
      </c>
      <c r="AY282">
        <v>10.457100000000001</v>
      </c>
      <c r="AZ282">
        <v>11.64461</v>
      </c>
      <c r="BA282" s="14">
        <v>33300000</v>
      </c>
      <c r="BB282">
        <f t="shared" si="14"/>
        <v>178552.27882037533</v>
      </c>
      <c r="BC282" s="14">
        <v>106000000</v>
      </c>
      <c r="BD282">
        <v>2473.0819999999999</v>
      </c>
      <c r="BE282">
        <v>700579746</v>
      </c>
      <c r="BF282">
        <v>270.49540000000002</v>
      </c>
      <c r="BG282">
        <v>3426.143</v>
      </c>
      <c r="BH282">
        <v>270.49536369999998</v>
      </c>
    </row>
    <row r="283" spans="1:60">
      <c r="A283">
        <v>41940</v>
      </c>
      <c r="B283" t="s">
        <v>329</v>
      </c>
      <c r="C283">
        <v>76360.73</v>
      </c>
      <c r="D283">
        <v>1208681</v>
      </c>
      <c r="E283">
        <v>1810646</v>
      </c>
      <c r="F283">
        <v>7.6255100000000006E-2</v>
      </c>
      <c r="G283">
        <f t="shared" si="12"/>
        <v>76255.100000000006</v>
      </c>
      <c r="H283" s="51">
        <f t="shared" si="13"/>
        <v>138070991794.60001</v>
      </c>
      <c r="I283">
        <v>316.87150000000003</v>
      </c>
      <c r="J283">
        <v>11.243220000000001</v>
      </c>
      <c r="K283">
        <v>-2.573671</v>
      </c>
      <c r="L283">
        <v>8.0164430000000007</v>
      </c>
      <c r="M283">
        <v>-0.97509710000000005</v>
      </c>
      <c r="N283">
        <v>14.409190000000001</v>
      </c>
      <c r="O283">
        <v>3.7350000000000003E-4</v>
      </c>
      <c r="P283">
        <v>8.7499999999999999E-5</v>
      </c>
      <c r="Q283">
        <v>2221.0549999999998</v>
      </c>
      <c r="R283">
        <v>3030.3789999999999</v>
      </c>
      <c r="S283">
        <v>1</v>
      </c>
      <c r="T283">
        <v>158.4</v>
      </c>
      <c r="U283">
        <v>676.42970000000003</v>
      </c>
      <c r="V283">
        <v>1810646</v>
      </c>
      <c r="W283">
        <v>8.7499999999999999E-5</v>
      </c>
      <c r="X283">
        <v>3.7359999999999997E-4</v>
      </c>
      <c r="Y283">
        <v>5.9110099999999999E-2</v>
      </c>
      <c r="Z283">
        <v>0.25242310000000001</v>
      </c>
      <c r="AB283">
        <v>1626</v>
      </c>
      <c r="AE283">
        <v>0.49988709999999997</v>
      </c>
      <c r="AF283">
        <v>2.1347130000000001</v>
      </c>
      <c r="AG283">
        <v>10.1166</v>
      </c>
      <c r="AH283">
        <v>10.898210000000001</v>
      </c>
      <c r="AI283">
        <v>11.36449</v>
      </c>
      <c r="AJ283">
        <v>10.97232</v>
      </c>
      <c r="AK283">
        <v>11.416079999999999</v>
      </c>
      <c r="AL283">
        <v>11.68177</v>
      </c>
      <c r="AM283">
        <v>10.349880000000001</v>
      </c>
      <c r="AN283">
        <v>10.765499999999999</v>
      </c>
      <c r="AO283">
        <v>11.93097</v>
      </c>
      <c r="AP283">
        <v>11.3276</v>
      </c>
      <c r="AQ283">
        <v>10.869719999999999</v>
      </c>
      <c r="AR283">
        <v>11.53186</v>
      </c>
      <c r="AS283">
        <v>12.001670000000001</v>
      </c>
      <c r="AT283">
        <v>10.43853</v>
      </c>
      <c r="AU283">
        <v>10.873699999999999</v>
      </c>
      <c r="AV283">
        <v>10.92681</v>
      </c>
      <c r="AW283">
        <v>10.373139999999999</v>
      </c>
      <c r="AX283">
        <v>9.7895640000000004</v>
      </c>
      <c r="AY283">
        <v>10.369289999999999</v>
      </c>
      <c r="AZ283">
        <v>10.100989999999999</v>
      </c>
      <c r="BA283">
        <v>2111235</v>
      </c>
      <c r="BB283">
        <f t="shared" si="14"/>
        <v>13328.503787878788</v>
      </c>
      <c r="BC283" s="14">
        <v>23100000</v>
      </c>
      <c r="BD283">
        <v>2679.7460000000001</v>
      </c>
      <c r="BE283">
        <v>528082035</v>
      </c>
      <c r="BF283">
        <v>203.89359999999999</v>
      </c>
      <c r="BG283">
        <v>2694.4241999999999</v>
      </c>
      <c r="BH283">
        <v>203.8936223</v>
      </c>
    </row>
    <row r="284" spans="1:60">
      <c r="A284">
        <v>42020</v>
      </c>
      <c r="B284" t="s">
        <v>493</v>
      </c>
      <c r="C284">
        <v>34095.480000000003</v>
      </c>
      <c r="D284">
        <v>156781</v>
      </c>
      <c r="E284">
        <v>265134</v>
      </c>
      <c r="F284">
        <v>3.4205300000000001E-2</v>
      </c>
      <c r="G284">
        <f t="shared" si="12"/>
        <v>34205.300000000003</v>
      </c>
      <c r="H284" s="51">
        <f t="shared" si="13"/>
        <v>9068988010.2000008</v>
      </c>
      <c r="I284">
        <v>90.184139999999999</v>
      </c>
      <c r="J284">
        <v>10.436920000000001</v>
      </c>
      <c r="K284">
        <v>-3.3753730000000002</v>
      </c>
      <c r="L284">
        <v>7.386825</v>
      </c>
      <c r="M284">
        <v>-1.376946</v>
      </c>
      <c r="N284">
        <v>12.48799</v>
      </c>
      <c r="O284">
        <v>1.5795E-3</v>
      </c>
      <c r="P284">
        <v>0</v>
      </c>
      <c r="Q284">
        <v>750.53110000000004</v>
      </c>
      <c r="R284">
        <v>1614.5719999999999</v>
      </c>
      <c r="S284">
        <v>0</v>
      </c>
      <c r="T284">
        <v>0</v>
      </c>
      <c r="U284">
        <v>419.10969999999998</v>
      </c>
      <c r="V284">
        <v>265134</v>
      </c>
      <c r="W284">
        <v>0</v>
      </c>
      <c r="X284">
        <v>1.5807E-3</v>
      </c>
      <c r="Y284">
        <v>0</v>
      </c>
      <c r="Z284">
        <v>0.1268368</v>
      </c>
      <c r="AB284">
        <v>290</v>
      </c>
      <c r="AE284">
        <v>0</v>
      </c>
      <c r="AF284">
        <v>4.6472660000000001</v>
      </c>
      <c r="AG284">
        <v>10.45722</v>
      </c>
      <c r="AH284">
        <v>10.729660000000001</v>
      </c>
      <c r="AJ284">
        <v>10.71041</v>
      </c>
      <c r="AK284">
        <v>10.6511</v>
      </c>
      <c r="AL284">
        <v>10.7325</v>
      </c>
      <c r="AM284">
        <v>10.102639999999999</v>
      </c>
      <c r="AN284">
        <v>10.38297</v>
      </c>
      <c r="AO284">
        <v>10.8157</v>
      </c>
      <c r="AP284">
        <v>10.92024</v>
      </c>
      <c r="AQ284">
        <v>10.26097</v>
      </c>
      <c r="AR284">
        <v>10.64908</v>
      </c>
      <c r="AT284">
        <v>10.241149999999999</v>
      </c>
      <c r="AU284">
        <v>9.8024310000000003</v>
      </c>
      <c r="AV284">
        <v>10.597849999999999</v>
      </c>
      <c r="AW284">
        <v>9.8877220000000001</v>
      </c>
      <c r="AX284">
        <v>9.6645400000000006</v>
      </c>
      <c r="AY284">
        <v>9.9226589999999995</v>
      </c>
      <c r="AZ284">
        <v>10.605969999999999</v>
      </c>
      <c r="BA284">
        <v>0</v>
      </c>
      <c r="BB284" t="str">
        <f t="shared" si="14"/>
        <v/>
      </c>
      <c r="BC284">
        <v>381608</v>
      </c>
      <c r="BD284">
        <v>3304.3220000000001</v>
      </c>
      <c r="BE284">
        <v>58635889</v>
      </c>
      <c r="BF284">
        <v>22.63944</v>
      </c>
      <c r="BG284">
        <v>3615.8337000000001</v>
      </c>
      <c r="BH284">
        <v>22.639444279999999</v>
      </c>
    </row>
    <row r="285" spans="1:60">
      <c r="A285">
        <v>42060</v>
      </c>
      <c r="B285" t="s">
        <v>494</v>
      </c>
      <c r="C285">
        <v>40883.230000000003</v>
      </c>
      <c r="D285">
        <v>265036</v>
      </c>
      <c r="E285">
        <v>403655</v>
      </c>
      <c r="F285">
        <v>4.1580100000000002E-2</v>
      </c>
      <c r="G285">
        <f t="shared" si="12"/>
        <v>41580.1</v>
      </c>
      <c r="H285" s="51">
        <f t="shared" si="13"/>
        <v>16784015265.500002</v>
      </c>
      <c r="I285">
        <v>158.44640000000001</v>
      </c>
      <c r="J285">
        <v>10.61847</v>
      </c>
      <c r="K285">
        <v>-3.1801349999999999</v>
      </c>
      <c r="L285">
        <v>7.631589</v>
      </c>
      <c r="M285">
        <v>-1.2969649999999999</v>
      </c>
      <c r="N285">
        <v>12.90832</v>
      </c>
      <c r="O285">
        <v>8.587E-4</v>
      </c>
      <c r="P285">
        <v>0</v>
      </c>
      <c r="Q285">
        <v>866.53880000000004</v>
      </c>
      <c r="R285">
        <v>2062.3240000000001</v>
      </c>
      <c r="S285">
        <v>0</v>
      </c>
      <c r="T285">
        <v>0</v>
      </c>
      <c r="U285">
        <v>346.78230000000002</v>
      </c>
      <c r="V285">
        <v>403655</v>
      </c>
      <c r="W285">
        <v>0</v>
      </c>
      <c r="X285">
        <v>8.5910000000000001E-4</v>
      </c>
      <c r="Y285">
        <v>0</v>
      </c>
      <c r="Z285">
        <v>0.12670110000000001</v>
      </c>
      <c r="AB285">
        <v>2079</v>
      </c>
      <c r="AE285">
        <v>0</v>
      </c>
      <c r="AF285">
        <v>2.1886399999999999</v>
      </c>
      <c r="AG285">
        <v>10.53274</v>
      </c>
      <c r="AH285">
        <v>11.147080000000001</v>
      </c>
      <c r="AJ285">
        <v>10.756169999999999</v>
      </c>
      <c r="AK285">
        <v>10.952680000000001</v>
      </c>
      <c r="AL285">
        <v>11.091229999999999</v>
      </c>
      <c r="AM285">
        <v>10.1838</v>
      </c>
      <c r="AN285">
        <v>10.48958</v>
      </c>
      <c r="AO285">
        <v>11.139570000000001</v>
      </c>
      <c r="AP285">
        <v>11.14615</v>
      </c>
      <c r="AQ285">
        <v>10.43871</v>
      </c>
      <c r="AR285">
        <v>11.11318</v>
      </c>
      <c r="AS285">
        <v>11.52206</v>
      </c>
      <c r="AT285">
        <v>10.20233</v>
      </c>
      <c r="AU285">
        <v>10.307869999999999</v>
      </c>
      <c r="AV285">
        <v>10.662140000000001</v>
      </c>
      <c r="AW285">
        <v>10.16506</v>
      </c>
      <c r="AX285">
        <v>9.8205229999999997</v>
      </c>
      <c r="AY285">
        <v>10.159739999999999</v>
      </c>
      <c r="BA285">
        <v>0</v>
      </c>
      <c r="BB285" t="str">
        <f t="shared" si="14"/>
        <v/>
      </c>
      <c r="BC285">
        <v>6794534</v>
      </c>
      <c r="BD285">
        <v>2737.011</v>
      </c>
      <c r="BE285">
        <v>118048202</v>
      </c>
      <c r="BF285">
        <v>45.578670000000002</v>
      </c>
      <c r="BG285">
        <v>3788.8177000000001</v>
      </c>
      <c r="BH285">
        <v>45.578667549999999</v>
      </c>
    </row>
    <row r="286" spans="1:60">
      <c r="A286">
        <v>42100</v>
      </c>
      <c r="B286" t="s">
        <v>495</v>
      </c>
      <c r="C286">
        <v>39533.06</v>
      </c>
      <c r="D286">
        <v>145801</v>
      </c>
      <c r="E286">
        <v>252929</v>
      </c>
      <c r="F286">
        <v>3.3871199999999997E-2</v>
      </c>
      <c r="G286">
        <f t="shared" si="12"/>
        <v>33871.199999999997</v>
      </c>
      <c r="H286" s="51">
        <f t="shared" si="13"/>
        <v>8567008744.7999992</v>
      </c>
      <c r="I286">
        <v>71.849400000000003</v>
      </c>
      <c r="J286">
        <v>10.58489</v>
      </c>
      <c r="K286">
        <v>-3.3851909999999998</v>
      </c>
      <c r="L286">
        <v>7.7801260000000001</v>
      </c>
      <c r="M286">
        <v>-1.161459</v>
      </c>
      <c r="N286">
        <v>12.440860000000001</v>
      </c>
      <c r="O286">
        <v>4.1219999999999999E-4</v>
      </c>
      <c r="P286">
        <v>0</v>
      </c>
      <c r="Q286">
        <v>1098.826</v>
      </c>
      <c r="R286">
        <v>2392.5749999999998</v>
      </c>
      <c r="S286">
        <v>0</v>
      </c>
      <c r="T286">
        <v>0</v>
      </c>
      <c r="U286">
        <v>104.27330000000001</v>
      </c>
      <c r="V286">
        <v>252929</v>
      </c>
      <c r="W286">
        <v>0</v>
      </c>
      <c r="X286">
        <v>4.1229999999999999E-4</v>
      </c>
      <c r="Y286">
        <v>0</v>
      </c>
      <c r="Z286">
        <v>0.23419499999999999</v>
      </c>
      <c r="AB286">
        <v>914</v>
      </c>
      <c r="AE286">
        <v>0</v>
      </c>
      <c r="AF286">
        <v>1.451276</v>
      </c>
      <c r="AG286">
        <v>10.459630000000001</v>
      </c>
      <c r="AJ286">
        <v>10.69495</v>
      </c>
      <c r="AK286">
        <v>10.752879999999999</v>
      </c>
      <c r="AL286">
        <v>11.24794</v>
      </c>
      <c r="AM286">
        <v>10.14514</v>
      </c>
      <c r="AN286">
        <v>10.4598</v>
      </c>
      <c r="AO286">
        <v>10.9781</v>
      </c>
      <c r="AP286">
        <v>10.95932</v>
      </c>
      <c r="AQ286">
        <v>10.312049999999999</v>
      </c>
      <c r="AR286">
        <v>10.94951</v>
      </c>
      <c r="AS286">
        <v>11.447900000000001</v>
      </c>
      <c r="AT286">
        <v>10.271509999999999</v>
      </c>
      <c r="AU286">
        <v>10.2645</v>
      </c>
      <c r="AV286">
        <v>10.63514</v>
      </c>
      <c r="AW286">
        <v>9.8121690000000008</v>
      </c>
      <c r="AX286">
        <v>9.685905</v>
      </c>
      <c r="AY286">
        <v>10.153790000000001</v>
      </c>
      <c r="AZ286">
        <v>10.568110000000001</v>
      </c>
      <c r="BA286">
        <v>0</v>
      </c>
      <c r="BB286" t="str">
        <f t="shared" si="14"/>
        <v/>
      </c>
      <c r="BC286">
        <v>6532034</v>
      </c>
      <c r="BD286">
        <v>445.2414</v>
      </c>
      <c r="BE286">
        <v>49718625</v>
      </c>
      <c r="BF286">
        <v>19.196470000000001</v>
      </c>
      <c r="BG286">
        <v>607.18231000000003</v>
      </c>
      <c r="BH286">
        <v>19.19646925</v>
      </c>
    </row>
    <row r="287" spans="1:60">
      <c r="A287">
        <v>42140</v>
      </c>
      <c r="B287" t="s">
        <v>496</v>
      </c>
      <c r="C287">
        <v>34556.25</v>
      </c>
      <c r="D287">
        <v>94627</v>
      </c>
      <c r="E287">
        <v>145362</v>
      </c>
      <c r="F287">
        <v>3.7932899999999999E-2</v>
      </c>
      <c r="G287">
        <f t="shared" si="12"/>
        <v>37932.9</v>
      </c>
      <c r="H287" s="51">
        <f t="shared" si="13"/>
        <v>5514002209.8000002</v>
      </c>
      <c r="I287">
        <v>67.524370000000005</v>
      </c>
      <c r="J287">
        <v>10.450340000000001</v>
      </c>
      <c r="K287">
        <v>-3.2719369999999999</v>
      </c>
      <c r="L287">
        <v>7.2612319999999997</v>
      </c>
      <c r="M287">
        <v>-1.0216799999999999</v>
      </c>
      <c r="N287">
        <v>11.886979999999999</v>
      </c>
      <c r="O287">
        <v>1.3544E-3</v>
      </c>
      <c r="P287">
        <v>0</v>
      </c>
      <c r="Q287">
        <v>763.7835</v>
      </c>
      <c r="R287">
        <v>1424.011</v>
      </c>
      <c r="S287">
        <v>0</v>
      </c>
      <c r="T287">
        <v>0</v>
      </c>
      <c r="U287">
        <v>197.00550000000001</v>
      </c>
      <c r="V287">
        <v>145362</v>
      </c>
      <c r="W287">
        <v>0</v>
      </c>
      <c r="X287">
        <v>1.3553E-3</v>
      </c>
      <c r="Y287">
        <v>0</v>
      </c>
      <c r="Z287">
        <v>0.103188</v>
      </c>
      <c r="AB287">
        <v>170</v>
      </c>
      <c r="AE287">
        <v>0</v>
      </c>
      <c r="AF287">
        <v>2.9175469999999999</v>
      </c>
      <c r="AG287">
        <v>10.4476</v>
      </c>
      <c r="AJ287">
        <v>10.42179</v>
      </c>
      <c r="AK287">
        <v>10.399699999999999</v>
      </c>
      <c r="AL287">
        <v>10.754530000000001</v>
      </c>
      <c r="AM287">
        <v>10.18904</v>
      </c>
      <c r="AN287">
        <v>10.31331</v>
      </c>
      <c r="AO287">
        <v>10.792350000000001</v>
      </c>
      <c r="AP287">
        <v>11.44078</v>
      </c>
      <c r="AQ287">
        <v>10.51613</v>
      </c>
      <c r="AR287">
        <v>10.924530000000001</v>
      </c>
      <c r="AS287">
        <v>10.753439999999999</v>
      </c>
      <c r="AT287">
        <v>10.011760000000001</v>
      </c>
      <c r="AU287">
        <v>10.27373</v>
      </c>
      <c r="AV287">
        <v>10.58662</v>
      </c>
      <c r="AW287">
        <v>10.267340000000001</v>
      </c>
      <c r="AX287">
        <v>9.914256</v>
      </c>
      <c r="AY287">
        <v>10.31521</v>
      </c>
      <c r="BA287">
        <v>0</v>
      </c>
      <c r="BB287" t="str">
        <f t="shared" si="14"/>
        <v/>
      </c>
      <c r="BC287">
        <v>868322</v>
      </c>
      <c r="BD287">
        <v>1909.19</v>
      </c>
      <c r="BE287">
        <v>87282313</v>
      </c>
      <c r="BF287">
        <v>33.699890000000003</v>
      </c>
      <c r="BG287">
        <v>1910.9169999999999</v>
      </c>
      <c r="BH287">
        <v>33.699890889999999</v>
      </c>
    </row>
    <row r="288" spans="1:60">
      <c r="A288">
        <v>42220</v>
      </c>
      <c r="B288" t="s">
        <v>497</v>
      </c>
      <c r="C288">
        <v>42048.5</v>
      </c>
      <c r="D288">
        <v>282137</v>
      </c>
      <c r="E288">
        <v>466424</v>
      </c>
      <c r="F288">
        <v>3.8962400000000001E-2</v>
      </c>
      <c r="G288">
        <f t="shared" si="12"/>
        <v>38962.400000000001</v>
      </c>
      <c r="H288" s="51">
        <f t="shared" si="13"/>
        <v>18172998457.599998</v>
      </c>
      <c r="I288">
        <v>144.34780000000001</v>
      </c>
      <c r="J288">
        <v>10.64658</v>
      </c>
      <c r="K288">
        <v>-3.245158</v>
      </c>
      <c r="L288">
        <v>7.3941299999999996</v>
      </c>
      <c r="M288">
        <v>-1.264078</v>
      </c>
      <c r="N288">
        <v>13.052849999999999</v>
      </c>
      <c r="O288">
        <v>5.7950000000000005E-4</v>
      </c>
      <c r="P288">
        <v>0</v>
      </c>
      <c r="Q288">
        <v>911.58280000000002</v>
      </c>
      <c r="R288">
        <v>1626.4090000000001</v>
      </c>
      <c r="S288">
        <v>0</v>
      </c>
      <c r="T288">
        <v>0</v>
      </c>
      <c r="U288">
        <v>270.38029999999998</v>
      </c>
      <c r="V288">
        <v>466424</v>
      </c>
      <c r="W288">
        <v>0</v>
      </c>
      <c r="X288">
        <v>5.7970000000000005E-4</v>
      </c>
      <c r="Y288">
        <v>0</v>
      </c>
      <c r="Z288">
        <v>0.17157430000000001</v>
      </c>
      <c r="AB288">
        <v>1779</v>
      </c>
      <c r="AE288">
        <v>0</v>
      </c>
      <c r="AF288">
        <v>1.873116</v>
      </c>
      <c r="AG288">
        <v>10.344799999999999</v>
      </c>
      <c r="AH288">
        <v>10.85182</v>
      </c>
      <c r="AJ288">
        <v>10.81471</v>
      </c>
      <c r="AK288">
        <v>10.903689999999999</v>
      </c>
      <c r="AL288">
        <v>11.06235</v>
      </c>
      <c r="AM288">
        <v>10.227729999999999</v>
      </c>
      <c r="AN288">
        <v>10.56582</v>
      </c>
      <c r="AO288">
        <v>11.014530000000001</v>
      </c>
      <c r="AP288">
        <v>11.081490000000001</v>
      </c>
      <c r="AQ288">
        <v>10.516830000000001</v>
      </c>
      <c r="AR288">
        <v>10.981669999999999</v>
      </c>
      <c r="AS288">
        <v>11.12764</v>
      </c>
      <c r="AT288">
        <v>10.35375</v>
      </c>
      <c r="AU288">
        <v>10.269909999999999</v>
      </c>
      <c r="AV288">
        <v>10.76097</v>
      </c>
      <c r="AW288">
        <v>10.09183</v>
      </c>
      <c r="AX288">
        <v>9.7107530000000004</v>
      </c>
      <c r="AY288">
        <v>10.16039</v>
      </c>
      <c r="BA288">
        <v>0</v>
      </c>
      <c r="BB288" t="str">
        <f t="shared" si="14"/>
        <v/>
      </c>
      <c r="BC288">
        <v>5472260</v>
      </c>
      <c r="BD288">
        <v>1575.8779999999999</v>
      </c>
      <c r="BE288">
        <v>129640429</v>
      </c>
      <c r="BF288">
        <v>50.054450000000003</v>
      </c>
      <c r="BG288">
        <v>1767.9282000000001</v>
      </c>
      <c r="BH288">
        <v>50.0544516</v>
      </c>
    </row>
    <row r="289" spans="1:60">
      <c r="A289">
        <v>42340</v>
      </c>
      <c r="B289" t="s">
        <v>498</v>
      </c>
      <c r="C289">
        <v>34542.33</v>
      </c>
      <c r="D289">
        <v>212887</v>
      </c>
      <c r="E289">
        <v>334562</v>
      </c>
      <c r="F289">
        <v>3.25709E-2</v>
      </c>
      <c r="G289">
        <f t="shared" si="12"/>
        <v>32570.9</v>
      </c>
      <c r="H289" s="51">
        <f t="shared" si="13"/>
        <v>10896985445.799999</v>
      </c>
      <c r="I289">
        <v>124.9177</v>
      </c>
      <c r="J289">
        <v>10.44994</v>
      </c>
      <c r="K289">
        <v>-3.4243350000000001</v>
      </c>
      <c r="L289">
        <v>7.4447960000000002</v>
      </c>
      <c r="M289">
        <v>-1.514289</v>
      </c>
      <c r="N289">
        <v>12.72058</v>
      </c>
      <c r="O289">
        <v>9.7809999999999998E-4</v>
      </c>
      <c r="P289">
        <v>0</v>
      </c>
      <c r="Q289">
        <v>801.57590000000005</v>
      </c>
      <c r="R289">
        <v>1710.9369999999999</v>
      </c>
      <c r="S289">
        <v>0</v>
      </c>
      <c r="T289">
        <v>0</v>
      </c>
      <c r="U289">
        <v>327.4092</v>
      </c>
      <c r="V289">
        <v>334562</v>
      </c>
      <c r="W289">
        <v>0</v>
      </c>
      <c r="X289">
        <v>9.7860000000000004E-4</v>
      </c>
      <c r="Y289">
        <v>0</v>
      </c>
      <c r="Z289">
        <v>0.2408768</v>
      </c>
      <c r="AB289">
        <v>248</v>
      </c>
      <c r="AE289">
        <v>0</v>
      </c>
      <c r="AF289">
        <v>2.6209989999999999</v>
      </c>
      <c r="AG289">
        <v>10.507580000000001</v>
      </c>
      <c r="AJ289">
        <v>10.52922</v>
      </c>
      <c r="AK289">
        <v>11.012320000000001</v>
      </c>
      <c r="AL289">
        <v>10.80072</v>
      </c>
      <c r="AM289">
        <v>9.9720040000000001</v>
      </c>
      <c r="AN289">
        <v>10.47246</v>
      </c>
      <c r="AO289">
        <v>10.62128</v>
      </c>
      <c r="AP289">
        <v>10.90663</v>
      </c>
      <c r="AQ289">
        <v>10.4611</v>
      </c>
      <c r="AR289">
        <v>10.711259999999999</v>
      </c>
      <c r="AS289">
        <v>10.93547</v>
      </c>
      <c r="AT289">
        <v>9.9680309999999999</v>
      </c>
      <c r="AU289">
        <v>10.49465</v>
      </c>
      <c r="AV289">
        <v>10.634880000000001</v>
      </c>
      <c r="AW289">
        <v>9.9592670000000005</v>
      </c>
      <c r="AX289">
        <v>9.5432210000000008</v>
      </c>
      <c r="AY289">
        <v>10.14828</v>
      </c>
      <c r="BA289">
        <v>0</v>
      </c>
      <c r="BB289" t="str">
        <f t="shared" si="14"/>
        <v/>
      </c>
      <c r="BC289">
        <v>2540001</v>
      </c>
      <c r="BD289">
        <v>1359.239</v>
      </c>
      <c r="BE289">
        <v>117439351</v>
      </c>
      <c r="BF289">
        <v>45.343589999999999</v>
      </c>
      <c r="BG289">
        <v>1569.6433999999999</v>
      </c>
      <c r="BH289">
        <v>45.343588850000003</v>
      </c>
    </row>
    <row r="290" spans="1:60">
      <c r="A290">
        <v>42540</v>
      </c>
      <c r="B290" t="s">
        <v>499</v>
      </c>
      <c r="C290">
        <v>31606.3</v>
      </c>
      <c r="D290">
        <v>322332</v>
      </c>
      <c r="E290">
        <v>549321</v>
      </c>
      <c r="F290">
        <v>3.0865400000000001E-2</v>
      </c>
      <c r="G290">
        <f t="shared" si="12"/>
        <v>30865.4</v>
      </c>
      <c r="H290" s="51">
        <f t="shared" si="13"/>
        <v>16955012393.4</v>
      </c>
      <c r="I290">
        <v>188.55619999999999</v>
      </c>
      <c r="J290">
        <v>10.36111</v>
      </c>
      <c r="K290">
        <v>-3.4781200000000001</v>
      </c>
      <c r="L290">
        <v>7.8245639999999996</v>
      </c>
      <c r="M290">
        <v>-1.6353390000000001</v>
      </c>
      <c r="N290">
        <v>13.21644</v>
      </c>
      <c r="O290">
        <v>1.0004E-3</v>
      </c>
      <c r="P290">
        <v>0</v>
      </c>
      <c r="Q290">
        <v>884.82360000000006</v>
      </c>
      <c r="R290">
        <v>2501.2950000000001</v>
      </c>
      <c r="S290">
        <v>0</v>
      </c>
      <c r="T290">
        <v>0</v>
      </c>
      <c r="U290">
        <v>549.82600000000002</v>
      </c>
      <c r="V290">
        <v>549321</v>
      </c>
      <c r="W290">
        <v>0</v>
      </c>
      <c r="X290">
        <v>1.0009000000000001E-3</v>
      </c>
      <c r="Y290">
        <v>0</v>
      </c>
      <c r="Z290">
        <v>0.31479049999999997</v>
      </c>
      <c r="AB290">
        <v>425</v>
      </c>
      <c r="AE290">
        <v>0</v>
      </c>
      <c r="AF290">
        <v>2.9159790000000001</v>
      </c>
      <c r="AG290">
        <v>9.7050359999999998</v>
      </c>
      <c r="AH290">
        <v>10.762729999999999</v>
      </c>
      <c r="AJ290">
        <v>10.64292</v>
      </c>
      <c r="AK290">
        <v>10.54922</v>
      </c>
      <c r="AL290">
        <v>10.71782</v>
      </c>
      <c r="AM290">
        <v>9.9476080000000007</v>
      </c>
      <c r="AN290">
        <v>10.36129</v>
      </c>
      <c r="AO290">
        <v>10.648490000000001</v>
      </c>
      <c r="AP290">
        <v>10.750349999999999</v>
      </c>
      <c r="AQ290">
        <v>10.188969999999999</v>
      </c>
      <c r="AR290">
        <v>10.619730000000001</v>
      </c>
      <c r="AS290">
        <v>10.57372</v>
      </c>
      <c r="AT290">
        <v>10.109579999999999</v>
      </c>
      <c r="AU290">
        <v>10.09592</v>
      </c>
      <c r="AV290">
        <v>10.463190000000001</v>
      </c>
      <c r="AW290">
        <v>9.8059410000000007</v>
      </c>
      <c r="AX290">
        <v>9.3706390000000006</v>
      </c>
      <c r="AY290">
        <v>9.900366</v>
      </c>
      <c r="AZ290">
        <v>9.5819030000000005</v>
      </c>
      <c r="BA290">
        <v>0</v>
      </c>
      <c r="BB290" t="str">
        <f t="shared" si="14"/>
        <v/>
      </c>
      <c r="BC290">
        <v>2073158</v>
      </c>
      <c r="BD290">
        <v>1746.6410000000001</v>
      </c>
      <c r="BE290">
        <v>59410479</v>
      </c>
      <c r="BF290">
        <v>22.938510000000001</v>
      </c>
      <c r="BG290">
        <v>1776.4478999999999</v>
      </c>
      <c r="BH290">
        <v>22.938515160000001</v>
      </c>
    </row>
    <row r="291" spans="1:60">
      <c r="A291">
        <v>42660</v>
      </c>
      <c r="B291" t="s">
        <v>331</v>
      </c>
      <c r="C291">
        <v>51606.48</v>
      </c>
      <c r="D291">
        <v>2306396</v>
      </c>
      <c r="E291">
        <v>3356637</v>
      </c>
      <c r="F291">
        <v>5.7807299999999999E-2</v>
      </c>
      <c r="G291">
        <f t="shared" si="12"/>
        <v>57807.299999999996</v>
      </c>
      <c r="H291" s="51">
        <f t="shared" si="13"/>
        <v>194038122050.10001</v>
      </c>
      <c r="I291">
        <v>1049.8589999999999</v>
      </c>
      <c r="J291">
        <v>10.8514</v>
      </c>
      <c r="K291">
        <v>-2.850641</v>
      </c>
      <c r="L291">
        <v>8.1458890000000004</v>
      </c>
      <c r="M291">
        <v>-1.1642079999999999</v>
      </c>
      <c r="N291">
        <v>15.026450000000001</v>
      </c>
      <c r="O291">
        <v>4.662E-4</v>
      </c>
      <c r="P291">
        <v>2.5899999999999999E-5</v>
      </c>
      <c r="Q291">
        <v>1310.5709999999999</v>
      </c>
      <c r="R291">
        <v>3449.1709999999998</v>
      </c>
      <c r="S291">
        <v>1</v>
      </c>
      <c r="T291">
        <v>86.8</v>
      </c>
      <c r="U291">
        <v>1565.309</v>
      </c>
      <c r="V291">
        <v>3356637</v>
      </c>
      <c r="W291">
        <v>2.5899999999999999E-5</v>
      </c>
      <c r="X291">
        <v>4.663E-4</v>
      </c>
      <c r="Y291">
        <v>1.47268E-2</v>
      </c>
      <c r="Z291">
        <v>0.26557570000000003</v>
      </c>
      <c r="AB291">
        <v>3748</v>
      </c>
      <c r="AE291">
        <v>8.2677700000000007E-2</v>
      </c>
      <c r="AF291">
        <v>1.4909699999999999</v>
      </c>
      <c r="AG291">
        <v>11.144399999999999</v>
      </c>
      <c r="AH291">
        <v>11.230689999999999</v>
      </c>
      <c r="AI291">
        <v>11.072520000000001</v>
      </c>
      <c r="AJ291">
        <v>10.904210000000001</v>
      </c>
      <c r="AK291">
        <v>10.96909</v>
      </c>
      <c r="AL291">
        <v>10.994260000000001</v>
      </c>
      <c r="AM291">
        <v>10.22308</v>
      </c>
      <c r="AN291">
        <v>10.75484</v>
      </c>
      <c r="AO291">
        <v>11.62228</v>
      </c>
      <c r="AP291">
        <v>11.280329999999999</v>
      </c>
      <c r="AQ291">
        <v>10.620900000000001</v>
      </c>
      <c r="AR291">
        <v>11.21402</v>
      </c>
      <c r="AS291">
        <v>11.4611</v>
      </c>
      <c r="AT291">
        <v>10.64781</v>
      </c>
      <c r="AU291">
        <v>10.193809999999999</v>
      </c>
      <c r="AV291">
        <v>10.723699999999999</v>
      </c>
      <c r="AW291">
        <v>10.38583</v>
      </c>
      <c r="AX291">
        <v>9.7647379999999995</v>
      </c>
      <c r="AY291">
        <v>10.28875</v>
      </c>
      <c r="AZ291">
        <v>11.66813</v>
      </c>
      <c r="BA291">
        <v>342785</v>
      </c>
      <c r="BB291">
        <f t="shared" si="14"/>
        <v>3949.1359447004611</v>
      </c>
      <c r="BC291" s="14">
        <v>60600000</v>
      </c>
      <c r="BD291">
        <v>5894.02</v>
      </c>
      <c r="BE291">
        <v>591078202</v>
      </c>
      <c r="BF291">
        <v>228.2166</v>
      </c>
      <c r="BG291">
        <v>6309.4366</v>
      </c>
      <c r="BH291">
        <v>228.2165794</v>
      </c>
    </row>
    <row r="292" spans="1:60">
      <c r="A292">
        <v>42680</v>
      </c>
      <c r="B292" t="s">
        <v>500</v>
      </c>
      <c r="C292">
        <v>34252.230000000003</v>
      </c>
      <c r="D292">
        <v>69017</v>
      </c>
      <c r="E292">
        <v>134293</v>
      </c>
      <c r="F292">
        <v>3.0373899999999999E-2</v>
      </c>
      <c r="G292">
        <f t="shared" si="12"/>
        <v>30373.899999999998</v>
      </c>
      <c r="H292" s="51">
        <f t="shared" si="13"/>
        <v>4079002152.6999998</v>
      </c>
      <c r="I292">
        <v>71.244900000000001</v>
      </c>
      <c r="J292">
        <v>10.441509999999999</v>
      </c>
      <c r="K292">
        <v>-3.4941719999999998</v>
      </c>
      <c r="L292">
        <v>6.7406680000000003</v>
      </c>
      <c r="M292">
        <v>-1.1658090000000001</v>
      </c>
      <c r="N292">
        <v>11.807779999999999</v>
      </c>
      <c r="O292">
        <v>1.2477E-3</v>
      </c>
      <c r="P292">
        <v>0</v>
      </c>
      <c r="Q292">
        <v>523.09709999999995</v>
      </c>
      <c r="R292">
        <v>846.12559999999996</v>
      </c>
      <c r="S292">
        <v>0</v>
      </c>
      <c r="T292">
        <v>0</v>
      </c>
      <c r="U292">
        <v>167.6575</v>
      </c>
      <c r="V292">
        <v>134293</v>
      </c>
      <c r="W292">
        <v>0</v>
      </c>
      <c r="X292">
        <v>1.2484E-3</v>
      </c>
      <c r="Y292">
        <v>0</v>
      </c>
      <c r="Z292">
        <v>0.33316210000000002</v>
      </c>
      <c r="AB292">
        <v>292</v>
      </c>
      <c r="AE292">
        <v>0</v>
      </c>
      <c r="AF292">
        <v>2.353256</v>
      </c>
      <c r="AG292">
        <v>9.9943480000000005</v>
      </c>
      <c r="AJ292">
        <v>10.47386</v>
      </c>
      <c r="AK292">
        <v>10.590590000000001</v>
      </c>
      <c r="AL292">
        <v>11.81658</v>
      </c>
      <c r="AM292">
        <v>10.030010000000001</v>
      </c>
      <c r="AN292">
        <v>10.65268</v>
      </c>
      <c r="AO292">
        <v>11.010289999999999</v>
      </c>
      <c r="AP292">
        <v>10.96096</v>
      </c>
      <c r="AQ292">
        <v>10.19567</v>
      </c>
      <c r="AR292">
        <v>10.769119999999999</v>
      </c>
      <c r="AS292">
        <v>10.703239999999999</v>
      </c>
      <c r="AT292">
        <v>10.24156</v>
      </c>
      <c r="AU292">
        <v>10.29171</v>
      </c>
      <c r="AV292">
        <v>10.59482</v>
      </c>
      <c r="AW292">
        <v>10.14517</v>
      </c>
      <c r="AX292">
        <v>9.4945380000000004</v>
      </c>
      <c r="AY292">
        <v>9.9925010000000007</v>
      </c>
      <c r="BA292">
        <v>0</v>
      </c>
      <c r="BB292" t="str">
        <f t="shared" si="14"/>
        <v/>
      </c>
      <c r="BC292">
        <v>296956</v>
      </c>
      <c r="BD292">
        <v>503.23110000000003</v>
      </c>
      <c r="BE292">
        <v>60861805</v>
      </c>
      <c r="BF292">
        <v>23.49887</v>
      </c>
      <c r="BG292">
        <v>616.90365999999995</v>
      </c>
      <c r="BH292">
        <v>23.49887528</v>
      </c>
    </row>
    <row r="293" spans="1:60">
      <c r="A293">
        <v>43100</v>
      </c>
      <c r="B293" t="s">
        <v>501</v>
      </c>
      <c r="C293">
        <v>35009.449999999997</v>
      </c>
      <c r="D293">
        <v>79209</v>
      </c>
      <c r="E293">
        <v>114458</v>
      </c>
      <c r="F293">
        <v>4.2530900000000003E-2</v>
      </c>
      <c r="G293">
        <f t="shared" si="12"/>
        <v>42530.9</v>
      </c>
      <c r="H293" s="51">
        <f t="shared" si="13"/>
        <v>4868001752.2000008</v>
      </c>
      <c r="I293">
        <v>33.043480000000002</v>
      </c>
      <c r="J293">
        <v>10.463369999999999</v>
      </c>
      <c r="K293">
        <v>-3.1575250000000001</v>
      </c>
      <c r="L293">
        <v>7.2790309999999998</v>
      </c>
      <c r="M293">
        <v>-1.7061489999999999</v>
      </c>
      <c r="N293">
        <v>11.647959999999999</v>
      </c>
      <c r="O293">
        <v>1.4785E-3</v>
      </c>
      <c r="P293">
        <v>0</v>
      </c>
      <c r="Q293">
        <v>1200.146</v>
      </c>
      <c r="R293">
        <v>1449.5830000000001</v>
      </c>
      <c r="S293">
        <v>0</v>
      </c>
      <c r="T293">
        <v>0</v>
      </c>
      <c r="U293">
        <v>169.35300000000001</v>
      </c>
      <c r="V293">
        <v>114458</v>
      </c>
      <c r="W293">
        <v>0</v>
      </c>
      <c r="X293">
        <v>1.4796E-3</v>
      </c>
      <c r="Y293">
        <v>0</v>
      </c>
      <c r="Z293">
        <v>0.3297177</v>
      </c>
      <c r="AB293">
        <v>174</v>
      </c>
      <c r="AE293">
        <v>0</v>
      </c>
      <c r="AF293">
        <v>5.1251569999999997</v>
      </c>
      <c r="AJ293">
        <v>10.729900000000001</v>
      </c>
      <c r="AK293">
        <v>10.67863</v>
      </c>
      <c r="AL293">
        <v>10.858549999999999</v>
      </c>
      <c r="AM293">
        <v>9.9745699999999999</v>
      </c>
      <c r="AN293">
        <v>10.53229</v>
      </c>
      <c r="AO293">
        <v>10.287089999999999</v>
      </c>
      <c r="AP293">
        <v>10.84606</v>
      </c>
      <c r="AQ293">
        <v>10.41</v>
      </c>
      <c r="AR293">
        <v>10.64936</v>
      </c>
      <c r="AS293">
        <v>11.26545</v>
      </c>
      <c r="AT293">
        <v>9.6708400000000001</v>
      </c>
      <c r="AU293">
        <v>9.6367740000000008</v>
      </c>
      <c r="AV293">
        <v>10.490460000000001</v>
      </c>
      <c r="AX293">
        <v>9.3960100000000004</v>
      </c>
      <c r="AY293">
        <v>9.7336159999999996</v>
      </c>
      <c r="BA293">
        <v>0</v>
      </c>
      <c r="BB293" t="str">
        <f t="shared" si="14"/>
        <v/>
      </c>
      <c r="BC293">
        <v>589276</v>
      </c>
      <c r="BD293">
        <v>513.63040000000001</v>
      </c>
      <c r="BE293">
        <v>32480651</v>
      </c>
      <c r="BF293">
        <v>12.540850000000001</v>
      </c>
      <c r="BG293">
        <v>1271.2293999999999</v>
      </c>
      <c r="BH293">
        <v>12.540850000000001</v>
      </c>
    </row>
    <row r="294" spans="1:60">
      <c r="A294">
        <v>43300</v>
      </c>
      <c r="B294" t="s">
        <v>502</v>
      </c>
      <c r="C294">
        <v>32448.17</v>
      </c>
      <c r="D294">
        <v>59552</v>
      </c>
      <c r="E294">
        <v>118786</v>
      </c>
      <c r="F294">
        <v>2.3992699999999999E-2</v>
      </c>
      <c r="G294">
        <f t="shared" si="12"/>
        <v>23992.699999999997</v>
      </c>
      <c r="H294" s="51">
        <f t="shared" si="13"/>
        <v>2849996862.1999998</v>
      </c>
      <c r="I294">
        <v>34.296610000000001</v>
      </c>
      <c r="J294">
        <v>10.3874</v>
      </c>
      <c r="K294">
        <v>-3.7300049999999998</v>
      </c>
      <c r="L294">
        <v>6.6166720000000003</v>
      </c>
      <c r="M294">
        <v>-1.7425729999999999</v>
      </c>
      <c r="N294">
        <v>11.685079999999999</v>
      </c>
      <c r="O294">
        <v>1.1590000000000001E-3</v>
      </c>
      <c r="P294">
        <v>0</v>
      </c>
      <c r="Q294">
        <v>689.77660000000003</v>
      </c>
      <c r="R294">
        <v>747.45309999999995</v>
      </c>
      <c r="S294">
        <v>0</v>
      </c>
      <c r="T294">
        <v>0</v>
      </c>
      <c r="U294">
        <v>137.75360000000001</v>
      </c>
      <c r="V294">
        <v>118786</v>
      </c>
      <c r="W294">
        <v>0</v>
      </c>
      <c r="X294">
        <v>1.1597000000000001E-3</v>
      </c>
      <c r="Y294">
        <v>0</v>
      </c>
      <c r="Z294">
        <v>0.1475648</v>
      </c>
      <c r="AB294">
        <v>105</v>
      </c>
      <c r="AE294">
        <v>0</v>
      </c>
      <c r="AF294">
        <v>4.0165369999999996</v>
      </c>
      <c r="AH294">
        <v>10.935700000000001</v>
      </c>
      <c r="AI294">
        <v>11.030060000000001</v>
      </c>
      <c r="AJ294">
        <v>10.58028</v>
      </c>
      <c r="AK294">
        <v>10.75548</v>
      </c>
      <c r="AL294">
        <v>10.523960000000001</v>
      </c>
      <c r="AM294">
        <v>10.05081</v>
      </c>
      <c r="AN294">
        <v>10.771929999999999</v>
      </c>
      <c r="AO294">
        <v>10.485799999999999</v>
      </c>
      <c r="AP294">
        <v>10.534879999999999</v>
      </c>
      <c r="AQ294">
        <v>10.19364</v>
      </c>
      <c r="AR294">
        <v>10.55917</v>
      </c>
      <c r="AT294">
        <v>10.033670000000001</v>
      </c>
      <c r="AV294">
        <v>10.559060000000001</v>
      </c>
      <c r="AW294">
        <v>9.8901420000000009</v>
      </c>
      <c r="AX294">
        <v>9.3973639999999996</v>
      </c>
      <c r="AY294">
        <v>9.8135499999999993</v>
      </c>
      <c r="BA294">
        <v>0</v>
      </c>
      <c r="BB294" t="str">
        <f t="shared" si="14"/>
        <v/>
      </c>
      <c r="BC294">
        <v>229376</v>
      </c>
      <c r="BD294">
        <v>933.51239999999996</v>
      </c>
      <c r="BE294">
        <v>78622761</v>
      </c>
      <c r="BF294">
        <v>30.35642</v>
      </c>
      <c r="BG294">
        <v>979.18379000000004</v>
      </c>
      <c r="BH294">
        <v>30.356419030000001</v>
      </c>
    </row>
    <row r="295" spans="1:60">
      <c r="A295">
        <v>43340</v>
      </c>
      <c r="B295" t="s">
        <v>503</v>
      </c>
      <c r="C295">
        <v>33095.78</v>
      </c>
      <c r="D295">
        <v>239993</v>
      </c>
      <c r="E295">
        <v>389389</v>
      </c>
      <c r="F295">
        <v>5.0345500000000001E-2</v>
      </c>
      <c r="G295">
        <f t="shared" si="12"/>
        <v>50345.5</v>
      </c>
      <c r="H295" s="51">
        <f t="shared" si="13"/>
        <v>19603983899.5</v>
      </c>
      <c r="I295">
        <v>165.46080000000001</v>
      </c>
      <c r="J295">
        <v>10.407159999999999</v>
      </c>
      <c r="K295">
        <v>-2.988845</v>
      </c>
      <c r="L295">
        <v>6.8038999999999996</v>
      </c>
      <c r="M295">
        <v>-1.6800740000000001</v>
      </c>
      <c r="N295">
        <v>12.87233</v>
      </c>
      <c r="O295">
        <v>1.1035999999999999E-3</v>
      </c>
      <c r="P295">
        <v>0</v>
      </c>
      <c r="Q295">
        <v>740.6223</v>
      </c>
      <c r="R295">
        <v>901.35580000000004</v>
      </c>
      <c r="S295">
        <v>0</v>
      </c>
      <c r="T295">
        <v>0</v>
      </c>
      <c r="U295">
        <v>429.98160000000001</v>
      </c>
      <c r="V295">
        <v>389389</v>
      </c>
      <c r="W295">
        <v>0</v>
      </c>
      <c r="X295">
        <v>1.1042000000000001E-3</v>
      </c>
      <c r="Y295">
        <v>0</v>
      </c>
      <c r="Z295">
        <v>0.1654766</v>
      </c>
      <c r="AB295">
        <v>584</v>
      </c>
      <c r="AE295">
        <v>0</v>
      </c>
      <c r="AF295">
        <v>2.5986910000000001</v>
      </c>
      <c r="AG295">
        <v>10.55522</v>
      </c>
      <c r="AH295">
        <v>11.123530000000001</v>
      </c>
      <c r="AI295">
        <v>11.12229</v>
      </c>
      <c r="AJ295">
        <v>10.54016</v>
      </c>
      <c r="AK295">
        <v>10.71453</v>
      </c>
      <c r="AL295">
        <v>10.76614</v>
      </c>
      <c r="AM295">
        <v>10.07258</v>
      </c>
      <c r="AN295">
        <v>10.5444</v>
      </c>
      <c r="AO295">
        <v>10.611090000000001</v>
      </c>
      <c r="AP295">
        <v>10.789440000000001</v>
      </c>
      <c r="AQ295">
        <v>10.324</v>
      </c>
      <c r="AR295">
        <v>10.62289</v>
      </c>
      <c r="AS295">
        <v>10.683630000000001</v>
      </c>
      <c r="AT295">
        <v>9.9244079999999997</v>
      </c>
      <c r="AU295">
        <v>10.021800000000001</v>
      </c>
      <c r="AV295">
        <v>10.639049999999999</v>
      </c>
      <c r="AW295">
        <v>9.6074520000000003</v>
      </c>
      <c r="AX295">
        <v>9.7219139999999999</v>
      </c>
      <c r="AY295">
        <v>9.9074720000000003</v>
      </c>
      <c r="BA295">
        <v>0</v>
      </c>
      <c r="BB295" t="str">
        <f t="shared" si="14"/>
        <v/>
      </c>
      <c r="BC295">
        <v>2336216</v>
      </c>
      <c r="BD295">
        <v>2598.444</v>
      </c>
      <c r="BE295">
        <v>332097352</v>
      </c>
      <c r="BF295">
        <v>128.2235</v>
      </c>
      <c r="BG295">
        <v>2698.5473000000002</v>
      </c>
      <c r="BH295">
        <v>128.22350990000001</v>
      </c>
    </row>
    <row r="296" spans="1:60">
      <c r="A296">
        <v>43580</v>
      </c>
      <c r="B296" t="s">
        <v>504</v>
      </c>
      <c r="C296">
        <v>32321.68</v>
      </c>
      <c r="D296">
        <v>95115</v>
      </c>
      <c r="E296">
        <v>142764</v>
      </c>
      <c r="F296">
        <v>4.07456E-2</v>
      </c>
      <c r="G296">
        <f t="shared" si="12"/>
        <v>40745.599999999999</v>
      </c>
      <c r="H296" s="51">
        <f t="shared" si="13"/>
        <v>5817004838.4000006</v>
      </c>
      <c r="I296">
        <v>53.185490000000001</v>
      </c>
      <c r="J296">
        <v>10.38349</v>
      </c>
      <c r="K296">
        <v>-3.2004079999999999</v>
      </c>
      <c r="L296">
        <v>6.9107349999999999</v>
      </c>
      <c r="M296">
        <v>-1.7088540000000001</v>
      </c>
      <c r="N296">
        <v>11.86895</v>
      </c>
      <c r="O296">
        <v>2.5471000000000001E-3</v>
      </c>
      <c r="P296">
        <v>0</v>
      </c>
      <c r="Q296">
        <v>963.34550000000002</v>
      </c>
      <c r="R296">
        <v>1002.984</v>
      </c>
      <c r="S296">
        <v>0</v>
      </c>
      <c r="T296">
        <v>0</v>
      </c>
      <c r="U296">
        <v>364.09570000000002</v>
      </c>
      <c r="V296">
        <v>142764</v>
      </c>
      <c r="W296">
        <v>0</v>
      </c>
      <c r="X296">
        <v>2.5503000000000001E-3</v>
      </c>
      <c r="Y296">
        <v>0</v>
      </c>
      <c r="Z296">
        <v>0.17562420000000001</v>
      </c>
      <c r="AB296">
        <v>308</v>
      </c>
      <c r="AE296">
        <v>0</v>
      </c>
      <c r="AF296">
        <v>6.8457720000000002</v>
      </c>
      <c r="AI296">
        <v>10.913309999999999</v>
      </c>
      <c r="AJ296">
        <v>10.74438</v>
      </c>
      <c r="AK296">
        <v>10.575559999999999</v>
      </c>
      <c r="AL296">
        <v>10.722759999999999</v>
      </c>
      <c r="AM296">
        <v>9.9075369999999996</v>
      </c>
      <c r="AN296">
        <v>10.479329999999999</v>
      </c>
      <c r="AO296">
        <v>10.53867</v>
      </c>
      <c r="AP296">
        <v>10.58497</v>
      </c>
      <c r="AQ296">
        <v>10.33685</v>
      </c>
      <c r="AR296">
        <v>10.5199</v>
      </c>
      <c r="AS296">
        <v>11.23138</v>
      </c>
      <c r="AT296">
        <v>9.9877050000000001</v>
      </c>
      <c r="AU296">
        <v>9.8779880000000002</v>
      </c>
      <c r="AV296">
        <v>10.495279999999999</v>
      </c>
      <c r="AW296">
        <v>9.8038439999999998</v>
      </c>
      <c r="AX296">
        <v>9.3280010000000004</v>
      </c>
      <c r="AY296">
        <v>10.02121</v>
      </c>
      <c r="BA296">
        <v>0</v>
      </c>
      <c r="BB296" t="str">
        <f t="shared" si="14"/>
        <v/>
      </c>
      <c r="BC296">
        <v>507019</v>
      </c>
      <c r="BD296">
        <v>2073.152</v>
      </c>
      <c r="BE296">
        <v>106658563</v>
      </c>
      <c r="BF296">
        <v>41.181100000000001</v>
      </c>
      <c r="BG296">
        <v>2095.2231000000002</v>
      </c>
      <c r="BH296">
        <v>41.181103159999999</v>
      </c>
    </row>
    <row r="297" spans="1:60">
      <c r="A297">
        <v>43620</v>
      </c>
      <c r="B297" t="s">
        <v>505</v>
      </c>
      <c r="C297">
        <v>35230.29</v>
      </c>
      <c r="D297">
        <v>176693</v>
      </c>
      <c r="E297">
        <v>233503</v>
      </c>
      <c r="F297">
        <v>5.7241199999999999E-2</v>
      </c>
      <c r="G297">
        <f t="shared" si="12"/>
        <v>57241.2</v>
      </c>
      <c r="H297" s="51">
        <f t="shared" si="13"/>
        <v>13365991923.6</v>
      </c>
      <c r="I297">
        <v>49.038379999999997</v>
      </c>
      <c r="J297">
        <v>10.469659999999999</v>
      </c>
      <c r="K297">
        <v>-2.8604810000000001</v>
      </c>
      <c r="L297">
        <v>7.4867970000000001</v>
      </c>
      <c r="M297">
        <v>-1.433484</v>
      </c>
      <c r="N297">
        <v>12.360950000000001</v>
      </c>
      <c r="O297">
        <v>2.1248999999999999E-3</v>
      </c>
      <c r="P297">
        <v>0</v>
      </c>
      <c r="Q297">
        <v>1703.5840000000001</v>
      </c>
      <c r="R297">
        <v>1784.328</v>
      </c>
      <c r="S297">
        <v>0</v>
      </c>
      <c r="T297">
        <v>0</v>
      </c>
      <c r="U297">
        <v>496.6943</v>
      </c>
      <c r="V297">
        <v>233503</v>
      </c>
      <c r="W297">
        <v>0</v>
      </c>
      <c r="X297">
        <v>2.1270999999999998E-3</v>
      </c>
      <c r="Y297">
        <v>0</v>
      </c>
      <c r="Z297">
        <v>0.19258449999999999</v>
      </c>
      <c r="AB297">
        <v>107</v>
      </c>
      <c r="AE297">
        <v>0</v>
      </c>
      <c r="AF297">
        <v>10.128690000000001</v>
      </c>
      <c r="AI297">
        <v>11.227069999999999</v>
      </c>
      <c r="AJ297">
        <v>10.73124</v>
      </c>
      <c r="AK297">
        <v>10.60971</v>
      </c>
      <c r="AL297">
        <v>10.7386</v>
      </c>
      <c r="AM297">
        <v>9.972289</v>
      </c>
      <c r="AN297">
        <v>10.49531</v>
      </c>
      <c r="AO297">
        <v>10.713760000000001</v>
      </c>
      <c r="AP297">
        <v>10.66634</v>
      </c>
      <c r="AQ297">
        <v>10.298719999999999</v>
      </c>
      <c r="AR297">
        <v>10.625170000000001</v>
      </c>
      <c r="AS297">
        <v>11.00292</v>
      </c>
      <c r="AT297">
        <v>10.08832</v>
      </c>
      <c r="AU297">
        <v>9.8102239999999998</v>
      </c>
      <c r="AV297">
        <v>10.699540000000001</v>
      </c>
      <c r="AW297">
        <v>9.534986</v>
      </c>
      <c r="AX297">
        <v>9.4175160000000009</v>
      </c>
      <c r="AY297">
        <v>10.02928</v>
      </c>
      <c r="BA297">
        <v>0</v>
      </c>
      <c r="BB297" t="str">
        <f t="shared" si="14"/>
        <v/>
      </c>
      <c r="BC297">
        <v>719079</v>
      </c>
      <c r="BD297">
        <v>2579.098</v>
      </c>
      <c r="BE297">
        <v>117223288</v>
      </c>
      <c r="BF297">
        <v>45.260170000000002</v>
      </c>
      <c r="BG297">
        <v>2586.1738999999998</v>
      </c>
      <c r="BH297">
        <v>45.260166460000001</v>
      </c>
    </row>
    <row r="298" spans="1:60">
      <c r="A298">
        <v>43780</v>
      </c>
      <c r="B298" t="s">
        <v>506</v>
      </c>
      <c r="C298">
        <v>34269.46</v>
      </c>
      <c r="D298">
        <v>173864</v>
      </c>
      <c r="E298">
        <v>318129</v>
      </c>
      <c r="F298">
        <v>3.5680499999999997E-2</v>
      </c>
      <c r="G298">
        <f t="shared" si="12"/>
        <v>35680.5</v>
      </c>
      <c r="H298" s="51">
        <f t="shared" si="13"/>
        <v>11351001784.499998</v>
      </c>
      <c r="I298">
        <v>136.79490000000001</v>
      </c>
      <c r="J298">
        <v>10.44201</v>
      </c>
      <c r="K298">
        <v>-3.333151</v>
      </c>
      <c r="L298">
        <v>7.1474950000000002</v>
      </c>
      <c r="M298">
        <v>-1.55959</v>
      </c>
      <c r="N298">
        <v>12.670210000000001</v>
      </c>
      <c r="O298">
        <v>9.1779999999999997E-4</v>
      </c>
      <c r="P298">
        <v>0</v>
      </c>
      <c r="Q298">
        <v>757.82039999999995</v>
      </c>
      <c r="R298">
        <v>1270.9190000000001</v>
      </c>
      <c r="S298">
        <v>0</v>
      </c>
      <c r="T298">
        <v>0</v>
      </c>
      <c r="U298">
        <v>292.11110000000002</v>
      </c>
      <c r="V298">
        <v>318129</v>
      </c>
      <c r="W298">
        <v>0</v>
      </c>
      <c r="X298">
        <v>9.1819999999999998E-4</v>
      </c>
      <c r="Y298">
        <v>0</v>
      </c>
      <c r="Z298">
        <v>0.307641</v>
      </c>
      <c r="AB298">
        <v>154</v>
      </c>
      <c r="AE298">
        <v>0</v>
      </c>
      <c r="AF298">
        <v>2.1353939999999998</v>
      </c>
      <c r="AG298">
        <v>10.20359</v>
      </c>
      <c r="AJ298">
        <v>10.83464</v>
      </c>
      <c r="AK298">
        <v>10.76018</v>
      </c>
      <c r="AL298">
        <v>10.65592</v>
      </c>
      <c r="AM298">
        <v>9.9453779999999998</v>
      </c>
      <c r="AN298">
        <v>10.42713</v>
      </c>
      <c r="AO298">
        <v>10.78134</v>
      </c>
      <c r="AP298">
        <v>10.73414</v>
      </c>
      <c r="AQ298">
        <v>10.224209999999999</v>
      </c>
      <c r="AR298">
        <v>10.814870000000001</v>
      </c>
      <c r="AS298">
        <v>11.135759999999999</v>
      </c>
      <c r="AT298">
        <v>10.108129999999999</v>
      </c>
      <c r="AU298">
        <v>10.32704</v>
      </c>
      <c r="AV298">
        <v>10.56119</v>
      </c>
      <c r="AW298">
        <v>9.4665909999999993</v>
      </c>
      <c r="AX298">
        <v>9.3503089999999993</v>
      </c>
      <c r="AY298">
        <v>10.086399999999999</v>
      </c>
      <c r="BA298">
        <v>0</v>
      </c>
      <c r="BB298" t="str">
        <f t="shared" si="14"/>
        <v/>
      </c>
      <c r="BC298">
        <v>1760451</v>
      </c>
      <c r="BD298">
        <v>949.51930000000004</v>
      </c>
      <c r="BE298">
        <v>160116721</v>
      </c>
      <c r="BF298">
        <v>61.82141</v>
      </c>
      <c r="BG298">
        <v>969.70245</v>
      </c>
      <c r="BH298">
        <v>61.821414230000002</v>
      </c>
    </row>
    <row r="299" spans="1:60">
      <c r="A299">
        <v>43900</v>
      </c>
      <c r="B299" t="s">
        <v>507</v>
      </c>
      <c r="C299">
        <v>37056.980000000003</v>
      </c>
      <c r="D299">
        <v>157940</v>
      </c>
      <c r="E299">
        <v>282520</v>
      </c>
      <c r="F299">
        <v>3.1502200000000001E-2</v>
      </c>
      <c r="G299">
        <f t="shared" si="12"/>
        <v>31502.2</v>
      </c>
      <c r="H299" s="51">
        <f t="shared" si="13"/>
        <v>8900001544</v>
      </c>
      <c r="I299">
        <v>160.34020000000001</v>
      </c>
      <c r="J299">
        <v>10.520210000000001</v>
      </c>
      <c r="K299">
        <v>-3.4576980000000002</v>
      </c>
      <c r="L299">
        <v>7.1706849999999998</v>
      </c>
      <c r="M299">
        <v>-1.7165760000000001</v>
      </c>
      <c r="N299">
        <v>12.55151</v>
      </c>
      <c r="O299">
        <v>1.0147000000000001E-3</v>
      </c>
      <c r="P299">
        <v>0</v>
      </c>
      <c r="Q299">
        <v>503.60419999999999</v>
      </c>
      <c r="R299">
        <v>1300.7360000000001</v>
      </c>
      <c r="S299">
        <v>0</v>
      </c>
      <c r="T299">
        <v>0</v>
      </c>
      <c r="U299">
        <v>286.82</v>
      </c>
      <c r="V299">
        <v>282520</v>
      </c>
      <c r="W299">
        <v>0</v>
      </c>
      <c r="X299">
        <v>1.0152E-3</v>
      </c>
      <c r="Y299">
        <v>0</v>
      </c>
      <c r="Z299">
        <v>0.35369479999999998</v>
      </c>
      <c r="AB299">
        <v>105</v>
      </c>
      <c r="AE299">
        <v>0</v>
      </c>
      <c r="AF299">
        <v>1.788821</v>
      </c>
      <c r="AH299">
        <v>10.801460000000001</v>
      </c>
      <c r="AJ299">
        <v>10.530670000000001</v>
      </c>
      <c r="AK299">
        <v>10.762079999999999</v>
      </c>
      <c r="AL299">
        <v>10.755739999999999</v>
      </c>
      <c r="AM299">
        <v>9.9962540000000004</v>
      </c>
      <c r="AN299">
        <v>10.514099999999999</v>
      </c>
      <c r="AO299">
        <v>10.669790000000001</v>
      </c>
      <c r="AP299">
        <v>10.690200000000001</v>
      </c>
      <c r="AQ299">
        <v>10.295299999999999</v>
      </c>
      <c r="AR299">
        <v>10.76756</v>
      </c>
      <c r="AS299">
        <v>11.267519999999999</v>
      </c>
      <c r="AT299">
        <v>10.19999</v>
      </c>
      <c r="AU299">
        <v>10.04996</v>
      </c>
      <c r="AV299">
        <v>10.651680000000001</v>
      </c>
      <c r="AW299">
        <v>9.4041870000000003</v>
      </c>
      <c r="AX299">
        <v>9.3814790000000006</v>
      </c>
      <c r="AY299">
        <v>9.9612569999999998</v>
      </c>
      <c r="BA299">
        <v>0</v>
      </c>
      <c r="BB299" t="str">
        <f t="shared" si="14"/>
        <v/>
      </c>
      <c r="BC299">
        <v>273089</v>
      </c>
      <c r="BD299">
        <v>810.92520000000002</v>
      </c>
      <c r="BE299">
        <v>69256920</v>
      </c>
      <c r="BF299">
        <v>26.74025</v>
      </c>
      <c r="BG299">
        <v>819.23400000000004</v>
      </c>
      <c r="BH299">
        <v>26.740247449999998</v>
      </c>
    </row>
    <row r="300" spans="1:60">
      <c r="A300">
        <v>44060</v>
      </c>
      <c r="B300" t="s">
        <v>508</v>
      </c>
      <c r="C300">
        <v>36279.089999999997</v>
      </c>
      <c r="D300">
        <v>282327</v>
      </c>
      <c r="E300">
        <v>462408</v>
      </c>
      <c r="F300">
        <v>3.2248600000000002E-2</v>
      </c>
      <c r="G300">
        <f t="shared" si="12"/>
        <v>32248.600000000002</v>
      </c>
      <c r="H300" s="51">
        <f t="shared" si="13"/>
        <v>14912010628.800001</v>
      </c>
      <c r="I300">
        <v>159.39859999999999</v>
      </c>
      <c r="J300">
        <v>10.499000000000001</v>
      </c>
      <c r="K300">
        <v>-3.4342809999999999</v>
      </c>
      <c r="L300">
        <v>7.6360270000000003</v>
      </c>
      <c r="M300">
        <v>-1.4279379999999999</v>
      </c>
      <c r="N300">
        <v>13.0442</v>
      </c>
      <c r="O300">
        <v>6.6699999999999995E-4</v>
      </c>
      <c r="P300">
        <v>0</v>
      </c>
      <c r="Q300">
        <v>1130.2170000000001</v>
      </c>
      <c r="R300">
        <v>2071.498</v>
      </c>
      <c r="S300">
        <v>0</v>
      </c>
      <c r="T300">
        <v>0</v>
      </c>
      <c r="U300">
        <v>308.50990000000002</v>
      </c>
      <c r="V300">
        <v>462408</v>
      </c>
      <c r="W300">
        <v>0</v>
      </c>
      <c r="X300">
        <v>6.6719999999999995E-4</v>
      </c>
      <c r="Y300">
        <v>0</v>
      </c>
      <c r="Z300">
        <v>0.17492840000000001</v>
      </c>
      <c r="AB300">
        <v>679</v>
      </c>
      <c r="AE300">
        <v>0</v>
      </c>
      <c r="AF300">
        <v>1.935462</v>
      </c>
      <c r="AG300">
        <v>11.044840000000001</v>
      </c>
      <c r="AH300">
        <v>11.49512</v>
      </c>
      <c r="AJ300">
        <v>10.79055</v>
      </c>
      <c r="AK300">
        <v>10.66296</v>
      </c>
      <c r="AL300">
        <v>10.72691</v>
      </c>
      <c r="AM300">
        <v>10.15728</v>
      </c>
      <c r="AN300">
        <v>10.46518</v>
      </c>
      <c r="AO300">
        <v>10.747400000000001</v>
      </c>
      <c r="AP300">
        <v>10.853440000000001</v>
      </c>
      <c r="AQ300">
        <v>10.324260000000001</v>
      </c>
      <c r="AR300">
        <v>10.80185</v>
      </c>
      <c r="AT300">
        <v>10.08985</v>
      </c>
      <c r="AU300">
        <v>10.05973</v>
      </c>
      <c r="AV300">
        <v>10.633609999999999</v>
      </c>
      <c r="AW300">
        <v>9.8480469999999993</v>
      </c>
      <c r="AX300">
        <v>9.5560489999999998</v>
      </c>
      <c r="AY300">
        <v>10.027659999999999</v>
      </c>
      <c r="BA300">
        <v>0</v>
      </c>
      <c r="BB300" t="str">
        <f t="shared" si="14"/>
        <v/>
      </c>
      <c r="BC300">
        <v>5718006</v>
      </c>
      <c r="BD300">
        <v>1763.636</v>
      </c>
      <c r="BE300">
        <v>139786989</v>
      </c>
      <c r="BF300">
        <v>53.972059999999999</v>
      </c>
      <c r="BG300">
        <v>1780.7009</v>
      </c>
      <c r="BH300">
        <v>53.972060489999997</v>
      </c>
    </row>
    <row r="301" spans="1:60">
      <c r="A301">
        <v>44100</v>
      </c>
      <c r="B301" t="s">
        <v>509</v>
      </c>
      <c r="C301">
        <v>34693.75</v>
      </c>
      <c r="D301">
        <v>138600</v>
      </c>
      <c r="E301">
        <v>207305</v>
      </c>
      <c r="F301">
        <v>3.0747E-2</v>
      </c>
      <c r="G301">
        <f t="shared" si="12"/>
        <v>30747</v>
      </c>
      <c r="H301" s="51">
        <f t="shared" si="13"/>
        <v>6374006835</v>
      </c>
      <c r="I301">
        <v>94.549880000000002</v>
      </c>
      <c r="J301">
        <v>10.454319999999999</v>
      </c>
      <c r="K301">
        <v>-3.4819640000000001</v>
      </c>
      <c r="L301">
        <v>7.4704090000000001</v>
      </c>
      <c r="M301">
        <v>-1.25621</v>
      </c>
      <c r="N301">
        <v>12.241949999999999</v>
      </c>
      <c r="O301">
        <v>1.2622E-3</v>
      </c>
      <c r="P301">
        <v>0</v>
      </c>
      <c r="Q301">
        <v>1243.4390000000001</v>
      </c>
      <c r="R301">
        <v>1755.325</v>
      </c>
      <c r="S301">
        <v>0</v>
      </c>
      <c r="T301">
        <v>0</v>
      </c>
      <c r="U301">
        <v>261.81729999999999</v>
      </c>
      <c r="V301">
        <v>207305</v>
      </c>
      <c r="W301">
        <v>0</v>
      </c>
      <c r="X301">
        <v>1.263E-3</v>
      </c>
      <c r="Y301">
        <v>0</v>
      </c>
      <c r="Z301">
        <v>0.22142319999999999</v>
      </c>
      <c r="AB301">
        <v>340</v>
      </c>
      <c r="AE301">
        <v>0</v>
      </c>
      <c r="AF301">
        <v>2.7690920000000001</v>
      </c>
      <c r="AJ301">
        <v>10.891679999999999</v>
      </c>
      <c r="AK301">
        <v>10.701510000000001</v>
      </c>
      <c r="AL301">
        <v>10.789820000000001</v>
      </c>
      <c r="AM301">
        <v>9.9559870000000004</v>
      </c>
      <c r="AN301">
        <v>10.49203</v>
      </c>
      <c r="AO301">
        <v>10.861700000000001</v>
      </c>
      <c r="AP301">
        <v>10.74058</v>
      </c>
      <c r="AQ301">
        <v>10.112550000000001</v>
      </c>
      <c r="AR301">
        <v>10.819140000000001</v>
      </c>
      <c r="AS301">
        <v>11.167109999999999</v>
      </c>
      <c r="AT301">
        <v>10.062799999999999</v>
      </c>
      <c r="AU301">
        <v>10.117850000000001</v>
      </c>
      <c r="AV301">
        <v>10.594340000000001</v>
      </c>
      <c r="AW301">
        <v>9.7110079999999996</v>
      </c>
      <c r="AX301">
        <v>9.4147119999999997</v>
      </c>
      <c r="AY301">
        <v>10.3086</v>
      </c>
      <c r="BA301">
        <v>0</v>
      </c>
      <c r="BB301" t="str">
        <f t="shared" si="14"/>
        <v/>
      </c>
      <c r="BC301">
        <v>1203481</v>
      </c>
      <c r="BD301">
        <v>1182.43</v>
      </c>
      <c r="BE301">
        <v>162969373</v>
      </c>
      <c r="BF301">
        <v>62.922820000000002</v>
      </c>
      <c r="BG301">
        <v>1192.4765</v>
      </c>
      <c r="BH301">
        <v>62.922829370000002</v>
      </c>
    </row>
    <row r="302" spans="1:60">
      <c r="A302">
        <v>44180</v>
      </c>
      <c r="B302" t="s">
        <v>510</v>
      </c>
      <c r="C302">
        <v>30982.34</v>
      </c>
      <c r="D302">
        <v>270951</v>
      </c>
      <c r="E302">
        <v>426125</v>
      </c>
      <c r="F302">
        <v>2.9723699999999999E-2</v>
      </c>
      <c r="G302">
        <f t="shared" si="12"/>
        <v>29723.699999999997</v>
      </c>
      <c r="H302" s="51">
        <f t="shared" si="13"/>
        <v>12666011662.5</v>
      </c>
      <c r="I302">
        <v>130.31610000000001</v>
      </c>
      <c r="J302">
        <v>10.34117</v>
      </c>
      <c r="K302">
        <v>-3.5158109999999998</v>
      </c>
      <c r="L302">
        <v>7.4225479999999999</v>
      </c>
      <c r="M302">
        <v>-1.596595</v>
      </c>
      <c r="N302">
        <v>12.962490000000001</v>
      </c>
      <c r="O302">
        <v>1.0545999999999999E-3</v>
      </c>
      <c r="P302">
        <v>0</v>
      </c>
      <c r="Q302">
        <v>1069.5219999999999</v>
      </c>
      <c r="R302">
        <v>1673.2919999999999</v>
      </c>
      <c r="S302">
        <v>0</v>
      </c>
      <c r="T302">
        <v>0</v>
      </c>
      <c r="U302">
        <v>449.64179999999999</v>
      </c>
      <c r="V302">
        <v>426125</v>
      </c>
      <c r="W302">
        <v>0</v>
      </c>
      <c r="X302">
        <v>1.0552000000000001E-3</v>
      </c>
      <c r="Y302">
        <v>0</v>
      </c>
      <c r="Z302">
        <v>0.1493729</v>
      </c>
      <c r="AB302">
        <v>78</v>
      </c>
      <c r="AE302">
        <v>0</v>
      </c>
      <c r="AF302">
        <v>3.4503919999999999</v>
      </c>
      <c r="AG302">
        <v>10.13841</v>
      </c>
      <c r="AH302">
        <v>10.752409999999999</v>
      </c>
      <c r="AI302">
        <v>11.033379999999999</v>
      </c>
      <c r="AJ302">
        <v>10.48049</v>
      </c>
      <c r="AK302">
        <v>10.42963</v>
      </c>
      <c r="AL302">
        <v>10.59783</v>
      </c>
      <c r="AM302">
        <v>9.9956449999999997</v>
      </c>
      <c r="AN302">
        <v>10.50291</v>
      </c>
      <c r="AO302">
        <v>10.54701</v>
      </c>
      <c r="AP302">
        <v>10.53267</v>
      </c>
      <c r="AQ302">
        <v>10.22429</v>
      </c>
      <c r="AR302">
        <v>10.588430000000001</v>
      </c>
      <c r="AS302">
        <v>10.87321</v>
      </c>
      <c r="AT302">
        <v>10.062239999999999</v>
      </c>
      <c r="AU302">
        <v>9.9017979999999994</v>
      </c>
      <c r="AV302">
        <v>10.61422</v>
      </c>
      <c r="AW302">
        <v>9.7169699999999999</v>
      </c>
      <c r="AX302">
        <v>9.3585580000000004</v>
      </c>
      <c r="AY302">
        <v>9.951867</v>
      </c>
      <c r="AZ302">
        <v>12.758039999999999</v>
      </c>
      <c r="BA302">
        <v>0</v>
      </c>
      <c r="BB302" t="str">
        <f t="shared" si="14"/>
        <v/>
      </c>
      <c r="BC302">
        <v>1066287</v>
      </c>
      <c r="BD302">
        <v>3010.1970000000001</v>
      </c>
      <c r="BE302">
        <v>176077568</v>
      </c>
      <c r="BF302">
        <v>67.983930000000001</v>
      </c>
      <c r="BG302">
        <v>3020.7458999999999</v>
      </c>
      <c r="BH302">
        <v>67.98393197</v>
      </c>
    </row>
    <row r="303" spans="1:60">
      <c r="A303">
        <v>44220</v>
      </c>
      <c r="B303" t="s">
        <v>511</v>
      </c>
      <c r="C303">
        <v>31100.98</v>
      </c>
      <c r="D303">
        <v>67417</v>
      </c>
      <c r="E303">
        <v>139818</v>
      </c>
      <c r="F303">
        <v>2.1971399999999999E-2</v>
      </c>
      <c r="G303">
        <f t="shared" ref="G303:G342" si="15">F303*1000000</f>
        <v>21971.399999999998</v>
      </c>
      <c r="H303" s="51">
        <f t="shared" ref="H303:H342" si="16">+F303*E303*1000000</f>
        <v>3071997205.1999998</v>
      </c>
      <c r="I303">
        <v>54.762099999999997</v>
      </c>
      <c r="J303">
        <v>10.344989999999999</v>
      </c>
      <c r="K303">
        <v>-3.8180130000000001</v>
      </c>
      <c r="L303">
        <v>6.9995380000000003</v>
      </c>
      <c r="M303">
        <v>-1.8867510000000001</v>
      </c>
      <c r="N303">
        <v>11.848100000000001</v>
      </c>
      <c r="O303">
        <v>7.2139999999999997E-4</v>
      </c>
      <c r="P303">
        <v>0</v>
      </c>
      <c r="Q303">
        <v>615.20650000000001</v>
      </c>
      <c r="R303">
        <v>1096.127</v>
      </c>
      <c r="S303">
        <v>0</v>
      </c>
      <c r="T303">
        <v>0</v>
      </c>
      <c r="U303">
        <v>100.9024</v>
      </c>
      <c r="V303">
        <v>139818</v>
      </c>
      <c r="W303">
        <v>0</v>
      </c>
      <c r="X303">
        <v>7.2170000000000003E-4</v>
      </c>
      <c r="Y303">
        <v>0</v>
      </c>
      <c r="Z303">
        <v>0.25234580000000001</v>
      </c>
      <c r="AB303">
        <v>80</v>
      </c>
      <c r="AE303">
        <v>0</v>
      </c>
      <c r="AF303">
        <v>1.84256</v>
      </c>
      <c r="AJ303">
        <v>10.62429</v>
      </c>
      <c r="AK303">
        <v>10.762919999999999</v>
      </c>
      <c r="AL303">
        <v>10.68088</v>
      </c>
      <c r="AM303">
        <v>9.9296659999999992</v>
      </c>
      <c r="AN303">
        <v>10.6547</v>
      </c>
      <c r="AO303">
        <v>10.540609999999999</v>
      </c>
      <c r="AP303">
        <v>10.41563</v>
      </c>
      <c r="AQ303">
        <v>10.109629999999999</v>
      </c>
      <c r="AR303">
        <v>10.4306</v>
      </c>
      <c r="AS303">
        <v>10.90502</v>
      </c>
      <c r="AT303">
        <v>9.8013919999999999</v>
      </c>
      <c r="AV303">
        <v>10.42803</v>
      </c>
      <c r="AW303">
        <v>9.6790380000000003</v>
      </c>
      <c r="AX303">
        <v>9.3519509999999997</v>
      </c>
      <c r="AY303">
        <v>10.0243</v>
      </c>
      <c r="BA303">
        <v>0</v>
      </c>
      <c r="BB303" t="str">
        <f t="shared" ref="BB303:BB342" si="17">IF(T303&gt;0,BA303/T303,"")</f>
        <v/>
      </c>
      <c r="BC303">
        <v>233650</v>
      </c>
      <c r="BD303">
        <v>399.8578</v>
      </c>
      <c r="BE303">
        <v>61089239</v>
      </c>
      <c r="BF303">
        <v>23.586690000000001</v>
      </c>
      <c r="BG303">
        <v>401.64274999999998</v>
      </c>
      <c r="BH303">
        <v>23.586688049999999</v>
      </c>
    </row>
    <row r="304" spans="1:60">
      <c r="A304">
        <v>44300</v>
      </c>
      <c r="B304" t="s">
        <v>514</v>
      </c>
      <c r="C304">
        <v>31585.439999999999</v>
      </c>
      <c r="D304">
        <v>110365</v>
      </c>
      <c r="E304">
        <v>145550</v>
      </c>
      <c r="F304">
        <v>2.4060499999999999E-2</v>
      </c>
      <c r="G304">
        <f t="shared" si="15"/>
        <v>24060.5</v>
      </c>
      <c r="H304" s="51">
        <f t="shared" si="16"/>
        <v>3502005774.9999995</v>
      </c>
      <c r="I304">
        <v>29.17915</v>
      </c>
      <c r="J304">
        <v>10.36045</v>
      </c>
      <c r="K304">
        <v>-3.727185</v>
      </c>
      <c r="L304">
        <v>7.6562510000000001</v>
      </c>
      <c r="M304">
        <v>-1.3200019999999999</v>
      </c>
      <c r="N304">
        <v>11.88828</v>
      </c>
      <c r="O304">
        <v>1.5828000000000001E-3</v>
      </c>
      <c r="P304">
        <v>0</v>
      </c>
      <c r="Q304">
        <v>1086.3920000000001</v>
      </c>
      <c r="R304">
        <v>2113.8180000000002</v>
      </c>
      <c r="S304">
        <v>0</v>
      </c>
      <c r="T304">
        <v>0</v>
      </c>
      <c r="U304">
        <v>230.55590000000001</v>
      </c>
      <c r="V304">
        <v>145550</v>
      </c>
      <c r="W304">
        <v>0</v>
      </c>
      <c r="X304">
        <v>1.5839999999999999E-3</v>
      </c>
      <c r="Y304">
        <v>0</v>
      </c>
      <c r="Z304">
        <v>0.20817069999999999</v>
      </c>
      <c r="AB304">
        <v>383</v>
      </c>
      <c r="AE304">
        <v>0</v>
      </c>
      <c r="AF304">
        <v>7.9013939999999998</v>
      </c>
      <c r="AH304">
        <v>10.52256</v>
      </c>
      <c r="AI304">
        <v>11.122680000000001</v>
      </c>
      <c r="AJ304">
        <v>10.764060000000001</v>
      </c>
      <c r="AK304">
        <v>10.60294</v>
      </c>
      <c r="AL304">
        <v>10.9697</v>
      </c>
      <c r="AM304">
        <v>9.8675759999999997</v>
      </c>
      <c r="AN304">
        <v>10.24029</v>
      </c>
      <c r="AO304">
        <v>10.75074</v>
      </c>
      <c r="AP304">
        <v>10.72298</v>
      </c>
      <c r="AQ304">
        <v>10.29654</v>
      </c>
      <c r="AR304">
        <v>10.877800000000001</v>
      </c>
      <c r="AS304">
        <v>11.34328</v>
      </c>
      <c r="AT304">
        <v>10.18432</v>
      </c>
      <c r="AU304">
        <v>9.9773739999999993</v>
      </c>
      <c r="AV304">
        <v>10.53002</v>
      </c>
      <c r="AW304">
        <v>9.5815420000000007</v>
      </c>
      <c r="AX304">
        <v>9.3808830000000007</v>
      </c>
      <c r="AY304">
        <v>9.9112290000000005</v>
      </c>
      <c r="BA304">
        <v>0</v>
      </c>
      <c r="BB304" t="str">
        <f t="shared" si="17"/>
        <v/>
      </c>
      <c r="BC304">
        <v>1298380</v>
      </c>
      <c r="BD304">
        <v>1107.5329999999999</v>
      </c>
      <c r="BE304">
        <v>14542676</v>
      </c>
      <c r="BF304">
        <v>5.6149589999999998</v>
      </c>
      <c r="BG304">
        <v>1113.9581000000001</v>
      </c>
      <c r="BH304">
        <v>5.6149588340000003</v>
      </c>
    </row>
    <row r="305" spans="1:60">
      <c r="A305">
        <v>44700</v>
      </c>
      <c r="B305" t="s">
        <v>515</v>
      </c>
      <c r="C305">
        <v>35977.360000000001</v>
      </c>
      <c r="D305">
        <v>289244</v>
      </c>
      <c r="E305">
        <v>668753</v>
      </c>
      <c r="F305">
        <v>2.4828300000000001E-2</v>
      </c>
      <c r="G305">
        <f t="shared" si="15"/>
        <v>24828.3</v>
      </c>
      <c r="H305" s="51">
        <f t="shared" si="16"/>
        <v>16604000109.9</v>
      </c>
      <c r="I305">
        <v>128.56360000000001</v>
      </c>
      <c r="J305">
        <v>10.49065</v>
      </c>
      <c r="K305">
        <v>-3.6957710000000001</v>
      </c>
      <c r="L305">
        <v>7.492146</v>
      </c>
      <c r="M305">
        <v>-2.0101239999999998</v>
      </c>
      <c r="N305">
        <v>13.413169999999999</v>
      </c>
      <c r="O305">
        <v>6.6080000000000002E-4</v>
      </c>
      <c r="P305">
        <v>0</v>
      </c>
      <c r="Q305">
        <v>1111.154</v>
      </c>
      <c r="R305">
        <v>1793.8979999999999</v>
      </c>
      <c r="S305">
        <v>0</v>
      </c>
      <c r="T305">
        <v>0</v>
      </c>
      <c r="U305">
        <v>442.041</v>
      </c>
      <c r="V305">
        <v>668753</v>
      </c>
      <c r="W305">
        <v>0</v>
      </c>
      <c r="X305">
        <v>6.6100000000000002E-4</v>
      </c>
      <c r="Y305">
        <v>0</v>
      </c>
      <c r="Z305">
        <v>0.31590550000000001</v>
      </c>
      <c r="AB305">
        <v>665</v>
      </c>
      <c r="AE305">
        <v>0</v>
      </c>
      <c r="AF305">
        <v>3.4383050000000002</v>
      </c>
      <c r="AG305">
        <v>11.02007</v>
      </c>
      <c r="AH305">
        <v>10.78403</v>
      </c>
      <c r="AI305">
        <v>11.24183</v>
      </c>
      <c r="AJ305">
        <v>10.76188</v>
      </c>
      <c r="AK305">
        <v>10.70181</v>
      </c>
      <c r="AL305">
        <v>10.815770000000001</v>
      </c>
      <c r="AM305">
        <v>10.094340000000001</v>
      </c>
      <c r="AN305">
        <v>10.57151</v>
      </c>
      <c r="AO305">
        <v>10.841279999999999</v>
      </c>
      <c r="AP305">
        <v>10.80716</v>
      </c>
      <c r="AQ305">
        <v>10.33544</v>
      </c>
      <c r="AR305">
        <v>10.71238</v>
      </c>
      <c r="AS305">
        <v>11.37135</v>
      </c>
      <c r="AT305">
        <v>10.197570000000001</v>
      </c>
      <c r="AU305">
        <v>10.12302</v>
      </c>
      <c r="AV305">
        <v>10.70481</v>
      </c>
      <c r="AW305">
        <v>9.7937530000000006</v>
      </c>
      <c r="AX305">
        <v>9.4724520000000005</v>
      </c>
      <c r="AY305">
        <v>10.1059</v>
      </c>
      <c r="AZ305">
        <v>10.38068</v>
      </c>
      <c r="BA305">
        <v>0</v>
      </c>
      <c r="BB305" t="str">
        <f t="shared" si="17"/>
        <v/>
      </c>
      <c r="BC305">
        <v>4127514</v>
      </c>
      <c r="BD305">
        <v>1399.2819999999999</v>
      </c>
      <c r="BE305">
        <v>122059744</v>
      </c>
      <c r="BF305">
        <v>47.12753</v>
      </c>
      <c r="BG305">
        <v>1426.3341</v>
      </c>
      <c r="BH305">
        <v>47.127532639999998</v>
      </c>
    </row>
    <row r="306" spans="1:60">
      <c r="A306">
        <v>44940</v>
      </c>
      <c r="B306" t="s">
        <v>516</v>
      </c>
      <c r="C306">
        <v>28898.97</v>
      </c>
      <c r="D306">
        <v>55277</v>
      </c>
      <c r="E306">
        <v>104313</v>
      </c>
      <c r="F306">
        <v>1.9709899999999999E-2</v>
      </c>
      <c r="G306">
        <f t="shared" si="15"/>
        <v>19709.899999999998</v>
      </c>
      <c r="H306" s="51">
        <f t="shared" si="16"/>
        <v>2055998798.7</v>
      </c>
      <c r="I306">
        <v>44.710650000000001</v>
      </c>
      <c r="J306">
        <v>10.271559999999999</v>
      </c>
      <c r="K306">
        <v>-3.926634</v>
      </c>
      <c r="L306">
        <v>6.6749270000000003</v>
      </c>
      <c r="M306">
        <v>-1.908955</v>
      </c>
      <c r="N306">
        <v>11.555149999999999</v>
      </c>
      <c r="O306">
        <v>1.5831E-3</v>
      </c>
      <c r="P306">
        <v>0</v>
      </c>
      <c r="Q306">
        <v>539.02149999999995</v>
      </c>
      <c r="R306">
        <v>792.28989999999999</v>
      </c>
      <c r="S306">
        <v>0</v>
      </c>
      <c r="T306">
        <v>0</v>
      </c>
      <c r="U306">
        <v>165.2637</v>
      </c>
      <c r="V306">
        <v>104313</v>
      </c>
      <c r="W306">
        <v>0</v>
      </c>
      <c r="X306">
        <v>1.5843000000000001E-3</v>
      </c>
      <c r="Y306">
        <v>0</v>
      </c>
      <c r="Z306">
        <v>0.24836440000000001</v>
      </c>
      <c r="AB306">
        <v>413</v>
      </c>
      <c r="AE306">
        <v>0</v>
      </c>
      <c r="AF306">
        <v>3.6962929999999998</v>
      </c>
      <c r="AI306">
        <v>10.821719999999999</v>
      </c>
      <c r="AJ306">
        <v>10.64874</v>
      </c>
      <c r="AK306">
        <v>10.458640000000001</v>
      </c>
      <c r="AL306">
        <v>10.715920000000001</v>
      </c>
      <c r="AM306">
        <v>9.8650590000000005</v>
      </c>
      <c r="AN306">
        <v>10.223789999999999</v>
      </c>
      <c r="AO306">
        <v>10.68416</v>
      </c>
      <c r="AP306">
        <v>10.529450000000001</v>
      </c>
      <c r="AQ306">
        <v>9.9642719999999994</v>
      </c>
      <c r="AR306">
        <v>10.22789</v>
      </c>
      <c r="AT306">
        <v>10.02149</v>
      </c>
      <c r="AU306">
        <v>10.109690000000001</v>
      </c>
      <c r="AV306">
        <v>10.51299</v>
      </c>
      <c r="AW306">
        <v>9.6860090000000003</v>
      </c>
      <c r="AX306">
        <v>9.2268699999999999</v>
      </c>
      <c r="AY306">
        <v>9.7841159999999991</v>
      </c>
      <c r="BA306">
        <v>0</v>
      </c>
      <c r="BB306" t="str">
        <f t="shared" si="17"/>
        <v/>
      </c>
      <c r="BC306">
        <v>540809</v>
      </c>
      <c r="BD306">
        <v>665.40790000000004</v>
      </c>
      <c r="BE306">
        <v>69423553</v>
      </c>
      <c r="BF306">
        <v>26.804580000000001</v>
      </c>
      <c r="BG306">
        <v>682.08513000000005</v>
      </c>
      <c r="BH306">
        <v>26.804584810000001</v>
      </c>
    </row>
    <row r="307" spans="1:60">
      <c r="A307">
        <v>45060</v>
      </c>
      <c r="B307" t="s">
        <v>517</v>
      </c>
      <c r="C307">
        <v>37228.97</v>
      </c>
      <c r="D307">
        <v>389267</v>
      </c>
      <c r="E307">
        <v>645016</v>
      </c>
      <c r="F307">
        <v>3.60317E-2</v>
      </c>
      <c r="G307">
        <f t="shared" si="15"/>
        <v>36031.699999999997</v>
      </c>
      <c r="H307" s="51">
        <f t="shared" si="16"/>
        <v>23241023007.200001</v>
      </c>
      <c r="I307">
        <v>219.21549999999999</v>
      </c>
      <c r="J307">
        <v>10.524839999999999</v>
      </c>
      <c r="K307">
        <v>-3.3233570000000001</v>
      </c>
      <c r="L307">
        <v>8.2525829999999996</v>
      </c>
      <c r="M307">
        <v>-1.3986179999999999</v>
      </c>
      <c r="N307">
        <v>13.37703</v>
      </c>
      <c r="O307">
        <v>1.1313E-3</v>
      </c>
      <c r="P307">
        <v>0</v>
      </c>
      <c r="Q307">
        <v>1096.857</v>
      </c>
      <c r="R307">
        <v>3837.5250000000001</v>
      </c>
      <c r="S307">
        <v>0</v>
      </c>
      <c r="T307">
        <v>0</v>
      </c>
      <c r="U307">
        <v>730.12850000000003</v>
      </c>
      <c r="V307">
        <v>645016</v>
      </c>
      <c r="W307">
        <v>0</v>
      </c>
      <c r="X307">
        <v>1.132E-3</v>
      </c>
      <c r="Y307">
        <v>0</v>
      </c>
      <c r="Z307">
        <v>0.30556329999999998</v>
      </c>
      <c r="AB307">
        <v>1041</v>
      </c>
      <c r="AE307">
        <v>0</v>
      </c>
      <c r="AF307">
        <v>3.3306429999999998</v>
      </c>
      <c r="AG307">
        <v>11.520099999999999</v>
      </c>
      <c r="AH307">
        <v>11.165139999999999</v>
      </c>
      <c r="AI307">
        <v>11.62811</v>
      </c>
      <c r="AJ307">
        <v>10.88719</v>
      </c>
      <c r="AK307">
        <v>10.859730000000001</v>
      </c>
      <c r="AL307">
        <v>10.77603</v>
      </c>
      <c r="AM307">
        <v>9.9784389999999998</v>
      </c>
      <c r="AN307">
        <v>10.422599999999999</v>
      </c>
      <c r="AO307">
        <v>10.841570000000001</v>
      </c>
      <c r="AP307">
        <v>10.902979999999999</v>
      </c>
      <c r="AQ307">
        <v>10.394920000000001</v>
      </c>
      <c r="AR307">
        <v>10.79997</v>
      </c>
      <c r="AS307">
        <v>11.11102</v>
      </c>
      <c r="AT307">
        <v>10.03145</v>
      </c>
      <c r="AU307">
        <v>10.315239999999999</v>
      </c>
      <c r="AV307">
        <v>10.629810000000001</v>
      </c>
      <c r="AW307">
        <v>9.6252139999999997</v>
      </c>
      <c r="AX307">
        <v>9.4674429999999994</v>
      </c>
      <c r="AY307">
        <v>10.05076</v>
      </c>
      <c r="AZ307">
        <v>9.5994119999999992</v>
      </c>
      <c r="BA307">
        <v>0</v>
      </c>
      <c r="BB307" t="str">
        <f t="shared" si="17"/>
        <v/>
      </c>
      <c r="BC307">
        <v>6064361</v>
      </c>
      <c r="BD307">
        <v>2389.451</v>
      </c>
      <c r="BE307">
        <v>64862318</v>
      </c>
      <c r="BF307">
        <v>25.043479999999999</v>
      </c>
      <c r="BG307">
        <v>2778.9765000000002</v>
      </c>
      <c r="BH307">
        <v>25.043482050000001</v>
      </c>
    </row>
    <row r="308" spans="1:60">
      <c r="A308">
        <v>45220</v>
      </c>
      <c r="B308" t="s">
        <v>518</v>
      </c>
      <c r="C308">
        <v>33525.43</v>
      </c>
      <c r="D308">
        <v>219628</v>
      </c>
      <c r="E308">
        <v>357171</v>
      </c>
      <c r="F308">
        <v>2.4458899999999999E-2</v>
      </c>
      <c r="G308">
        <f t="shared" si="15"/>
        <v>24458.899999999998</v>
      </c>
      <c r="H308" s="51">
        <f t="shared" si="16"/>
        <v>8736009771.8999996</v>
      </c>
      <c r="I308">
        <v>126.55970000000001</v>
      </c>
      <c r="J308">
        <v>10.420059999999999</v>
      </c>
      <c r="K308">
        <v>-3.7107619999999999</v>
      </c>
      <c r="L308">
        <v>7.4871129999999999</v>
      </c>
      <c r="M308">
        <v>-1.2723880000000001</v>
      </c>
      <c r="N308">
        <v>12.785970000000001</v>
      </c>
      <c r="O308">
        <v>1.3370999999999999E-3</v>
      </c>
      <c r="P308">
        <v>0</v>
      </c>
      <c r="Q308">
        <v>1140.394</v>
      </c>
      <c r="R308">
        <v>1784.8910000000001</v>
      </c>
      <c r="S308">
        <v>0</v>
      </c>
      <c r="T308">
        <v>0</v>
      </c>
      <c r="U308">
        <v>477.8895</v>
      </c>
      <c r="V308">
        <v>357171</v>
      </c>
      <c r="W308">
        <v>0</v>
      </c>
      <c r="X308">
        <v>1.338E-3</v>
      </c>
      <c r="Y308">
        <v>0</v>
      </c>
      <c r="Z308">
        <v>0.20018269999999999</v>
      </c>
      <c r="AB308">
        <v>356</v>
      </c>
      <c r="AE308">
        <v>0</v>
      </c>
      <c r="AF308">
        <v>3.7759999999999998</v>
      </c>
      <c r="AG308">
        <v>10.902979999999999</v>
      </c>
      <c r="AJ308">
        <v>10.52582</v>
      </c>
      <c r="AK308">
        <v>10.578150000000001</v>
      </c>
      <c r="AL308">
        <v>10.64583</v>
      </c>
      <c r="AM308">
        <v>9.9417249999999999</v>
      </c>
      <c r="AN308">
        <v>10.40357</v>
      </c>
      <c r="AO308">
        <v>10.697520000000001</v>
      </c>
      <c r="AP308">
        <v>10.871079999999999</v>
      </c>
      <c r="AQ308">
        <v>10.202909999999999</v>
      </c>
      <c r="AR308">
        <v>11.12604</v>
      </c>
      <c r="AS308">
        <v>10.94004</v>
      </c>
      <c r="AT308">
        <v>10.11942</v>
      </c>
      <c r="AU308">
        <v>10.160769999999999</v>
      </c>
      <c r="AV308">
        <v>10.59238</v>
      </c>
      <c r="AW308">
        <v>9.6714710000000004</v>
      </c>
      <c r="AX308">
        <v>9.3396019999999993</v>
      </c>
      <c r="AY308">
        <v>10.33821</v>
      </c>
      <c r="AZ308">
        <v>11.874090000000001</v>
      </c>
      <c r="BA308">
        <v>0</v>
      </c>
      <c r="BB308" t="str">
        <f t="shared" si="17"/>
        <v/>
      </c>
      <c r="BC308">
        <v>1865534</v>
      </c>
      <c r="BD308">
        <v>2387.2669999999998</v>
      </c>
      <c r="BE308">
        <v>188639541</v>
      </c>
      <c r="BF308">
        <v>72.834140000000005</v>
      </c>
      <c r="BG308">
        <v>2602.5255999999999</v>
      </c>
      <c r="BH308">
        <v>72.834137069999997</v>
      </c>
    </row>
    <row r="309" spans="1:60">
      <c r="A309">
        <v>45300</v>
      </c>
      <c r="B309" t="s">
        <v>333</v>
      </c>
      <c r="C309">
        <v>38033.29</v>
      </c>
      <c r="D309">
        <v>1576110</v>
      </c>
      <c r="E309">
        <v>2730007</v>
      </c>
      <c r="F309">
        <v>3.6141300000000001E-2</v>
      </c>
      <c r="G309">
        <f t="shared" si="15"/>
        <v>36141.300000000003</v>
      </c>
      <c r="H309" s="51">
        <f t="shared" si="16"/>
        <v>98666001989.099991</v>
      </c>
      <c r="I309">
        <v>940.80719999999997</v>
      </c>
      <c r="J309">
        <v>10.54622</v>
      </c>
      <c r="K309">
        <v>-3.320319</v>
      </c>
      <c r="L309">
        <v>7.8114600000000003</v>
      </c>
      <c r="M309">
        <v>-1.4097189999999999</v>
      </c>
      <c r="N309">
        <v>14.81981</v>
      </c>
      <c r="O309">
        <v>3.4400000000000001E-4</v>
      </c>
      <c r="P309" s="14">
        <v>8.7899999999999997E-7</v>
      </c>
      <c r="Q309">
        <v>1082.249</v>
      </c>
      <c r="R309">
        <v>2468.732</v>
      </c>
      <c r="S309">
        <v>1</v>
      </c>
      <c r="T309">
        <v>2.4</v>
      </c>
      <c r="U309">
        <v>939.41110000000003</v>
      </c>
      <c r="V309">
        <v>2730007</v>
      </c>
      <c r="W309" s="14">
        <v>8.7899999999999997E-7</v>
      </c>
      <c r="X309">
        <v>3.4410000000000002E-4</v>
      </c>
      <c r="Y309">
        <v>9.3970000000000002E-4</v>
      </c>
      <c r="Z309">
        <v>0.36782209999999999</v>
      </c>
      <c r="AB309">
        <v>1689</v>
      </c>
      <c r="AE309">
        <v>2.5509999999999999E-3</v>
      </c>
      <c r="AF309">
        <v>0.99851610000000002</v>
      </c>
      <c r="AG309">
        <v>10.484080000000001</v>
      </c>
      <c r="AH309">
        <v>10.88538</v>
      </c>
      <c r="AI309">
        <v>10.923439999999999</v>
      </c>
      <c r="AJ309">
        <v>10.57944</v>
      </c>
      <c r="AK309">
        <v>10.65884</v>
      </c>
      <c r="AL309">
        <v>10.79543</v>
      </c>
      <c r="AM309">
        <v>10.09463</v>
      </c>
      <c r="AN309">
        <v>10.517720000000001</v>
      </c>
      <c r="AO309">
        <v>10.966139999999999</v>
      </c>
      <c r="AP309">
        <v>10.970879999999999</v>
      </c>
      <c r="AQ309">
        <v>10.47617</v>
      </c>
      <c r="AR309">
        <v>10.957890000000001</v>
      </c>
      <c r="AS309">
        <v>11.12304</v>
      </c>
      <c r="AT309">
        <v>10.3001</v>
      </c>
      <c r="AU309">
        <v>10.287140000000001</v>
      </c>
      <c r="AV309">
        <v>10.67259</v>
      </c>
      <c r="AW309">
        <v>10.33628</v>
      </c>
      <c r="AX309">
        <v>9.6105300000000007</v>
      </c>
      <c r="AY309">
        <v>10.004759999999999</v>
      </c>
      <c r="AZ309">
        <v>10.62975</v>
      </c>
      <c r="BA309">
        <v>81856</v>
      </c>
      <c r="BB309">
        <f t="shared" si="17"/>
        <v>34106.666666666672</v>
      </c>
      <c r="BC309" s="14">
        <v>18000000</v>
      </c>
      <c r="BD309">
        <v>2553.982</v>
      </c>
      <c r="BE309">
        <v>550235409</v>
      </c>
      <c r="BF309">
        <v>212.44710000000001</v>
      </c>
      <c r="BG309">
        <v>3331.3404999999998</v>
      </c>
      <c r="BH309">
        <v>212.4470882</v>
      </c>
    </row>
    <row r="310" spans="1:60">
      <c r="A310">
        <v>45460</v>
      </c>
      <c r="B310" t="s">
        <v>519</v>
      </c>
      <c r="C310">
        <v>32112.61</v>
      </c>
      <c r="D310">
        <v>90217</v>
      </c>
      <c r="E310">
        <v>169812</v>
      </c>
      <c r="F310">
        <v>2.7112299999999999E-2</v>
      </c>
      <c r="G310">
        <f t="shared" si="15"/>
        <v>27112.3</v>
      </c>
      <c r="H310" s="51">
        <f t="shared" si="16"/>
        <v>4603993887.5999994</v>
      </c>
      <c r="I310">
        <v>56.44021</v>
      </c>
      <c r="J310">
        <v>10.377000000000001</v>
      </c>
      <c r="K310">
        <v>-3.6077659999999998</v>
      </c>
      <c r="L310">
        <v>6.9854370000000001</v>
      </c>
      <c r="M310">
        <v>-1.778084</v>
      </c>
      <c r="N310">
        <v>12.042450000000001</v>
      </c>
      <c r="O310">
        <v>1.6871E-3</v>
      </c>
      <c r="P310">
        <v>0</v>
      </c>
      <c r="Q310">
        <v>688.8528</v>
      </c>
      <c r="R310">
        <v>1080.779</v>
      </c>
      <c r="S310">
        <v>0</v>
      </c>
      <c r="T310">
        <v>0</v>
      </c>
      <c r="U310">
        <v>286.7389</v>
      </c>
      <c r="V310">
        <v>169812</v>
      </c>
      <c r="W310">
        <v>0</v>
      </c>
      <c r="X310">
        <v>1.6886E-3</v>
      </c>
      <c r="Y310">
        <v>0</v>
      </c>
      <c r="Z310">
        <v>0.19572680000000001</v>
      </c>
      <c r="AB310">
        <v>230</v>
      </c>
      <c r="AE310">
        <v>0</v>
      </c>
      <c r="AF310">
        <v>5.0804010000000002</v>
      </c>
      <c r="AH310">
        <v>11.394539999999999</v>
      </c>
      <c r="AJ310">
        <v>10.78609</v>
      </c>
      <c r="AK310">
        <v>10.704470000000001</v>
      </c>
      <c r="AL310">
        <v>10.490539999999999</v>
      </c>
      <c r="AM310">
        <v>9.8788169999999997</v>
      </c>
      <c r="AN310">
        <v>10.56049</v>
      </c>
      <c r="AO310">
        <v>10.457710000000001</v>
      </c>
      <c r="AP310">
        <v>10.66071</v>
      </c>
      <c r="AQ310">
        <v>10.36664</v>
      </c>
      <c r="AR310">
        <v>10.35364</v>
      </c>
      <c r="AT310">
        <v>10.13428</v>
      </c>
      <c r="AU310">
        <v>9.9767060000000001</v>
      </c>
      <c r="AV310">
        <v>10.446490000000001</v>
      </c>
      <c r="AW310">
        <v>9.5180009999999999</v>
      </c>
      <c r="AX310">
        <v>9.332039</v>
      </c>
      <c r="AY310">
        <v>9.9770160000000008</v>
      </c>
      <c r="BA310">
        <v>0</v>
      </c>
      <c r="BB310" t="str">
        <f t="shared" si="17"/>
        <v/>
      </c>
      <c r="BC310">
        <v>407824</v>
      </c>
      <c r="BD310">
        <v>1464.9960000000001</v>
      </c>
      <c r="BE310">
        <v>68796117</v>
      </c>
      <c r="BF310">
        <v>26.562329999999999</v>
      </c>
      <c r="BG310">
        <v>1484.8248000000001</v>
      </c>
      <c r="BH310">
        <v>26.5623304</v>
      </c>
    </row>
    <row r="311" spans="1:60">
      <c r="A311">
        <v>45500</v>
      </c>
      <c r="B311" t="s">
        <v>1006</v>
      </c>
      <c r="C311">
        <v>30133.7</v>
      </c>
      <c r="D311">
        <v>75372</v>
      </c>
      <c r="E311">
        <v>135981</v>
      </c>
      <c r="F311">
        <v>2.4554900000000001E-2</v>
      </c>
      <c r="G311">
        <f t="shared" si="15"/>
        <v>24554.9</v>
      </c>
      <c r="H311" s="51">
        <f t="shared" si="16"/>
        <v>3338999856.9000001</v>
      </c>
      <c r="I311">
        <v>69.795410000000004</v>
      </c>
      <c r="J311">
        <v>10.3134</v>
      </c>
      <c r="K311">
        <v>-3.7068439999999998</v>
      </c>
      <c r="L311">
        <v>6.8546659999999999</v>
      </c>
      <c r="M311">
        <v>-1.9007719999999999</v>
      </c>
      <c r="N311">
        <v>11.820270000000001</v>
      </c>
      <c r="O311">
        <v>2.0146999999999999E-3</v>
      </c>
      <c r="P311">
        <v>0</v>
      </c>
      <c r="Q311">
        <v>670.00109999999995</v>
      </c>
      <c r="R311">
        <v>948.29570000000001</v>
      </c>
      <c r="S311">
        <v>0</v>
      </c>
      <c r="T311">
        <v>0</v>
      </c>
      <c r="U311">
        <v>274.24200000000002</v>
      </c>
      <c r="V311">
        <v>135981</v>
      </c>
      <c r="W311">
        <v>0</v>
      </c>
      <c r="X311">
        <v>2.0168E-3</v>
      </c>
      <c r="Y311">
        <v>0</v>
      </c>
      <c r="Z311">
        <v>0.18139540000000001</v>
      </c>
      <c r="AE311">
        <v>0</v>
      </c>
      <c r="AF311">
        <v>3.929227</v>
      </c>
      <c r="AG311">
        <v>10.08079</v>
      </c>
      <c r="AH311">
        <v>10.500489999999999</v>
      </c>
      <c r="AJ311">
        <v>10.407489999999999</v>
      </c>
      <c r="AK311">
        <v>10.57948</v>
      </c>
      <c r="AL311">
        <v>10.62618</v>
      </c>
      <c r="AM311">
        <v>10.01722</v>
      </c>
      <c r="AO311">
        <v>10.4825</v>
      </c>
      <c r="AP311">
        <v>10.54142</v>
      </c>
      <c r="AQ311">
        <v>10.187049999999999</v>
      </c>
      <c r="AR311">
        <v>10.57315</v>
      </c>
      <c r="AS311">
        <v>10.37011</v>
      </c>
      <c r="AT311">
        <v>10.03364</v>
      </c>
      <c r="AU311">
        <v>11.635009999999999</v>
      </c>
      <c r="AV311">
        <v>10.49433</v>
      </c>
      <c r="AW311">
        <v>9.6801349999999999</v>
      </c>
      <c r="AX311">
        <v>9.3816260000000007</v>
      </c>
      <c r="AY311">
        <v>9.8559169999999998</v>
      </c>
      <c r="BB311" t="str">
        <f t="shared" si="17"/>
        <v/>
      </c>
      <c r="BD311">
        <v>1511.847</v>
      </c>
      <c r="BE311">
        <v>113896627</v>
      </c>
      <c r="BF311">
        <v>43.975729999999999</v>
      </c>
      <c r="BG311">
        <v>1560.9808</v>
      </c>
      <c r="BH311">
        <v>43.975735409999999</v>
      </c>
    </row>
    <row r="312" spans="1:60">
      <c r="A312">
        <v>45780</v>
      </c>
      <c r="B312" t="s">
        <v>520</v>
      </c>
      <c r="C312">
        <v>36992.78</v>
      </c>
      <c r="D312">
        <v>395389</v>
      </c>
      <c r="E312">
        <v>673345</v>
      </c>
      <c r="F312">
        <v>3.4030100000000001E-2</v>
      </c>
      <c r="G312">
        <f t="shared" si="15"/>
        <v>34030.1</v>
      </c>
      <c r="H312" s="51">
        <f t="shared" si="16"/>
        <v>22913997684.500004</v>
      </c>
      <c r="I312">
        <v>222.5668</v>
      </c>
      <c r="J312">
        <v>10.51848</v>
      </c>
      <c r="K312">
        <v>-3.3805100000000001</v>
      </c>
      <c r="L312">
        <v>7.2774299999999998</v>
      </c>
      <c r="M312">
        <v>-1.5878620000000001</v>
      </c>
      <c r="N312">
        <v>13.42001</v>
      </c>
      <c r="O312">
        <v>7.2780000000000002E-4</v>
      </c>
      <c r="P312">
        <v>0</v>
      </c>
      <c r="Q312">
        <v>974.12099999999998</v>
      </c>
      <c r="R312">
        <v>1447.2639999999999</v>
      </c>
      <c r="S312">
        <v>0</v>
      </c>
      <c r="T312">
        <v>0</v>
      </c>
      <c r="U312">
        <v>490.25470000000001</v>
      </c>
      <c r="V312">
        <v>673345</v>
      </c>
      <c r="W312">
        <v>0</v>
      </c>
      <c r="X312">
        <v>7.2809999999999997E-4</v>
      </c>
      <c r="Y312">
        <v>0</v>
      </c>
      <c r="Z312">
        <v>0.30271589999999998</v>
      </c>
      <c r="AB312">
        <v>396</v>
      </c>
      <c r="AE312">
        <v>0</v>
      </c>
      <c r="AF312">
        <v>2.202731</v>
      </c>
      <c r="AH312">
        <v>12.07549</v>
      </c>
      <c r="AI312">
        <v>11.47662</v>
      </c>
      <c r="AJ312">
        <v>11.0122</v>
      </c>
      <c r="AK312">
        <v>10.868930000000001</v>
      </c>
      <c r="AL312">
        <v>10.74586</v>
      </c>
      <c r="AM312">
        <v>9.9615089999999995</v>
      </c>
      <c r="AN312">
        <v>10.533519999999999</v>
      </c>
      <c r="AO312">
        <v>10.69824</v>
      </c>
      <c r="AP312">
        <v>10.874919999999999</v>
      </c>
      <c r="AQ312">
        <v>10.52796</v>
      </c>
      <c r="AR312">
        <v>10.812939999999999</v>
      </c>
      <c r="AS312">
        <v>11.318429999999999</v>
      </c>
      <c r="AT312">
        <v>10.023099999999999</v>
      </c>
      <c r="AU312">
        <v>10.19336</v>
      </c>
      <c r="AV312">
        <v>10.54542</v>
      </c>
      <c r="AW312">
        <v>9.5962910000000008</v>
      </c>
      <c r="AX312">
        <v>9.3528300000000009</v>
      </c>
      <c r="AY312">
        <v>10.007820000000001</v>
      </c>
      <c r="BA312">
        <v>0</v>
      </c>
      <c r="BB312" t="str">
        <f t="shared" si="17"/>
        <v/>
      </c>
      <c r="BC312">
        <v>3567496</v>
      </c>
      <c r="BD312">
        <v>1619.521</v>
      </c>
      <c r="BE312">
        <v>209892184</v>
      </c>
      <c r="BF312">
        <v>81.039829999999995</v>
      </c>
      <c r="BG312">
        <v>2208.6604000000002</v>
      </c>
      <c r="BH312">
        <v>81.039828760000006</v>
      </c>
    </row>
    <row r="313" spans="1:60">
      <c r="A313">
        <v>45820</v>
      </c>
      <c r="B313" t="s">
        <v>521</v>
      </c>
      <c r="C313">
        <v>34260.03</v>
      </c>
      <c r="D313">
        <v>144846</v>
      </c>
      <c r="E313">
        <v>229774</v>
      </c>
      <c r="F313">
        <v>3.00513E-2</v>
      </c>
      <c r="G313">
        <f t="shared" si="15"/>
        <v>30051.3</v>
      </c>
      <c r="H313" s="51">
        <f t="shared" si="16"/>
        <v>6905007406.2000008</v>
      </c>
      <c r="I313">
        <v>71.543859999999995</v>
      </c>
      <c r="J313">
        <v>10.44173</v>
      </c>
      <c r="K313">
        <v>-3.5048499999999998</v>
      </c>
      <c r="L313">
        <v>7.2812739999999998</v>
      </c>
      <c r="M313">
        <v>-1.430995</v>
      </c>
      <c r="N313">
        <v>12.344849999999999</v>
      </c>
      <c r="O313">
        <v>2.3146999999999998E-3</v>
      </c>
      <c r="P313">
        <v>0</v>
      </c>
      <c r="Q313">
        <v>1076.71</v>
      </c>
      <c r="R313">
        <v>1452.838</v>
      </c>
      <c r="S313">
        <v>0</v>
      </c>
      <c r="T313">
        <v>0</v>
      </c>
      <c r="U313">
        <v>532.47559999999999</v>
      </c>
      <c r="V313">
        <v>229774</v>
      </c>
      <c r="W313">
        <v>0</v>
      </c>
      <c r="X313">
        <v>2.3173999999999998E-3</v>
      </c>
      <c r="Y313">
        <v>0</v>
      </c>
      <c r="Z313">
        <v>0.16422229999999999</v>
      </c>
      <c r="AB313">
        <v>220</v>
      </c>
      <c r="AE313">
        <v>0</v>
      </c>
      <c r="AF313">
        <v>7.4426459999999999</v>
      </c>
      <c r="AI313">
        <v>11.32863</v>
      </c>
      <c r="AJ313">
        <v>10.714460000000001</v>
      </c>
      <c r="AK313">
        <v>10.628920000000001</v>
      </c>
      <c r="AL313">
        <v>10.62734</v>
      </c>
      <c r="AM313">
        <v>9.9833390000000009</v>
      </c>
      <c r="AN313">
        <v>10.438499999999999</v>
      </c>
      <c r="AO313">
        <v>10.689489999999999</v>
      </c>
      <c r="AP313">
        <v>10.96181</v>
      </c>
      <c r="AQ313">
        <v>10.21213</v>
      </c>
      <c r="AR313">
        <v>10.6861</v>
      </c>
      <c r="AS313">
        <v>11.26577</v>
      </c>
      <c r="AT313">
        <v>9.8211110000000001</v>
      </c>
      <c r="AU313">
        <v>9.9963339999999992</v>
      </c>
      <c r="AV313">
        <v>10.53079</v>
      </c>
      <c r="AW313">
        <v>9.5707819999999995</v>
      </c>
      <c r="AX313">
        <v>9.5018759999999993</v>
      </c>
      <c r="AY313">
        <v>10.092079999999999</v>
      </c>
      <c r="BA313">
        <v>0</v>
      </c>
      <c r="BB313" t="str">
        <f t="shared" si="17"/>
        <v/>
      </c>
      <c r="BC313">
        <v>977573</v>
      </c>
      <c r="BD313">
        <v>3242.4059999999999</v>
      </c>
      <c r="BE313">
        <v>130458670</v>
      </c>
      <c r="BF313">
        <v>50.370370000000001</v>
      </c>
      <c r="BG313">
        <v>3289.8883999999998</v>
      </c>
      <c r="BH313">
        <v>50.370376229999998</v>
      </c>
    </row>
    <row r="314" spans="1:60">
      <c r="A314">
        <v>45940</v>
      </c>
      <c r="B314" t="s">
        <v>335</v>
      </c>
      <c r="C314">
        <v>54212.63</v>
      </c>
      <c r="D314">
        <v>273317</v>
      </c>
      <c r="E314">
        <v>364571</v>
      </c>
      <c r="F314">
        <v>5.5056500000000001E-2</v>
      </c>
      <c r="G314">
        <f t="shared" si="15"/>
        <v>55056.5</v>
      </c>
      <c r="H314" s="51">
        <f t="shared" si="16"/>
        <v>20072003261.5</v>
      </c>
      <c r="I314">
        <v>126.3905</v>
      </c>
      <c r="J314">
        <v>10.90067</v>
      </c>
      <c r="K314">
        <v>-2.8993950000000002</v>
      </c>
      <c r="L314">
        <v>7.9425610000000004</v>
      </c>
      <c r="M314">
        <v>-1.1027180000000001</v>
      </c>
      <c r="N314">
        <v>12.806480000000001</v>
      </c>
      <c r="O314">
        <v>4.6119999999999999E-4</v>
      </c>
      <c r="P314">
        <v>1.8899999999999999E-5</v>
      </c>
      <c r="Q314">
        <v>1264.8810000000001</v>
      </c>
      <c r="R314">
        <v>2814.5590000000002</v>
      </c>
      <c r="S314">
        <v>1</v>
      </c>
      <c r="T314">
        <v>6.9</v>
      </c>
      <c r="U314">
        <v>168.17349999999999</v>
      </c>
      <c r="V314">
        <v>364571</v>
      </c>
      <c r="W314">
        <v>1.8899999999999999E-5</v>
      </c>
      <c r="X314">
        <v>4.6129999999999999E-4</v>
      </c>
      <c r="Y314">
        <v>3.0540600000000001E-2</v>
      </c>
      <c r="Z314">
        <v>0.74436449999999998</v>
      </c>
      <c r="AE314">
        <v>5.4592700000000001E-2</v>
      </c>
      <c r="AF314">
        <v>1.330587</v>
      </c>
      <c r="AG314">
        <v>10.30724</v>
      </c>
      <c r="AJ314">
        <v>10.98333</v>
      </c>
      <c r="AK314">
        <v>10.83206</v>
      </c>
      <c r="AL314">
        <v>11.4764</v>
      </c>
      <c r="AM314">
        <v>10.08404</v>
      </c>
      <c r="AN314">
        <v>10.381869999999999</v>
      </c>
      <c r="AO314">
        <v>11.15297</v>
      </c>
      <c r="AP314">
        <v>11.419549999999999</v>
      </c>
      <c r="AQ314">
        <v>10.63226</v>
      </c>
      <c r="AR314">
        <v>11.290800000000001</v>
      </c>
      <c r="AS314">
        <v>11.756919999999999</v>
      </c>
      <c r="AT314">
        <v>10.4763</v>
      </c>
      <c r="AU314">
        <v>10.693860000000001</v>
      </c>
      <c r="AV314">
        <v>10.741250000000001</v>
      </c>
      <c r="AW314">
        <v>9.822279</v>
      </c>
      <c r="AX314">
        <v>9.6735799999999994</v>
      </c>
      <c r="AY314">
        <v>10.440810000000001</v>
      </c>
      <c r="BB314">
        <f t="shared" si="17"/>
        <v>0</v>
      </c>
      <c r="BD314">
        <v>225.929</v>
      </c>
      <c r="BE314">
        <v>59101477</v>
      </c>
      <c r="BF314">
        <v>22.819210000000002</v>
      </c>
      <c r="BG314">
        <v>229.02475000000001</v>
      </c>
      <c r="BH314">
        <v>22.819208809999999</v>
      </c>
    </row>
    <row r="315" spans="1:60">
      <c r="A315">
        <v>46060</v>
      </c>
      <c r="B315" t="s">
        <v>522</v>
      </c>
      <c r="C315">
        <v>35391.06</v>
      </c>
      <c r="D315">
        <v>520444</v>
      </c>
      <c r="E315">
        <v>1009832</v>
      </c>
      <c r="F315">
        <v>2.5345800000000002E-2</v>
      </c>
      <c r="G315">
        <f t="shared" si="15"/>
        <v>25345.800000000003</v>
      </c>
      <c r="H315" s="51">
        <f t="shared" si="16"/>
        <v>25594999905.600002</v>
      </c>
      <c r="I315">
        <v>327.44110000000001</v>
      </c>
      <c r="J315">
        <v>10.474209999999999</v>
      </c>
      <c r="K315">
        <v>-3.6751420000000001</v>
      </c>
      <c r="L315">
        <v>7.3465850000000001</v>
      </c>
      <c r="M315">
        <v>-1.3328150000000001</v>
      </c>
      <c r="N315">
        <v>13.825290000000001</v>
      </c>
      <c r="O315">
        <v>4.9319999999999995E-4</v>
      </c>
      <c r="P315">
        <v>0</v>
      </c>
      <c r="Q315">
        <v>858.24890000000005</v>
      </c>
      <c r="R315">
        <v>1550.8910000000001</v>
      </c>
      <c r="S315">
        <v>0</v>
      </c>
      <c r="T315">
        <v>0</v>
      </c>
      <c r="U315">
        <v>498.21499999999997</v>
      </c>
      <c r="V315">
        <v>1009832</v>
      </c>
      <c r="W315">
        <v>0</v>
      </c>
      <c r="X315">
        <v>4.9339999999999996E-4</v>
      </c>
      <c r="Y315">
        <v>0</v>
      </c>
      <c r="Z315">
        <v>5.42348E-2</v>
      </c>
      <c r="AB315">
        <v>411</v>
      </c>
      <c r="AE315">
        <v>0</v>
      </c>
      <c r="AF315">
        <v>1.521541</v>
      </c>
      <c r="AH315">
        <v>11.081340000000001</v>
      </c>
      <c r="AJ315">
        <v>10.560460000000001</v>
      </c>
      <c r="AK315">
        <v>11.097099999999999</v>
      </c>
      <c r="AL315">
        <v>10.72223</v>
      </c>
      <c r="AM315">
        <v>10.02651</v>
      </c>
      <c r="AN315">
        <v>10.605650000000001</v>
      </c>
      <c r="AO315">
        <v>10.850519999999999</v>
      </c>
      <c r="AP315">
        <v>10.674390000000001</v>
      </c>
      <c r="AQ315">
        <v>10.341839999999999</v>
      </c>
      <c r="AR315">
        <v>10.825100000000001</v>
      </c>
      <c r="AS315">
        <v>11.26328</v>
      </c>
      <c r="AT315">
        <v>10.02713</v>
      </c>
      <c r="AU315">
        <v>10.25243</v>
      </c>
      <c r="AV315">
        <v>10.64636</v>
      </c>
      <c r="AW315">
        <v>9.8716460000000001</v>
      </c>
      <c r="AX315">
        <v>9.5850449999999991</v>
      </c>
      <c r="AY315">
        <v>10.07957</v>
      </c>
      <c r="BA315">
        <v>0</v>
      </c>
      <c r="BB315" t="str">
        <f t="shared" si="17"/>
        <v/>
      </c>
      <c r="BC315">
        <v>7560203</v>
      </c>
      <c r="BD315">
        <v>9186.2659999999996</v>
      </c>
      <c r="BE315">
        <v>356493300</v>
      </c>
      <c r="BF315">
        <v>137.64279999999999</v>
      </c>
      <c r="BG315">
        <v>9189.1311999999998</v>
      </c>
      <c r="BH315">
        <v>137.64283850000001</v>
      </c>
    </row>
    <row r="316" spans="1:60">
      <c r="A316">
        <v>46140</v>
      </c>
      <c r="B316" t="s">
        <v>523</v>
      </c>
      <c r="C316">
        <v>40439.620000000003</v>
      </c>
      <c r="D316">
        <v>585325</v>
      </c>
      <c r="E316">
        <v>916037</v>
      </c>
      <c r="F316">
        <v>4.5627000000000001E-2</v>
      </c>
      <c r="G316">
        <f t="shared" si="15"/>
        <v>45627</v>
      </c>
      <c r="H316" s="51">
        <f t="shared" si="16"/>
        <v>41796020199</v>
      </c>
      <c r="I316">
        <v>348.31180000000001</v>
      </c>
      <c r="J316">
        <v>10.607559999999999</v>
      </c>
      <c r="K316">
        <v>-3.087256</v>
      </c>
      <c r="L316">
        <v>7.5228700000000002</v>
      </c>
      <c r="M316">
        <v>-1.523569</v>
      </c>
      <c r="N316">
        <v>13.72781</v>
      </c>
      <c r="O316">
        <v>1.0517E-3</v>
      </c>
      <c r="P316">
        <v>0</v>
      </c>
      <c r="Q316">
        <v>993.96289999999999</v>
      </c>
      <c r="R316">
        <v>1849.8689999999999</v>
      </c>
      <c r="S316">
        <v>0</v>
      </c>
      <c r="T316">
        <v>0</v>
      </c>
      <c r="U316">
        <v>963.86599999999999</v>
      </c>
      <c r="V316">
        <v>916037</v>
      </c>
      <c r="W316">
        <v>0</v>
      </c>
      <c r="X316">
        <v>1.0522000000000001E-3</v>
      </c>
      <c r="Y316">
        <v>0</v>
      </c>
      <c r="Z316">
        <v>0.1534596</v>
      </c>
      <c r="AB316">
        <v>359</v>
      </c>
      <c r="AE316">
        <v>0</v>
      </c>
      <c r="AF316">
        <v>2.7672509999999999</v>
      </c>
      <c r="AH316">
        <v>11.38275</v>
      </c>
      <c r="AI316">
        <v>10.935280000000001</v>
      </c>
      <c r="AJ316">
        <v>10.70716</v>
      </c>
      <c r="AK316">
        <v>10.81569</v>
      </c>
      <c r="AL316">
        <v>10.92719</v>
      </c>
      <c r="AM316">
        <v>10.02303</v>
      </c>
      <c r="AN316">
        <v>10.77444</v>
      </c>
      <c r="AO316">
        <v>10.85403</v>
      </c>
      <c r="AP316">
        <v>10.901630000000001</v>
      </c>
      <c r="AQ316">
        <v>10.52819</v>
      </c>
      <c r="AR316">
        <v>10.93328</v>
      </c>
      <c r="AS316">
        <v>11.64035</v>
      </c>
      <c r="AT316">
        <v>10.203799999999999</v>
      </c>
      <c r="AU316">
        <v>10.354570000000001</v>
      </c>
      <c r="AV316">
        <v>10.5593</v>
      </c>
      <c r="AW316">
        <v>9.9500019999999996</v>
      </c>
      <c r="AX316">
        <v>9.4346929999999993</v>
      </c>
      <c r="AY316">
        <v>10.035600000000001</v>
      </c>
      <c r="AZ316">
        <v>9.9430779999999999</v>
      </c>
      <c r="BA316">
        <v>0</v>
      </c>
      <c r="BB316" t="str">
        <f t="shared" si="17"/>
        <v/>
      </c>
      <c r="BC316">
        <v>2611001</v>
      </c>
      <c r="BD316">
        <v>6280.9089999999997</v>
      </c>
      <c r="BE316">
        <v>343343375</v>
      </c>
      <c r="BF316">
        <v>132.56559999999999</v>
      </c>
      <c r="BG316">
        <v>6460.1481999999996</v>
      </c>
      <c r="BH316">
        <v>132.56562389999999</v>
      </c>
    </row>
    <row r="317" spans="1:60">
      <c r="A317">
        <v>46220</v>
      </c>
      <c r="B317" t="s">
        <v>524</v>
      </c>
      <c r="C317">
        <v>35053.11</v>
      </c>
      <c r="D317">
        <v>121545</v>
      </c>
      <c r="E317">
        <v>208902</v>
      </c>
      <c r="F317">
        <v>3.1105500000000001E-2</v>
      </c>
      <c r="G317">
        <f t="shared" si="15"/>
        <v>31105.5</v>
      </c>
      <c r="H317" s="51">
        <f t="shared" si="16"/>
        <v>6498001161</v>
      </c>
      <c r="I317">
        <v>77.777569999999997</v>
      </c>
      <c r="J317">
        <v>10.46462</v>
      </c>
      <c r="K317">
        <v>-3.4703710000000001</v>
      </c>
      <c r="L317">
        <v>6.9174899999999999</v>
      </c>
      <c r="M317">
        <v>-1.6538200000000001</v>
      </c>
      <c r="N317">
        <v>12.24962</v>
      </c>
      <c r="O317">
        <v>1.7462999999999999E-3</v>
      </c>
      <c r="P317">
        <v>0</v>
      </c>
      <c r="Q317">
        <v>771.34059999999999</v>
      </c>
      <c r="R317">
        <v>1009.782</v>
      </c>
      <c r="S317">
        <v>0</v>
      </c>
      <c r="T317">
        <v>0</v>
      </c>
      <c r="U317">
        <v>365.11399999999998</v>
      </c>
      <c r="V317">
        <v>208902</v>
      </c>
      <c r="W317">
        <v>0</v>
      </c>
      <c r="X317">
        <v>1.7478000000000001E-3</v>
      </c>
      <c r="Y317">
        <v>0</v>
      </c>
      <c r="Z317">
        <v>0.13967789999999999</v>
      </c>
      <c r="AB317">
        <v>334</v>
      </c>
      <c r="AE317">
        <v>0</v>
      </c>
      <c r="AF317">
        <v>4.6943359999999998</v>
      </c>
      <c r="AG317">
        <v>10.59774</v>
      </c>
      <c r="AI317">
        <v>11.106159999999999</v>
      </c>
      <c r="AJ317">
        <v>10.558630000000001</v>
      </c>
      <c r="AK317">
        <v>10.92417</v>
      </c>
      <c r="AL317">
        <v>10.655049999999999</v>
      </c>
      <c r="AM317">
        <v>9.9373459999999998</v>
      </c>
      <c r="AN317">
        <v>10.518459999999999</v>
      </c>
      <c r="AO317">
        <v>10.75874</v>
      </c>
      <c r="AP317">
        <v>10.75154</v>
      </c>
      <c r="AQ317">
        <v>10.21271</v>
      </c>
      <c r="AR317">
        <v>10.426539999999999</v>
      </c>
      <c r="AS317">
        <v>11.40326</v>
      </c>
      <c r="AT317">
        <v>9.9201540000000001</v>
      </c>
      <c r="AU317">
        <v>9.7530280000000005</v>
      </c>
      <c r="AV317">
        <v>10.657970000000001</v>
      </c>
      <c r="AW317">
        <v>9.6564110000000003</v>
      </c>
      <c r="AX317">
        <v>9.2926500000000001</v>
      </c>
      <c r="AY317">
        <v>9.7884309999999992</v>
      </c>
      <c r="BA317">
        <v>0</v>
      </c>
      <c r="BB317" t="str">
        <f t="shared" si="17"/>
        <v/>
      </c>
      <c r="BC317">
        <v>236131</v>
      </c>
      <c r="BD317">
        <v>2613.971</v>
      </c>
      <c r="BE317">
        <v>125146569</v>
      </c>
      <c r="BF317">
        <v>48.319360000000003</v>
      </c>
      <c r="BG317">
        <v>2667.6891000000001</v>
      </c>
      <c r="BH317">
        <v>48.319362480000002</v>
      </c>
    </row>
    <row r="318" spans="1:60">
      <c r="A318">
        <v>46340</v>
      </c>
      <c r="B318" t="s">
        <v>1007</v>
      </c>
      <c r="C318">
        <v>36975.11</v>
      </c>
      <c r="D318">
        <v>131832</v>
      </c>
      <c r="E318">
        <v>201160</v>
      </c>
      <c r="F318">
        <v>3.9103199999999998E-2</v>
      </c>
      <c r="G318">
        <f t="shared" si="15"/>
        <v>39103.199999999997</v>
      </c>
      <c r="H318" s="51">
        <f t="shared" si="16"/>
        <v>7865999712</v>
      </c>
      <c r="I318">
        <v>64.223820000000003</v>
      </c>
      <c r="J318">
        <v>10.518000000000001</v>
      </c>
      <c r="K318">
        <v>-3.2415509999999998</v>
      </c>
      <c r="L318">
        <v>7.2788930000000001</v>
      </c>
      <c r="M318">
        <v>-1.500159</v>
      </c>
      <c r="N318">
        <v>12.21186</v>
      </c>
      <c r="O318">
        <v>1.1747999999999999E-3</v>
      </c>
      <c r="P318">
        <v>0</v>
      </c>
      <c r="Q318">
        <v>1011.12</v>
      </c>
      <c r="R318">
        <v>1449.3820000000001</v>
      </c>
      <c r="S318">
        <v>0</v>
      </c>
      <c r="T318">
        <v>0</v>
      </c>
      <c r="U318">
        <v>236.46610000000001</v>
      </c>
      <c r="V318">
        <v>201160</v>
      </c>
      <c r="W318">
        <v>0</v>
      </c>
      <c r="X318">
        <v>1.1754999999999999E-3</v>
      </c>
      <c r="Y318">
        <v>0</v>
      </c>
      <c r="Z318">
        <v>0.25470739999999997</v>
      </c>
      <c r="AE318">
        <v>0</v>
      </c>
      <c r="AF318">
        <v>3.6819060000000001</v>
      </c>
      <c r="AG318">
        <v>10.60751</v>
      </c>
      <c r="AH318">
        <v>10.98706</v>
      </c>
      <c r="AI318">
        <v>10.834519999999999</v>
      </c>
      <c r="AJ318">
        <v>10.55803</v>
      </c>
      <c r="AK318">
        <v>10.737740000000001</v>
      </c>
      <c r="AL318">
        <v>10.778650000000001</v>
      </c>
      <c r="AM318">
        <v>10.089969999999999</v>
      </c>
      <c r="AN318">
        <v>10.52032</v>
      </c>
      <c r="AO318">
        <v>10.64212</v>
      </c>
      <c r="AP318">
        <v>10.87978</v>
      </c>
      <c r="AQ318">
        <v>10.5261</v>
      </c>
      <c r="AR318">
        <v>11.09944</v>
      </c>
      <c r="AT318">
        <v>10.007429999999999</v>
      </c>
      <c r="AU318">
        <v>10.21904</v>
      </c>
      <c r="AV318">
        <v>10.69553</v>
      </c>
      <c r="AW318">
        <v>9.9765639999999998</v>
      </c>
      <c r="AX318">
        <v>9.4649429999999999</v>
      </c>
      <c r="AY318">
        <v>10.072050000000001</v>
      </c>
      <c r="AZ318">
        <v>10.60162</v>
      </c>
      <c r="BB318" t="str">
        <f t="shared" si="17"/>
        <v/>
      </c>
      <c r="BD318">
        <v>928.38319999999999</v>
      </c>
      <c r="BE318">
        <v>109083202</v>
      </c>
      <c r="BF318">
        <v>42.117260000000002</v>
      </c>
      <c r="BG318">
        <v>949.71911999999998</v>
      </c>
      <c r="BH318">
        <v>42.117261550000002</v>
      </c>
    </row>
    <row r="319" spans="1:60">
      <c r="A319">
        <v>46540</v>
      </c>
      <c r="B319" t="s">
        <v>525</v>
      </c>
      <c r="C319">
        <v>31950.880000000001</v>
      </c>
      <c r="D319">
        <v>163507</v>
      </c>
      <c r="E319">
        <v>292833</v>
      </c>
      <c r="F319">
        <v>2.2719400000000001E-2</v>
      </c>
      <c r="G319">
        <f t="shared" si="15"/>
        <v>22719.4</v>
      </c>
      <c r="H319" s="51">
        <f t="shared" si="16"/>
        <v>6652990060.1999998</v>
      </c>
      <c r="I319">
        <v>89.315079999999995</v>
      </c>
      <c r="J319">
        <v>10.37195</v>
      </c>
      <c r="K319">
        <v>-3.784535</v>
      </c>
      <c r="L319">
        <v>7.4778079999999996</v>
      </c>
      <c r="M319">
        <v>-1.674939</v>
      </c>
      <c r="N319">
        <v>12.58736</v>
      </c>
      <c r="O319">
        <v>1.8201000000000001E-3</v>
      </c>
      <c r="P319">
        <v>0</v>
      </c>
      <c r="Q319">
        <v>898.16859999999997</v>
      </c>
      <c r="R319">
        <v>1768.36</v>
      </c>
      <c r="S319">
        <v>0</v>
      </c>
      <c r="T319">
        <v>0</v>
      </c>
      <c r="U319">
        <v>533.46749999999997</v>
      </c>
      <c r="V319">
        <v>292833</v>
      </c>
      <c r="W319">
        <v>0</v>
      </c>
      <c r="X319">
        <v>1.8217000000000001E-3</v>
      </c>
      <c r="Y319">
        <v>0</v>
      </c>
      <c r="Z319">
        <v>0.20330680000000001</v>
      </c>
      <c r="AB319">
        <v>228</v>
      </c>
      <c r="AE319">
        <v>0</v>
      </c>
      <c r="AF319">
        <v>5.9728709999999996</v>
      </c>
      <c r="AG319">
        <v>10.515140000000001</v>
      </c>
      <c r="AH319">
        <v>10.837859999999999</v>
      </c>
      <c r="AJ319">
        <v>10.743840000000001</v>
      </c>
      <c r="AK319">
        <v>10.602729999999999</v>
      </c>
      <c r="AL319">
        <v>10.608169999999999</v>
      </c>
      <c r="AM319">
        <v>9.950958</v>
      </c>
      <c r="AN319">
        <v>10.46025</v>
      </c>
      <c r="AO319">
        <v>10.389010000000001</v>
      </c>
      <c r="AP319">
        <v>10.775840000000001</v>
      </c>
      <c r="AQ319">
        <v>10.06235</v>
      </c>
      <c r="AR319">
        <v>10.808070000000001</v>
      </c>
      <c r="AS319">
        <v>10.634740000000001</v>
      </c>
      <c r="AT319">
        <v>10.09807</v>
      </c>
      <c r="AU319">
        <v>10.101749999999999</v>
      </c>
      <c r="AV319">
        <v>10.453799999999999</v>
      </c>
      <c r="AW319">
        <v>9.6713489999999993</v>
      </c>
      <c r="AX319">
        <v>9.7815930000000009</v>
      </c>
      <c r="AY319">
        <v>9.8398640000000004</v>
      </c>
      <c r="BA319">
        <v>0</v>
      </c>
      <c r="BB319" t="str">
        <f t="shared" si="17"/>
        <v/>
      </c>
      <c r="BC319">
        <v>1066067</v>
      </c>
      <c r="BD319">
        <v>2623.953</v>
      </c>
      <c r="BE319">
        <v>68966368</v>
      </c>
      <c r="BF319">
        <v>26.628060000000001</v>
      </c>
      <c r="BG319">
        <v>2715.6808999999998</v>
      </c>
      <c r="BH319">
        <v>26.628064689999999</v>
      </c>
    </row>
    <row r="320" spans="1:60">
      <c r="A320">
        <v>46660</v>
      </c>
      <c r="B320" t="s">
        <v>1244</v>
      </c>
      <c r="C320">
        <v>26947.19</v>
      </c>
      <c r="D320">
        <v>76697</v>
      </c>
      <c r="E320">
        <v>133675</v>
      </c>
      <c r="F320">
        <v>2.1574699999999999E-2</v>
      </c>
      <c r="G320">
        <f t="shared" si="15"/>
        <v>21574.699999999997</v>
      </c>
      <c r="H320" s="51">
        <f t="shared" si="16"/>
        <v>2883998022.5</v>
      </c>
      <c r="I320">
        <v>47.857140000000001</v>
      </c>
      <c r="J320">
        <v>10.20163</v>
      </c>
      <c r="K320">
        <v>-3.836233</v>
      </c>
      <c r="L320">
        <v>7.0492309999999998</v>
      </c>
      <c r="M320">
        <v>-1.8801639999999999</v>
      </c>
      <c r="N320">
        <v>11.80317</v>
      </c>
      <c r="O320">
        <v>2.3280000000000002E-3</v>
      </c>
      <c r="P320">
        <v>0</v>
      </c>
      <c r="Q320">
        <v>703.97019999999998</v>
      </c>
      <c r="R320">
        <v>1151.972</v>
      </c>
      <c r="S320">
        <v>0</v>
      </c>
      <c r="T320">
        <v>0</v>
      </c>
      <c r="U320">
        <v>311.55599999999998</v>
      </c>
      <c r="V320">
        <v>133675</v>
      </c>
      <c r="W320">
        <v>0</v>
      </c>
      <c r="X320">
        <v>2.3306999999999998E-3</v>
      </c>
      <c r="Y320">
        <v>0</v>
      </c>
      <c r="Z320">
        <v>0.19609589999999999</v>
      </c>
      <c r="AE320">
        <v>0</v>
      </c>
      <c r="AF320">
        <v>6.5101250000000004</v>
      </c>
      <c r="AG320">
        <v>10.60342</v>
      </c>
      <c r="AJ320">
        <v>10.458299999999999</v>
      </c>
      <c r="AK320">
        <v>10.412850000000001</v>
      </c>
      <c r="AL320">
        <v>10.451599999999999</v>
      </c>
      <c r="AM320">
        <v>9.9265159999999995</v>
      </c>
      <c r="AN320">
        <v>10.453340000000001</v>
      </c>
      <c r="AO320">
        <v>10.272959999999999</v>
      </c>
      <c r="AP320">
        <v>10.576140000000001</v>
      </c>
      <c r="AQ320">
        <v>10.24884</v>
      </c>
      <c r="AR320">
        <v>10.64719</v>
      </c>
      <c r="AS320">
        <v>10.47622</v>
      </c>
      <c r="AT320">
        <v>9.8408499999999997</v>
      </c>
      <c r="AU320">
        <v>9.8379320000000003</v>
      </c>
      <c r="AV320">
        <v>10.48061</v>
      </c>
      <c r="AW320">
        <v>9.5560690000000008</v>
      </c>
      <c r="AX320">
        <v>9.2509840000000008</v>
      </c>
      <c r="AY320">
        <v>9.7146749999999997</v>
      </c>
      <c r="BB320" t="str">
        <f t="shared" si="17"/>
        <v/>
      </c>
      <c r="BD320">
        <v>1588.7940000000001</v>
      </c>
      <c r="BE320">
        <v>65884430</v>
      </c>
      <c r="BF320">
        <v>25.438120000000001</v>
      </c>
      <c r="BG320">
        <v>1629.0488</v>
      </c>
      <c r="BH320">
        <v>25.438121720000002</v>
      </c>
    </row>
    <row r="321" spans="1:60">
      <c r="A321">
        <v>46700</v>
      </c>
      <c r="B321" t="s">
        <v>1008</v>
      </c>
      <c r="C321">
        <v>39411.39</v>
      </c>
      <c r="D321">
        <v>173682</v>
      </c>
      <c r="E321">
        <v>406293</v>
      </c>
      <c r="F321">
        <v>2.60822E-2</v>
      </c>
      <c r="G321">
        <f t="shared" si="15"/>
        <v>26082.2</v>
      </c>
      <c r="H321" s="51">
        <f t="shared" si="16"/>
        <v>10597015284.6</v>
      </c>
      <c r="I321">
        <v>92.503029999999995</v>
      </c>
      <c r="J321">
        <v>10.581810000000001</v>
      </c>
      <c r="K321">
        <v>-3.6465040000000002</v>
      </c>
      <c r="L321">
        <v>7.0442650000000002</v>
      </c>
      <c r="M321">
        <v>-1.6174109999999999</v>
      </c>
      <c r="N321">
        <v>12.91483</v>
      </c>
      <c r="O321">
        <v>5.5539999999999995E-4</v>
      </c>
      <c r="P321">
        <v>0</v>
      </c>
      <c r="Q321">
        <v>869.20399999999995</v>
      </c>
      <c r="R321">
        <v>1146.2660000000001</v>
      </c>
      <c r="S321">
        <v>0</v>
      </c>
      <c r="T321">
        <v>0</v>
      </c>
      <c r="U321">
        <v>225.7312</v>
      </c>
      <c r="V321">
        <v>406293</v>
      </c>
      <c r="W321">
        <v>0</v>
      </c>
      <c r="X321">
        <v>5.5559999999999995E-4</v>
      </c>
      <c r="Y321">
        <v>0</v>
      </c>
      <c r="Z321">
        <v>0.2722309</v>
      </c>
      <c r="AE321">
        <v>0</v>
      </c>
      <c r="AF321">
        <v>2.4402569999999999</v>
      </c>
      <c r="AG321">
        <v>9.7347110000000008</v>
      </c>
      <c r="AJ321">
        <v>10.80528</v>
      </c>
      <c r="AK321">
        <v>11.02985</v>
      </c>
      <c r="AL321">
        <v>10.807230000000001</v>
      </c>
      <c r="AM321">
        <v>10.142379999999999</v>
      </c>
      <c r="AN321">
        <v>10.5632</v>
      </c>
      <c r="AO321">
        <v>10.876659999999999</v>
      </c>
      <c r="AP321">
        <v>10.89053</v>
      </c>
      <c r="AQ321">
        <v>10.4146</v>
      </c>
      <c r="AR321">
        <v>10.642989999999999</v>
      </c>
      <c r="AT321">
        <v>10.09075</v>
      </c>
      <c r="AV321">
        <v>10.905519999999999</v>
      </c>
      <c r="AW321">
        <v>9.5364269999999998</v>
      </c>
      <c r="AX321">
        <v>9.5036529999999999</v>
      </c>
      <c r="AY321">
        <v>10.19462</v>
      </c>
      <c r="BB321" t="str">
        <f t="shared" si="17"/>
        <v/>
      </c>
      <c r="BD321">
        <v>829.19010000000003</v>
      </c>
      <c r="BE321">
        <v>111872372</v>
      </c>
      <c r="BF321">
        <v>43.194159999999997</v>
      </c>
      <c r="BG321">
        <v>906.19260999999995</v>
      </c>
      <c r="BH321">
        <v>43.194166150000001</v>
      </c>
    </row>
    <row r="322" spans="1:60">
      <c r="A322">
        <v>47020</v>
      </c>
      <c r="B322" t="s">
        <v>526</v>
      </c>
      <c r="C322">
        <v>36814.11</v>
      </c>
      <c r="D322">
        <v>70584</v>
      </c>
      <c r="E322">
        <v>114256</v>
      </c>
      <c r="F322">
        <v>4.4251499999999999E-2</v>
      </c>
      <c r="G322">
        <f t="shared" si="15"/>
        <v>44251.5</v>
      </c>
      <c r="H322" s="51">
        <f t="shared" si="16"/>
        <v>5055999384</v>
      </c>
      <c r="I322">
        <v>55.932589999999998</v>
      </c>
      <c r="J322">
        <v>10.513640000000001</v>
      </c>
      <c r="K322">
        <v>-3.1178659999999998</v>
      </c>
      <c r="L322">
        <v>6.2838329999999996</v>
      </c>
      <c r="M322">
        <v>-1.9055839999999999</v>
      </c>
      <c r="N322">
        <v>11.6462</v>
      </c>
      <c r="O322">
        <v>1.964E-3</v>
      </c>
      <c r="P322">
        <v>0</v>
      </c>
      <c r="Q322">
        <v>526.86630000000002</v>
      </c>
      <c r="R322">
        <v>535.83839999999998</v>
      </c>
      <c r="S322">
        <v>0</v>
      </c>
      <c r="T322">
        <v>0</v>
      </c>
      <c r="U322">
        <v>224.62289999999999</v>
      </c>
      <c r="V322">
        <v>114256</v>
      </c>
      <c r="W322">
        <v>0</v>
      </c>
      <c r="X322">
        <v>1.9659999999999999E-3</v>
      </c>
      <c r="Y322">
        <v>0</v>
      </c>
      <c r="Z322">
        <v>9.9906300000000003E-2</v>
      </c>
      <c r="AB322">
        <v>114</v>
      </c>
      <c r="AE322">
        <v>0</v>
      </c>
      <c r="AF322">
        <v>4.0159580000000004</v>
      </c>
      <c r="AH322">
        <v>10.88782</v>
      </c>
      <c r="AI322">
        <v>11.193289999999999</v>
      </c>
      <c r="AJ322">
        <v>10.524889999999999</v>
      </c>
      <c r="AK322">
        <v>11.189859999999999</v>
      </c>
      <c r="AL322">
        <v>10.74005</v>
      </c>
      <c r="AM322">
        <v>10.049620000000001</v>
      </c>
      <c r="AN322">
        <v>10.719189999999999</v>
      </c>
      <c r="AO322">
        <v>10.546049999999999</v>
      </c>
      <c r="AP322">
        <v>10.62032</v>
      </c>
      <c r="AQ322">
        <v>10.69847</v>
      </c>
      <c r="AR322">
        <v>10.690200000000001</v>
      </c>
      <c r="AT322">
        <v>9.8290059999999997</v>
      </c>
      <c r="AU322">
        <v>9.8997069999999994</v>
      </c>
      <c r="AV322">
        <v>10.561450000000001</v>
      </c>
      <c r="AW322">
        <v>9.7375959999999999</v>
      </c>
      <c r="AX322">
        <v>9.3665959999999995</v>
      </c>
      <c r="AY322">
        <v>10.168229999999999</v>
      </c>
      <c r="BA322">
        <v>0</v>
      </c>
      <c r="BB322" t="str">
        <f t="shared" si="17"/>
        <v/>
      </c>
      <c r="BC322">
        <v>359433</v>
      </c>
      <c r="BD322">
        <v>2248.337</v>
      </c>
      <c r="BE322">
        <v>125913311</v>
      </c>
      <c r="BF322">
        <v>48.615400000000001</v>
      </c>
      <c r="BG322">
        <v>2780.8663000000001</v>
      </c>
      <c r="BH322">
        <v>48.615403239999999</v>
      </c>
    </row>
    <row r="323" spans="1:60">
      <c r="A323">
        <v>47220</v>
      </c>
      <c r="B323" t="s">
        <v>1245</v>
      </c>
      <c r="C323">
        <v>34989.769999999997</v>
      </c>
      <c r="D323">
        <v>76001</v>
      </c>
      <c r="E323">
        <v>156784</v>
      </c>
      <c r="F323">
        <v>2.4900499999999999E-2</v>
      </c>
      <c r="G323">
        <f t="shared" si="15"/>
        <v>24900.5</v>
      </c>
      <c r="H323" s="51">
        <f t="shared" si="16"/>
        <v>3903999992</v>
      </c>
      <c r="I323">
        <v>71.652169999999998</v>
      </c>
      <c r="J323">
        <v>10.462809999999999</v>
      </c>
      <c r="K323">
        <v>-3.6928670000000001</v>
      </c>
      <c r="L323">
        <v>6.450323</v>
      </c>
      <c r="M323">
        <v>-2.1376400000000002</v>
      </c>
      <c r="N323">
        <v>11.962619999999999</v>
      </c>
      <c r="O323">
        <v>5.6849999999999999E-4</v>
      </c>
      <c r="P323">
        <v>0</v>
      </c>
      <c r="Q323">
        <v>506.93509999999998</v>
      </c>
      <c r="R323">
        <v>632.9067</v>
      </c>
      <c r="S323">
        <v>0</v>
      </c>
      <c r="T323">
        <v>0</v>
      </c>
      <c r="U323">
        <v>89.159790000000001</v>
      </c>
      <c r="V323">
        <v>156784</v>
      </c>
      <c r="W323">
        <v>0</v>
      </c>
      <c r="X323">
        <v>5.687E-4</v>
      </c>
      <c r="Y323">
        <v>0</v>
      </c>
      <c r="Z323">
        <v>0.1822202</v>
      </c>
      <c r="AE323">
        <v>0</v>
      </c>
      <c r="AF323">
        <v>1.2443420000000001</v>
      </c>
      <c r="AI323">
        <v>11.432589999999999</v>
      </c>
      <c r="AJ323">
        <v>10.895429999999999</v>
      </c>
      <c r="AK323">
        <v>10.687849999999999</v>
      </c>
      <c r="AL323">
        <v>10.64296</v>
      </c>
      <c r="AM323">
        <v>10.10591</v>
      </c>
      <c r="AN323">
        <v>10.466850000000001</v>
      </c>
      <c r="AO323">
        <v>10.600339999999999</v>
      </c>
      <c r="AP323">
        <v>10.77352</v>
      </c>
      <c r="AQ323">
        <v>10.40011</v>
      </c>
      <c r="AR323">
        <v>10.527670000000001</v>
      </c>
      <c r="AT323">
        <v>10.22659</v>
      </c>
      <c r="AU323">
        <v>10.121589999999999</v>
      </c>
      <c r="AV323">
        <v>10.545590000000001</v>
      </c>
      <c r="AW323">
        <v>9.9965980000000005</v>
      </c>
      <c r="AX323">
        <v>9.4140479999999993</v>
      </c>
      <c r="AY323">
        <v>9.9501159999999995</v>
      </c>
      <c r="BB323" t="str">
        <f t="shared" si="17"/>
        <v/>
      </c>
      <c r="BD323">
        <v>489.29700000000003</v>
      </c>
      <c r="BE323">
        <v>138701413</v>
      </c>
      <c r="BF323">
        <v>53.552909999999997</v>
      </c>
      <c r="BG323">
        <v>677.62097000000006</v>
      </c>
      <c r="BH323">
        <v>53.552917229999998</v>
      </c>
    </row>
    <row r="324" spans="1:60">
      <c r="A324">
        <v>47260</v>
      </c>
      <c r="B324" t="s">
        <v>527</v>
      </c>
      <c r="C324">
        <v>34901.74</v>
      </c>
      <c r="D324">
        <v>1046118</v>
      </c>
      <c r="E324">
        <v>1670225</v>
      </c>
      <c r="F324">
        <v>3.2670999999999999E-2</v>
      </c>
      <c r="G324">
        <f t="shared" si="15"/>
        <v>32671</v>
      </c>
      <c r="H324" s="51">
        <f t="shared" si="16"/>
        <v>54567920975</v>
      </c>
      <c r="I324">
        <v>554.72850000000005</v>
      </c>
      <c r="J324">
        <v>10.460290000000001</v>
      </c>
      <c r="K324">
        <v>-3.4212660000000001</v>
      </c>
      <c r="L324">
        <v>7.1915630000000004</v>
      </c>
      <c r="M324">
        <v>-1.518249</v>
      </c>
      <c r="N324">
        <v>14.328469999999999</v>
      </c>
      <c r="O324">
        <v>4.2269999999999997E-4</v>
      </c>
      <c r="P324">
        <v>0</v>
      </c>
      <c r="Q324">
        <v>1078.848</v>
      </c>
      <c r="R324">
        <v>1328.1780000000001</v>
      </c>
      <c r="S324">
        <v>0</v>
      </c>
      <c r="T324">
        <v>0</v>
      </c>
      <c r="U324">
        <v>706.16549999999995</v>
      </c>
      <c r="V324">
        <v>1670225</v>
      </c>
      <c r="W324">
        <v>0</v>
      </c>
      <c r="X324">
        <v>4.2279999999999998E-4</v>
      </c>
      <c r="Y324">
        <v>0</v>
      </c>
      <c r="Z324">
        <v>0.2998653</v>
      </c>
      <c r="AB324">
        <v>1180</v>
      </c>
      <c r="AE324">
        <v>0</v>
      </c>
      <c r="AF324">
        <v>1.272993</v>
      </c>
      <c r="AG324">
        <v>10.56038</v>
      </c>
      <c r="AH324">
        <v>10.42699</v>
      </c>
      <c r="AJ324">
        <v>10.5968</v>
      </c>
      <c r="AK324">
        <v>10.66691</v>
      </c>
      <c r="AL324">
        <v>10.795489999999999</v>
      </c>
      <c r="AM324">
        <v>9.9841920000000002</v>
      </c>
      <c r="AN324">
        <v>10.62697</v>
      </c>
      <c r="AO324">
        <v>10.787240000000001</v>
      </c>
      <c r="AP324">
        <v>10.7508</v>
      </c>
      <c r="AQ324">
        <v>10.438689999999999</v>
      </c>
      <c r="AR324">
        <v>10.89128</v>
      </c>
      <c r="AS324">
        <v>11.416790000000001</v>
      </c>
      <c r="AT324">
        <v>10.331770000000001</v>
      </c>
      <c r="AU324">
        <v>10.19267</v>
      </c>
      <c r="AV324">
        <v>10.64118</v>
      </c>
      <c r="AW324">
        <v>9.711805</v>
      </c>
      <c r="AX324">
        <v>9.4848160000000004</v>
      </c>
      <c r="AY324">
        <v>10.04354</v>
      </c>
      <c r="AZ324">
        <v>10.35858</v>
      </c>
      <c r="BA324">
        <v>0</v>
      </c>
      <c r="BB324" t="str">
        <f t="shared" si="17"/>
        <v/>
      </c>
      <c r="BC324" s="14">
        <v>12100000</v>
      </c>
      <c r="BD324">
        <v>2354.9430000000002</v>
      </c>
      <c r="BE324">
        <v>880604921</v>
      </c>
      <c r="BF324">
        <v>340.0034</v>
      </c>
      <c r="BG324">
        <v>3897.6239</v>
      </c>
      <c r="BH324">
        <v>340.00347529999999</v>
      </c>
    </row>
    <row r="325" spans="1:60">
      <c r="A325">
        <v>47300</v>
      </c>
      <c r="B325" t="s">
        <v>528</v>
      </c>
      <c r="C325">
        <v>31968.18</v>
      </c>
      <c r="D325">
        <v>192374</v>
      </c>
      <c r="E325">
        <v>422343</v>
      </c>
      <c r="F325">
        <v>2.25764E-2</v>
      </c>
      <c r="G325">
        <f t="shared" si="15"/>
        <v>22576.400000000001</v>
      </c>
      <c r="H325" s="51">
        <f t="shared" si="16"/>
        <v>9534984505.2000008</v>
      </c>
      <c r="I325">
        <v>104.28319999999999</v>
      </c>
      <c r="J325">
        <v>10.3725</v>
      </c>
      <c r="K325">
        <v>-3.790848</v>
      </c>
      <c r="L325">
        <v>7.2619639999999999</v>
      </c>
      <c r="M325">
        <v>-2.276157</v>
      </c>
      <c r="N325">
        <v>12.953569999999999</v>
      </c>
      <c r="O325">
        <v>1.073E-3</v>
      </c>
      <c r="P325">
        <v>0</v>
      </c>
      <c r="Q325">
        <v>837.08569999999997</v>
      </c>
      <c r="R325">
        <v>1425.0530000000001</v>
      </c>
      <c r="S325">
        <v>0</v>
      </c>
      <c r="T325">
        <v>0</v>
      </c>
      <c r="U325">
        <v>453.43419999999998</v>
      </c>
      <c r="V325">
        <v>422343</v>
      </c>
      <c r="W325">
        <v>0</v>
      </c>
      <c r="X325">
        <v>1.0736000000000001E-3</v>
      </c>
      <c r="Y325">
        <v>0</v>
      </c>
      <c r="Z325">
        <v>9.3996099999999999E-2</v>
      </c>
      <c r="AB325">
        <v>462</v>
      </c>
      <c r="AE325">
        <v>0</v>
      </c>
      <c r="AF325">
        <v>4.3481030000000001</v>
      </c>
      <c r="AG325">
        <v>10.39533</v>
      </c>
      <c r="AH325">
        <v>10.777139999999999</v>
      </c>
      <c r="AJ325">
        <v>10.54547</v>
      </c>
      <c r="AK325">
        <v>10.599640000000001</v>
      </c>
      <c r="AL325">
        <v>10.75545</v>
      </c>
      <c r="AM325">
        <v>10.073399999999999</v>
      </c>
      <c r="AN325">
        <v>10.582420000000001</v>
      </c>
      <c r="AO325">
        <v>10.599080000000001</v>
      </c>
      <c r="AP325">
        <v>10.69903</v>
      </c>
      <c r="AQ325">
        <v>10.10323</v>
      </c>
      <c r="AR325">
        <v>10.66109</v>
      </c>
      <c r="AS325">
        <v>11.064640000000001</v>
      </c>
      <c r="AT325">
        <v>9.8320570000000007</v>
      </c>
      <c r="AU325">
        <v>10.23504</v>
      </c>
      <c r="AV325">
        <v>10.531420000000001</v>
      </c>
      <c r="AW325">
        <v>9.8856149999999996</v>
      </c>
      <c r="AX325">
        <v>9.4681619999999995</v>
      </c>
      <c r="AY325">
        <v>10.06986</v>
      </c>
      <c r="BA325">
        <v>0</v>
      </c>
      <c r="BB325" t="str">
        <f t="shared" si="17"/>
        <v/>
      </c>
      <c r="BC325">
        <v>1484454</v>
      </c>
      <c r="BD325">
        <v>4823.9679999999998</v>
      </c>
      <c r="BE325">
        <v>101309316</v>
      </c>
      <c r="BF325">
        <v>39.115749999999998</v>
      </c>
      <c r="BG325">
        <v>4838.6365999999998</v>
      </c>
      <c r="BH325">
        <v>39.115747249999998</v>
      </c>
    </row>
    <row r="326" spans="1:60">
      <c r="A326">
        <v>47380</v>
      </c>
      <c r="B326" t="s">
        <v>529</v>
      </c>
      <c r="C326">
        <v>31016.01</v>
      </c>
      <c r="D326">
        <v>138139</v>
      </c>
      <c r="E326">
        <v>230849</v>
      </c>
      <c r="F326">
        <v>2.9699099999999999E-2</v>
      </c>
      <c r="G326">
        <f t="shared" si="15"/>
        <v>29699.1</v>
      </c>
      <c r="H326" s="51">
        <f t="shared" si="16"/>
        <v>6856007535.9000006</v>
      </c>
      <c r="I326">
        <v>72.743129999999994</v>
      </c>
      <c r="J326">
        <v>10.34226</v>
      </c>
      <c r="K326">
        <v>-3.5166400000000002</v>
      </c>
      <c r="L326">
        <v>7.1789230000000002</v>
      </c>
      <c r="M326">
        <v>-1.75936</v>
      </c>
      <c r="N326">
        <v>12.34952</v>
      </c>
      <c r="O326">
        <v>8.8080000000000005E-4</v>
      </c>
      <c r="P326">
        <v>0</v>
      </c>
      <c r="Q326">
        <v>937.0095</v>
      </c>
      <c r="R326">
        <v>1311.4939999999999</v>
      </c>
      <c r="S326">
        <v>0</v>
      </c>
      <c r="T326">
        <v>0</v>
      </c>
      <c r="U326">
        <v>203.4205</v>
      </c>
      <c r="V326">
        <v>230849</v>
      </c>
      <c r="W326">
        <v>0</v>
      </c>
      <c r="X326">
        <v>8.8119999999999995E-4</v>
      </c>
      <c r="Y326">
        <v>0</v>
      </c>
      <c r="Z326">
        <v>0.1952431</v>
      </c>
      <c r="AB326">
        <v>237</v>
      </c>
      <c r="AE326">
        <v>0</v>
      </c>
      <c r="AF326">
        <v>2.7964220000000002</v>
      </c>
      <c r="AH326">
        <v>10.73668</v>
      </c>
      <c r="AI326">
        <v>11.00455</v>
      </c>
      <c r="AJ326">
        <v>10.466290000000001</v>
      </c>
      <c r="AK326">
        <v>10.625030000000001</v>
      </c>
      <c r="AL326">
        <v>10.55471</v>
      </c>
      <c r="AM326">
        <v>9.9529949999999996</v>
      </c>
      <c r="AN326">
        <v>10.3581</v>
      </c>
      <c r="AO326">
        <v>10.45134</v>
      </c>
      <c r="AP326">
        <v>10.76544</v>
      </c>
      <c r="AQ326">
        <v>10.5449</v>
      </c>
      <c r="AR326">
        <v>10.81948</v>
      </c>
      <c r="AS326">
        <v>10.61497</v>
      </c>
      <c r="AT326">
        <v>10.041359999999999</v>
      </c>
      <c r="AV326">
        <v>10.39921</v>
      </c>
      <c r="AW326">
        <v>9.5867760000000004</v>
      </c>
      <c r="AX326">
        <v>9.3296209999999995</v>
      </c>
      <c r="AY326">
        <v>9.9015939999999993</v>
      </c>
      <c r="BA326">
        <v>0</v>
      </c>
      <c r="BB326" t="str">
        <f t="shared" si="17"/>
        <v/>
      </c>
      <c r="BC326">
        <v>774477</v>
      </c>
      <c r="BD326">
        <v>1041.883</v>
      </c>
      <c r="BE326">
        <v>106925597</v>
      </c>
      <c r="BF326">
        <v>41.284199999999998</v>
      </c>
      <c r="BG326">
        <v>1060.2312999999999</v>
      </c>
      <c r="BH326">
        <v>41.284205559999997</v>
      </c>
    </row>
    <row r="327" spans="1:60">
      <c r="A327">
        <v>47580</v>
      </c>
      <c r="B327" t="s">
        <v>1246</v>
      </c>
      <c r="C327">
        <v>28744.71</v>
      </c>
      <c r="D327">
        <v>79274</v>
      </c>
      <c r="E327">
        <v>133470</v>
      </c>
      <c r="F327">
        <v>1.8970600000000001E-2</v>
      </c>
      <c r="G327">
        <f t="shared" si="15"/>
        <v>18970.600000000002</v>
      </c>
      <c r="H327" s="51">
        <f t="shared" si="16"/>
        <v>2532005982</v>
      </c>
      <c r="I327">
        <v>72.778549999999996</v>
      </c>
      <c r="J327">
        <v>10.266209999999999</v>
      </c>
      <c r="K327">
        <v>-3.9648669999999999</v>
      </c>
      <c r="L327">
        <v>6.4414189999999998</v>
      </c>
      <c r="M327">
        <v>-1.7041280000000001</v>
      </c>
      <c r="N327">
        <v>11.801629999999999</v>
      </c>
      <c r="O327">
        <v>1.2394000000000001E-3</v>
      </c>
      <c r="P327">
        <v>0</v>
      </c>
      <c r="Q327">
        <v>442.38310000000001</v>
      </c>
      <c r="R327">
        <v>627.29610000000002</v>
      </c>
      <c r="S327">
        <v>0</v>
      </c>
      <c r="T327">
        <v>0</v>
      </c>
      <c r="U327">
        <v>165.52950000000001</v>
      </c>
      <c r="V327">
        <v>133470</v>
      </c>
      <c r="W327">
        <v>0</v>
      </c>
      <c r="X327">
        <v>1.2401999999999999E-3</v>
      </c>
      <c r="Y327">
        <v>0</v>
      </c>
      <c r="Z327">
        <v>0.439361</v>
      </c>
      <c r="AE327">
        <v>0</v>
      </c>
      <c r="AF327">
        <v>2.2744270000000002</v>
      </c>
      <c r="AG327">
        <v>10.708600000000001</v>
      </c>
      <c r="AJ327">
        <v>10.409750000000001</v>
      </c>
      <c r="AK327">
        <v>10.676399999999999</v>
      </c>
      <c r="AL327">
        <v>10.351129999999999</v>
      </c>
      <c r="AM327">
        <v>9.9558739999999997</v>
      </c>
      <c r="AN327">
        <v>10.49836</v>
      </c>
      <c r="AO327">
        <v>10.504289999999999</v>
      </c>
      <c r="AP327">
        <v>10.597519999999999</v>
      </c>
      <c r="AQ327">
        <v>10.14987</v>
      </c>
      <c r="AR327">
        <v>10.811249999999999</v>
      </c>
      <c r="AT327">
        <v>10.07028</v>
      </c>
      <c r="AU327">
        <v>10.04074</v>
      </c>
      <c r="AV327">
        <v>10.52572</v>
      </c>
      <c r="AW327">
        <v>9.3596059999999994</v>
      </c>
      <c r="AX327">
        <v>9.3478290000000008</v>
      </c>
      <c r="AY327">
        <v>9.7649249999999999</v>
      </c>
      <c r="BB327" t="str">
        <f t="shared" si="17"/>
        <v/>
      </c>
      <c r="BD327">
        <v>376.75060000000002</v>
      </c>
      <c r="BE327">
        <v>99842946</v>
      </c>
      <c r="BF327">
        <v>38.549579999999999</v>
      </c>
      <c r="BG327">
        <v>379.91998000000001</v>
      </c>
      <c r="BH327">
        <v>38.549578609999998</v>
      </c>
    </row>
    <row r="328" spans="1:60">
      <c r="A328">
        <v>47900</v>
      </c>
      <c r="B328" t="s">
        <v>337</v>
      </c>
      <c r="C328">
        <v>55048.91</v>
      </c>
      <c r="D328">
        <v>3904006</v>
      </c>
      <c r="E328">
        <v>5377936</v>
      </c>
      <c r="F328">
        <v>5.8131200000000001E-2</v>
      </c>
      <c r="G328">
        <f t="shared" si="15"/>
        <v>58131.200000000004</v>
      </c>
      <c r="H328" s="51">
        <f t="shared" si="16"/>
        <v>312625873203.20001</v>
      </c>
      <c r="I328">
        <v>1460.9449999999999</v>
      </c>
      <c r="J328">
        <v>10.915979999999999</v>
      </c>
      <c r="K328">
        <v>-2.8450519999999999</v>
      </c>
      <c r="L328">
        <v>8.5635829999999995</v>
      </c>
      <c r="M328">
        <v>-0.91334309999999996</v>
      </c>
      <c r="N328">
        <v>15.497820000000001</v>
      </c>
      <c r="O328">
        <v>2.6449999999999998E-4</v>
      </c>
      <c r="P328">
        <v>6.0800000000000001E-5</v>
      </c>
      <c r="R328">
        <v>5237.415</v>
      </c>
      <c r="S328">
        <v>1</v>
      </c>
      <c r="T328">
        <v>327</v>
      </c>
      <c r="U328">
        <v>1422.63</v>
      </c>
      <c r="V328">
        <v>5377936</v>
      </c>
      <c r="W328">
        <v>6.0800000000000001E-5</v>
      </c>
      <c r="X328">
        <v>2.6449999999999998E-4</v>
      </c>
      <c r="Y328">
        <v>7.3282200000000006E-2</v>
      </c>
      <c r="Z328">
        <v>0.31881789999999999</v>
      </c>
      <c r="AB328">
        <v>9239</v>
      </c>
      <c r="AE328">
        <v>0.22382769999999999</v>
      </c>
      <c r="AF328">
        <v>0.97377340000000001</v>
      </c>
      <c r="AG328">
        <v>10.35693</v>
      </c>
      <c r="AH328">
        <v>10.93436</v>
      </c>
      <c r="AI328">
        <v>11.317880000000001</v>
      </c>
      <c r="AJ328">
        <v>10.850809999999999</v>
      </c>
      <c r="AK328">
        <v>10.92778</v>
      </c>
      <c r="AL328">
        <v>11.101470000000001</v>
      </c>
      <c r="AM328">
        <v>10.13073</v>
      </c>
      <c r="AN328">
        <v>10.62857</v>
      </c>
      <c r="AO328">
        <v>11.42656</v>
      </c>
      <c r="AP328">
        <v>11.423909999999999</v>
      </c>
      <c r="AQ328">
        <v>10.91906</v>
      </c>
      <c r="AR328">
        <v>11.391220000000001</v>
      </c>
      <c r="AS328">
        <v>11.512560000000001</v>
      </c>
      <c r="AT328">
        <v>10.55212</v>
      </c>
      <c r="AU328">
        <v>10.604660000000001</v>
      </c>
      <c r="AV328">
        <v>10.75075</v>
      </c>
      <c r="AW328">
        <v>10.27195</v>
      </c>
      <c r="AX328">
        <v>9.8659789999999994</v>
      </c>
      <c r="AY328">
        <v>10.7935</v>
      </c>
      <c r="AZ328">
        <v>12.356310000000001</v>
      </c>
      <c r="BA328" s="14">
        <v>16300000</v>
      </c>
      <c r="BB328">
        <f t="shared" si="17"/>
        <v>49847.09480122324</v>
      </c>
      <c r="BC328" s="14">
        <v>120000000</v>
      </c>
      <c r="BD328">
        <v>4462.201</v>
      </c>
      <c r="BE328">
        <v>452009882</v>
      </c>
      <c r="BF328">
        <v>174.52199999999999</v>
      </c>
      <c r="BG328">
        <v>6027.7422999999999</v>
      </c>
      <c r="BH328">
        <v>174.52199859999999</v>
      </c>
    </row>
    <row r="329" spans="1:60">
      <c r="A329">
        <v>47940</v>
      </c>
      <c r="B329" t="s">
        <v>530</v>
      </c>
      <c r="C329">
        <v>34509.769999999997</v>
      </c>
      <c r="D329">
        <v>113542</v>
      </c>
      <c r="E329">
        <v>163659</v>
      </c>
      <c r="F329">
        <v>4.1085400000000001E-2</v>
      </c>
      <c r="G329">
        <f t="shared" si="15"/>
        <v>41085.4</v>
      </c>
      <c r="H329" s="51">
        <f t="shared" si="16"/>
        <v>6723995478.5999994</v>
      </c>
      <c r="I329">
        <v>56.172730000000001</v>
      </c>
      <c r="J329">
        <v>10.449</v>
      </c>
      <c r="K329">
        <v>-3.1921020000000002</v>
      </c>
      <c r="L329">
        <v>6.9667529999999998</v>
      </c>
      <c r="M329">
        <v>-1.56586</v>
      </c>
      <c r="N329">
        <v>12.00554</v>
      </c>
      <c r="O329">
        <v>2.0696999999999998E-3</v>
      </c>
      <c r="P329">
        <v>0</v>
      </c>
      <c r="Q329">
        <v>936.68240000000003</v>
      </c>
      <c r="R329">
        <v>1060.7729999999999</v>
      </c>
      <c r="S329">
        <v>0</v>
      </c>
      <c r="T329">
        <v>0</v>
      </c>
      <c r="U329">
        <v>339.07049999999998</v>
      </c>
      <c r="V329">
        <v>163659</v>
      </c>
      <c r="W329">
        <v>0</v>
      </c>
      <c r="X329">
        <v>2.0717999999999999E-3</v>
      </c>
      <c r="Y329">
        <v>0</v>
      </c>
      <c r="Z329">
        <v>0.2249187</v>
      </c>
      <c r="AB329">
        <v>210</v>
      </c>
      <c r="AE329">
        <v>0</v>
      </c>
      <c r="AF329">
        <v>6.0362119999999999</v>
      </c>
      <c r="AJ329">
        <v>10.74075</v>
      </c>
      <c r="AK329">
        <v>10.74722</v>
      </c>
      <c r="AL329">
        <v>10.69276</v>
      </c>
      <c r="AM329">
        <v>9.9634970000000003</v>
      </c>
      <c r="AN329">
        <v>10.52665</v>
      </c>
      <c r="AO329">
        <v>10.4407</v>
      </c>
      <c r="AP329">
        <v>10.68196</v>
      </c>
      <c r="AQ329">
        <v>10.02528</v>
      </c>
      <c r="AR329">
        <v>10.852589999999999</v>
      </c>
      <c r="AS329">
        <v>11.122299999999999</v>
      </c>
      <c r="AT329">
        <v>10.23339</v>
      </c>
      <c r="AV329">
        <v>10.51657</v>
      </c>
      <c r="AW329">
        <v>9.6899990000000003</v>
      </c>
      <c r="AX329">
        <v>9.4145620000000001</v>
      </c>
      <c r="AY329">
        <v>9.8187320000000007</v>
      </c>
      <c r="BA329">
        <v>0</v>
      </c>
      <c r="BB329" t="str">
        <f t="shared" si="17"/>
        <v/>
      </c>
      <c r="BC329">
        <v>621321</v>
      </c>
      <c r="BD329">
        <v>1507.5250000000001</v>
      </c>
      <c r="BE329">
        <v>117555895</v>
      </c>
      <c r="BF329">
        <v>45.388579999999997</v>
      </c>
      <c r="BG329">
        <v>1513.9785999999999</v>
      </c>
      <c r="BH329">
        <v>45.388586740000001</v>
      </c>
    </row>
    <row r="330" spans="1:60">
      <c r="A330">
        <v>48140</v>
      </c>
      <c r="B330" t="s">
        <v>531</v>
      </c>
      <c r="C330">
        <v>35303.300000000003</v>
      </c>
      <c r="D330">
        <v>92289</v>
      </c>
      <c r="E330">
        <v>131043</v>
      </c>
      <c r="F330">
        <v>3.8910899999999998E-2</v>
      </c>
      <c r="G330">
        <f t="shared" si="15"/>
        <v>38910.9</v>
      </c>
      <c r="H330" s="51">
        <f t="shared" si="16"/>
        <v>5099001068.6999998</v>
      </c>
      <c r="I330">
        <v>37.972349999999999</v>
      </c>
      <c r="J330">
        <v>10.471730000000001</v>
      </c>
      <c r="K330">
        <v>-3.2464810000000002</v>
      </c>
      <c r="L330">
        <v>7.5946569999999998</v>
      </c>
      <c r="M330">
        <v>-1.700178</v>
      </c>
      <c r="N330">
        <v>11.78328</v>
      </c>
      <c r="O330">
        <v>1.755E-3</v>
      </c>
      <c r="P330">
        <v>0</v>
      </c>
      <c r="Q330">
        <v>1166.559</v>
      </c>
      <c r="R330">
        <v>1987.549</v>
      </c>
      <c r="S330">
        <v>0</v>
      </c>
      <c r="T330">
        <v>0</v>
      </c>
      <c r="U330">
        <v>230.18270000000001</v>
      </c>
      <c r="V330">
        <v>131043</v>
      </c>
      <c r="W330">
        <v>0</v>
      </c>
      <c r="X330">
        <v>1.7565E-3</v>
      </c>
      <c r="Y330">
        <v>0</v>
      </c>
      <c r="Z330">
        <v>0.14898919999999999</v>
      </c>
      <c r="AB330">
        <v>228</v>
      </c>
      <c r="AE330">
        <v>0</v>
      </c>
      <c r="AF330">
        <v>6.0618509999999999</v>
      </c>
      <c r="AG330">
        <v>10.20659</v>
      </c>
      <c r="AJ330">
        <v>10.840059999999999</v>
      </c>
      <c r="AK330">
        <v>10.627700000000001</v>
      </c>
      <c r="AL330">
        <v>10.630610000000001</v>
      </c>
      <c r="AM330">
        <v>9.9305020000000006</v>
      </c>
      <c r="AN330">
        <v>10.26862</v>
      </c>
      <c r="AO330">
        <v>10.38402</v>
      </c>
      <c r="AP330">
        <v>10.77699</v>
      </c>
      <c r="AQ330">
        <v>10.09459</v>
      </c>
      <c r="AR330">
        <v>10.867039999999999</v>
      </c>
      <c r="AT330">
        <v>9.9639000000000006</v>
      </c>
      <c r="AU330">
        <v>9.5778130000000008</v>
      </c>
      <c r="AV330">
        <v>10.634729999999999</v>
      </c>
      <c r="AW330">
        <v>9.4394799999999996</v>
      </c>
      <c r="AX330">
        <v>9.2486280000000001</v>
      </c>
      <c r="AY330">
        <v>10.31133</v>
      </c>
      <c r="BA330">
        <v>0</v>
      </c>
      <c r="BB330" t="str">
        <f t="shared" si="17"/>
        <v/>
      </c>
      <c r="BC330">
        <v>569706</v>
      </c>
      <c r="BD330">
        <v>1544.962</v>
      </c>
      <c r="BE330">
        <v>35170845</v>
      </c>
      <c r="BF330">
        <v>13.57954</v>
      </c>
      <c r="BG330">
        <v>1576.3112000000001</v>
      </c>
      <c r="BH330">
        <v>13.57953975</v>
      </c>
    </row>
    <row r="331" spans="1:60">
      <c r="A331">
        <v>48260</v>
      </c>
      <c r="B331" t="s">
        <v>1009</v>
      </c>
      <c r="C331">
        <v>30707.5</v>
      </c>
      <c r="D331">
        <v>58501</v>
      </c>
      <c r="E331">
        <v>121682</v>
      </c>
      <c r="F331">
        <v>2.73253E-2</v>
      </c>
      <c r="G331">
        <f t="shared" si="15"/>
        <v>27325.3</v>
      </c>
      <c r="H331" s="51">
        <f t="shared" si="16"/>
        <v>3324997154.6000004</v>
      </c>
      <c r="I331">
        <v>53.307250000000003</v>
      </c>
      <c r="J331">
        <v>10.33226</v>
      </c>
      <c r="K331">
        <v>-3.5999409999999998</v>
      </c>
      <c r="L331">
        <v>6.6229269999999998</v>
      </c>
      <c r="M331">
        <v>-2.020006</v>
      </c>
      <c r="N331">
        <v>11.70917</v>
      </c>
      <c r="O331">
        <v>1.0658E-3</v>
      </c>
      <c r="P331">
        <v>0</v>
      </c>
      <c r="Q331">
        <v>611.6617</v>
      </c>
      <c r="R331">
        <v>752.14329999999995</v>
      </c>
      <c r="S331">
        <v>0</v>
      </c>
      <c r="T331">
        <v>0</v>
      </c>
      <c r="U331">
        <v>129.76240000000001</v>
      </c>
      <c r="V331">
        <v>121682</v>
      </c>
      <c r="W331">
        <v>0</v>
      </c>
      <c r="X331">
        <v>1.0663999999999999E-3</v>
      </c>
      <c r="Y331">
        <v>0</v>
      </c>
      <c r="Z331">
        <v>0.22323660000000001</v>
      </c>
      <c r="AE331">
        <v>0</v>
      </c>
      <c r="AF331">
        <v>2.4342350000000001</v>
      </c>
      <c r="AH331">
        <v>10.974780000000001</v>
      </c>
      <c r="AI331">
        <v>10.932460000000001</v>
      </c>
      <c r="AJ331">
        <v>10.59613</v>
      </c>
      <c r="AK331">
        <v>10.79304</v>
      </c>
      <c r="AL331">
        <v>10.483219999999999</v>
      </c>
      <c r="AM331">
        <v>9.8889580000000006</v>
      </c>
      <c r="AN331">
        <v>10.3492</v>
      </c>
      <c r="AO331">
        <v>10.58367</v>
      </c>
      <c r="AP331">
        <v>10.29867</v>
      </c>
      <c r="AQ331">
        <v>10.186780000000001</v>
      </c>
      <c r="AR331">
        <v>10.20299</v>
      </c>
      <c r="AT331">
        <v>10.209770000000001</v>
      </c>
      <c r="AU331">
        <v>9.5666860000000007</v>
      </c>
      <c r="AV331">
        <v>10.3208</v>
      </c>
      <c r="AW331">
        <v>10.73563</v>
      </c>
      <c r="AX331">
        <v>9.2703410000000002</v>
      </c>
      <c r="AY331">
        <v>9.5732160000000004</v>
      </c>
      <c r="BB331" t="str">
        <f t="shared" si="17"/>
        <v/>
      </c>
      <c r="BD331">
        <v>581.27729999999997</v>
      </c>
      <c r="BE331">
        <v>66607169</v>
      </c>
      <c r="BF331">
        <v>25.717169999999999</v>
      </c>
      <c r="BG331">
        <v>591.48857999999996</v>
      </c>
      <c r="BH331">
        <v>25.717172819999998</v>
      </c>
    </row>
    <row r="332" spans="1:60">
      <c r="A332">
        <v>48300</v>
      </c>
      <c r="B332" t="s">
        <v>532</v>
      </c>
      <c r="C332">
        <v>33550.58</v>
      </c>
      <c r="D332">
        <v>65773</v>
      </c>
      <c r="E332">
        <v>108301</v>
      </c>
      <c r="F332">
        <v>2.9575000000000001E-2</v>
      </c>
      <c r="G332">
        <f t="shared" si="15"/>
        <v>29575</v>
      </c>
      <c r="H332" s="51">
        <f t="shared" si="16"/>
        <v>3203002075</v>
      </c>
      <c r="I332">
        <v>32.88805</v>
      </c>
      <c r="J332">
        <v>10.420809999999999</v>
      </c>
      <c r="K332">
        <v>-3.5208270000000002</v>
      </c>
      <c r="L332">
        <v>7.3531620000000002</v>
      </c>
      <c r="M332">
        <v>-1.605253</v>
      </c>
      <c r="N332">
        <v>11.59267</v>
      </c>
      <c r="O332">
        <v>3.0006999999999998E-3</v>
      </c>
      <c r="P332">
        <v>0</v>
      </c>
      <c r="Q332">
        <v>790.53020000000004</v>
      </c>
      <c r="R332">
        <v>1561.125</v>
      </c>
      <c r="S332">
        <v>0</v>
      </c>
      <c r="T332">
        <v>0</v>
      </c>
      <c r="U332">
        <v>325.46850000000001</v>
      </c>
      <c r="V332">
        <v>108301</v>
      </c>
      <c r="W332">
        <v>0</v>
      </c>
      <c r="X332">
        <v>3.0052E-3</v>
      </c>
      <c r="Y332">
        <v>0</v>
      </c>
      <c r="Z332">
        <v>6.8636799999999998E-2</v>
      </c>
      <c r="AB332">
        <v>350</v>
      </c>
      <c r="AE332">
        <v>0</v>
      </c>
      <c r="AF332">
        <v>9.8962540000000008</v>
      </c>
      <c r="AG332">
        <v>10.34271</v>
      </c>
      <c r="AI332">
        <v>10.877190000000001</v>
      </c>
      <c r="AJ332">
        <v>10.7273</v>
      </c>
      <c r="AK332">
        <v>10.62426</v>
      </c>
      <c r="AL332">
        <v>10.490790000000001</v>
      </c>
      <c r="AM332">
        <v>10.11566</v>
      </c>
      <c r="AN332">
        <v>10.562419999999999</v>
      </c>
      <c r="AO332">
        <v>10.46153</v>
      </c>
      <c r="AP332">
        <v>10.69148</v>
      </c>
      <c r="AQ332">
        <v>10.13782</v>
      </c>
      <c r="AR332">
        <v>10.562139999999999</v>
      </c>
      <c r="AT332">
        <v>10.288679999999999</v>
      </c>
      <c r="AV332">
        <v>10.76606</v>
      </c>
      <c r="AW332">
        <v>9.9707709999999992</v>
      </c>
      <c r="AX332">
        <v>9.6488379999999996</v>
      </c>
      <c r="AY332">
        <v>9.9009090000000004</v>
      </c>
      <c r="BA332">
        <v>0</v>
      </c>
      <c r="BB332" t="str">
        <f t="shared" si="17"/>
        <v/>
      </c>
      <c r="BC332">
        <v>1697195</v>
      </c>
      <c r="BD332">
        <v>4741.893</v>
      </c>
      <c r="BE332">
        <v>34947945</v>
      </c>
      <c r="BF332">
        <v>13.49348</v>
      </c>
      <c r="BG332">
        <v>4842.6125000000002</v>
      </c>
      <c r="BH332">
        <v>13.49347758</v>
      </c>
    </row>
    <row r="333" spans="1:60">
      <c r="A333">
        <v>48540</v>
      </c>
      <c r="B333" t="s">
        <v>533</v>
      </c>
      <c r="C333">
        <v>29806.62</v>
      </c>
      <c r="D333">
        <v>84367</v>
      </c>
      <c r="E333">
        <v>144986</v>
      </c>
      <c r="F333">
        <v>3.0271900000000001E-2</v>
      </c>
      <c r="G333">
        <f t="shared" si="15"/>
        <v>30271.9</v>
      </c>
      <c r="H333" s="51">
        <f t="shared" si="16"/>
        <v>4389001693.4000006</v>
      </c>
      <c r="I333">
        <v>57.969859999999997</v>
      </c>
      <c r="J333">
        <v>10.302490000000001</v>
      </c>
      <c r="K333">
        <v>-3.4975360000000002</v>
      </c>
      <c r="L333">
        <v>7.5180850000000001</v>
      </c>
      <c r="M333">
        <v>-1.8425739999999999</v>
      </c>
      <c r="N333">
        <v>11.88439</v>
      </c>
      <c r="O333">
        <v>1.5811E-3</v>
      </c>
      <c r="P333">
        <v>0</v>
      </c>
      <c r="Q333">
        <v>816.59680000000003</v>
      </c>
      <c r="R333">
        <v>1841.038</v>
      </c>
      <c r="S333">
        <v>0</v>
      </c>
      <c r="T333">
        <v>0</v>
      </c>
      <c r="U333">
        <v>229.42410000000001</v>
      </c>
      <c r="V333">
        <v>144986</v>
      </c>
      <c r="W333">
        <v>0</v>
      </c>
      <c r="X333">
        <v>1.5824000000000001E-3</v>
      </c>
      <c r="Y333">
        <v>0</v>
      </c>
      <c r="Z333">
        <v>0.24136669999999999</v>
      </c>
      <c r="AB333">
        <v>191</v>
      </c>
      <c r="AE333">
        <v>0</v>
      </c>
      <c r="AF333">
        <v>3.9576449999999999</v>
      </c>
      <c r="AI333">
        <v>11.33638</v>
      </c>
      <c r="AJ333">
        <v>10.58178</v>
      </c>
      <c r="AK333">
        <v>10.57639</v>
      </c>
      <c r="AL333">
        <v>10.59076</v>
      </c>
      <c r="AM333">
        <v>9.8672330000000006</v>
      </c>
      <c r="AN333">
        <v>10.565670000000001</v>
      </c>
      <c r="AO333">
        <v>10.51107</v>
      </c>
      <c r="AP333">
        <v>11.49522</v>
      </c>
      <c r="AQ333">
        <v>10.06245</v>
      </c>
      <c r="AR333">
        <v>10.57554</v>
      </c>
      <c r="AS333">
        <v>11.126329999999999</v>
      </c>
      <c r="AT333">
        <v>9.8831199999999999</v>
      </c>
      <c r="AU333">
        <v>9.7785720000000005</v>
      </c>
      <c r="AV333">
        <v>10.37462</v>
      </c>
      <c r="AW333">
        <v>9.7224989999999991</v>
      </c>
      <c r="AX333">
        <v>9.3149809999999995</v>
      </c>
      <c r="AY333">
        <v>9.7858640000000001</v>
      </c>
      <c r="BA333">
        <v>0</v>
      </c>
      <c r="BB333" t="str">
        <f t="shared" si="17"/>
        <v/>
      </c>
      <c r="BC333">
        <v>672019</v>
      </c>
      <c r="BD333">
        <v>950.52089999999998</v>
      </c>
      <c r="BE333">
        <v>32699867</v>
      </c>
      <c r="BF333">
        <v>12.625489999999999</v>
      </c>
      <c r="BG333">
        <v>962.45815000000005</v>
      </c>
      <c r="BH333">
        <v>12.62548977</v>
      </c>
    </row>
    <row r="334" spans="1:60">
      <c r="A334">
        <v>48620</v>
      </c>
      <c r="B334" t="s">
        <v>534</v>
      </c>
      <c r="C334">
        <v>39363.57</v>
      </c>
      <c r="D334">
        <v>397647</v>
      </c>
      <c r="E334">
        <v>603205</v>
      </c>
      <c r="F334">
        <v>4.27699E-2</v>
      </c>
      <c r="G334">
        <f t="shared" si="15"/>
        <v>42769.9</v>
      </c>
      <c r="H334" s="51">
        <f t="shared" si="16"/>
        <v>25799017529.5</v>
      </c>
      <c r="I334">
        <v>210.13740000000001</v>
      </c>
      <c r="J334">
        <v>10.5806</v>
      </c>
      <c r="K334">
        <v>-3.1519210000000002</v>
      </c>
      <c r="L334">
        <v>7.2381869999999999</v>
      </c>
      <c r="M334">
        <v>-1.446199</v>
      </c>
      <c r="N334">
        <v>13.31001</v>
      </c>
      <c r="O334">
        <v>1.1467000000000001E-3</v>
      </c>
      <c r="P334">
        <v>0</v>
      </c>
      <c r="Q334">
        <v>1086.1990000000001</v>
      </c>
      <c r="R334">
        <v>1391.569</v>
      </c>
      <c r="S334">
        <v>0</v>
      </c>
      <c r="T334">
        <v>0</v>
      </c>
      <c r="U334">
        <v>692.08140000000003</v>
      </c>
      <c r="V334">
        <v>603205</v>
      </c>
      <c r="W334">
        <v>0</v>
      </c>
      <c r="X334">
        <v>1.1473E-3</v>
      </c>
      <c r="Y334">
        <v>0</v>
      </c>
      <c r="Z334">
        <v>0.16683229999999999</v>
      </c>
      <c r="AB334">
        <v>284</v>
      </c>
      <c r="AE334">
        <v>0</v>
      </c>
      <c r="AF334">
        <v>3.2934700000000001</v>
      </c>
      <c r="AG334">
        <v>9.2591300000000007</v>
      </c>
      <c r="AH334">
        <v>11.045999999999999</v>
      </c>
      <c r="AI334">
        <v>11.0984</v>
      </c>
      <c r="AJ334">
        <v>10.569599999999999</v>
      </c>
      <c r="AK334">
        <v>10.91474</v>
      </c>
      <c r="AL334">
        <v>10.941929999999999</v>
      </c>
      <c r="AM334">
        <v>9.9970540000000003</v>
      </c>
      <c r="AN334">
        <v>10.56625</v>
      </c>
      <c r="AO334">
        <v>10.61186</v>
      </c>
      <c r="AP334">
        <v>10.788449999999999</v>
      </c>
      <c r="AQ334">
        <v>10.27338</v>
      </c>
      <c r="AR334">
        <v>10.656890000000001</v>
      </c>
      <c r="AS334">
        <v>12.094519999999999</v>
      </c>
      <c r="AT334">
        <v>10.305870000000001</v>
      </c>
      <c r="AU334">
        <v>10.17151</v>
      </c>
      <c r="AV334">
        <v>10.56691</v>
      </c>
      <c r="AW334">
        <v>9.636234</v>
      </c>
      <c r="AX334">
        <v>9.3451400000000007</v>
      </c>
      <c r="AY334">
        <v>9.9657400000000003</v>
      </c>
      <c r="BA334">
        <v>0</v>
      </c>
      <c r="BB334" t="str">
        <f t="shared" si="17"/>
        <v/>
      </c>
      <c r="BC334">
        <v>1597108</v>
      </c>
      <c r="BD334">
        <v>4148.3649999999998</v>
      </c>
      <c r="BE334">
        <v>357195839</v>
      </c>
      <c r="BF334">
        <v>137.91409999999999</v>
      </c>
      <c r="BG334">
        <v>4181.3253000000004</v>
      </c>
      <c r="BH334">
        <v>137.9140903</v>
      </c>
    </row>
    <row r="335" spans="1:60">
      <c r="A335">
        <v>48660</v>
      </c>
      <c r="B335" t="s">
        <v>1010</v>
      </c>
      <c r="C335">
        <v>30806.79</v>
      </c>
      <c r="D335">
        <v>93043</v>
      </c>
      <c r="E335">
        <v>147607</v>
      </c>
      <c r="F335">
        <v>3.1787099999999999E-2</v>
      </c>
      <c r="G335">
        <f t="shared" si="15"/>
        <v>31787.1</v>
      </c>
      <c r="H335" s="51">
        <f t="shared" si="16"/>
        <v>4691998469.6999998</v>
      </c>
      <c r="I335">
        <v>67.087519999999998</v>
      </c>
      <c r="J335">
        <v>10.33549</v>
      </c>
      <c r="K335">
        <v>-3.4486940000000001</v>
      </c>
      <c r="L335">
        <v>6.7136940000000003</v>
      </c>
      <c r="M335">
        <v>-1.7115610000000001</v>
      </c>
      <c r="N335">
        <v>11.90231</v>
      </c>
      <c r="O335">
        <v>2.0601E-3</v>
      </c>
      <c r="P335">
        <v>0</v>
      </c>
      <c r="Q335">
        <v>644.85910000000001</v>
      </c>
      <c r="R335">
        <v>823.60699999999997</v>
      </c>
      <c r="S335">
        <v>0</v>
      </c>
      <c r="T335">
        <v>0</v>
      </c>
      <c r="U335">
        <v>304.3981</v>
      </c>
      <c r="V335">
        <v>147607</v>
      </c>
      <c r="W335">
        <v>0</v>
      </c>
      <c r="X335">
        <v>2.0622000000000001E-3</v>
      </c>
      <c r="Y335">
        <v>0</v>
      </c>
      <c r="Z335">
        <v>0.1155133</v>
      </c>
      <c r="AE335">
        <v>0</v>
      </c>
      <c r="AF335">
        <v>4.5373289999999997</v>
      </c>
      <c r="AG335">
        <v>12.45683</v>
      </c>
      <c r="AH335">
        <v>10.872730000000001</v>
      </c>
      <c r="AI335">
        <v>11.043329999999999</v>
      </c>
      <c r="AJ335">
        <v>10.483169999999999</v>
      </c>
      <c r="AK335">
        <v>10.7363</v>
      </c>
      <c r="AL335">
        <v>10.729100000000001</v>
      </c>
      <c r="AM335">
        <v>9.9336760000000002</v>
      </c>
      <c r="AN335">
        <v>10.71236</v>
      </c>
      <c r="AO335">
        <v>10.472060000000001</v>
      </c>
      <c r="AP335">
        <v>10.579890000000001</v>
      </c>
      <c r="AQ335">
        <v>9.9620650000000008</v>
      </c>
      <c r="AR335">
        <v>10.76064</v>
      </c>
      <c r="AT335">
        <v>9.9403679999999994</v>
      </c>
      <c r="AU335">
        <v>9.9499940000000002</v>
      </c>
      <c r="AV335">
        <v>10.47128</v>
      </c>
      <c r="AW335">
        <v>9.3749690000000001</v>
      </c>
      <c r="AX335">
        <v>9.4095490000000002</v>
      </c>
      <c r="AY335">
        <v>9.8764219999999998</v>
      </c>
      <c r="AZ335">
        <v>10.86539</v>
      </c>
      <c r="BB335" t="str">
        <f t="shared" si="17"/>
        <v/>
      </c>
      <c r="BD335">
        <v>2635.1790000000001</v>
      </c>
      <c r="BE335">
        <v>117944723</v>
      </c>
      <c r="BF335">
        <v>45.538710000000002</v>
      </c>
      <c r="BG335">
        <v>2675.2878000000001</v>
      </c>
      <c r="BH335">
        <v>45.538714079999998</v>
      </c>
    </row>
    <row r="336" spans="1:60">
      <c r="A336">
        <v>48700</v>
      </c>
      <c r="B336" t="s">
        <v>535</v>
      </c>
      <c r="C336">
        <v>29545.02</v>
      </c>
      <c r="D336">
        <v>69086</v>
      </c>
      <c r="E336">
        <v>116666</v>
      </c>
      <c r="F336">
        <v>2.7780200000000001E-2</v>
      </c>
      <c r="G336">
        <f t="shared" si="15"/>
        <v>27780.2</v>
      </c>
      <c r="H336" s="51">
        <f t="shared" si="16"/>
        <v>3241004813.2000003</v>
      </c>
      <c r="I336">
        <v>38.676760000000002</v>
      </c>
      <c r="J336">
        <v>10.293670000000001</v>
      </c>
      <c r="K336">
        <v>-3.5834329999999999</v>
      </c>
      <c r="L336">
        <v>7.7695369999999997</v>
      </c>
      <c r="M336">
        <v>-1.8614630000000001</v>
      </c>
      <c r="N336">
        <v>11.667070000000001</v>
      </c>
      <c r="O336">
        <v>1.7834999999999999E-3</v>
      </c>
      <c r="P336">
        <v>0</v>
      </c>
      <c r="Q336">
        <v>943.53809999999999</v>
      </c>
      <c r="R336">
        <v>2367.375</v>
      </c>
      <c r="S336">
        <v>0</v>
      </c>
      <c r="T336">
        <v>0</v>
      </c>
      <c r="U336">
        <v>208.25739999999999</v>
      </c>
      <c r="V336">
        <v>116666</v>
      </c>
      <c r="W336">
        <v>0</v>
      </c>
      <c r="X336">
        <v>1.7851E-3</v>
      </c>
      <c r="Y336">
        <v>0</v>
      </c>
      <c r="Z336">
        <v>0.16864950000000001</v>
      </c>
      <c r="AB336">
        <v>580</v>
      </c>
      <c r="AE336">
        <v>0</v>
      </c>
      <c r="AF336">
        <v>5.3845619999999998</v>
      </c>
      <c r="AH336">
        <v>10.84201</v>
      </c>
      <c r="AJ336">
        <v>10.57835</v>
      </c>
      <c r="AK336">
        <v>10.6463</v>
      </c>
      <c r="AL336">
        <v>10.32738</v>
      </c>
      <c r="AM336">
        <v>9.8218540000000001</v>
      </c>
      <c r="AN336">
        <v>10.30644</v>
      </c>
      <c r="AO336">
        <v>10.414770000000001</v>
      </c>
      <c r="AP336">
        <v>10.70017</v>
      </c>
      <c r="AQ336">
        <v>10.19195</v>
      </c>
      <c r="AR336">
        <v>10.342919999999999</v>
      </c>
      <c r="AS336">
        <v>9.9568849999999998</v>
      </c>
      <c r="AT336">
        <v>9.8941990000000004</v>
      </c>
      <c r="AU336">
        <v>9.7939330000000009</v>
      </c>
      <c r="AV336">
        <v>10.46804</v>
      </c>
      <c r="AW336">
        <v>9.5603069999999999</v>
      </c>
      <c r="AX336">
        <v>9.3122570000000007</v>
      </c>
      <c r="AY336">
        <v>9.8360249999999994</v>
      </c>
      <c r="BA336">
        <v>0</v>
      </c>
      <c r="BB336" t="str">
        <f t="shared" si="17"/>
        <v/>
      </c>
      <c r="BC336">
        <v>818180</v>
      </c>
      <c r="BD336">
        <v>1234.8530000000001</v>
      </c>
      <c r="BE336">
        <v>22702297</v>
      </c>
      <c r="BF336">
        <v>8.7654060000000005</v>
      </c>
      <c r="BG336">
        <v>1243.5436999999999</v>
      </c>
      <c r="BH336">
        <v>8.7654062489999998</v>
      </c>
    </row>
    <row r="337" spans="1:60">
      <c r="A337">
        <v>49020</v>
      </c>
      <c r="B337" t="s">
        <v>1011</v>
      </c>
      <c r="C337">
        <v>35383.17</v>
      </c>
      <c r="D337">
        <v>74699</v>
      </c>
      <c r="E337">
        <v>122620</v>
      </c>
      <c r="F337">
        <v>3.4439699999999997E-2</v>
      </c>
      <c r="G337">
        <f t="shared" si="15"/>
        <v>34439.699999999997</v>
      </c>
      <c r="H337" s="51">
        <f t="shared" si="16"/>
        <v>4222996013.9999995</v>
      </c>
      <c r="I337">
        <v>33.065269999999998</v>
      </c>
      <c r="J337">
        <v>10.473990000000001</v>
      </c>
      <c r="K337">
        <v>-3.368544</v>
      </c>
      <c r="L337">
        <v>7.9277049999999996</v>
      </c>
      <c r="M337">
        <v>-1.7152350000000001</v>
      </c>
      <c r="N337">
        <v>11.716850000000001</v>
      </c>
      <c r="O337">
        <v>3.6749999999999999E-4</v>
      </c>
      <c r="P337">
        <v>0</v>
      </c>
      <c r="Q337">
        <v>1052.7059999999999</v>
      </c>
      <c r="R337">
        <v>2773.056</v>
      </c>
      <c r="S337">
        <v>0</v>
      </c>
      <c r="T337">
        <v>0</v>
      </c>
      <c r="U337">
        <v>45.075360000000003</v>
      </c>
      <c r="V337">
        <v>122620</v>
      </c>
      <c r="W337">
        <v>0</v>
      </c>
      <c r="X337">
        <v>3.6759999999999999E-4</v>
      </c>
      <c r="Y337">
        <v>0</v>
      </c>
      <c r="Z337">
        <v>7.0241399999999996E-2</v>
      </c>
      <c r="AE337">
        <v>0</v>
      </c>
      <c r="AF337">
        <v>1.363224</v>
      </c>
      <c r="AG337">
        <v>10.57583</v>
      </c>
      <c r="AH337">
        <v>10.49235</v>
      </c>
      <c r="AJ337">
        <v>10.48391</v>
      </c>
      <c r="AK337">
        <v>10.695270000000001</v>
      </c>
      <c r="AL337">
        <v>10.71686</v>
      </c>
      <c r="AM337">
        <v>10.038959999999999</v>
      </c>
      <c r="AN337">
        <v>10.49249</v>
      </c>
      <c r="AO337">
        <v>10.918089999999999</v>
      </c>
      <c r="AP337">
        <v>10.76315</v>
      </c>
      <c r="AQ337">
        <v>10.399229999999999</v>
      </c>
      <c r="AR337">
        <v>10.61957</v>
      </c>
      <c r="AS337">
        <v>10.939109999999999</v>
      </c>
      <c r="AT337">
        <v>10.44529</v>
      </c>
      <c r="AV337">
        <v>10.760820000000001</v>
      </c>
      <c r="AW337">
        <v>9.7107250000000001</v>
      </c>
      <c r="AX337">
        <v>9.4854789999999998</v>
      </c>
      <c r="AY337">
        <v>9.9761950000000006</v>
      </c>
      <c r="BB337" t="str">
        <f t="shared" si="17"/>
        <v/>
      </c>
      <c r="BD337">
        <v>641.72050000000002</v>
      </c>
      <c r="BE337">
        <v>23912779</v>
      </c>
      <c r="BF337">
        <v>9.2327759999999994</v>
      </c>
      <c r="BG337">
        <v>1069.3681999999999</v>
      </c>
      <c r="BH337">
        <v>9.2327759819999997</v>
      </c>
    </row>
    <row r="338" spans="1:60">
      <c r="A338">
        <v>49420</v>
      </c>
      <c r="B338" t="s">
        <v>536</v>
      </c>
      <c r="C338">
        <v>32356.42</v>
      </c>
      <c r="D338">
        <v>123495</v>
      </c>
      <c r="E338">
        <v>234881</v>
      </c>
      <c r="F338">
        <v>2.7277599999999999E-2</v>
      </c>
      <c r="G338">
        <f t="shared" si="15"/>
        <v>27277.599999999999</v>
      </c>
      <c r="H338" s="51">
        <f t="shared" si="16"/>
        <v>6406989965.5999994</v>
      </c>
      <c r="I338">
        <v>74.561899999999994</v>
      </c>
      <c r="J338">
        <v>10.38457</v>
      </c>
      <c r="K338">
        <v>-3.6016879999999998</v>
      </c>
      <c r="L338">
        <v>7.1761999999999997</v>
      </c>
      <c r="M338">
        <v>-1.9362079999999999</v>
      </c>
      <c r="N338">
        <v>12.36683</v>
      </c>
      <c r="O338">
        <v>9.7940000000000006E-4</v>
      </c>
      <c r="P338">
        <v>0</v>
      </c>
      <c r="Q338">
        <v>783.9393</v>
      </c>
      <c r="R338">
        <v>1307.9290000000001</v>
      </c>
      <c r="S338">
        <v>0</v>
      </c>
      <c r="T338">
        <v>0</v>
      </c>
      <c r="U338">
        <v>230.16370000000001</v>
      </c>
      <c r="V338">
        <v>234881</v>
      </c>
      <c r="W338">
        <v>0</v>
      </c>
      <c r="X338">
        <v>9.7989999999999991E-4</v>
      </c>
      <c r="Y338">
        <v>0</v>
      </c>
      <c r="Z338">
        <v>5.35734E-2</v>
      </c>
      <c r="AB338">
        <v>249</v>
      </c>
      <c r="AE338">
        <v>0</v>
      </c>
      <c r="AF338">
        <v>3.086881</v>
      </c>
      <c r="AG338">
        <v>10.166410000000001</v>
      </c>
      <c r="AI338">
        <v>11.17266</v>
      </c>
      <c r="AJ338">
        <v>10.56894</v>
      </c>
      <c r="AK338">
        <v>10.532389999999999</v>
      </c>
      <c r="AL338">
        <v>10.63073</v>
      </c>
      <c r="AM338">
        <v>10.103429999999999</v>
      </c>
      <c r="AN338">
        <v>10.487959999999999</v>
      </c>
      <c r="AO338">
        <v>10.67689</v>
      </c>
      <c r="AP338">
        <v>10.765560000000001</v>
      </c>
      <c r="AQ338">
        <v>10.071910000000001</v>
      </c>
      <c r="AR338">
        <v>10.56148</v>
      </c>
      <c r="AS338">
        <v>10.53411</v>
      </c>
      <c r="AT338">
        <v>10.03627</v>
      </c>
      <c r="AU338">
        <v>9.9943670000000004</v>
      </c>
      <c r="AV338">
        <v>10.579269999999999</v>
      </c>
      <c r="AW338">
        <v>9.8674809999999997</v>
      </c>
      <c r="AX338">
        <v>9.5601420000000008</v>
      </c>
      <c r="AY338">
        <v>9.8883609999999997</v>
      </c>
      <c r="AZ338">
        <v>10.021269999999999</v>
      </c>
      <c r="BA338">
        <v>0</v>
      </c>
      <c r="BB338" t="str">
        <f t="shared" si="17"/>
        <v/>
      </c>
      <c r="BC338">
        <v>830972</v>
      </c>
      <c r="BD338">
        <v>4296.2290000000003</v>
      </c>
      <c r="BE338">
        <v>70274087</v>
      </c>
      <c r="BF338">
        <v>27.13298</v>
      </c>
      <c r="BG338">
        <v>4312.3878999999997</v>
      </c>
      <c r="BH338">
        <v>27.132977839999999</v>
      </c>
    </row>
    <row r="339" spans="1:60">
      <c r="A339">
        <v>49620</v>
      </c>
      <c r="B339" t="s">
        <v>537</v>
      </c>
      <c r="C339">
        <v>36090.04</v>
      </c>
      <c r="D339">
        <v>231178</v>
      </c>
      <c r="E339">
        <v>425766</v>
      </c>
      <c r="F339">
        <v>3.1996400000000001E-2</v>
      </c>
      <c r="G339">
        <f t="shared" si="15"/>
        <v>31996.400000000001</v>
      </c>
      <c r="H339" s="51">
        <f t="shared" si="16"/>
        <v>13622979242.400002</v>
      </c>
      <c r="I339">
        <v>180.24619999999999</v>
      </c>
      <c r="J339">
        <v>10.49377</v>
      </c>
      <c r="K339">
        <v>-3.4421300000000001</v>
      </c>
      <c r="L339">
        <v>8.3195099999999993</v>
      </c>
      <c r="M339">
        <v>-1.6706030000000001</v>
      </c>
      <c r="N339">
        <v>12.961650000000001</v>
      </c>
      <c r="O339">
        <v>5.8900000000000001E-4</v>
      </c>
      <c r="P339">
        <v>0</v>
      </c>
      <c r="Q339">
        <v>685.40160000000003</v>
      </c>
      <c r="R339">
        <v>4103.1459999999997</v>
      </c>
      <c r="S339">
        <v>0</v>
      </c>
      <c r="T339">
        <v>0</v>
      </c>
      <c r="U339">
        <v>250.83260000000001</v>
      </c>
      <c r="V339">
        <v>425766</v>
      </c>
      <c r="W339">
        <v>0</v>
      </c>
      <c r="X339">
        <v>5.8909999999999995E-4</v>
      </c>
      <c r="Y339">
        <v>0</v>
      </c>
      <c r="Z339">
        <v>0.27733020000000003</v>
      </c>
      <c r="AB339">
        <v>419</v>
      </c>
      <c r="AE339">
        <v>0</v>
      </c>
      <c r="AF339">
        <v>1.3916109999999999</v>
      </c>
      <c r="AG339">
        <v>10.66131</v>
      </c>
      <c r="AH339">
        <v>10.83813</v>
      </c>
      <c r="AI339">
        <v>11.46698</v>
      </c>
      <c r="AJ339">
        <v>10.674609999999999</v>
      </c>
      <c r="AK339">
        <v>10.71698</v>
      </c>
      <c r="AL339">
        <v>10.716609999999999</v>
      </c>
      <c r="AM339">
        <v>9.9516050000000007</v>
      </c>
      <c r="AN339">
        <v>10.4361</v>
      </c>
      <c r="AO339">
        <v>10.570209999999999</v>
      </c>
      <c r="AP339">
        <v>10.83384</v>
      </c>
      <c r="AQ339">
        <v>10.452769999999999</v>
      </c>
      <c r="AR339">
        <v>10.722810000000001</v>
      </c>
      <c r="AS339">
        <v>11.38583</v>
      </c>
      <c r="AT339">
        <v>10.1097</v>
      </c>
      <c r="AV339">
        <v>10.586259999999999</v>
      </c>
      <c r="AW339">
        <v>9.4548030000000001</v>
      </c>
      <c r="AX339">
        <v>9.3759829999999997</v>
      </c>
      <c r="AY339">
        <v>9.9496160000000007</v>
      </c>
      <c r="AZ339">
        <v>9.5337399999999999</v>
      </c>
      <c r="BA339">
        <v>0</v>
      </c>
      <c r="BB339" t="str">
        <f t="shared" si="17"/>
        <v/>
      </c>
      <c r="BC339">
        <v>1358543</v>
      </c>
      <c r="BD339">
        <v>904.45439999999996</v>
      </c>
      <c r="BE339">
        <v>23104549</v>
      </c>
      <c r="BF339">
        <v>8.9207160000000005</v>
      </c>
      <c r="BG339">
        <v>910.71776999999997</v>
      </c>
      <c r="BH339">
        <v>8.9207166210000004</v>
      </c>
    </row>
    <row r="340" spans="1:60">
      <c r="A340">
        <v>49660</v>
      </c>
      <c r="B340" t="s">
        <v>538</v>
      </c>
      <c r="C340">
        <v>32130.92</v>
      </c>
      <c r="D340">
        <v>299345</v>
      </c>
      <c r="E340">
        <v>566425</v>
      </c>
      <c r="F340">
        <v>2.6762600000000001E-2</v>
      </c>
      <c r="G340">
        <f t="shared" si="15"/>
        <v>26762.600000000002</v>
      </c>
      <c r="H340" s="51">
        <f t="shared" si="16"/>
        <v>15159005705.000002</v>
      </c>
      <c r="I340">
        <v>247.0788</v>
      </c>
      <c r="J340">
        <v>10.37757</v>
      </c>
      <c r="K340">
        <v>-3.6207500000000001</v>
      </c>
      <c r="L340">
        <v>7.0193139999999996</v>
      </c>
      <c r="M340">
        <v>-1.742397</v>
      </c>
      <c r="N340">
        <v>13.2471</v>
      </c>
      <c r="O340">
        <v>1.1692E-3</v>
      </c>
      <c r="P340">
        <v>0</v>
      </c>
      <c r="Q340">
        <v>677.11199999999997</v>
      </c>
      <c r="R340">
        <v>1118.019</v>
      </c>
      <c r="S340">
        <v>0</v>
      </c>
      <c r="T340">
        <v>0</v>
      </c>
      <c r="U340">
        <v>662.67939999999999</v>
      </c>
      <c r="V340">
        <v>566425</v>
      </c>
      <c r="W340">
        <v>0</v>
      </c>
      <c r="X340">
        <v>1.1699E-3</v>
      </c>
      <c r="Y340">
        <v>0</v>
      </c>
      <c r="Z340">
        <v>0.38900119999999999</v>
      </c>
      <c r="AB340">
        <v>216</v>
      </c>
      <c r="AE340">
        <v>0</v>
      </c>
      <c r="AF340">
        <v>2.6820569999999999</v>
      </c>
      <c r="AH340">
        <v>10.936820000000001</v>
      </c>
      <c r="AI340">
        <v>11.13692</v>
      </c>
      <c r="AJ340">
        <v>10.739560000000001</v>
      </c>
      <c r="AK340">
        <v>10.82982</v>
      </c>
      <c r="AL340">
        <v>10.63753</v>
      </c>
      <c r="AM340">
        <v>9.9100459999999995</v>
      </c>
      <c r="AN340">
        <v>10.499420000000001</v>
      </c>
      <c r="AO340">
        <v>10.554539999999999</v>
      </c>
      <c r="AP340">
        <v>10.67637</v>
      </c>
      <c r="AQ340">
        <v>10.210190000000001</v>
      </c>
      <c r="AR340">
        <v>10.491860000000001</v>
      </c>
      <c r="AS340">
        <v>11.45387</v>
      </c>
      <c r="AT340">
        <v>10.15212</v>
      </c>
      <c r="AU340">
        <v>9.9073010000000004</v>
      </c>
      <c r="AV340">
        <v>10.379770000000001</v>
      </c>
      <c r="AW340">
        <v>9.5228920000000006</v>
      </c>
      <c r="AX340">
        <v>9.3016470000000009</v>
      </c>
      <c r="AY340">
        <v>9.8243259999999992</v>
      </c>
      <c r="BA340">
        <v>0</v>
      </c>
      <c r="BB340" t="str">
        <f t="shared" si="17"/>
        <v/>
      </c>
      <c r="BC340">
        <v>690687</v>
      </c>
      <c r="BD340">
        <v>1703.5409999999999</v>
      </c>
      <c r="BE340">
        <v>166861425</v>
      </c>
      <c r="BF340">
        <v>64.425560000000004</v>
      </c>
      <c r="BG340">
        <v>1744.2329</v>
      </c>
      <c r="BH340">
        <v>64.425559109999995</v>
      </c>
    </row>
    <row r="341" spans="1:60">
      <c r="A341">
        <v>49700</v>
      </c>
      <c r="B341" t="s">
        <v>539</v>
      </c>
      <c r="C341">
        <v>32633.46</v>
      </c>
      <c r="D341">
        <v>71368</v>
      </c>
      <c r="E341">
        <v>164992</v>
      </c>
      <c r="F341">
        <v>1.9467600000000002E-2</v>
      </c>
      <c r="G341">
        <f t="shared" si="15"/>
        <v>19467.600000000002</v>
      </c>
      <c r="H341" s="51">
        <f t="shared" si="16"/>
        <v>3211998259.2000003</v>
      </c>
      <c r="I341">
        <v>41.714570000000002</v>
      </c>
      <c r="J341">
        <v>10.393090000000001</v>
      </c>
      <c r="K341">
        <v>-3.939003</v>
      </c>
      <c r="L341">
        <v>6.9471090000000002</v>
      </c>
      <c r="M341">
        <v>-2.0758220000000001</v>
      </c>
      <c r="N341">
        <v>12.01365</v>
      </c>
      <c r="O341">
        <v>1.2065000000000001E-3</v>
      </c>
      <c r="P341">
        <v>0</v>
      </c>
      <c r="Q341">
        <v>641.26279999999997</v>
      </c>
      <c r="R341">
        <v>1040.1379999999999</v>
      </c>
      <c r="S341">
        <v>0</v>
      </c>
      <c r="T341">
        <v>0</v>
      </c>
      <c r="U341">
        <v>199.18969999999999</v>
      </c>
      <c r="V341">
        <v>164992</v>
      </c>
      <c r="W341">
        <v>0</v>
      </c>
      <c r="X341">
        <v>1.2072999999999999E-3</v>
      </c>
      <c r="Y341">
        <v>0</v>
      </c>
      <c r="Z341">
        <v>0.16151779999999999</v>
      </c>
      <c r="AB341">
        <v>213</v>
      </c>
      <c r="AE341">
        <v>0</v>
      </c>
      <c r="AF341">
        <v>4.7750640000000004</v>
      </c>
      <c r="AG341">
        <v>10.66854</v>
      </c>
      <c r="AH341">
        <v>11.0419</v>
      </c>
      <c r="AJ341">
        <v>10.68136</v>
      </c>
      <c r="AK341">
        <v>10.52458</v>
      </c>
      <c r="AL341">
        <v>11.07483</v>
      </c>
      <c r="AM341">
        <v>10.07846</v>
      </c>
      <c r="AN341">
        <v>10.44476</v>
      </c>
      <c r="AO341">
        <v>10.74499</v>
      </c>
      <c r="AP341">
        <v>10.528689999999999</v>
      </c>
      <c r="AQ341">
        <v>10.06686</v>
      </c>
      <c r="AR341">
        <v>10.593159999999999</v>
      </c>
      <c r="AS341">
        <v>11.16147</v>
      </c>
      <c r="AT341">
        <v>10.34822</v>
      </c>
      <c r="AU341">
        <v>10.01768</v>
      </c>
      <c r="AV341">
        <v>10.64311</v>
      </c>
      <c r="AW341">
        <v>9.7204870000000003</v>
      </c>
      <c r="AX341">
        <v>9.3986560000000008</v>
      </c>
      <c r="AY341">
        <v>10.067629999999999</v>
      </c>
      <c r="BA341">
        <v>0</v>
      </c>
      <c r="BB341" t="str">
        <f t="shared" si="17"/>
        <v/>
      </c>
      <c r="BC341">
        <v>818525</v>
      </c>
      <c r="BD341">
        <v>1233.2370000000001</v>
      </c>
      <c r="BE341">
        <v>44113583</v>
      </c>
      <c r="BF341">
        <v>17.032350000000001</v>
      </c>
      <c r="BG341">
        <v>1252.0882999999999</v>
      </c>
      <c r="BH341">
        <v>17.032350340000001</v>
      </c>
    </row>
    <row r="342" spans="1:60">
      <c r="A342">
        <v>49740</v>
      </c>
      <c r="B342" t="s">
        <v>540</v>
      </c>
      <c r="C342">
        <v>28079.439999999999</v>
      </c>
      <c r="D342">
        <v>82583</v>
      </c>
      <c r="E342">
        <v>193299</v>
      </c>
      <c r="F342">
        <v>1.8344599999999999E-2</v>
      </c>
      <c r="G342">
        <f t="shared" si="15"/>
        <v>18344.599999999999</v>
      </c>
      <c r="H342" s="51">
        <f t="shared" si="16"/>
        <v>3545992835.4000001</v>
      </c>
      <c r="I342">
        <v>53.930750000000003</v>
      </c>
      <c r="J342">
        <v>10.242789999999999</v>
      </c>
      <c r="K342">
        <v>-3.998418</v>
      </c>
      <c r="L342">
        <v>6.9726489999999997</v>
      </c>
      <c r="M342">
        <v>-2.1046740000000002</v>
      </c>
      <c r="N342">
        <v>12.171989999999999</v>
      </c>
      <c r="O342">
        <v>1.1573E-3</v>
      </c>
      <c r="P342">
        <v>0</v>
      </c>
      <c r="Q342">
        <v>765.85249999999996</v>
      </c>
      <c r="R342">
        <v>1067.046</v>
      </c>
      <c r="S342">
        <v>0</v>
      </c>
      <c r="T342">
        <v>0</v>
      </c>
      <c r="U342">
        <v>223.8434</v>
      </c>
      <c r="V342">
        <v>193299</v>
      </c>
      <c r="W342">
        <v>0</v>
      </c>
      <c r="X342">
        <v>1.158E-3</v>
      </c>
      <c r="Y342">
        <v>0</v>
      </c>
      <c r="Z342">
        <v>4.05948E-2</v>
      </c>
      <c r="AB342">
        <v>134</v>
      </c>
      <c r="AE342">
        <v>0</v>
      </c>
      <c r="AF342">
        <v>4.1505710000000002</v>
      </c>
      <c r="AG342">
        <v>10.490489999999999</v>
      </c>
      <c r="AH342">
        <v>10.590479999999999</v>
      </c>
      <c r="AI342">
        <v>11.25372</v>
      </c>
      <c r="AJ342">
        <v>10.31343</v>
      </c>
      <c r="AK342">
        <v>10.21843</v>
      </c>
      <c r="AL342">
        <v>10.768700000000001</v>
      </c>
      <c r="AM342">
        <v>9.9836229999999997</v>
      </c>
      <c r="AN342">
        <v>10.38584</v>
      </c>
      <c r="AO342">
        <v>10.448079999999999</v>
      </c>
      <c r="AP342">
        <v>10.58737</v>
      </c>
      <c r="AQ342">
        <v>10.09468</v>
      </c>
      <c r="AR342">
        <v>10.469110000000001</v>
      </c>
      <c r="AS342">
        <v>10.74145</v>
      </c>
      <c r="AT342">
        <v>10.359780000000001</v>
      </c>
      <c r="AU342">
        <v>10.10707</v>
      </c>
      <c r="AV342">
        <v>10.56832</v>
      </c>
      <c r="AW342">
        <v>9.9415650000000007</v>
      </c>
      <c r="AX342">
        <v>9.4009970000000003</v>
      </c>
      <c r="AY342">
        <v>9.9525089999999992</v>
      </c>
      <c r="AZ342">
        <v>9.9362770000000005</v>
      </c>
      <c r="BA342">
        <v>0</v>
      </c>
      <c r="BB342" t="str">
        <f t="shared" si="17"/>
        <v/>
      </c>
      <c r="BC342">
        <v>544762</v>
      </c>
      <c r="BD342">
        <v>5514.0889999999999</v>
      </c>
      <c r="BE342">
        <v>79254614</v>
      </c>
      <c r="BF342">
        <v>30.600380000000001</v>
      </c>
      <c r="BG342">
        <v>5519.1207000000004</v>
      </c>
      <c r="BH342">
        <v>30.600378840000001</v>
      </c>
    </row>
    <row r="344" spans="1:60">
      <c r="BB344">
        <f>AVERAGE(BB2:BB342)</f>
        <v>47248.860547292956</v>
      </c>
    </row>
  </sheetData>
  <sheetProtection password="AE13" sheet="1" objects="1" scenarios="1"/>
  <autoFilter ref="A1:BH342"/>
  <pageMargins left="0.7" right="0.7" top="0.75" bottom="0.75" header="0.3" footer="0.3"/>
  <pageSetup orientation="portrait" verticalDpi="0" r:id="rId1"/>
  <legacyDrawing r:id="rId2"/>
</worksheet>
</file>

<file path=xl/worksheets/sheet5.xml><?xml version="1.0" encoding="utf-8"?>
<worksheet xmlns="http://schemas.openxmlformats.org/spreadsheetml/2006/main" xmlns:r="http://schemas.openxmlformats.org/officeDocument/2006/relationships">
  <dimension ref="A1:I48"/>
  <sheetViews>
    <sheetView workbookViewId="0"/>
  </sheetViews>
  <sheetFormatPr defaultRowHeight="15"/>
  <sheetData>
    <row r="1" spans="1:1">
      <c r="A1" s="30" t="s">
        <v>1381</v>
      </c>
    </row>
    <row r="2" spans="1:1">
      <c r="A2" t="s">
        <v>1382</v>
      </c>
    </row>
    <row r="3" spans="1:1">
      <c r="A3" t="s">
        <v>1391</v>
      </c>
    </row>
    <row r="4" spans="1:1">
      <c r="A4" t="s">
        <v>1384</v>
      </c>
    </row>
    <row r="5" spans="1:1">
      <c r="A5" t="s">
        <v>1389</v>
      </c>
    </row>
    <row r="6" spans="1:1">
      <c r="A6" t="s">
        <v>1390</v>
      </c>
    </row>
    <row r="8" spans="1:1">
      <c r="A8" s="30" t="s">
        <v>1385</v>
      </c>
    </row>
    <row r="9" spans="1:1">
      <c r="A9" s="90" t="s">
        <v>1404</v>
      </c>
    </row>
    <row r="10" spans="1:1">
      <c r="A10" t="s">
        <v>1394</v>
      </c>
    </row>
    <row r="11" spans="1:1">
      <c r="A11" t="s">
        <v>1398</v>
      </c>
    </row>
    <row r="12" spans="1:1">
      <c r="A12" s="94" t="s">
        <v>1399</v>
      </c>
    </row>
    <row r="13" spans="1:1">
      <c r="A13" t="s">
        <v>1393</v>
      </c>
    </row>
    <row r="14" spans="1:1">
      <c r="A14" s="90" t="s">
        <v>1289</v>
      </c>
    </row>
    <row r="15" spans="1:1">
      <c r="A15" t="s">
        <v>1395</v>
      </c>
    </row>
    <row r="16" spans="1:1">
      <c r="A16" s="90" t="s">
        <v>1288</v>
      </c>
    </row>
    <row r="17" spans="1:9">
      <c r="A17" t="s">
        <v>1281</v>
      </c>
    </row>
    <row r="18" spans="1:9">
      <c r="A18" t="s">
        <v>1282</v>
      </c>
    </row>
    <row r="19" spans="1:9">
      <c r="A19" t="s">
        <v>1283</v>
      </c>
    </row>
    <row r="20" spans="1:9">
      <c r="A20" t="s">
        <v>1284</v>
      </c>
    </row>
    <row r="21" spans="1:9">
      <c r="A21" t="s">
        <v>1285</v>
      </c>
    </row>
    <row r="24" spans="1:9">
      <c r="A24" s="30" t="s">
        <v>1386</v>
      </c>
    </row>
    <row r="25" spans="1:9">
      <c r="A25" s="30"/>
      <c r="C25">
        <f>'Data entry and outputs'!C11/'Data entry and outputs'!C23*'Data entry and outputs'!C43</f>
        <v>0</v>
      </c>
    </row>
    <row r="26" spans="1:9">
      <c r="A26" t="s">
        <v>1357</v>
      </c>
      <c r="C26" s="91">
        <f>C25/'Data entry and outputs'!C15*100</f>
        <v>0</v>
      </c>
      <c r="D26" s="91"/>
      <c r="E26" s="91"/>
      <c r="F26" s="91"/>
      <c r="G26" s="91"/>
      <c r="H26" s="91"/>
      <c r="I26" t="s">
        <v>1360</v>
      </c>
    </row>
    <row r="27" spans="1:9">
      <c r="A27" t="s">
        <v>1358</v>
      </c>
      <c r="C27">
        <f>C26/100*'Data entry and outputs'!D54</f>
        <v>0</v>
      </c>
    </row>
    <row r="28" spans="1:9">
      <c r="A28" t="s">
        <v>1359</v>
      </c>
      <c r="I28" t="e">
        <f>'Data entry and outputs'!#REF!/'Data entry and outputs'!C16</f>
        <v>#REF!</v>
      </c>
    </row>
    <row r="29" spans="1:9">
      <c r="A29" t="s">
        <v>1361</v>
      </c>
    </row>
    <row r="30" spans="1:9">
      <c r="A30" t="s">
        <v>1355</v>
      </c>
    </row>
    <row r="32" spans="1:9">
      <c r="A32" s="30" t="s">
        <v>1364</v>
      </c>
    </row>
    <row r="33" spans="1:3">
      <c r="A33" t="s">
        <v>1356</v>
      </c>
      <c r="B33">
        <f>LN('Data entry and outputs'!C22)</f>
        <v>8.3213617456523057</v>
      </c>
    </row>
    <row r="34" spans="1:3">
      <c r="A34" t="s">
        <v>1346</v>
      </c>
      <c r="B34">
        <f>LN('Data entry and outputs'!C22+'Data entry and outputs'!F35)</f>
        <v>8.3213617456523057</v>
      </c>
    </row>
    <row r="35" spans="1:3">
      <c r="A35" t="s">
        <v>1347</v>
      </c>
      <c r="B35" s="91">
        <f>B33*'Data entry and outputs'!D$52*LN('Data entry and outputs'!C$17)</f>
        <v>5.0807285415923227</v>
      </c>
    </row>
    <row r="36" spans="1:3">
      <c r="A36" t="s">
        <v>1348</v>
      </c>
      <c r="B36" s="91">
        <f>B34*'Data entry and outputs'!D$52*LN('Data entry and outputs'!C$17)</f>
        <v>5.0807285415923227</v>
      </c>
    </row>
    <row r="37" spans="1:3">
      <c r="A37" t="s">
        <v>1349</v>
      </c>
      <c r="B37" s="91">
        <f>B36-B35</f>
        <v>0</v>
      </c>
    </row>
    <row r="38" spans="1:3">
      <c r="A38" t="s">
        <v>1350</v>
      </c>
      <c r="B38">
        <f>EXP(B37)</f>
        <v>1</v>
      </c>
    </row>
    <row r="39" spans="1:3">
      <c r="A39" t="s">
        <v>1351</v>
      </c>
      <c r="B39">
        <f>EXP(LN(B36/B35))</f>
        <v>1</v>
      </c>
    </row>
    <row r="40" spans="1:3">
      <c r="A40" t="s">
        <v>1352</v>
      </c>
      <c r="B40">
        <f>'Data entry and outputs'!F35/'Data entry and outputs'!C22</f>
        <v>0</v>
      </c>
    </row>
    <row r="41" spans="1:3">
      <c r="B41" s="92">
        <f>B40*'Data entry and outputs'!D52</f>
        <v>0</v>
      </c>
    </row>
    <row r="42" spans="1:3">
      <c r="A42" t="s">
        <v>1353</v>
      </c>
      <c r="B42" s="93">
        <f>B41*'Data entry and outputs'!C16*'Data entry and outputs'!C17</f>
        <v>0</v>
      </c>
    </row>
    <row r="43" spans="1:3">
      <c r="A43" t="s">
        <v>1354</v>
      </c>
      <c r="B43" s="93" t="e">
        <f>EXP(LN('Data entry and outputs'!F35)*'Data entry and outputs'!D52*LN('Data entry and outputs'!C17))</f>
        <v>#NUM!</v>
      </c>
      <c r="C43" t="e">
        <f>B43*'Data entry and outputs'!C16</f>
        <v>#NUM!</v>
      </c>
    </row>
    <row r="44" spans="1:3">
      <c r="A44" t="s">
        <v>1355</v>
      </c>
      <c r="B44" s="93">
        <f>EXP(LN('Data entry and outputs'!C22)*'Data entry and outputs'!D52*LN('Data entry and outputs'!C17))</f>
        <v>160.89122919293328</v>
      </c>
    </row>
    <row r="45" spans="1:3">
      <c r="A45" s="30" t="s">
        <v>1362</v>
      </c>
      <c r="B45" s="93" t="e">
        <f>B43-B44</f>
        <v>#NUM!</v>
      </c>
    </row>
    <row r="46" spans="1:3">
      <c r="A46" s="30"/>
      <c r="B46" s="93" t="e">
        <f>B45*'Data entry and outputs'!C16</f>
        <v>#NUM!</v>
      </c>
    </row>
    <row r="47" spans="1:3">
      <c r="A47" t="s">
        <v>1351</v>
      </c>
    </row>
    <row r="48" spans="1:3">
      <c r="A48" t="s">
        <v>1363</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dimension ref="A1:AA67"/>
  <sheetViews>
    <sheetView workbookViewId="0"/>
  </sheetViews>
  <sheetFormatPr defaultRowHeight="15"/>
  <cols>
    <col min="1" max="1" width="40.7109375" customWidth="1"/>
    <col min="2" max="2" width="13.7109375" customWidth="1"/>
    <col min="3" max="3" width="16" customWidth="1"/>
    <col min="4" max="14" width="14.7109375" customWidth="1"/>
    <col min="15" max="15" width="17.42578125" customWidth="1"/>
    <col min="16" max="16" width="13.7109375" customWidth="1"/>
    <col min="17" max="17" width="12.42578125" customWidth="1"/>
    <col min="18" max="18" width="13.42578125" customWidth="1"/>
    <col min="19" max="19" width="15" customWidth="1"/>
    <col min="20" max="20" width="12.5703125" customWidth="1"/>
    <col min="21" max="21" width="14.85546875" customWidth="1"/>
    <col min="22" max="22" width="15.85546875" customWidth="1"/>
    <col min="23" max="23" width="19.28515625" customWidth="1"/>
    <col min="24" max="24" width="19" customWidth="1"/>
    <col min="25" max="25" width="16.42578125" customWidth="1"/>
    <col min="26" max="26" width="18.42578125" customWidth="1"/>
    <col min="27" max="27" width="16.7109375" customWidth="1"/>
  </cols>
  <sheetData>
    <row r="1" spans="1:25">
      <c r="A1" s="27" t="s">
        <v>732</v>
      </c>
      <c r="B1" s="28"/>
      <c r="C1" s="28"/>
      <c r="D1" s="28"/>
      <c r="F1" s="3"/>
      <c r="G1" s="3"/>
      <c r="H1" s="3"/>
      <c r="I1" s="3"/>
      <c r="J1" s="3"/>
      <c r="K1" s="3"/>
      <c r="L1" s="3"/>
      <c r="M1" s="3"/>
      <c r="N1" s="3"/>
      <c r="O1" s="3"/>
      <c r="P1" s="3"/>
      <c r="Q1" s="3"/>
      <c r="R1" s="3"/>
      <c r="S1" s="3"/>
      <c r="T1" s="3"/>
      <c r="U1" s="3"/>
      <c r="V1" s="3"/>
      <c r="W1" s="3"/>
      <c r="X1" s="3"/>
      <c r="Y1" s="3"/>
    </row>
    <row r="2" spans="1:25">
      <c r="A2" s="3" t="s">
        <v>733</v>
      </c>
      <c r="B2" s="3"/>
      <c r="C2" s="4"/>
      <c r="D2" s="3"/>
      <c r="E2" s="3"/>
      <c r="F2" s="3"/>
      <c r="G2" s="3"/>
      <c r="H2" s="3"/>
      <c r="I2" s="3"/>
      <c r="J2" s="3"/>
      <c r="K2" s="3"/>
      <c r="L2" s="3"/>
      <c r="M2" s="3"/>
      <c r="N2" s="3"/>
      <c r="O2" s="3"/>
      <c r="P2" s="3"/>
      <c r="Q2" s="3"/>
      <c r="R2" s="3"/>
      <c r="S2" s="3"/>
      <c r="T2" s="3"/>
      <c r="U2" s="3"/>
      <c r="V2" s="3"/>
      <c r="W2" s="3"/>
      <c r="X2" s="3"/>
      <c r="Y2" s="3"/>
    </row>
    <row r="3" spans="1:25">
      <c r="A3" s="15" t="s">
        <v>542</v>
      </c>
      <c r="B3" s="3"/>
      <c r="C3" s="4"/>
      <c r="D3" s="3"/>
      <c r="E3" s="3"/>
      <c r="F3" s="3"/>
      <c r="G3" s="3"/>
      <c r="H3" s="3"/>
      <c r="I3" s="3"/>
      <c r="J3" s="3"/>
      <c r="K3" s="3"/>
      <c r="L3" s="3"/>
      <c r="M3" s="3"/>
      <c r="N3" s="3"/>
      <c r="O3" s="3"/>
      <c r="P3" s="3"/>
      <c r="Q3" s="3"/>
      <c r="R3" s="3"/>
      <c r="S3" s="3"/>
      <c r="T3" s="3"/>
      <c r="U3" s="3"/>
      <c r="V3" s="3"/>
      <c r="W3" s="3"/>
      <c r="X3" s="3"/>
      <c r="Y3" s="3"/>
    </row>
    <row r="4" spans="1:25">
      <c r="A4" s="6" t="s">
        <v>268</v>
      </c>
      <c r="B4" s="3">
        <v>1698.6</v>
      </c>
      <c r="D4" s="3"/>
      <c r="E4" s="3"/>
      <c r="F4" s="3"/>
      <c r="G4" s="3"/>
      <c r="H4" s="3"/>
      <c r="I4" s="3"/>
      <c r="J4" s="3"/>
      <c r="K4" s="3"/>
      <c r="L4" s="3"/>
      <c r="M4" s="3"/>
      <c r="N4" s="3"/>
      <c r="O4" s="3"/>
      <c r="P4" s="3"/>
      <c r="Q4" s="3"/>
      <c r="R4" s="3"/>
      <c r="S4" s="3"/>
      <c r="T4" s="3"/>
      <c r="U4" s="3"/>
      <c r="V4" s="3"/>
      <c r="W4" s="3"/>
      <c r="X4" s="3"/>
      <c r="Y4" s="3"/>
    </row>
    <row r="5" spans="1:25">
      <c r="A5" s="3" t="s">
        <v>741</v>
      </c>
      <c r="B5" s="14">
        <f>0.00000264</f>
        <v>2.6400000000000001E-6</v>
      </c>
      <c r="C5" s="14"/>
      <c r="D5" s="3" t="s">
        <v>743</v>
      </c>
      <c r="E5" s="3"/>
      <c r="F5" s="3"/>
      <c r="G5" s="3"/>
      <c r="H5" s="3"/>
      <c r="I5" s="3"/>
      <c r="J5" s="3"/>
      <c r="K5" s="3"/>
      <c r="L5" s="3"/>
      <c r="M5" s="3"/>
      <c r="N5" s="3"/>
      <c r="O5" s="3"/>
      <c r="P5" s="3"/>
      <c r="Q5" s="3"/>
      <c r="R5" s="3"/>
      <c r="S5" s="3"/>
      <c r="T5" s="3"/>
      <c r="U5" s="3"/>
      <c r="V5" s="3"/>
      <c r="W5" s="3"/>
      <c r="X5" s="3"/>
      <c r="Y5" s="3"/>
    </row>
    <row r="6" spans="1:25">
      <c r="A6" s="3" t="s">
        <v>734</v>
      </c>
      <c r="B6" s="3">
        <v>9.7814000000000009E-3</v>
      </c>
      <c r="D6" s="3"/>
      <c r="E6" s="3"/>
      <c r="F6" s="3"/>
      <c r="G6" s="3"/>
      <c r="H6" s="3"/>
      <c r="I6" s="3"/>
      <c r="J6" s="3"/>
      <c r="K6" s="3"/>
      <c r="L6" s="3"/>
      <c r="M6" s="3"/>
      <c r="N6" s="3"/>
      <c r="O6" s="3"/>
      <c r="P6" s="3"/>
      <c r="Q6" s="3"/>
      <c r="R6" s="3"/>
      <c r="S6" s="3"/>
      <c r="T6" s="3"/>
      <c r="U6" s="3"/>
      <c r="V6" s="3"/>
      <c r="W6" s="3"/>
      <c r="X6" s="3"/>
      <c r="Y6" s="3"/>
    </row>
    <row r="7" spans="1:25">
      <c r="A7" s="3" t="s">
        <v>271</v>
      </c>
      <c r="B7" s="3">
        <v>894629.7</v>
      </c>
      <c r="D7" s="3"/>
      <c r="E7" s="3"/>
      <c r="F7" s="3"/>
      <c r="G7" s="3"/>
      <c r="H7" s="3"/>
      <c r="I7" s="3"/>
      <c r="J7" s="3"/>
      <c r="K7" s="3"/>
      <c r="L7" s="3"/>
      <c r="M7" s="3"/>
      <c r="N7" s="3"/>
      <c r="O7" s="3"/>
      <c r="P7" s="3"/>
      <c r="Q7" s="3"/>
      <c r="R7" s="3"/>
      <c r="S7" s="3"/>
      <c r="T7" s="3"/>
      <c r="U7" s="3"/>
      <c r="V7" s="3"/>
      <c r="W7" s="3"/>
      <c r="X7" s="3"/>
      <c r="Y7" s="3"/>
    </row>
    <row r="8" spans="1:25">
      <c r="A8" s="3" t="s">
        <v>272</v>
      </c>
      <c r="B8" s="3">
        <v>8081743</v>
      </c>
      <c r="D8" s="3"/>
      <c r="E8" s="3"/>
      <c r="F8" s="3"/>
      <c r="G8" s="3"/>
      <c r="H8" s="3"/>
      <c r="I8" s="3"/>
      <c r="J8" s="3"/>
      <c r="K8" s="3"/>
      <c r="L8" s="3"/>
      <c r="M8" s="3"/>
      <c r="N8" s="3"/>
      <c r="O8" s="3"/>
      <c r="P8" s="3"/>
      <c r="Q8" s="3"/>
      <c r="R8" s="3"/>
      <c r="S8" s="3"/>
      <c r="T8" s="3"/>
      <c r="U8" s="3"/>
      <c r="V8" s="3"/>
      <c r="W8" s="3"/>
      <c r="X8" s="3"/>
      <c r="Y8" s="3"/>
    </row>
    <row r="9" spans="1:25">
      <c r="A9" s="3" t="s">
        <v>740</v>
      </c>
      <c r="B9" s="3">
        <f>699416.2</f>
        <v>699416.2</v>
      </c>
      <c r="D9" s="3"/>
      <c r="E9" s="3"/>
      <c r="F9" s="3"/>
      <c r="G9" s="3"/>
      <c r="H9" s="3"/>
      <c r="I9" s="3"/>
      <c r="J9" s="3"/>
      <c r="K9" s="3"/>
      <c r="L9" s="3"/>
      <c r="M9" s="3"/>
      <c r="N9" s="3"/>
      <c r="O9" s="3"/>
      <c r="P9" s="3"/>
      <c r="Q9" s="3"/>
      <c r="R9" s="3"/>
      <c r="S9" s="3"/>
      <c r="T9" s="3"/>
      <c r="U9" s="3"/>
      <c r="V9" s="3"/>
      <c r="W9" s="3"/>
      <c r="X9" s="3"/>
      <c r="Y9" s="3"/>
    </row>
    <row r="10" spans="1:25">
      <c r="A10" s="3"/>
      <c r="B10" s="3"/>
      <c r="D10" s="3"/>
      <c r="E10" s="3"/>
      <c r="F10" s="3"/>
      <c r="G10" s="3"/>
      <c r="H10" s="3"/>
      <c r="I10" s="3"/>
      <c r="J10" s="3"/>
      <c r="K10" s="3"/>
      <c r="L10" s="3"/>
      <c r="M10" s="3"/>
      <c r="N10" s="3"/>
      <c r="O10" s="3"/>
      <c r="P10" s="3"/>
      <c r="Q10" s="3"/>
      <c r="R10" s="3"/>
      <c r="S10" s="3"/>
      <c r="T10" s="3"/>
      <c r="U10" s="3"/>
      <c r="V10" s="3"/>
      <c r="W10" s="3"/>
      <c r="X10" s="3"/>
      <c r="Y10" s="3"/>
    </row>
    <row r="11" spans="1:25">
      <c r="B11" t="str">
        <f>"lnwage"</f>
        <v>lnwage</v>
      </c>
      <c r="C11" t="str">
        <f>"lngdppc00"</f>
        <v>lngdppc00</v>
      </c>
      <c r="D11" t="str">
        <f>"lnwage"</f>
        <v>lnwage</v>
      </c>
      <c r="E11" t="str">
        <f>"lngdppc00"</f>
        <v>lngdppc00</v>
      </c>
      <c r="O11" s="3"/>
      <c r="P11" s="3"/>
      <c r="Q11" s="3"/>
      <c r="R11" s="3"/>
      <c r="S11" s="3"/>
      <c r="T11" s="3"/>
      <c r="U11" s="3"/>
      <c r="V11" s="3"/>
      <c r="W11" s="3"/>
      <c r="X11" s="3"/>
      <c r="Y11" s="3"/>
    </row>
    <row r="12" spans="1:25">
      <c r="A12" s="5" t="s">
        <v>735</v>
      </c>
      <c r="B12" t="s">
        <v>1</v>
      </c>
      <c r="C12" t="s">
        <v>1</v>
      </c>
      <c r="D12" t="s">
        <v>2</v>
      </c>
      <c r="E12" t="s">
        <v>2</v>
      </c>
      <c r="O12" s="3"/>
      <c r="P12" s="3"/>
      <c r="Q12" s="3"/>
      <c r="R12" s="3"/>
      <c r="S12" s="3"/>
      <c r="T12" s="3"/>
      <c r="U12" s="3"/>
      <c r="V12" s="3"/>
      <c r="W12" s="3"/>
      <c r="X12" s="3"/>
      <c r="Y12" s="3"/>
    </row>
    <row r="13" spans="1:25">
      <c r="A13" t="s">
        <v>736</v>
      </c>
      <c r="B13" s="20" t="str">
        <f>+'Productivity model estimates'!B18</f>
        <v>0.0420</v>
      </c>
      <c r="C13" s="20" t="str">
        <f>+'Productivity model estimates'!D18</f>
        <v>0.0610</v>
      </c>
      <c r="D13" s="20" t="str">
        <f>+'Productivity model estimates'!F18</f>
        <v>0.0344</v>
      </c>
      <c r="E13" s="20" t="str">
        <f>+'Productivity model estimates'!H18</f>
        <v>0.0633</v>
      </c>
      <c r="F13" s="3"/>
      <c r="G13" s="3"/>
      <c r="H13" s="3"/>
      <c r="I13" s="3"/>
      <c r="J13" s="3"/>
      <c r="K13" s="3"/>
      <c r="L13" s="3"/>
      <c r="M13" s="3"/>
      <c r="N13" s="3"/>
      <c r="O13" s="3"/>
      <c r="P13" s="7"/>
      <c r="Q13" s="7"/>
      <c r="R13" s="7"/>
      <c r="S13" s="7"/>
      <c r="T13" s="7"/>
      <c r="U13" s="7"/>
      <c r="V13" s="3"/>
      <c r="W13" s="3"/>
      <c r="X13" s="3"/>
      <c r="Y13" s="3"/>
    </row>
    <row r="14" spans="1:25">
      <c r="A14" s="3"/>
      <c r="B14" s="3"/>
      <c r="C14" s="3"/>
      <c r="D14" s="3"/>
      <c r="E14" s="3"/>
      <c r="F14" s="3"/>
      <c r="G14" s="3"/>
      <c r="H14" s="3"/>
      <c r="I14" s="3"/>
      <c r="J14" s="3"/>
      <c r="K14" s="3"/>
      <c r="L14" s="3"/>
      <c r="M14" s="3"/>
      <c r="N14" s="3"/>
      <c r="O14" s="3"/>
      <c r="P14" s="8"/>
      <c r="Q14" s="9"/>
      <c r="S14" s="9"/>
      <c r="U14" s="7"/>
      <c r="V14" s="3"/>
      <c r="W14" s="3"/>
      <c r="X14" s="3"/>
      <c r="Y14" s="3"/>
    </row>
    <row r="15" spans="1:25">
      <c r="A15" s="3"/>
      <c r="B15" t="s">
        <v>130</v>
      </c>
      <c r="C15" t="s">
        <v>130</v>
      </c>
      <c r="G15" s="3"/>
      <c r="H15" s="3"/>
      <c r="I15" s="3"/>
      <c r="J15" s="3"/>
      <c r="K15" s="3"/>
      <c r="L15" s="3"/>
      <c r="M15" s="3"/>
      <c r="N15" s="3"/>
      <c r="O15" s="3"/>
      <c r="P15" s="8"/>
      <c r="Q15" s="9"/>
      <c r="S15" s="9"/>
      <c r="U15" s="7"/>
      <c r="V15" s="3"/>
      <c r="W15" s="3"/>
      <c r="X15" s="3"/>
      <c r="Y15" s="3"/>
    </row>
    <row r="16" spans="1:25">
      <c r="A16" s="5" t="s">
        <v>737</v>
      </c>
      <c r="B16" t="s">
        <v>1</v>
      </c>
      <c r="C16" t="s">
        <v>2</v>
      </c>
      <c r="G16" s="3"/>
      <c r="H16" s="3"/>
      <c r="I16" s="3"/>
      <c r="J16" s="3"/>
      <c r="K16" s="3"/>
      <c r="L16" s="3"/>
      <c r="M16" s="3"/>
      <c r="N16" s="3"/>
      <c r="O16" s="3"/>
      <c r="P16" s="7"/>
      <c r="Q16" s="7"/>
      <c r="R16" s="7"/>
      <c r="S16" s="7"/>
      <c r="T16" s="7"/>
      <c r="U16" s="7"/>
      <c r="V16" s="3"/>
      <c r="W16" s="3"/>
      <c r="X16" s="3"/>
      <c r="Y16" s="3"/>
    </row>
    <row r="17" spans="1:27">
      <c r="A17" s="3" t="s">
        <v>543</v>
      </c>
      <c r="B17" s="18" t="str">
        <f>+'Track miles population'!C9</f>
        <v>7.96294e+10</v>
      </c>
      <c r="C17" s="18" t="str">
        <f>+'Track miles population'!E9</f>
        <v>1.74931e+11</v>
      </c>
      <c r="D17" s="20"/>
      <c r="E17" s="3"/>
      <c r="F17" s="3" t="s">
        <v>1254</v>
      </c>
      <c r="G17" s="3"/>
      <c r="H17" t="s">
        <v>1261</v>
      </c>
      <c r="I17" s="3"/>
      <c r="J17" s="3"/>
      <c r="K17" s="3"/>
      <c r="L17" s="3"/>
      <c r="M17" s="3"/>
      <c r="N17" s="3"/>
      <c r="O17" s="3"/>
      <c r="P17" s="7"/>
      <c r="Q17" s="7"/>
      <c r="R17" s="7"/>
      <c r="S17" s="7"/>
      <c r="T17" s="7"/>
      <c r="U17" s="7"/>
      <c r="V17" s="3"/>
      <c r="W17" s="3"/>
      <c r="X17" s="3"/>
      <c r="Y17" s="3"/>
    </row>
    <row r="18" spans="1:27">
      <c r="A18" s="3" t="s">
        <v>739</v>
      </c>
      <c r="B18" s="21">
        <f>+$B$5/$B$9*B17</f>
        <v>0.30056726738671485</v>
      </c>
      <c r="C18" s="21">
        <f>+$B$5/$B$9*C17</f>
        <v>0.66029045366692973</v>
      </c>
      <c r="D18" s="21"/>
      <c r="E18" s="16"/>
      <c r="F18" s="3" t="s">
        <v>1</v>
      </c>
      <c r="G18" s="3" t="s">
        <v>2</v>
      </c>
      <c r="H18" s="3" t="s">
        <v>1</v>
      </c>
      <c r="I18" s="3" t="s">
        <v>2</v>
      </c>
      <c r="J18" s="3"/>
      <c r="K18" s="3"/>
      <c r="L18" s="3"/>
      <c r="M18" s="3"/>
      <c r="N18" s="3"/>
      <c r="O18" s="3"/>
      <c r="P18" s="7"/>
      <c r="Q18" s="7"/>
      <c r="R18" s="7"/>
      <c r="S18" s="7"/>
      <c r="T18" s="7"/>
      <c r="U18" s="7"/>
      <c r="V18" s="3"/>
      <c r="W18" s="3"/>
      <c r="X18" s="3"/>
      <c r="Y18" s="3"/>
    </row>
    <row r="19" spans="1:27">
      <c r="A19" s="3" t="s">
        <v>549</v>
      </c>
      <c r="B19" s="22">
        <f>+B18*B13</f>
        <v>1.2623825230242025E-2</v>
      </c>
      <c r="C19" s="22">
        <f>+C18*D13</f>
        <v>2.2713991606142382E-2</v>
      </c>
      <c r="D19" s="22"/>
      <c r="E19" s="3" t="s">
        <v>1259</v>
      </c>
      <c r="F19" s="34">
        <f>+'all wage calcs'!$D$2*B19*0.01</f>
        <v>5.542240175045225</v>
      </c>
      <c r="G19" s="34">
        <f>+'all wage calcs'!$D$2*C19*0.01</f>
        <v>9.9721276648875818</v>
      </c>
      <c r="H19" s="34">
        <f>+F19+'Track mile elasticities'!G18</f>
        <v>5.8843697390714427</v>
      </c>
      <c r="I19" s="34">
        <f>+G19+'Track mile elasticities'!H18</f>
        <v>12.304441279542003</v>
      </c>
      <c r="J19" s="3"/>
      <c r="K19" s="3"/>
      <c r="L19" s="3"/>
      <c r="M19" s="3"/>
      <c r="N19" s="3"/>
      <c r="O19" s="3"/>
      <c r="P19" s="7"/>
      <c r="Q19" s="7"/>
      <c r="R19" s="7"/>
      <c r="S19" s="7"/>
      <c r="T19" s="7"/>
      <c r="U19" s="7"/>
      <c r="V19" s="3"/>
      <c r="W19" s="3"/>
      <c r="X19" s="3"/>
      <c r="Y19" s="3"/>
    </row>
    <row r="20" spans="1:27">
      <c r="A20" s="3" t="s">
        <v>550</v>
      </c>
      <c r="B20" s="22">
        <f>+B18*C13</f>
        <v>1.8334603310589604E-2</v>
      </c>
      <c r="C20" s="22">
        <f>+C18*E13</f>
        <v>4.1796385717116649E-2</v>
      </c>
      <c r="D20" s="22"/>
      <c r="E20" s="3" t="s">
        <v>1260</v>
      </c>
      <c r="F20" s="34">
        <f>+'all wage calcs'!$G$2*B20*0.01</f>
        <v>8.0761924277617076</v>
      </c>
      <c r="G20" s="34">
        <f>+'all wage calcs'!$G$2*C20*0.01</f>
        <v>18.410851225857801</v>
      </c>
      <c r="H20" s="34">
        <f>+F20+'Track mile elasticities'!G19</f>
        <v>9.0180065505561995</v>
      </c>
      <c r="I20" s="34">
        <f>+G20+'Track mile elasticities'!H19</f>
        <v>21.181979541019704</v>
      </c>
      <c r="J20" s="3"/>
      <c r="K20" s="3"/>
      <c r="L20" s="3"/>
      <c r="M20" s="3"/>
      <c r="N20" s="3"/>
      <c r="O20" s="3"/>
      <c r="Q20" s="3"/>
      <c r="R20" s="3"/>
      <c r="S20" s="3"/>
      <c r="T20" s="3"/>
      <c r="U20" s="3"/>
      <c r="V20" s="3"/>
      <c r="W20" s="3"/>
      <c r="Z20" s="3"/>
    </row>
    <row r="21" spans="1:27">
      <c r="A21" s="3"/>
      <c r="B21" s="3"/>
      <c r="C21" s="3"/>
      <c r="D21" s="3"/>
      <c r="E21" s="3"/>
      <c r="F21" s="3"/>
      <c r="G21" s="3"/>
      <c r="I21" s="3"/>
      <c r="J21" s="3"/>
      <c r="K21" s="3"/>
      <c r="L21" s="3"/>
      <c r="M21" s="3"/>
      <c r="N21" s="3"/>
      <c r="O21" s="3"/>
      <c r="Q21" s="3"/>
      <c r="R21" s="3"/>
      <c r="S21" s="3"/>
      <c r="T21" s="3"/>
      <c r="U21" s="3"/>
      <c r="V21" s="3"/>
      <c r="W21" s="3"/>
      <c r="Z21" s="3"/>
    </row>
    <row r="22" spans="1:27">
      <c r="B22" t="s">
        <v>130</v>
      </c>
      <c r="C22" t="s">
        <v>130</v>
      </c>
      <c r="E22" s="3"/>
      <c r="F22" s="3"/>
      <c r="G22" s="3"/>
      <c r="I22" s="3"/>
      <c r="J22" s="3"/>
      <c r="K22" s="3"/>
      <c r="L22" s="3"/>
      <c r="M22" s="3"/>
      <c r="N22" s="3"/>
      <c r="O22" s="3"/>
      <c r="Q22" s="3"/>
      <c r="R22" s="3"/>
      <c r="S22" s="3"/>
      <c r="T22" s="3"/>
      <c r="U22" s="3"/>
      <c r="V22" s="3"/>
      <c r="W22" s="3"/>
      <c r="Z22" s="3"/>
    </row>
    <row r="23" spans="1:27">
      <c r="A23" s="5" t="s">
        <v>738</v>
      </c>
      <c r="B23" t="s">
        <v>1</v>
      </c>
      <c r="C23" t="s">
        <v>2</v>
      </c>
      <c r="E23" s="3"/>
      <c r="F23" s="3"/>
      <c r="G23" s="3"/>
      <c r="I23" s="3"/>
      <c r="J23" s="3"/>
      <c r="K23" s="3"/>
      <c r="L23" s="3"/>
      <c r="M23" s="3"/>
      <c r="N23" s="3"/>
      <c r="O23" s="3"/>
      <c r="Q23" s="3"/>
      <c r="R23" s="3"/>
      <c r="S23" s="3"/>
      <c r="T23" s="3"/>
      <c r="U23" s="3"/>
      <c r="V23" s="3"/>
      <c r="W23" s="3"/>
      <c r="Z23" s="3"/>
    </row>
    <row r="24" spans="1:27">
      <c r="A24" s="3" t="s">
        <v>543</v>
      </c>
      <c r="B24" s="20" t="str">
        <f>+'Track miles population'!K21</f>
        <v>24677544.7</v>
      </c>
      <c r="C24" s="20" t="str">
        <f>+'Track miles population'!M21</f>
        <v>46151583.8</v>
      </c>
      <c r="D24" s="3"/>
      <c r="E24" s="3"/>
      <c r="F24" s="3"/>
      <c r="G24" s="3"/>
      <c r="I24" s="3"/>
      <c r="J24" s="3"/>
      <c r="K24" s="3"/>
      <c r="L24" s="3"/>
      <c r="M24" s="3"/>
      <c r="N24" s="3"/>
      <c r="O24" s="3"/>
      <c r="Q24" s="3"/>
      <c r="R24" s="3"/>
      <c r="S24" s="3"/>
      <c r="T24" s="3"/>
      <c r="U24" s="3"/>
      <c r="V24" s="3"/>
      <c r="W24" s="3"/>
      <c r="Z24" s="3"/>
    </row>
    <row r="25" spans="1:27" ht="17.25" customHeight="1">
      <c r="A25" s="3" t="s">
        <v>742</v>
      </c>
      <c r="B25" s="44">
        <f>+$B$6/$B$9*B24</f>
        <v>0.34511773637582321</v>
      </c>
      <c r="C25" s="44">
        <f>+$B$6/$B$9*C24</f>
        <v>0.64543415177017638</v>
      </c>
      <c r="D25" s="3"/>
      <c r="E25" s="3"/>
      <c r="F25" s="3"/>
      <c r="G25" s="3"/>
      <c r="I25" s="3"/>
      <c r="J25" s="3"/>
      <c r="K25" s="3"/>
      <c r="L25" s="3"/>
      <c r="M25" s="3"/>
      <c r="N25" s="3"/>
      <c r="O25" s="3"/>
      <c r="Q25" s="3"/>
      <c r="R25" s="3"/>
      <c r="S25" s="3"/>
      <c r="T25" s="3"/>
      <c r="U25" s="3"/>
      <c r="V25" s="3"/>
      <c r="W25" s="3"/>
      <c r="Z25" s="3"/>
    </row>
    <row r="26" spans="1:27" ht="16.5" customHeight="1">
      <c r="A26" s="3" t="s">
        <v>549</v>
      </c>
      <c r="B26" s="23">
        <f>+B25*B13</f>
        <v>1.4494944927784576E-2</v>
      </c>
      <c r="C26" s="23">
        <f>+C25*D13</f>
        <v>2.2202934820894069E-2</v>
      </c>
      <c r="D26" s="3"/>
      <c r="E26" s="3" t="s">
        <v>1259</v>
      </c>
      <c r="F26" s="34">
        <f>+'all wage calcs'!$D$2*B26*0.01</f>
        <v>6.363718179604068</v>
      </c>
      <c r="G26" s="34">
        <f>+'all wage calcs'!$D$2*C26*0.01</f>
        <v>9.7477583160354389</v>
      </c>
      <c r="I26" s="3"/>
      <c r="J26" s="3"/>
      <c r="K26" s="3"/>
      <c r="M26" s="3"/>
      <c r="N26" s="3"/>
      <c r="O26" s="3"/>
      <c r="P26" s="3"/>
      <c r="R26" s="8"/>
      <c r="S26" s="3"/>
      <c r="T26" s="8"/>
      <c r="U26" s="3"/>
      <c r="V26" s="8"/>
      <c r="W26" s="3"/>
      <c r="X26" s="3"/>
      <c r="AA26" s="8"/>
    </row>
    <row r="27" spans="1:27" ht="15.75" customHeight="1">
      <c r="A27" s="3" t="s">
        <v>550</v>
      </c>
      <c r="B27" s="23">
        <f>+B25*C13</f>
        <v>2.1052181918925217E-2</v>
      </c>
      <c r="C27" s="23">
        <f>+C25*E13</f>
        <v>4.0855981807052161E-2</v>
      </c>
      <c r="D27" s="3"/>
      <c r="E27" s="3" t="s">
        <v>1260</v>
      </c>
      <c r="F27" s="34">
        <f>+'all wage calcs'!$G$2*B27*0.01</f>
        <v>9.2732561114799612</v>
      </c>
      <c r="G27" s="34">
        <f>+'all wage calcs'!$G$2*C27*0.01</f>
        <v>17.996613578670001</v>
      </c>
      <c r="I27" s="3"/>
      <c r="J27" s="3"/>
      <c r="K27" s="3"/>
      <c r="M27" s="3"/>
      <c r="N27" s="3"/>
      <c r="O27" s="3"/>
      <c r="P27" s="3"/>
      <c r="R27" s="11"/>
      <c r="S27" s="3"/>
      <c r="T27" s="11"/>
      <c r="U27" s="11"/>
      <c r="V27" s="11"/>
      <c r="W27" s="3"/>
      <c r="X27" s="3"/>
      <c r="AA27" s="12"/>
    </row>
    <row r="28" spans="1:27" ht="15.75" customHeight="1">
      <c r="B28" s="26" t="s">
        <v>551</v>
      </c>
      <c r="C28" s="23"/>
      <c r="D28" s="3"/>
      <c r="G28" s="3"/>
      <c r="H28" s="3"/>
      <c r="I28" s="3"/>
      <c r="J28" s="3"/>
      <c r="K28" s="3"/>
      <c r="M28" s="3"/>
      <c r="N28" s="3"/>
      <c r="O28" s="3"/>
      <c r="P28" s="3"/>
      <c r="R28" s="11"/>
      <c r="S28" s="3"/>
      <c r="T28" s="11"/>
      <c r="U28" s="11"/>
      <c r="V28" s="11"/>
      <c r="W28" s="3"/>
      <c r="X28" s="3"/>
      <c r="AA28" s="12"/>
    </row>
    <row r="29" spans="1:27" ht="15.75" customHeight="1">
      <c r="B29" s="26" t="s">
        <v>561</v>
      </c>
      <c r="C29" s="23"/>
      <c r="D29" s="3"/>
      <c r="G29" s="3"/>
      <c r="H29" s="3"/>
      <c r="I29" s="3"/>
      <c r="J29" s="3"/>
      <c r="K29" s="3"/>
      <c r="M29" s="3"/>
      <c r="N29" s="3"/>
      <c r="O29" s="3"/>
      <c r="P29" s="3"/>
      <c r="R29" s="11"/>
      <c r="S29" s="3"/>
      <c r="T29" s="11"/>
      <c r="U29" s="11"/>
      <c r="V29" s="11"/>
      <c r="W29" s="3"/>
      <c r="X29" s="3"/>
      <c r="AA29" s="12"/>
    </row>
    <row r="30" spans="1:27" ht="33" customHeight="1">
      <c r="A30" s="3"/>
      <c r="B30" s="3"/>
      <c r="C30" s="3"/>
      <c r="D30" s="3"/>
      <c r="E30" s="3"/>
      <c r="F30" s="3"/>
      <c r="H30" s="258" t="s">
        <v>552</v>
      </c>
      <c r="I30" s="259"/>
      <c r="J30" s="259"/>
      <c r="K30" s="259"/>
      <c r="L30" s="24"/>
      <c r="M30" s="3"/>
      <c r="N30" s="3"/>
      <c r="P30" s="258" t="s">
        <v>552</v>
      </c>
      <c r="Q30" s="259"/>
      <c r="R30" s="259"/>
      <c r="S30" s="259"/>
      <c r="T30" s="13"/>
      <c r="U30" s="13"/>
      <c r="V30" s="13"/>
      <c r="W30" s="13"/>
      <c r="X30" s="13"/>
      <c r="Y30" s="13"/>
    </row>
    <row r="31" spans="1:27" ht="45">
      <c r="A31" s="3" t="s">
        <v>274</v>
      </c>
      <c r="B31" s="10" t="s">
        <v>740</v>
      </c>
      <c r="C31" s="10" t="s">
        <v>851</v>
      </c>
      <c r="D31" s="10"/>
      <c r="E31" s="10"/>
      <c r="F31" s="260" t="s">
        <v>744</v>
      </c>
      <c r="G31" s="261"/>
      <c r="H31" s="260" t="s">
        <v>559</v>
      </c>
      <c r="I31" s="261"/>
      <c r="J31" s="262" t="s">
        <v>560</v>
      </c>
      <c r="K31" s="262"/>
      <c r="L31" s="19"/>
      <c r="M31" s="19" t="s">
        <v>745</v>
      </c>
      <c r="N31" s="260" t="s">
        <v>553</v>
      </c>
      <c r="O31" s="261"/>
      <c r="P31" s="260" t="s">
        <v>554</v>
      </c>
      <c r="Q31" s="261"/>
      <c r="R31" s="262" t="s">
        <v>555</v>
      </c>
      <c r="S31" s="262"/>
      <c r="T31" s="13"/>
      <c r="U31" s="13"/>
      <c r="V31" s="13"/>
      <c r="W31" s="13"/>
      <c r="X31" s="13"/>
      <c r="Y31" s="13"/>
    </row>
    <row r="32" spans="1:27">
      <c r="A32" s="3"/>
      <c r="B32" s="3"/>
      <c r="C32" s="10"/>
      <c r="D32" s="10"/>
      <c r="E32" s="10"/>
      <c r="F32" s="17" t="s">
        <v>1</v>
      </c>
      <c r="G32" s="18" t="s">
        <v>2</v>
      </c>
      <c r="H32" s="17" t="s">
        <v>1</v>
      </c>
      <c r="I32" s="18" t="s">
        <v>2</v>
      </c>
      <c r="J32" s="17" t="s">
        <v>1</v>
      </c>
      <c r="K32" s="18" t="s">
        <v>2</v>
      </c>
      <c r="L32" s="18"/>
      <c r="M32" s="10"/>
      <c r="N32" s="17" t="s">
        <v>1</v>
      </c>
      <c r="O32" s="18" t="s">
        <v>2</v>
      </c>
      <c r="P32" s="17" t="s">
        <v>1</v>
      </c>
      <c r="Q32" s="18" t="s">
        <v>2</v>
      </c>
      <c r="R32" s="17" t="s">
        <v>1</v>
      </c>
      <c r="S32" s="18" t="s">
        <v>2</v>
      </c>
      <c r="T32" s="13"/>
      <c r="U32" s="13"/>
      <c r="V32" s="13"/>
      <c r="W32" s="13"/>
      <c r="X32" s="13"/>
      <c r="Y32" s="13"/>
    </row>
    <row r="33" spans="1:25">
      <c r="A33" s="3" t="s">
        <v>278</v>
      </c>
      <c r="B33" s="3">
        <v>846582</v>
      </c>
      <c r="C33" s="45">
        <f>+'Track mile elasticities'!C32/('Track mile pop elasticities'!B33)</f>
        <v>4.9611260338632288E-5</v>
      </c>
      <c r="D33" s="45"/>
      <c r="E33" s="45"/>
      <c r="F33" s="13">
        <f t="shared" ref="F33:F64" si="0">+C33/B33*$B$17</f>
        <v>4.6664291161506934</v>
      </c>
      <c r="G33" s="13">
        <f t="shared" ref="G33:G64" si="1">+C33/B33*$C$17</f>
        <v>10.251277941531104</v>
      </c>
      <c r="H33" s="11">
        <f>+F33*$B$13</f>
        <v>0.19599002287832915</v>
      </c>
      <c r="I33" s="11">
        <f>+G33*$D$13</f>
        <v>0.35264396118866997</v>
      </c>
      <c r="J33" s="11">
        <f>+F33*$C$13</f>
        <v>0.28465217608519228</v>
      </c>
      <c r="K33" s="11">
        <f>+G33*$E$13</f>
        <v>0.64890589369891882</v>
      </c>
      <c r="L33" s="3"/>
      <c r="M33" s="3">
        <v>0.14972489999999999</v>
      </c>
      <c r="N33" s="11">
        <f t="shared" ref="N33:N64" si="2">+M33/B33*$B$24</f>
        <v>4.364424134287086</v>
      </c>
      <c r="O33" s="11">
        <f t="shared" ref="O33:O64" si="3">+M33/B33*$C$24</f>
        <v>8.1622822943278024</v>
      </c>
      <c r="P33" s="25">
        <f>+N33*$B$13</f>
        <v>0.18330581364005763</v>
      </c>
      <c r="Q33" s="11">
        <f>+O33*$D$13</f>
        <v>0.28078251092487638</v>
      </c>
      <c r="R33" s="11">
        <f>+N33*$C$13</f>
        <v>0.26622987219151223</v>
      </c>
      <c r="S33" s="11">
        <f>+O33*$E$13</f>
        <v>0.51667246923094989</v>
      </c>
      <c r="T33" s="13"/>
      <c r="U33" s="13"/>
      <c r="V33" s="13"/>
      <c r="W33" s="13"/>
      <c r="X33" s="13"/>
      <c r="Y33" s="13"/>
    </row>
    <row r="34" spans="1:25">
      <c r="A34" s="3" t="s">
        <v>280</v>
      </c>
      <c r="B34" s="3">
        <v>5385586</v>
      </c>
      <c r="C34" s="45">
        <f>+'Track mile elasticities'!C33/('Track mile pop elasticities'!B34)</f>
        <v>9.19120036334022E-6</v>
      </c>
      <c r="D34" s="45"/>
      <c r="E34" s="45"/>
      <c r="F34" s="13">
        <f t="shared" si="0"/>
        <v>0.13589788933136779</v>
      </c>
      <c r="G34" s="13">
        <f t="shared" si="1"/>
        <v>0.29854241873762077</v>
      </c>
      <c r="H34" s="11">
        <f t="shared" ref="H34:H64" si="4">+F34*$B$13</f>
        <v>5.7077113519174473E-3</v>
      </c>
      <c r="I34" s="11">
        <f t="shared" ref="I34:I64" si="5">+G34*$D$13</f>
        <v>1.0269859204574155E-2</v>
      </c>
      <c r="J34" s="11">
        <f t="shared" ref="J34:J64" si="6">+F34*$C$13</f>
        <v>8.2897712492134342E-3</v>
      </c>
      <c r="K34" s="11">
        <f t="shared" ref="K34:K64" si="7">+G34*$E$13</f>
        <v>1.8897735106091395E-2</v>
      </c>
      <c r="L34" s="11"/>
      <c r="M34" s="3">
        <v>2.3358E-2</v>
      </c>
      <c r="N34" s="11">
        <f t="shared" si="2"/>
        <v>0.10702978080799377</v>
      </c>
      <c r="O34" s="11">
        <f t="shared" si="3"/>
        <v>0.20016553340720952</v>
      </c>
      <c r="P34" s="25">
        <f t="shared" ref="P34:P64" si="8">+N34*$B$13</f>
        <v>4.4952507939357384E-3</v>
      </c>
      <c r="Q34" s="11">
        <f t="shared" ref="Q34:Q64" si="9">+O34*$D$13</f>
        <v>6.8856943492080075E-3</v>
      </c>
      <c r="R34" s="11">
        <f t="shared" ref="R34:R64" si="10">+N34*$C$13</f>
        <v>6.5288166292876201E-3</v>
      </c>
      <c r="S34" s="11">
        <f t="shared" ref="S34:S64" si="11">+O34*$E$13</f>
        <v>1.2670478264676361E-2</v>
      </c>
      <c r="T34" s="13"/>
      <c r="U34" s="13"/>
      <c r="V34" s="13"/>
      <c r="W34" s="13"/>
      <c r="X34" s="13"/>
      <c r="Y34" s="13"/>
    </row>
    <row r="35" spans="1:25">
      <c r="A35" s="3" t="s">
        <v>282</v>
      </c>
      <c r="B35" s="3">
        <v>2677712</v>
      </c>
      <c r="C35" s="45">
        <f>+'Track mile elasticities'!C34/('Track mile pop elasticities'!B35)</f>
        <v>3.9959487801526082E-5</v>
      </c>
      <c r="D35" s="45"/>
      <c r="E35" s="45"/>
      <c r="F35" s="13">
        <f t="shared" si="0"/>
        <v>1.188309287161144</v>
      </c>
      <c r="G35" s="13">
        <f t="shared" si="1"/>
        <v>2.6104947659078945</v>
      </c>
      <c r="H35" s="11">
        <f t="shared" si="4"/>
        <v>4.9908990060768051E-2</v>
      </c>
      <c r="I35" s="11">
        <f t="shared" si="5"/>
        <v>8.9801019947231567E-2</v>
      </c>
      <c r="J35" s="11">
        <f t="shared" si="6"/>
        <v>7.2486866516829784E-2</v>
      </c>
      <c r="K35" s="11">
        <f t="shared" si="7"/>
        <v>0.1652443186819697</v>
      </c>
      <c r="L35" s="11"/>
      <c r="M35" s="3">
        <v>0.12496119999999999</v>
      </c>
      <c r="N35" s="11">
        <f t="shared" si="2"/>
        <v>1.151630794785115</v>
      </c>
      <c r="O35" s="11">
        <f t="shared" si="3"/>
        <v>2.1537630983274374</v>
      </c>
      <c r="P35" s="25">
        <f t="shared" si="8"/>
        <v>4.8368493380974834E-2</v>
      </c>
      <c r="Q35" s="11">
        <f t="shared" si="9"/>
        <v>7.4089450582463842E-2</v>
      </c>
      <c r="R35" s="11">
        <f t="shared" si="10"/>
        <v>7.0249478481892016E-2</v>
      </c>
      <c r="S35" s="11">
        <f t="shared" si="11"/>
        <v>0.13633320412412678</v>
      </c>
      <c r="T35" s="13"/>
      <c r="U35" s="13"/>
      <c r="V35" s="13"/>
      <c r="W35" s="13"/>
      <c r="X35" s="13"/>
      <c r="Y35" s="13"/>
    </row>
    <row r="36" spans="1:25">
      <c r="A36" s="3" t="s">
        <v>284</v>
      </c>
      <c r="B36" s="3">
        <v>1124055</v>
      </c>
      <c r="C36" s="45">
        <f>+'Track mile elasticities'!C35/('Track mile pop elasticities'!B36)</f>
        <v>5.6936715730102181E-6</v>
      </c>
      <c r="D36" s="45"/>
      <c r="E36" s="45"/>
      <c r="F36" s="13">
        <f t="shared" si="0"/>
        <v>0.40334650097714064</v>
      </c>
      <c r="G36" s="13">
        <f t="shared" si="1"/>
        <v>0.88607733779775044</v>
      </c>
      <c r="H36" s="11">
        <f t="shared" si="4"/>
        <v>1.6940553041039908E-2</v>
      </c>
      <c r="I36" s="11">
        <f t="shared" si="5"/>
        <v>3.0481060420242616E-2</v>
      </c>
      <c r="J36" s="11">
        <f t="shared" si="6"/>
        <v>2.4604136559605579E-2</v>
      </c>
      <c r="K36" s="11">
        <f t="shared" si="7"/>
        <v>5.6088695482597602E-2</v>
      </c>
      <c r="L36" s="11"/>
      <c r="M36" s="3">
        <v>1.6202999999999999E-2</v>
      </c>
      <c r="N36" s="11">
        <f t="shared" si="2"/>
        <v>0.3557212563211764</v>
      </c>
      <c r="O36" s="11">
        <f t="shared" si="3"/>
        <v>0.665264699958098</v>
      </c>
      <c r="P36" s="25">
        <f t="shared" si="8"/>
        <v>1.4940292765489411E-2</v>
      </c>
      <c r="Q36" s="11">
        <f t="shared" si="9"/>
        <v>2.288510567855857E-2</v>
      </c>
      <c r="R36" s="11">
        <f t="shared" si="10"/>
        <v>2.1698996635591761E-2</v>
      </c>
      <c r="S36" s="11">
        <f t="shared" si="11"/>
        <v>4.2111255507347602E-2</v>
      </c>
      <c r="T36" s="13"/>
      <c r="U36" s="13"/>
      <c r="V36" s="13"/>
      <c r="W36" s="13"/>
      <c r="X36" s="13"/>
      <c r="Y36" s="13"/>
    </row>
    <row r="37" spans="1:25">
      <c r="A37" s="3" t="s">
        <v>285</v>
      </c>
      <c r="B37" s="3">
        <v>1706469</v>
      </c>
      <c r="C37" s="45">
        <f>+'Track mile elasticities'!C36/('Track mile pop elasticities'!B37)</f>
        <v>5.6256515647222424E-6</v>
      </c>
      <c r="D37" s="45"/>
      <c r="E37" s="45"/>
      <c r="F37" s="13">
        <f t="shared" si="0"/>
        <v>0.26251121978066599</v>
      </c>
      <c r="G37" s="13">
        <f t="shared" si="1"/>
        <v>0.57668838629264674</v>
      </c>
      <c r="H37" s="11">
        <f t="shared" si="4"/>
        <v>1.1025471230787972E-2</v>
      </c>
      <c r="I37" s="11">
        <f t="shared" si="5"/>
        <v>1.9838080488467049E-2</v>
      </c>
      <c r="J37" s="11">
        <f t="shared" si="6"/>
        <v>1.6013184406620626E-2</v>
      </c>
      <c r="K37" s="11">
        <f t="shared" si="7"/>
        <v>3.6504374852324536E-2</v>
      </c>
      <c r="L37" s="11"/>
      <c r="M37" s="3">
        <v>1.37051E-2</v>
      </c>
      <c r="N37" s="11">
        <f t="shared" si="2"/>
        <v>0.19819183229696524</v>
      </c>
      <c r="O37" s="11">
        <f t="shared" si="3"/>
        <v>0.37065547111455288</v>
      </c>
      <c r="P37" s="25">
        <f t="shared" si="8"/>
        <v>8.3240569564725399E-3</v>
      </c>
      <c r="Q37" s="11">
        <f t="shared" si="9"/>
        <v>1.2750548206340619E-2</v>
      </c>
      <c r="R37" s="11">
        <f t="shared" si="10"/>
        <v>1.2089701770114879E-2</v>
      </c>
      <c r="S37" s="11">
        <f t="shared" si="11"/>
        <v>2.3462491321551194E-2</v>
      </c>
      <c r="T37" s="13"/>
      <c r="U37" s="13"/>
      <c r="V37" s="13"/>
      <c r="W37" s="13"/>
      <c r="X37" s="13"/>
      <c r="Y37" s="13"/>
    </row>
    <row r="38" spans="1:25">
      <c r="A38" s="3" t="s">
        <v>287</v>
      </c>
      <c r="B38" s="3">
        <v>9515636</v>
      </c>
      <c r="C38" s="45">
        <f>+'Track mile elasticities'!C37/('Track mile pop elasticities'!B38)</f>
        <v>7.2648848694926958E-5</v>
      </c>
      <c r="D38" s="45"/>
      <c r="E38" s="45"/>
      <c r="F38" s="13">
        <f t="shared" si="0"/>
        <v>0.60794509502757532</v>
      </c>
      <c r="G38" s="13">
        <f t="shared" si="1"/>
        <v>1.3355424430960019</v>
      </c>
      <c r="H38" s="11">
        <f t="shared" si="4"/>
        <v>2.5533693991158166E-2</v>
      </c>
      <c r="I38" s="11">
        <f t="shared" si="5"/>
        <v>4.5942660042502463E-2</v>
      </c>
      <c r="J38" s="11">
        <f t="shared" si="6"/>
        <v>3.7084650796682092E-2</v>
      </c>
      <c r="K38" s="11">
        <f t="shared" si="7"/>
        <v>8.4539836647976915E-2</v>
      </c>
      <c r="L38" s="11"/>
      <c r="M38" s="3">
        <v>0.28856759999999998</v>
      </c>
      <c r="N38" s="11">
        <f t="shared" si="2"/>
        <v>0.74836194322394423</v>
      </c>
      <c r="O38" s="11">
        <f t="shared" si="3"/>
        <v>1.3995755799575433</v>
      </c>
      <c r="P38" s="25">
        <f t="shared" si="8"/>
        <v>3.1431201615405663E-2</v>
      </c>
      <c r="Q38" s="11">
        <f t="shared" si="9"/>
        <v>4.8145399950539493E-2</v>
      </c>
      <c r="R38" s="11">
        <f t="shared" si="10"/>
        <v>4.5650078536660595E-2</v>
      </c>
      <c r="S38" s="11">
        <f t="shared" si="11"/>
        <v>8.8593134211312485E-2</v>
      </c>
      <c r="T38" s="13"/>
      <c r="U38" s="13"/>
      <c r="V38" s="13"/>
      <c r="W38" s="13"/>
      <c r="X38" s="13"/>
      <c r="Y38" s="13"/>
    </row>
    <row r="39" spans="1:25">
      <c r="A39" s="3" t="s">
        <v>289</v>
      </c>
      <c r="B39" s="3">
        <v>2094051</v>
      </c>
      <c r="C39" s="45">
        <f>+'Track mile elasticities'!C38/('Track mile pop elasticities'!B39)</f>
        <v>1.6475243439629695E-5</v>
      </c>
      <c r="D39" s="45"/>
      <c r="E39" s="45"/>
      <c r="F39" s="13">
        <f t="shared" si="0"/>
        <v>0.62649560586234476</v>
      </c>
      <c r="G39" s="13">
        <f t="shared" si="1"/>
        <v>1.3762944694937527</v>
      </c>
      <c r="H39" s="11">
        <f t="shared" si="4"/>
        <v>2.6312815446218482E-2</v>
      </c>
      <c r="I39" s="11">
        <f t="shared" si="5"/>
        <v>4.734452975058509E-2</v>
      </c>
      <c r="J39" s="11">
        <f t="shared" si="6"/>
        <v>3.8216231957603028E-2</v>
      </c>
      <c r="K39" s="11">
        <f t="shared" si="7"/>
        <v>8.711943991895453E-2</v>
      </c>
      <c r="L39" s="11"/>
      <c r="M39" s="3">
        <v>4.8137399999999997E-2</v>
      </c>
      <c r="N39" s="11">
        <f t="shared" si="2"/>
        <v>0.56727980371145681</v>
      </c>
      <c r="O39" s="11">
        <f t="shared" si="3"/>
        <v>1.060918406482994</v>
      </c>
      <c r="P39" s="25">
        <f t="shared" si="8"/>
        <v>2.3825751755881187E-2</v>
      </c>
      <c r="Q39" s="11">
        <f t="shared" si="9"/>
        <v>3.6495593183014992E-2</v>
      </c>
      <c r="R39" s="11">
        <f t="shared" si="10"/>
        <v>3.4604068026398864E-2</v>
      </c>
      <c r="S39" s="11">
        <f t="shared" si="11"/>
        <v>6.7156135130373509E-2</v>
      </c>
      <c r="T39" s="13"/>
      <c r="U39" s="13"/>
      <c r="V39" s="13"/>
      <c r="W39" s="13"/>
      <c r="X39" s="13"/>
      <c r="Y39" s="13"/>
    </row>
    <row r="40" spans="1:25">
      <c r="A40" s="3" t="s">
        <v>291</v>
      </c>
      <c r="B40" s="3">
        <v>6301085</v>
      </c>
      <c r="C40" s="45">
        <f>+'Track mile elasticities'!C39/('Track mile pop elasticities'!B40)</f>
        <v>1.3426260715416471E-5</v>
      </c>
      <c r="D40" s="45"/>
      <c r="E40" s="45"/>
      <c r="F40" s="13">
        <f t="shared" si="0"/>
        <v>0.16967317295548059</v>
      </c>
      <c r="G40" s="13">
        <f t="shared" si="1"/>
        <v>0.37274044282984897</v>
      </c>
      <c r="H40" s="11">
        <f t="shared" si="4"/>
        <v>7.1262732641301854E-3</v>
      </c>
      <c r="I40" s="11">
        <f t="shared" si="5"/>
        <v>1.2822271233346805E-2</v>
      </c>
      <c r="J40" s="11">
        <f t="shared" si="6"/>
        <v>1.0350063550284316E-2</v>
      </c>
      <c r="K40" s="11">
        <f t="shared" si="7"/>
        <v>2.3594470031129439E-2</v>
      </c>
      <c r="L40" s="11"/>
      <c r="M40" s="3">
        <v>4.9869499999999997E-2</v>
      </c>
      <c r="N40" s="11">
        <f t="shared" si="2"/>
        <v>0.19530871515249357</v>
      </c>
      <c r="O40" s="11">
        <f t="shared" si="3"/>
        <v>0.36526350752514841</v>
      </c>
      <c r="P40" s="25">
        <f t="shared" si="8"/>
        <v>8.2029660364047307E-3</v>
      </c>
      <c r="Q40" s="11">
        <f t="shared" si="9"/>
        <v>1.2565064658865106E-2</v>
      </c>
      <c r="R40" s="11">
        <f t="shared" si="10"/>
        <v>1.1913831624302108E-2</v>
      </c>
      <c r="S40" s="11">
        <f t="shared" si="11"/>
        <v>2.3121180026341892E-2</v>
      </c>
      <c r="T40" s="13"/>
      <c r="U40" s="13"/>
      <c r="V40" s="13"/>
      <c r="W40" s="13"/>
      <c r="X40" s="13"/>
      <c r="Y40" s="13"/>
    </row>
    <row r="41" spans="1:25">
      <c r="A41" s="3" t="s">
        <v>293</v>
      </c>
      <c r="B41" s="3">
        <v>2500384</v>
      </c>
      <c r="C41" s="45">
        <f>+'Track mile elasticities'!C40/('Track mile pop elasticities'!B41)</f>
        <v>1.383787450247642E-5</v>
      </c>
      <c r="D41" s="45"/>
      <c r="E41" s="45"/>
      <c r="F41" s="13">
        <f t="shared" si="0"/>
        <v>0.44069296712324824</v>
      </c>
      <c r="G41" s="13">
        <f t="shared" si="1"/>
        <v>0.96812058651499233</v>
      </c>
      <c r="H41" s="11">
        <f t="shared" si="4"/>
        <v>1.8509104619176427E-2</v>
      </c>
      <c r="I41" s="11">
        <f t="shared" si="5"/>
        <v>3.3303348176115737E-2</v>
      </c>
      <c r="J41" s="11">
        <f t="shared" si="6"/>
        <v>2.6882270994518141E-2</v>
      </c>
      <c r="K41" s="11">
        <f t="shared" si="7"/>
        <v>6.1282033126399009E-2</v>
      </c>
      <c r="L41" s="11"/>
      <c r="M41" s="3">
        <v>6.3835000000000003E-2</v>
      </c>
      <c r="N41" s="11">
        <f t="shared" si="2"/>
        <v>0.63001965535073812</v>
      </c>
      <c r="O41" s="11">
        <f t="shared" si="3"/>
        <v>1.17825356100223</v>
      </c>
      <c r="P41" s="25">
        <f t="shared" si="8"/>
        <v>2.6460825524731002E-2</v>
      </c>
      <c r="Q41" s="11">
        <f t="shared" si="9"/>
        <v>4.0531922498476709E-2</v>
      </c>
      <c r="R41" s="11">
        <f t="shared" si="10"/>
        <v>3.8431198976395027E-2</v>
      </c>
      <c r="S41" s="11">
        <f t="shared" si="11"/>
        <v>7.4583450411441155E-2</v>
      </c>
      <c r="T41" s="13"/>
      <c r="U41" s="13"/>
      <c r="V41" s="13"/>
      <c r="W41" s="13"/>
      <c r="X41" s="13"/>
      <c r="Y41" s="13"/>
    </row>
    <row r="42" spans="1:25">
      <c r="A42" s="3" t="s">
        <v>295</v>
      </c>
      <c r="B42" s="3">
        <v>5726705</v>
      </c>
      <c r="C42" s="45">
        <f>+'Track mile elasticities'!C41/('Track mile pop elasticities'!B42)</f>
        <v>2.4970729241335113E-6</v>
      </c>
      <c r="D42" s="45"/>
      <c r="E42" s="45"/>
      <c r="F42" s="13">
        <f t="shared" si="0"/>
        <v>3.4721610193819488E-2</v>
      </c>
      <c r="G42" s="13">
        <f t="shared" si="1"/>
        <v>7.6276927778120104E-2</v>
      </c>
      <c r="H42" s="11">
        <f t="shared" si="4"/>
        <v>1.4583076281404186E-3</v>
      </c>
      <c r="I42" s="11">
        <f t="shared" si="5"/>
        <v>2.6239263155673318E-3</v>
      </c>
      <c r="J42" s="11">
        <f t="shared" si="6"/>
        <v>2.1180182218229885E-3</v>
      </c>
      <c r="K42" s="11">
        <f t="shared" si="7"/>
        <v>4.8283295283550022E-3</v>
      </c>
      <c r="L42" s="11"/>
      <c r="M42" s="3">
        <v>9.1695000000000006E-3</v>
      </c>
      <c r="N42" s="11">
        <f t="shared" si="2"/>
        <v>3.9513253454936129E-2</v>
      </c>
      <c r="O42" s="11">
        <f t="shared" si="3"/>
        <v>7.3897109708654457E-2</v>
      </c>
      <c r="P42" s="25">
        <f t="shared" si="8"/>
        <v>1.6595566451073176E-3</v>
      </c>
      <c r="Q42" s="11">
        <f t="shared" si="9"/>
        <v>2.5420605739777135E-3</v>
      </c>
      <c r="R42" s="11">
        <f t="shared" si="10"/>
        <v>2.4103084607511038E-3</v>
      </c>
      <c r="S42" s="11">
        <f t="shared" si="11"/>
        <v>4.6776870445578269E-3</v>
      </c>
      <c r="T42" s="13"/>
      <c r="U42" s="13"/>
      <c r="V42" s="13"/>
      <c r="W42" s="13"/>
      <c r="X42" s="13"/>
      <c r="Y42" s="13"/>
    </row>
    <row r="43" spans="1:25">
      <c r="A43" s="3" t="s">
        <v>297</v>
      </c>
      <c r="B43" s="3">
        <v>675921</v>
      </c>
      <c r="C43" s="45">
        <f>+'Track mile elasticities'!C42/('Track mile pop elasticities'!B43)</f>
        <v>5.0301736445531356E-6</v>
      </c>
      <c r="D43" s="45"/>
      <c r="E43" s="45"/>
      <c r="F43" s="13">
        <f t="shared" si="0"/>
        <v>0.59259840900279692</v>
      </c>
      <c r="G43" s="13">
        <f t="shared" si="1"/>
        <v>1.3018286246696353</v>
      </c>
      <c r="H43" s="11">
        <f t="shared" si="4"/>
        <v>2.4889133178117473E-2</v>
      </c>
      <c r="I43" s="11">
        <f t="shared" si="5"/>
        <v>4.4782904688635453E-2</v>
      </c>
      <c r="J43" s="11">
        <f t="shared" si="6"/>
        <v>3.6148502949170609E-2</v>
      </c>
      <c r="K43" s="11">
        <f t="shared" si="7"/>
        <v>8.2405751941587904E-2</v>
      </c>
      <c r="L43" s="11"/>
      <c r="M43" s="3">
        <v>1.3791100000000001E-2</v>
      </c>
      <c r="N43" s="11">
        <f t="shared" si="2"/>
        <v>0.50350630726397028</v>
      </c>
      <c r="O43" s="11">
        <f t="shared" si="3"/>
        <v>0.9416501445349087</v>
      </c>
      <c r="P43" s="25">
        <f t="shared" si="8"/>
        <v>2.1147264905086754E-2</v>
      </c>
      <c r="Q43" s="11">
        <f t="shared" si="9"/>
        <v>3.2392764972000859E-2</v>
      </c>
      <c r="R43" s="11">
        <f t="shared" si="10"/>
        <v>3.0713884743102188E-2</v>
      </c>
      <c r="S43" s="11">
        <f t="shared" si="11"/>
        <v>5.9606454149059719E-2</v>
      </c>
      <c r="T43" s="13"/>
      <c r="U43" s="13"/>
      <c r="V43" s="13"/>
      <c r="W43" s="13"/>
      <c r="X43" s="13"/>
      <c r="Y43" s="13"/>
    </row>
    <row r="44" spans="1:25">
      <c r="A44" s="3" t="s">
        <v>299</v>
      </c>
      <c r="B44" s="3">
        <v>12768395</v>
      </c>
      <c r="C44" s="45">
        <f>+'Track mile elasticities'!C43/('Track mile pop elasticities'!B44)</f>
        <v>3.7694635856738453E-5</v>
      </c>
      <c r="D44" s="45"/>
      <c r="E44" s="45"/>
      <c r="F44" s="13">
        <f t="shared" si="0"/>
        <v>0.23508054352098043</v>
      </c>
      <c r="G44" s="13">
        <f t="shared" si="1"/>
        <v>0.51642828601833779</v>
      </c>
      <c r="H44" s="11">
        <f t="shared" si="4"/>
        <v>9.8733828278811785E-3</v>
      </c>
      <c r="I44" s="11">
        <f t="shared" si="5"/>
        <v>1.7765133039030819E-2</v>
      </c>
      <c r="J44" s="11">
        <f t="shared" si="6"/>
        <v>1.4339913154779806E-2</v>
      </c>
      <c r="K44" s="11">
        <f t="shared" si="7"/>
        <v>3.2689910504960777E-2</v>
      </c>
      <c r="L44" s="11"/>
      <c r="M44" s="3">
        <v>0.25996989999999998</v>
      </c>
      <c r="N44" s="11">
        <f t="shared" si="2"/>
        <v>0.50244520379456692</v>
      </c>
      <c r="O44" s="11">
        <f t="shared" si="3"/>
        <v>0.93966568431879016</v>
      </c>
      <c r="P44" s="25">
        <f t="shared" si="8"/>
        <v>2.1102698559371812E-2</v>
      </c>
      <c r="Q44" s="11">
        <f t="shared" si="9"/>
        <v>3.2324499540566383E-2</v>
      </c>
      <c r="R44" s="11">
        <f t="shared" si="10"/>
        <v>3.0649157431468583E-2</v>
      </c>
      <c r="S44" s="11">
        <f t="shared" si="11"/>
        <v>5.9480837817379416E-2</v>
      </c>
      <c r="T44" s="13"/>
      <c r="U44" s="13"/>
      <c r="V44" s="13"/>
      <c r="W44" s="13"/>
      <c r="X44" s="13"/>
      <c r="Y44" s="13"/>
    </row>
    <row r="45" spans="1:25">
      <c r="A45" s="3" t="s">
        <v>301</v>
      </c>
      <c r="B45" s="3">
        <v>1298529</v>
      </c>
      <c r="C45" s="45">
        <f>+'Track mile elasticities'!C44/('Track mile pop elasticities'!B45)</f>
        <v>5.3907151861837508E-6</v>
      </c>
      <c r="D45" s="45"/>
      <c r="E45" s="45"/>
      <c r="F45" s="13">
        <f t="shared" si="0"/>
        <v>0.33057360740245334</v>
      </c>
      <c r="G45" s="13">
        <f t="shared" si="1"/>
        <v>0.72620880876307703</v>
      </c>
      <c r="H45" s="11">
        <f t="shared" si="4"/>
        <v>1.3884091510903042E-2</v>
      </c>
      <c r="I45" s="11">
        <f t="shared" si="5"/>
        <v>2.498158302144985E-2</v>
      </c>
      <c r="J45" s="11">
        <f t="shared" si="6"/>
        <v>2.0164990051549654E-2</v>
      </c>
      <c r="K45" s="11">
        <f t="shared" si="7"/>
        <v>4.5969017594702774E-2</v>
      </c>
      <c r="L45" s="11"/>
      <c r="M45" s="3">
        <v>1.6092499999999999E-2</v>
      </c>
      <c r="N45" s="11">
        <f t="shared" si="2"/>
        <v>0.30582558270531496</v>
      </c>
      <c r="O45" s="11">
        <f t="shared" si="3"/>
        <v>0.57195053965025033</v>
      </c>
      <c r="P45" s="25">
        <f t="shared" si="8"/>
        <v>1.284467447362323E-2</v>
      </c>
      <c r="Q45" s="11">
        <f t="shared" si="9"/>
        <v>1.967509856396861E-2</v>
      </c>
      <c r="R45" s="11">
        <f t="shared" si="10"/>
        <v>1.8655360545024213E-2</v>
      </c>
      <c r="S45" s="11">
        <f t="shared" si="11"/>
        <v>3.6204469159860843E-2</v>
      </c>
      <c r="T45" s="13"/>
      <c r="U45" s="13"/>
      <c r="V45" s="13"/>
      <c r="W45" s="13"/>
      <c r="X45" s="13"/>
      <c r="Y45" s="13"/>
    </row>
    <row r="46" spans="1:25">
      <c r="A46" s="3" t="s">
        <v>303</v>
      </c>
      <c r="B46" s="3">
        <v>5501752</v>
      </c>
      <c r="C46" s="45">
        <f>+'Track mile elasticities'!C45/('Track mile pop elasticities'!B46)</f>
        <v>1.7412635102418283E-5</v>
      </c>
      <c r="D46" s="45"/>
      <c r="E46" s="45"/>
      <c r="F46" s="13">
        <f t="shared" si="0"/>
        <v>0.2520211172049388</v>
      </c>
      <c r="G46" s="13">
        <f t="shared" si="1"/>
        <v>0.55364357955450061</v>
      </c>
      <c r="H46" s="11">
        <f t="shared" si="4"/>
        <v>1.058488692260743E-2</v>
      </c>
      <c r="I46" s="11">
        <f t="shared" si="5"/>
        <v>1.9045339136674822E-2</v>
      </c>
      <c r="J46" s="11">
        <f t="shared" si="6"/>
        <v>1.5373288149501266E-2</v>
      </c>
      <c r="K46" s="11">
        <f t="shared" si="7"/>
        <v>3.5045638585799885E-2</v>
      </c>
      <c r="L46" s="11"/>
      <c r="M46" s="3">
        <v>8.4259600000000004E-2</v>
      </c>
      <c r="N46" s="11">
        <f t="shared" si="2"/>
        <v>0.37793779970527935</v>
      </c>
      <c r="O46" s="11">
        <f t="shared" si="3"/>
        <v>0.70681375502830379</v>
      </c>
      <c r="P46" s="25">
        <f t="shared" si="8"/>
        <v>1.5873387587621735E-2</v>
      </c>
      <c r="Q46" s="11">
        <f t="shared" si="9"/>
        <v>2.4314393172973649E-2</v>
      </c>
      <c r="R46" s="11">
        <f t="shared" si="10"/>
        <v>2.3054205782022039E-2</v>
      </c>
      <c r="S46" s="11">
        <f t="shared" si="11"/>
        <v>4.4741310693291625E-2</v>
      </c>
      <c r="T46" s="13"/>
      <c r="U46" s="13"/>
      <c r="V46" s="13"/>
      <c r="W46" s="13"/>
      <c r="X46" s="13"/>
      <c r="Y46" s="13"/>
    </row>
    <row r="47" spans="1:25">
      <c r="A47" s="3" t="s">
        <v>305</v>
      </c>
      <c r="B47" s="3">
        <v>3237612</v>
      </c>
      <c r="C47" s="45">
        <f>+'Track mile elasticities'!C46/('Track mile pop elasticities'!B47)</f>
        <v>3.7373224462968386E-6</v>
      </c>
      <c r="D47" s="45"/>
      <c r="E47" s="45"/>
      <c r="F47" s="13">
        <f t="shared" si="0"/>
        <v>9.1919829802073097E-2</v>
      </c>
      <c r="G47" s="13">
        <f t="shared" si="1"/>
        <v>0.20193079122919988</v>
      </c>
      <c r="H47" s="11">
        <f t="shared" si="4"/>
        <v>3.8606328516870704E-3</v>
      </c>
      <c r="I47" s="11">
        <f t="shared" si="5"/>
        <v>6.9464192182844761E-3</v>
      </c>
      <c r="J47" s="11">
        <f t="shared" si="6"/>
        <v>5.607109617926459E-3</v>
      </c>
      <c r="K47" s="11">
        <f t="shared" si="7"/>
        <v>1.2782219084808352E-2</v>
      </c>
      <c r="L47" s="11"/>
      <c r="M47" s="3">
        <v>1.18677E-2</v>
      </c>
      <c r="N47" s="11">
        <f t="shared" si="2"/>
        <v>9.0457317688527841E-2</v>
      </c>
      <c r="O47" s="11">
        <f t="shared" si="3"/>
        <v>0.16917195484303246</v>
      </c>
      <c r="P47" s="25">
        <f t="shared" si="8"/>
        <v>3.7992073429181697E-3</v>
      </c>
      <c r="Q47" s="11">
        <f t="shared" si="9"/>
        <v>5.8195152466003165E-3</v>
      </c>
      <c r="R47" s="11">
        <f t="shared" si="10"/>
        <v>5.517896379000198E-3</v>
      </c>
      <c r="S47" s="11">
        <f t="shared" si="11"/>
        <v>1.0708584741563954E-2</v>
      </c>
      <c r="T47" s="13"/>
      <c r="U47" s="13"/>
      <c r="V47" s="13"/>
      <c r="W47" s="13"/>
      <c r="X47" s="13"/>
      <c r="Y47" s="13"/>
    </row>
    <row r="48" spans="1:25">
      <c r="A48" s="3" t="s">
        <v>306</v>
      </c>
      <c r="B48" s="3">
        <v>1556368</v>
      </c>
      <c r="C48" s="45">
        <f>+'Track mile elasticities'!C47/('Track mile pop elasticities'!B48)</f>
        <v>2.0560690016756962E-5</v>
      </c>
      <c r="D48" s="45"/>
      <c r="E48" s="45"/>
      <c r="F48" s="13">
        <f t="shared" si="0"/>
        <v>1.0519590544269393</v>
      </c>
      <c r="G48" s="13">
        <f t="shared" si="1"/>
        <v>2.3109586327406575</v>
      </c>
      <c r="H48" s="11">
        <f t="shared" si="4"/>
        <v>4.418228028593145E-2</v>
      </c>
      <c r="I48" s="11">
        <f t="shared" si="5"/>
        <v>7.9496976966278624E-2</v>
      </c>
      <c r="J48" s="11">
        <f t="shared" si="6"/>
        <v>6.4169502320043301E-2</v>
      </c>
      <c r="K48" s="11">
        <f t="shared" si="7"/>
        <v>0.1462836814524836</v>
      </c>
      <c r="L48" s="11"/>
      <c r="M48" s="3">
        <v>5.4420000000000003E-2</v>
      </c>
      <c r="N48" s="11">
        <f t="shared" si="2"/>
        <v>0.86287560690916287</v>
      </c>
      <c r="O48" s="11">
        <f t="shared" si="3"/>
        <v>1.6137373618552937</v>
      </c>
      <c r="P48" s="25">
        <f t="shared" si="8"/>
        <v>3.624077549018484E-2</v>
      </c>
      <c r="Q48" s="11">
        <f t="shared" si="9"/>
        <v>5.5512565247822103E-2</v>
      </c>
      <c r="R48" s="11">
        <f t="shared" si="10"/>
        <v>5.2635412021458931E-2</v>
      </c>
      <c r="S48" s="11">
        <f t="shared" si="11"/>
        <v>0.10214957500544009</v>
      </c>
      <c r="T48" s="13"/>
      <c r="U48" s="13"/>
      <c r="V48" s="13"/>
      <c r="W48" s="13"/>
      <c r="X48" s="13"/>
      <c r="Y48" s="13"/>
    </row>
    <row r="49" spans="1:25">
      <c r="A49" s="3" t="s">
        <v>308</v>
      </c>
      <c r="B49" s="3">
        <v>1168547</v>
      </c>
      <c r="C49" s="45">
        <f>+'Track mile elasticities'!C48/('Track mile pop elasticities'!B49)</f>
        <v>1.1039350578111108E-5</v>
      </c>
      <c r="D49" s="45"/>
      <c r="E49" s="45"/>
      <c r="F49" s="13">
        <f t="shared" si="0"/>
        <v>0.75226487503253248</v>
      </c>
      <c r="G49" s="13">
        <f t="shared" si="1"/>
        <v>1.6525861912097282</v>
      </c>
      <c r="H49" s="11">
        <f t="shared" si="4"/>
        <v>3.1595124751366367E-2</v>
      </c>
      <c r="I49" s="11">
        <f t="shared" si="5"/>
        <v>5.6848964977614651E-2</v>
      </c>
      <c r="J49" s="11">
        <f t="shared" si="6"/>
        <v>4.5888157376984477E-2</v>
      </c>
      <c r="K49" s="11">
        <f t="shared" si="7"/>
        <v>0.10460870590357578</v>
      </c>
      <c r="L49" s="11"/>
      <c r="M49" s="3">
        <v>3.6522100000000002E-2</v>
      </c>
      <c r="N49" s="11">
        <f t="shared" si="2"/>
        <v>0.77127899458718385</v>
      </c>
      <c r="O49" s="11">
        <f t="shared" si="3"/>
        <v>1.4424347148227499</v>
      </c>
      <c r="P49" s="25">
        <f t="shared" si="8"/>
        <v>3.2393717772661722E-2</v>
      </c>
      <c r="Q49" s="11">
        <f t="shared" si="9"/>
        <v>4.9619754189902596E-2</v>
      </c>
      <c r="R49" s="11">
        <f t="shared" si="10"/>
        <v>4.7048018669818212E-2</v>
      </c>
      <c r="S49" s="11">
        <f t="shared" si="11"/>
        <v>9.1306117448280058E-2</v>
      </c>
      <c r="T49" s="13"/>
      <c r="U49" s="13"/>
      <c r="V49" s="13"/>
      <c r="W49" s="13"/>
      <c r="X49" s="13"/>
      <c r="Y49" s="13"/>
    </row>
    <row r="50" spans="1:25">
      <c r="A50" s="3" t="s">
        <v>310</v>
      </c>
      <c r="B50" s="3">
        <v>18968501</v>
      </c>
      <c r="C50" s="45">
        <f>+'Track mile elasticities'!C49/('Track mile pop elasticities'!B50)</f>
        <v>6.5540234307392037E-5</v>
      </c>
      <c r="D50" s="45"/>
      <c r="E50" s="45"/>
      <c r="F50" s="13">
        <f t="shared" si="0"/>
        <v>0.27513663487468215</v>
      </c>
      <c r="G50" s="13">
        <f t="shared" si="1"/>
        <v>0.60442407798203968</v>
      </c>
      <c r="H50" s="11">
        <f t="shared" si="4"/>
        <v>1.1555738664736651E-2</v>
      </c>
      <c r="I50" s="11">
        <f t="shared" si="5"/>
        <v>2.0792188282582166E-2</v>
      </c>
      <c r="J50" s="11">
        <f t="shared" si="6"/>
        <v>1.678333472735561E-2</v>
      </c>
      <c r="K50" s="11">
        <f t="shared" si="7"/>
        <v>3.8260044136263112E-2</v>
      </c>
      <c r="L50" s="11"/>
      <c r="M50" s="3">
        <v>0.36173820000000001</v>
      </c>
      <c r="N50" s="11">
        <f t="shared" si="2"/>
        <v>0.47061233780136552</v>
      </c>
      <c r="O50" s="11">
        <f t="shared" si="3"/>
        <v>0.88013232310561385</v>
      </c>
      <c r="P50" s="25">
        <f t="shared" si="8"/>
        <v>1.9765718187657353E-2</v>
      </c>
      <c r="Q50" s="11">
        <f t="shared" si="9"/>
        <v>3.0276551914833118E-2</v>
      </c>
      <c r="R50" s="11">
        <f t="shared" si="10"/>
        <v>2.8707352605883297E-2</v>
      </c>
      <c r="S50" s="11">
        <f t="shared" si="11"/>
        <v>5.5712376052585354E-2</v>
      </c>
      <c r="T50" s="13"/>
      <c r="U50" s="13"/>
      <c r="V50" s="13"/>
      <c r="W50" s="13"/>
      <c r="X50" s="13"/>
      <c r="Y50" s="13"/>
    </row>
    <row r="51" spans="1:25">
      <c r="A51" s="3" t="s">
        <v>312</v>
      </c>
      <c r="B51" s="3">
        <v>5940496</v>
      </c>
      <c r="C51" s="45">
        <f>+'Track mile elasticities'!C50/('Track mile pop elasticities'!B51)</f>
        <v>5.6594600854878107E-5</v>
      </c>
      <c r="D51" s="45"/>
      <c r="E51" s="45"/>
      <c r="F51" s="13">
        <f t="shared" si="0"/>
        <v>0.75862253073033481</v>
      </c>
      <c r="G51" s="13">
        <f t="shared" si="1"/>
        <v>1.6665527797922401</v>
      </c>
      <c r="H51" s="11">
        <f t="shared" si="4"/>
        <v>3.1862146290674062E-2</v>
      </c>
      <c r="I51" s="11">
        <f t="shared" si="5"/>
        <v>5.732941562485306E-2</v>
      </c>
      <c r="J51" s="11">
        <f t="shared" si="6"/>
        <v>4.6275974374550423E-2</v>
      </c>
      <c r="K51" s="11">
        <f t="shared" si="7"/>
        <v>0.10549279096084879</v>
      </c>
      <c r="L51" s="11"/>
      <c r="M51" s="3">
        <v>0.1731153</v>
      </c>
      <c r="N51" s="11">
        <f t="shared" si="2"/>
        <v>0.71914206389565949</v>
      </c>
      <c r="O51" s="11">
        <f t="shared" si="3"/>
        <v>1.3449289882548763</v>
      </c>
      <c r="P51" s="25">
        <f t="shared" si="8"/>
        <v>3.0203966683617699E-2</v>
      </c>
      <c r="Q51" s="11">
        <f t="shared" si="9"/>
        <v>4.6265557195967741E-2</v>
      </c>
      <c r="R51" s="11">
        <f t="shared" si="10"/>
        <v>4.386766589763523E-2</v>
      </c>
      <c r="S51" s="11">
        <f t="shared" si="11"/>
        <v>8.5134004956533657E-2</v>
      </c>
      <c r="T51" s="13"/>
      <c r="U51" s="13"/>
      <c r="V51" s="13"/>
      <c r="W51" s="13"/>
      <c r="X51" s="13"/>
      <c r="Y51" s="13"/>
    </row>
    <row r="52" spans="1:25">
      <c r="A52" s="3" t="s">
        <v>313</v>
      </c>
      <c r="B52" s="3">
        <v>2355391</v>
      </c>
      <c r="C52" s="45">
        <f>+'Track mile elasticities'!C51/('Track mile pop elasticities'!B52)</f>
        <v>9.3402751390321177E-6</v>
      </c>
      <c r="D52" s="45"/>
      <c r="E52" s="45"/>
      <c r="F52" s="13">
        <f t="shared" si="0"/>
        <v>0.31576944344104402</v>
      </c>
      <c r="G52" s="13">
        <f t="shared" si="1"/>
        <v>0.6936868105321059</v>
      </c>
      <c r="H52" s="11">
        <f t="shared" si="4"/>
        <v>1.3262316624523849E-2</v>
      </c>
      <c r="I52" s="11">
        <f t="shared" si="5"/>
        <v>2.3862826282304444E-2</v>
      </c>
      <c r="J52" s="11">
        <f t="shared" si="6"/>
        <v>1.9261936049903686E-2</v>
      </c>
      <c r="K52" s="11">
        <f t="shared" si="7"/>
        <v>4.3910375106682303E-2</v>
      </c>
      <c r="L52" s="11"/>
      <c r="M52" s="3">
        <v>2.1607399999999999E-2</v>
      </c>
      <c r="N52" s="11">
        <f t="shared" si="2"/>
        <v>0.22638176818658978</v>
      </c>
      <c r="O52" s="11">
        <f t="shared" si="3"/>
        <v>0.4233758776356536</v>
      </c>
      <c r="P52" s="25">
        <f t="shared" si="8"/>
        <v>9.5080342638367722E-3</v>
      </c>
      <c r="Q52" s="11">
        <f t="shared" si="9"/>
        <v>1.4564130190666484E-2</v>
      </c>
      <c r="R52" s="11">
        <f t="shared" si="10"/>
        <v>1.3809287859381977E-2</v>
      </c>
      <c r="S52" s="11">
        <f t="shared" si="11"/>
        <v>2.6799693054336871E-2</v>
      </c>
      <c r="T52" s="13"/>
      <c r="U52" s="13"/>
      <c r="V52" s="13"/>
      <c r="W52" s="13"/>
      <c r="X52" s="13"/>
      <c r="Y52" s="13"/>
    </row>
    <row r="53" spans="1:25">
      <c r="A53" s="3" t="s">
        <v>315</v>
      </c>
      <c r="B53" s="3">
        <v>2203745</v>
      </c>
      <c r="C53" s="45">
        <f>+'Track mile elasticities'!C52/('Track mile pop elasticities'!B53)</f>
        <v>2.1962613641777973E-5</v>
      </c>
      <c r="D53" s="45"/>
      <c r="E53" s="45"/>
      <c r="F53" s="13">
        <f t="shared" si="0"/>
        <v>0.79358988754442772</v>
      </c>
      <c r="G53" s="13">
        <f t="shared" si="1"/>
        <v>1.7433695672456944</v>
      </c>
      <c r="H53" s="11">
        <f t="shared" si="4"/>
        <v>3.3330775276865968E-2</v>
      </c>
      <c r="I53" s="11">
        <f t="shared" si="5"/>
        <v>5.9971913113251889E-2</v>
      </c>
      <c r="J53" s="11">
        <f t="shared" si="6"/>
        <v>4.8408983140210089E-2</v>
      </c>
      <c r="K53" s="11">
        <f t="shared" si="7"/>
        <v>0.11035529360665244</v>
      </c>
      <c r="L53" s="11"/>
      <c r="M53" s="3">
        <v>9.2050099999999996E-2</v>
      </c>
      <c r="N53" s="11">
        <f t="shared" si="2"/>
        <v>1.0307773618950784</v>
      </c>
      <c r="O53" s="11">
        <f t="shared" si="3"/>
        <v>1.9277447726249541</v>
      </c>
      <c r="P53" s="25">
        <f t="shared" si="8"/>
        <v>4.3292649199593296E-2</v>
      </c>
      <c r="Q53" s="11">
        <f t="shared" si="9"/>
        <v>6.6314420178298417E-2</v>
      </c>
      <c r="R53" s="11">
        <f t="shared" si="10"/>
        <v>6.287741907559978E-2</v>
      </c>
      <c r="S53" s="11">
        <f t="shared" si="11"/>
        <v>0.12202624410715959</v>
      </c>
      <c r="T53" s="13"/>
      <c r="U53" s="13"/>
      <c r="V53" s="13"/>
      <c r="W53" s="13"/>
      <c r="X53" s="13"/>
      <c r="Y53" s="13"/>
    </row>
    <row r="54" spans="1:25">
      <c r="A54" s="3" t="s">
        <v>317</v>
      </c>
      <c r="B54" s="3">
        <v>1599312</v>
      </c>
      <c r="C54" s="45">
        <f>+'Track mile elasticities'!C53/('Track mile pop elasticities'!B54)</f>
        <v>4.2518282861630496E-6</v>
      </c>
      <c r="D54" s="45"/>
      <c r="E54" s="45"/>
      <c r="F54" s="13">
        <f t="shared" si="0"/>
        <v>0.21169761455562891</v>
      </c>
      <c r="G54" s="13">
        <f t="shared" si="1"/>
        <v>0.4650603346481415</v>
      </c>
      <c r="H54" s="11">
        <f t="shared" si="4"/>
        <v>8.8912998113364148E-3</v>
      </c>
      <c r="I54" s="11">
        <f t="shared" si="5"/>
        <v>1.5998075511896068E-2</v>
      </c>
      <c r="J54" s="11">
        <f t="shared" si="6"/>
        <v>1.2913554487893364E-2</v>
      </c>
      <c r="K54" s="11">
        <f t="shared" si="7"/>
        <v>2.9438319183227354E-2</v>
      </c>
      <c r="L54" s="11"/>
      <c r="M54" s="3">
        <v>1.04285E-2</v>
      </c>
      <c r="N54" s="11">
        <f t="shared" si="2"/>
        <v>0.16091280181975123</v>
      </c>
      <c r="O54" s="11">
        <f t="shared" si="3"/>
        <v>0.30093677259865492</v>
      </c>
      <c r="P54" s="25">
        <f t="shared" si="8"/>
        <v>6.7583376764295518E-3</v>
      </c>
      <c r="Q54" s="11">
        <f t="shared" si="9"/>
        <v>1.0352224977393729E-2</v>
      </c>
      <c r="R54" s="11">
        <f t="shared" si="10"/>
        <v>9.8156809110048256E-3</v>
      </c>
      <c r="S54" s="11">
        <f t="shared" si="11"/>
        <v>1.9049297705494857E-2</v>
      </c>
      <c r="T54" s="13"/>
      <c r="U54" s="13"/>
      <c r="V54" s="13"/>
      <c r="W54" s="13"/>
      <c r="X54" s="13"/>
      <c r="Y54" s="13"/>
    </row>
    <row r="55" spans="1:25">
      <c r="A55" s="3" t="s">
        <v>319</v>
      </c>
      <c r="B55" s="3">
        <v>2101138</v>
      </c>
      <c r="C55" s="45">
        <f>+'Track mile elasticities'!C54/('Track mile pop elasticities'!B55)</f>
        <v>1.756191168785677E-5</v>
      </c>
      <c r="D55" s="45"/>
      <c r="E55" s="45"/>
      <c r="F55" s="13">
        <f t="shared" si="0"/>
        <v>0.66556527489247341</v>
      </c>
      <c r="G55" s="13">
        <f t="shared" si="1"/>
        <v>1.4621232748484261</v>
      </c>
      <c r="H55" s="11">
        <f t="shared" si="4"/>
        <v>2.7953741545483884E-2</v>
      </c>
      <c r="I55" s="11">
        <f t="shared" si="5"/>
        <v>5.0297040654785859E-2</v>
      </c>
      <c r="J55" s="11">
        <f t="shared" si="6"/>
        <v>4.059948176844088E-2</v>
      </c>
      <c r="K55" s="11">
        <f t="shared" si="7"/>
        <v>9.2552403297905358E-2</v>
      </c>
      <c r="L55" s="11"/>
      <c r="M55" s="3">
        <v>7.8432299999999996E-2</v>
      </c>
      <c r="N55" s="11">
        <f t="shared" si="2"/>
        <v>0.92117537694992424</v>
      </c>
      <c r="O55" s="11">
        <f t="shared" si="3"/>
        <v>1.7227687405952106</v>
      </c>
      <c r="P55" s="25">
        <f t="shared" si="8"/>
        <v>3.8689365831896819E-2</v>
      </c>
      <c r="Q55" s="11">
        <f t="shared" si="9"/>
        <v>5.9263244676475244E-2</v>
      </c>
      <c r="R55" s="11">
        <f t="shared" si="10"/>
        <v>5.6191697993945376E-2</v>
      </c>
      <c r="S55" s="11">
        <f t="shared" si="11"/>
        <v>0.10905126127967682</v>
      </c>
      <c r="T55" s="13"/>
      <c r="U55" s="13"/>
      <c r="V55" s="13"/>
      <c r="W55" s="13"/>
      <c r="X55" s="13"/>
      <c r="Y55" s="13"/>
    </row>
    <row r="56" spans="1:25">
      <c r="A56" s="3" t="s">
        <v>321</v>
      </c>
      <c r="B56" s="3">
        <v>2818688</v>
      </c>
      <c r="C56" s="45">
        <f>+'Track mile elasticities'!C55/('Track mile pop elasticities'!B56)</f>
        <v>1.6284171926797149E-5</v>
      </c>
      <c r="D56" s="45"/>
      <c r="E56" s="45"/>
      <c r="F56" s="13">
        <f t="shared" si="0"/>
        <v>0.4600363147775493</v>
      </c>
      <c r="G56" s="13">
        <f t="shared" si="1"/>
        <v>1.0106143281294531</v>
      </c>
      <c r="H56" s="11">
        <f t="shared" si="4"/>
        <v>1.9321525220657072E-2</v>
      </c>
      <c r="I56" s="11">
        <f t="shared" si="5"/>
        <v>3.4765132887653184E-2</v>
      </c>
      <c r="J56" s="11">
        <f t="shared" si="6"/>
        <v>2.8062215201430506E-2</v>
      </c>
      <c r="K56" s="11">
        <f t="shared" si="7"/>
        <v>6.3971886970594374E-2</v>
      </c>
      <c r="L56" s="11"/>
      <c r="M56" s="3">
        <v>4.6068400000000002E-2</v>
      </c>
      <c r="N56" s="11">
        <f t="shared" si="2"/>
        <v>0.40332771851921179</v>
      </c>
      <c r="O56" s="11">
        <f t="shared" si="3"/>
        <v>0.75429761049535093</v>
      </c>
      <c r="P56" s="25">
        <f t="shared" si="8"/>
        <v>1.6939764177806897E-2</v>
      </c>
      <c r="Q56" s="11">
        <f t="shared" si="9"/>
        <v>2.5947837801040072E-2</v>
      </c>
      <c r="R56" s="11">
        <f t="shared" si="10"/>
        <v>2.460299082967192E-2</v>
      </c>
      <c r="S56" s="11">
        <f t="shared" si="11"/>
        <v>4.7747038744355708E-2</v>
      </c>
      <c r="T56" s="13"/>
      <c r="U56" s="13"/>
      <c r="V56" s="13"/>
      <c r="W56" s="13"/>
      <c r="X56" s="13"/>
      <c r="Y56" s="13"/>
    </row>
    <row r="57" spans="1:25">
      <c r="A57" s="3" t="s">
        <v>323</v>
      </c>
      <c r="B57" s="3">
        <v>1111600</v>
      </c>
      <c r="C57" s="45">
        <f>+'Track mile elasticities'!C56/('Track mile pop elasticities'!B57)</f>
        <v>1.7092479309103995E-5</v>
      </c>
      <c r="D57" s="45"/>
      <c r="E57" s="45"/>
      <c r="F57" s="13">
        <f t="shared" si="0"/>
        <v>1.2244187404609264</v>
      </c>
      <c r="G57" s="13">
        <f t="shared" si="1"/>
        <v>2.6898205271868219</v>
      </c>
      <c r="H57" s="11">
        <f t="shared" si="4"/>
        <v>5.1425587099358912E-2</v>
      </c>
      <c r="I57" s="11">
        <f t="shared" si="5"/>
        <v>9.2529826135226673E-2</v>
      </c>
      <c r="J57" s="11">
        <f t="shared" si="6"/>
        <v>7.4689543168116504E-2</v>
      </c>
      <c r="K57" s="11">
        <f t="shared" si="7"/>
        <v>0.17026563937092581</v>
      </c>
      <c r="L57" s="11"/>
      <c r="M57" s="3">
        <v>7.4889899999999995E-2</v>
      </c>
      <c r="N57" s="11">
        <f t="shared" si="2"/>
        <v>1.6625574440702859</v>
      </c>
      <c r="O57" s="11">
        <f t="shared" si="3"/>
        <v>3.1092906581716622</v>
      </c>
      <c r="P57" s="25">
        <f t="shared" si="8"/>
        <v>6.982741265095202E-2</v>
      </c>
      <c r="Q57" s="11">
        <f t="shared" si="9"/>
        <v>0.10695959864110517</v>
      </c>
      <c r="R57" s="11">
        <f t="shared" si="10"/>
        <v>0.10141600408828744</v>
      </c>
      <c r="S57" s="11">
        <f t="shared" si="11"/>
        <v>0.19681809866226621</v>
      </c>
      <c r="T57" s="13"/>
      <c r="U57" s="13"/>
      <c r="V57" s="13"/>
      <c r="W57" s="13"/>
      <c r="X57" s="13"/>
      <c r="Y57" s="13"/>
    </row>
    <row r="58" spans="1:25">
      <c r="A58" s="3" t="s">
        <v>325</v>
      </c>
      <c r="B58" s="3">
        <v>3019274</v>
      </c>
      <c r="C58" s="45">
        <f>+'Track mile elasticities'!C57/('Track mile pop elasticities'!B58)</f>
        <v>3.0768982874691067E-5</v>
      </c>
      <c r="D58" s="45"/>
      <c r="E58" s="45"/>
      <c r="F58" s="13">
        <f t="shared" si="0"/>
        <v>0.81149165160960046</v>
      </c>
      <c r="G58" s="13">
        <f t="shared" si="1"/>
        <v>1.7826964175005591</v>
      </c>
      <c r="H58" s="11">
        <f t="shared" si="4"/>
        <v>3.4082649367603218E-2</v>
      </c>
      <c r="I58" s="11">
        <f t="shared" si="5"/>
        <v>6.1324756762019234E-2</v>
      </c>
      <c r="J58" s="11">
        <f t="shared" si="6"/>
        <v>4.9500990748185626E-2</v>
      </c>
      <c r="K58" s="11">
        <f t="shared" si="7"/>
        <v>0.11284468322778538</v>
      </c>
      <c r="L58" s="11"/>
      <c r="M58" s="3">
        <v>0.1155369</v>
      </c>
      <c r="N58" s="11">
        <f t="shared" si="2"/>
        <v>0.9443220503503259</v>
      </c>
      <c r="O58" s="11">
        <f t="shared" si="3"/>
        <v>1.7660573112417819</v>
      </c>
      <c r="P58" s="25">
        <f t="shared" si="8"/>
        <v>3.9661526114713692E-2</v>
      </c>
      <c r="Q58" s="11">
        <f t="shared" si="9"/>
        <v>6.07523715067173E-2</v>
      </c>
      <c r="R58" s="11">
        <f t="shared" si="10"/>
        <v>5.7603645071369877E-2</v>
      </c>
      <c r="S58" s="11">
        <f t="shared" si="11"/>
        <v>0.11179142780160478</v>
      </c>
      <c r="T58" s="13"/>
      <c r="U58" s="13"/>
      <c r="V58" s="13"/>
      <c r="W58" s="13"/>
      <c r="X58" s="13"/>
      <c r="Y58" s="13"/>
    </row>
    <row r="59" spans="1:25">
      <c r="A59" s="3" t="s">
        <v>327</v>
      </c>
      <c r="B59" s="3">
        <v>4260236</v>
      </c>
      <c r="C59" s="45">
        <f>+'Track mile elasticities'!C58/('Track mile pop elasticities'!B59)</f>
        <v>4.3776917522879013E-5</v>
      </c>
      <c r="D59" s="45"/>
      <c r="E59" s="45"/>
      <c r="F59" s="13">
        <f t="shared" si="0"/>
        <v>0.81824802104774064</v>
      </c>
      <c r="G59" s="13">
        <f t="shared" si="1"/>
        <v>1.7975389061063163</v>
      </c>
      <c r="H59" s="11">
        <f t="shared" si="4"/>
        <v>3.4366416884005109E-2</v>
      </c>
      <c r="I59" s="11">
        <f t="shared" si="5"/>
        <v>6.183533837005728E-2</v>
      </c>
      <c r="J59" s="11">
        <f t="shared" si="6"/>
        <v>4.9913129283912179E-2</v>
      </c>
      <c r="K59" s="11">
        <f t="shared" si="7"/>
        <v>0.11378421275652981</v>
      </c>
      <c r="L59" s="11"/>
      <c r="M59" s="3">
        <v>0.23359540000000001</v>
      </c>
      <c r="N59" s="11">
        <f t="shared" si="2"/>
        <v>1.3531083548456893</v>
      </c>
      <c r="O59" s="11">
        <f t="shared" si="3"/>
        <v>2.5305634895330962</v>
      </c>
      <c r="P59" s="25">
        <f t="shared" si="8"/>
        <v>5.6830550903518955E-2</v>
      </c>
      <c r="Q59" s="11">
        <f t="shared" si="9"/>
        <v>8.7051384039938506E-2</v>
      </c>
      <c r="R59" s="11">
        <f t="shared" si="10"/>
        <v>8.2539609645587042E-2</v>
      </c>
      <c r="S59" s="11">
        <f t="shared" si="11"/>
        <v>0.16018466888744498</v>
      </c>
      <c r="T59" s="13"/>
      <c r="U59" s="13"/>
      <c r="V59" s="13"/>
      <c r="W59" s="13"/>
      <c r="X59" s="13"/>
      <c r="Y59" s="13"/>
    </row>
    <row r="60" spans="1:25">
      <c r="A60" s="3" t="s">
        <v>329</v>
      </c>
      <c r="B60" s="3">
        <v>1810646</v>
      </c>
      <c r="C60" s="45">
        <f>+'Track mile elasticities'!C59/('Track mile pop elasticities'!B60)</f>
        <v>8.7482589086988852E-5</v>
      </c>
      <c r="D60" s="45"/>
      <c r="E60" s="45"/>
      <c r="F60" s="13">
        <f t="shared" si="0"/>
        <v>3.8473484488096901</v>
      </c>
      <c r="G60" s="13">
        <f t="shared" si="1"/>
        <v>8.4519098661892205</v>
      </c>
      <c r="H60" s="11">
        <f t="shared" si="4"/>
        <v>0.16158863485000699</v>
      </c>
      <c r="I60" s="11">
        <f t="shared" si="5"/>
        <v>0.2907456993969092</v>
      </c>
      <c r="J60" s="11">
        <f t="shared" si="6"/>
        <v>0.2346882553773911</v>
      </c>
      <c r="K60" s="11">
        <f t="shared" si="7"/>
        <v>0.53500589452977765</v>
      </c>
      <c r="L60" s="11"/>
      <c r="M60" s="3">
        <v>0.49988709999999997</v>
      </c>
      <c r="N60" s="11">
        <f t="shared" si="2"/>
        <v>6.8130304074917847</v>
      </c>
      <c r="O60" s="11">
        <f t="shared" si="3"/>
        <v>12.741629996249392</v>
      </c>
      <c r="P60" s="25">
        <f t="shared" si="8"/>
        <v>0.28614727711465499</v>
      </c>
      <c r="Q60" s="11">
        <f t="shared" si="9"/>
        <v>0.43831207187097909</v>
      </c>
      <c r="R60" s="11">
        <f t="shared" si="10"/>
        <v>0.41559485485699887</v>
      </c>
      <c r="S60" s="11">
        <f t="shared" si="11"/>
        <v>0.80654517876258647</v>
      </c>
      <c r="T60" s="13"/>
      <c r="U60" s="13"/>
      <c r="V60" s="13"/>
      <c r="W60" s="13"/>
      <c r="X60" s="13"/>
      <c r="Y60" s="13"/>
    </row>
    <row r="61" spans="1:25">
      <c r="A61" s="3" t="s">
        <v>331</v>
      </c>
      <c r="B61" s="3">
        <v>3356637</v>
      </c>
      <c r="C61" s="45">
        <f>+'Track mile elasticities'!C60/('Track mile pop elasticities'!B61)</f>
        <v>2.5859215637556281E-5</v>
      </c>
      <c r="D61" s="45"/>
      <c r="E61" s="45"/>
      <c r="F61" s="13">
        <f t="shared" si="0"/>
        <v>0.61345740563820994</v>
      </c>
      <c r="G61" s="13">
        <f t="shared" si="1"/>
        <v>1.3476519655516392</v>
      </c>
      <c r="H61" s="11">
        <f t="shared" si="4"/>
        <v>2.5765211036804819E-2</v>
      </c>
      <c r="I61" s="11">
        <f t="shared" si="5"/>
        <v>4.6359227614976392E-2</v>
      </c>
      <c r="J61" s="11">
        <f t="shared" si="6"/>
        <v>3.7420901743930805E-2</v>
      </c>
      <c r="K61" s="11">
        <f t="shared" si="7"/>
        <v>8.5306369419418757E-2</v>
      </c>
      <c r="L61" s="11"/>
      <c r="M61">
        <v>8.2677700000000007E-2</v>
      </c>
      <c r="N61" s="11">
        <f t="shared" si="2"/>
        <v>0.6078353534931511</v>
      </c>
      <c r="O61" s="11">
        <f t="shared" si="3"/>
        <v>1.1367648035641804</v>
      </c>
      <c r="P61" s="25">
        <f t="shared" si="8"/>
        <v>2.5529084846712347E-2</v>
      </c>
      <c r="Q61" s="11">
        <f t="shared" si="9"/>
        <v>3.9104709242607803E-2</v>
      </c>
      <c r="R61" s="11">
        <f t="shared" si="10"/>
        <v>3.7077956563082215E-2</v>
      </c>
      <c r="S61" s="11">
        <f t="shared" si="11"/>
        <v>7.1957212065612619E-2</v>
      </c>
      <c r="T61" s="13"/>
      <c r="U61" s="13"/>
      <c r="V61" s="13"/>
      <c r="W61" s="13"/>
      <c r="X61" s="13"/>
      <c r="Y61" s="13"/>
    </row>
    <row r="62" spans="1:25">
      <c r="A62" s="3" t="s">
        <v>333</v>
      </c>
      <c r="B62">
        <v>2730007</v>
      </c>
      <c r="C62" s="45">
        <f>+'Track mile elasticities'!C61/('Track mile pop elasticities'!B62)</f>
        <v>8.7911862497055861E-7</v>
      </c>
      <c r="D62" s="45"/>
      <c r="E62" s="45"/>
      <c r="F62" s="13">
        <f t="shared" si="0"/>
        <v>2.5642311039946269E-2</v>
      </c>
      <c r="G62" s="13">
        <f t="shared" si="1"/>
        <v>5.6331394089731195E-2</v>
      </c>
      <c r="H62" s="11">
        <f t="shared" si="4"/>
        <v>1.0769770636777434E-3</v>
      </c>
      <c r="I62" s="11">
        <f t="shared" si="5"/>
        <v>1.9377999566867531E-3</v>
      </c>
      <c r="J62" s="11">
        <f t="shared" si="6"/>
        <v>1.5641809734367224E-3</v>
      </c>
      <c r="K62" s="11">
        <f t="shared" si="7"/>
        <v>3.5657772458799844E-3</v>
      </c>
      <c r="L62" s="11"/>
      <c r="M62">
        <v>2.5509999999999999E-3</v>
      </c>
      <c r="N62" s="11">
        <f t="shared" si="2"/>
        <v>2.3059434107568218E-2</v>
      </c>
      <c r="O62" s="11">
        <f t="shared" si="3"/>
        <v>4.3125416994828213E-2</v>
      </c>
      <c r="P62" s="25">
        <f t="shared" si="8"/>
        <v>9.6849623251786521E-4</v>
      </c>
      <c r="Q62" s="11">
        <f t="shared" si="9"/>
        <v>1.4835143446220904E-3</v>
      </c>
      <c r="R62" s="11">
        <f t="shared" si="10"/>
        <v>1.4066254805616613E-3</v>
      </c>
      <c r="S62" s="11">
        <f t="shared" si="11"/>
        <v>2.7298388957726258E-3</v>
      </c>
      <c r="T62" s="13"/>
      <c r="U62" s="13"/>
      <c r="V62" s="13"/>
      <c r="W62" s="13"/>
      <c r="X62" s="13"/>
      <c r="Y62" s="13"/>
    </row>
    <row r="63" spans="1:25">
      <c r="A63" s="3" t="s">
        <v>335</v>
      </c>
      <c r="B63">
        <v>364571</v>
      </c>
      <c r="C63" s="45">
        <f>+'Track mile elasticities'!C62/('Track mile pop elasticities'!B63)</f>
        <v>1.8926354537250633E-5</v>
      </c>
      <c r="D63" s="45"/>
      <c r="E63" s="45"/>
      <c r="F63" s="13">
        <f t="shared" si="0"/>
        <v>4.1338840883903147</v>
      </c>
      <c r="G63" s="13">
        <f t="shared" si="1"/>
        <v>9.0813754400536268</v>
      </c>
      <c r="H63" s="11">
        <f t="shared" si="4"/>
        <v>0.17362313171239324</v>
      </c>
      <c r="I63" s="11">
        <f t="shared" si="5"/>
        <v>0.31239931513784475</v>
      </c>
      <c r="J63" s="11">
        <f t="shared" si="6"/>
        <v>0.25216692939180918</v>
      </c>
      <c r="K63" s="11">
        <f t="shared" si="7"/>
        <v>0.57485106535539454</v>
      </c>
      <c r="L63" s="3"/>
      <c r="M63" s="3">
        <v>5.4592700000000001E-2</v>
      </c>
      <c r="N63" s="11">
        <f t="shared" si="2"/>
        <v>3.6953399873925514</v>
      </c>
      <c r="O63" s="11">
        <f t="shared" si="3"/>
        <v>6.9109708915911021</v>
      </c>
      <c r="P63" s="25">
        <f t="shared" si="8"/>
        <v>0.15520427947048718</v>
      </c>
      <c r="Q63" s="11">
        <f t="shared" si="9"/>
        <v>0.2377373986707339</v>
      </c>
      <c r="R63" s="11">
        <f t="shared" si="10"/>
        <v>0.22541573923094563</v>
      </c>
      <c r="S63" s="11">
        <f t="shared" si="11"/>
        <v>0.43746445743771672</v>
      </c>
      <c r="T63" s="3"/>
      <c r="U63" s="3"/>
      <c r="V63" s="3"/>
      <c r="W63" s="3"/>
      <c r="X63" s="3"/>
      <c r="Y63" s="3"/>
    </row>
    <row r="64" spans="1:25">
      <c r="A64" s="3" t="s">
        <v>337</v>
      </c>
      <c r="B64">
        <v>5377936</v>
      </c>
      <c r="C64" s="45">
        <f>+'Track mile elasticities'!C63/('Track mile pop elasticities'!B64)</f>
        <v>6.08039961799471E-5</v>
      </c>
      <c r="D64" s="45"/>
      <c r="E64" s="45"/>
      <c r="F64" s="13">
        <f t="shared" si="0"/>
        <v>0.90030556953661778</v>
      </c>
      <c r="G64" s="13">
        <f t="shared" si="1"/>
        <v>1.9778040972883142</v>
      </c>
      <c r="H64" s="11">
        <f t="shared" si="4"/>
        <v>3.7812833920537949E-2</v>
      </c>
      <c r="I64" s="11">
        <f t="shared" si="5"/>
        <v>6.8036460946718003E-2</v>
      </c>
      <c r="J64" s="11">
        <f t="shared" si="6"/>
        <v>5.4918639741733687E-2</v>
      </c>
      <c r="K64" s="11">
        <f t="shared" si="7"/>
        <v>0.12519499935835027</v>
      </c>
      <c r="L64" s="13"/>
      <c r="M64" s="13">
        <v>0.22382769999999999</v>
      </c>
      <c r="N64" s="11">
        <f t="shared" si="2"/>
        <v>1.0270702499710278</v>
      </c>
      <c r="O64" s="11">
        <f t="shared" si="3"/>
        <v>1.9208117860292981</v>
      </c>
      <c r="P64" s="25">
        <f t="shared" si="8"/>
        <v>4.3136950498783168E-2</v>
      </c>
      <c r="Q64" s="11">
        <f t="shared" si="9"/>
        <v>6.6075925439407851E-2</v>
      </c>
      <c r="R64" s="11">
        <f t="shared" si="10"/>
        <v>6.2651285248232699E-2</v>
      </c>
      <c r="S64" s="11">
        <f t="shared" si="11"/>
        <v>0.12158738605565457</v>
      </c>
    </row>
    <row r="65" spans="1:19">
      <c r="A65" s="3"/>
      <c r="B65" s="3"/>
      <c r="C65" s="3"/>
      <c r="D65" s="3"/>
      <c r="E65" s="3"/>
      <c r="F65" s="3"/>
      <c r="I65" s="3"/>
      <c r="J65" s="3"/>
      <c r="K65" s="3"/>
      <c r="N65" s="3"/>
      <c r="O65" s="3"/>
      <c r="P65" s="3"/>
    </row>
    <row r="66" spans="1:19">
      <c r="F66" s="13">
        <f>AVERAGE(F33:F64)</f>
        <v>0.86555168244704306</v>
      </c>
      <c r="G66" s="13">
        <f>AVERAGE(G33:G64)</f>
        <v>1.9014562631659127</v>
      </c>
      <c r="H66" s="13">
        <f t="shared" ref="H66:K66" si="12">AVERAGE(H33:H64)</f>
        <v>3.6353170662775817E-2</v>
      </c>
      <c r="I66" s="13">
        <f t="shared" si="12"/>
        <v>6.5410095452907366E-2</v>
      </c>
      <c r="J66" s="13">
        <f t="shared" si="12"/>
        <v>5.2798652629269631E-2</v>
      </c>
      <c r="K66" s="13">
        <f t="shared" si="12"/>
        <v>0.12036218145840225</v>
      </c>
      <c r="N66" s="13">
        <f t="shared" ref="N66:S66" si="13">AVERAGE(N33:N64)</f>
        <v>0.99470189665112119</v>
      </c>
      <c r="O66" s="13">
        <f t="shared" si="13"/>
        <v>1.8602769642359578</v>
      </c>
      <c r="P66" s="13">
        <f t="shared" si="13"/>
        <v>4.1777479659347083E-2</v>
      </c>
      <c r="Q66" s="13">
        <f t="shared" si="13"/>
        <v>6.3993527569716949E-2</v>
      </c>
      <c r="R66" s="13">
        <f t="shared" si="13"/>
        <v>6.0676815695718381E-2</v>
      </c>
      <c r="S66" s="13">
        <f t="shared" si="13"/>
        <v>0.11775553183613614</v>
      </c>
    </row>
    <row r="67" spans="1:19">
      <c r="F67">
        <f>PERCENTILE(F33:F64,0.95)</f>
        <v>3.976289486620971</v>
      </c>
    </row>
  </sheetData>
  <mergeCells count="8">
    <mergeCell ref="H30:K30"/>
    <mergeCell ref="P30:S30"/>
    <mergeCell ref="F31:G31"/>
    <mergeCell ref="H31:I31"/>
    <mergeCell ref="J31:K31"/>
    <mergeCell ref="N31:O31"/>
    <mergeCell ref="P31:Q31"/>
    <mergeCell ref="R31:S31"/>
  </mergeCells>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dimension ref="A1:I36"/>
  <sheetViews>
    <sheetView workbookViewId="0"/>
  </sheetViews>
  <sheetFormatPr defaultColWidth="16.7109375" defaultRowHeight="15"/>
  <cols>
    <col min="2" max="9" width="13" customWidth="1"/>
  </cols>
  <sheetData>
    <row r="1" spans="1:9">
      <c r="A1" t="s">
        <v>753</v>
      </c>
    </row>
    <row r="2" spans="1:9">
      <c r="A2" t="s">
        <v>4</v>
      </c>
      <c r="B2" t="str">
        <f>"(5)"</f>
        <v>(5)</v>
      </c>
      <c r="C2" t="str">
        <f>"(6)"</f>
        <v>(6)</v>
      </c>
      <c r="D2" t="str">
        <f>"(7)"</f>
        <v>(7)</v>
      </c>
      <c r="E2" t="str">
        <f>"(8)"</f>
        <v>(8)</v>
      </c>
      <c r="F2" t="str">
        <f>"(21)"</f>
        <v>(21)</v>
      </c>
      <c r="G2" t="str">
        <f>"(22)"</f>
        <v>(22)</v>
      </c>
      <c r="H2" t="str">
        <f>"(23)"</f>
        <v>(23)</v>
      </c>
      <c r="I2" t="str">
        <f>"(24)"</f>
        <v>(24)</v>
      </c>
    </row>
    <row r="3" spans="1:9">
      <c r="A3" t="s">
        <v>4</v>
      </c>
      <c r="B3" t="str">
        <f t="shared" ref="B3:I3" si="0">"eden_pcity"</f>
        <v>eden_pcity</v>
      </c>
      <c r="C3" t="str">
        <f t="shared" si="0"/>
        <v>eden_pcity</v>
      </c>
      <c r="D3" t="str">
        <f t="shared" si="0"/>
        <v>eden_pcity</v>
      </c>
      <c r="E3" t="str">
        <f t="shared" si="0"/>
        <v>eden_pcity</v>
      </c>
      <c r="F3" t="str">
        <f t="shared" si="0"/>
        <v>eden_pcity</v>
      </c>
      <c r="G3" t="str">
        <f t="shared" si="0"/>
        <v>eden_pcity</v>
      </c>
      <c r="H3" t="str">
        <f t="shared" si="0"/>
        <v>eden_pcity</v>
      </c>
      <c r="I3" t="str">
        <f t="shared" si="0"/>
        <v>eden_pcity</v>
      </c>
    </row>
    <row r="5" spans="1:9">
      <c r="B5" t="s">
        <v>1</v>
      </c>
      <c r="C5" t="s">
        <v>1</v>
      </c>
      <c r="D5" t="s">
        <v>2</v>
      </c>
      <c r="E5" t="s">
        <v>2</v>
      </c>
      <c r="F5" t="s">
        <v>1</v>
      </c>
      <c r="G5" t="s">
        <v>1</v>
      </c>
      <c r="H5" t="s">
        <v>2</v>
      </c>
      <c r="I5" t="s">
        <v>2</v>
      </c>
    </row>
    <row r="6" spans="1:9">
      <c r="A6" t="s">
        <v>758</v>
      </c>
      <c r="B6" t="str">
        <f>"0.0000480"</f>
        <v>0.0000480</v>
      </c>
      <c r="C6" t="str">
        <f>""</f>
        <v/>
      </c>
      <c r="D6" t="str">
        <f>"0.0000813"</f>
        <v>0.0000813</v>
      </c>
      <c r="E6" t="str">
        <f>""</f>
        <v/>
      </c>
      <c r="F6" t="str">
        <f>""</f>
        <v/>
      </c>
      <c r="G6" t="str">
        <f>""</f>
        <v/>
      </c>
      <c r="H6" t="str">
        <f>""</f>
        <v/>
      </c>
      <c r="I6" t="str">
        <f>""</f>
        <v/>
      </c>
    </row>
    <row r="7" spans="1:9">
      <c r="A7" t="s">
        <v>4</v>
      </c>
      <c r="B7" t="str">
        <f>"(2.82)"</f>
        <v>(2.82)</v>
      </c>
      <c r="C7" t="str">
        <f>""</f>
        <v/>
      </c>
      <c r="D7" t="str">
        <f>"(3.54)"</f>
        <v>(3.54)</v>
      </c>
      <c r="E7" t="str">
        <f>""</f>
        <v/>
      </c>
      <c r="F7" t="str">
        <f>""</f>
        <v/>
      </c>
      <c r="G7" t="str">
        <f>""</f>
        <v/>
      </c>
      <c r="H7" t="str">
        <f>""</f>
        <v/>
      </c>
      <c r="I7" t="str">
        <f>""</f>
        <v/>
      </c>
    </row>
    <row r="9" spans="1:9">
      <c r="A9" t="s">
        <v>760</v>
      </c>
      <c r="B9" t="str">
        <f>""</f>
        <v/>
      </c>
      <c r="C9" t="str">
        <f>"0.0000505"</f>
        <v>0.0000505</v>
      </c>
      <c r="D9" t="str">
        <f>""</f>
        <v/>
      </c>
      <c r="E9" t="str">
        <f>"0.0000837"</f>
        <v>0.0000837</v>
      </c>
      <c r="F9" t="str">
        <f>""</f>
        <v/>
      </c>
      <c r="G9" t="str">
        <f>""</f>
        <v/>
      </c>
      <c r="H9" t="str">
        <f>""</f>
        <v/>
      </c>
      <c r="I9" t="str">
        <f>""</f>
        <v/>
      </c>
    </row>
    <row r="10" spans="1:9">
      <c r="A10" t="s">
        <v>4</v>
      </c>
      <c r="B10" t="str">
        <f>""</f>
        <v/>
      </c>
      <c r="C10" t="str">
        <f>"(2.89)"</f>
        <v>(2.89)</v>
      </c>
      <c r="D10" t="str">
        <f>""</f>
        <v/>
      </c>
      <c r="E10" t="str">
        <f>"(3.58)"</f>
        <v>(3.58)</v>
      </c>
      <c r="F10" t="str">
        <f>""</f>
        <v/>
      </c>
      <c r="G10" t="str">
        <f>""</f>
        <v/>
      </c>
      <c r="H10" t="str">
        <f>""</f>
        <v/>
      </c>
      <c r="I10" t="str">
        <f>""</f>
        <v/>
      </c>
    </row>
    <row r="12" spans="1:9">
      <c r="A12" t="s">
        <v>185</v>
      </c>
      <c r="B12" t="str">
        <f>"1878.3"</f>
        <v>1878.3</v>
      </c>
      <c r="C12" t="str">
        <f>""</f>
        <v/>
      </c>
      <c r="D12" t="str">
        <f>"1870.0"</f>
        <v>1870.0</v>
      </c>
      <c r="E12" t="str">
        <f>""</f>
        <v/>
      </c>
      <c r="F12" t="str">
        <f>"1754.6"</f>
        <v>1754.6</v>
      </c>
      <c r="G12" t="str">
        <f>""</f>
        <v/>
      </c>
      <c r="H12" t="str">
        <f>"1705.3"</f>
        <v>1705.3</v>
      </c>
      <c r="I12" t="str">
        <f>""</f>
        <v/>
      </c>
    </row>
    <row r="13" spans="1:9">
      <c r="A13" t="s">
        <v>4</v>
      </c>
      <c r="B13" t="str">
        <f>"(4.64)"</f>
        <v>(4.64)</v>
      </c>
      <c r="C13" t="str">
        <f>""</f>
        <v/>
      </c>
      <c r="D13" t="str">
        <f>"(4.62)"</f>
        <v>(4.62)</v>
      </c>
      <c r="E13" t="str">
        <f>""</f>
        <v/>
      </c>
      <c r="F13" t="str">
        <f>"(4.07)"</f>
        <v>(4.07)</v>
      </c>
      <c r="G13" t="str">
        <f>""</f>
        <v/>
      </c>
      <c r="H13" t="str">
        <f>"(3.89)"</f>
        <v>(3.89)</v>
      </c>
      <c r="I13" t="str">
        <f>""</f>
        <v/>
      </c>
    </row>
    <row r="15" spans="1:9">
      <c r="A15" t="s">
        <v>186</v>
      </c>
      <c r="B15" t="str">
        <f>""</f>
        <v/>
      </c>
      <c r="C15" t="str">
        <f>"2038.4"</f>
        <v>2038.4</v>
      </c>
      <c r="D15" t="str">
        <f>""</f>
        <v/>
      </c>
      <c r="E15" t="str">
        <f>"2035.3"</f>
        <v>2035.3</v>
      </c>
      <c r="F15" t="str">
        <f>""</f>
        <v/>
      </c>
      <c r="G15" t="str">
        <f>"1777.7"</f>
        <v>1777.7</v>
      </c>
      <c r="H15" t="str">
        <f>""</f>
        <v/>
      </c>
      <c r="I15" t="str">
        <f>"1659.0"</f>
        <v>1659.0</v>
      </c>
    </row>
    <row r="16" spans="1:9">
      <c r="A16" t="s">
        <v>4</v>
      </c>
      <c r="B16" t="str">
        <f>""</f>
        <v/>
      </c>
      <c r="C16" t="str">
        <f>"(4.64)"</f>
        <v>(4.64)</v>
      </c>
      <c r="D16" t="str">
        <f>""</f>
        <v/>
      </c>
      <c r="E16" t="str">
        <f>"(4.64)"</f>
        <v>(4.64)</v>
      </c>
      <c r="F16" t="str">
        <f>""</f>
        <v/>
      </c>
      <c r="G16" t="str">
        <f>"(3.72)"</f>
        <v>(3.72)</v>
      </c>
      <c r="H16" t="str">
        <f>""</f>
        <v/>
      </c>
      <c r="I16" t="str">
        <f>"(3.39)"</f>
        <v>(3.39)</v>
      </c>
    </row>
    <row r="18" spans="1:9">
      <c r="A18" t="s">
        <v>130</v>
      </c>
      <c r="B18" t="str">
        <f>"0.000168"</f>
        <v>0.000168</v>
      </c>
      <c r="C18" t="str">
        <f>"0.000167"</f>
        <v>0.000167</v>
      </c>
      <c r="D18" t="str">
        <f>"0.000101"</f>
        <v>0.000101</v>
      </c>
      <c r="E18" t="str">
        <f>"0.000102"</f>
        <v>0.000102</v>
      </c>
      <c r="F18" t="str">
        <f>"-0.0000430"</f>
        <v>-0.0000430</v>
      </c>
      <c r="G18" t="str">
        <f>"-0.0000351"</f>
        <v>-0.0000351</v>
      </c>
      <c r="H18" t="str">
        <f>"-0.000303"</f>
        <v>-0.000303</v>
      </c>
      <c r="I18" t="str">
        <f>"-0.000300"</f>
        <v>-0.000300</v>
      </c>
    </row>
    <row r="19" spans="1:9">
      <c r="A19" t="s">
        <v>4</v>
      </c>
      <c r="B19" t="str">
        <f>"(3.76)"</f>
        <v>(3.76)</v>
      </c>
      <c r="C19" t="str">
        <f>"(3.75)"</f>
        <v>(3.75)</v>
      </c>
      <c r="D19" t="str">
        <f>"(1.86)"</f>
        <v>(1.86)</v>
      </c>
      <c r="E19" t="str">
        <f>"(1.90)"</f>
        <v>(1.90)</v>
      </c>
      <c r="F19" t="str">
        <f>"(-0.54)"</f>
        <v>(-0.54)</v>
      </c>
      <c r="G19" t="str">
        <f>"(-0.44)"</f>
        <v>(-0.44)</v>
      </c>
      <c r="H19" t="str">
        <f>"(-1.85)"</f>
        <v>(-1.85)</v>
      </c>
      <c r="I19" t="str">
        <f>"(-1.85)"</f>
        <v>(-1.85)</v>
      </c>
    </row>
    <row r="21" spans="1:9">
      <c r="A21" t="s">
        <v>762</v>
      </c>
      <c r="B21" t="str">
        <f>""</f>
        <v/>
      </c>
      <c r="C21" t="str">
        <f>""</f>
        <v/>
      </c>
      <c r="D21" t="str">
        <f>""</f>
        <v/>
      </c>
      <c r="E21" t="str">
        <f>""</f>
        <v/>
      </c>
      <c r="F21" t="str">
        <f>"0.0000212"</f>
        <v>0.0000212</v>
      </c>
      <c r="G21" t="str">
        <f>""</f>
        <v/>
      </c>
      <c r="H21" t="str">
        <f>"0.0000398"</f>
        <v>0.0000398</v>
      </c>
      <c r="I21" t="str">
        <f>""</f>
        <v/>
      </c>
    </row>
    <row r="22" spans="1:9">
      <c r="A22" t="s">
        <v>4</v>
      </c>
      <c r="B22" t="str">
        <f>""</f>
        <v/>
      </c>
      <c r="C22" t="str">
        <f>""</f>
        <v/>
      </c>
      <c r="D22" t="str">
        <f>""</f>
        <v/>
      </c>
      <c r="E22" t="str">
        <f>""</f>
        <v/>
      </c>
      <c r="F22" t="str">
        <f>"(4.00)"</f>
        <v>(4.00)</v>
      </c>
      <c r="G22" t="str">
        <f>""</f>
        <v/>
      </c>
      <c r="H22" t="str">
        <f>"(3.45)"</f>
        <v>(3.45)</v>
      </c>
      <c r="I22" t="str">
        <f>""</f>
        <v/>
      </c>
    </row>
    <row r="24" spans="1:9">
      <c r="A24" t="s">
        <v>763</v>
      </c>
      <c r="B24" t="str">
        <f>""</f>
        <v/>
      </c>
      <c r="C24" t="str">
        <f>""</f>
        <v/>
      </c>
      <c r="D24" t="str">
        <f>""</f>
        <v/>
      </c>
      <c r="E24" t="str">
        <f>""</f>
        <v/>
      </c>
      <c r="F24" t="str">
        <f>""</f>
        <v/>
      </c>
      <c r="G24" t="str">
        <f>"0.0000211"</f>
        <v>0.0000211</v>
      </c>
      <c r="H24" t="str">
        <f>""</f>
        <v/>
      </c>
      <c r="I24" t="str">
        <f>"0.0000405"</f>
        <v>0.0000405</v>
      </c>
    </row>
    <row r="25" spans="1:9">
      <c r="A25" t="s">
        <v>4</v>
      </c>
      <c r="B25" t="str">
        <f>""</f>
        <v/>
      </c>
      <c r="C25" t="str">
        <f>""</f>
        <v/>
      </c>
      <c r="D25" t="str">
        <f>""</f>
        <v/>
      </c>
      <c r="E25" t="str">
        <f>""</f>
        <v/>
      </c>
      <c r="F25" t="str">
        <f>""</f>
        <v/>
      </c>
      <c r="G25" t="str">
        <f>"(3.86)"</f>
        <v>(3.86)</v>
      </c>
      <c r="H25" t="str">
        <f>""</f>
        <v/>
      </c>
      <c r="I25" t="str">
        <f>"(3.48)"</f>
        <v>(3.48)</v>
      </c>
    </row>
    <row r="27" spans="1:9">
      <c r="A27" t="s">
        <v>131</v>
      </c>
      <c r="B27" t="str">
        <f>"1144.1"</f>
        <v>1144.1</v>
      </c>
      <c r="C27" t="str">
        <f>"1146.2"</f>
        <v>1146.2</v>
      </c>
      <c r="D27" t="str">
        <f>"1175.9"</f>
        <v>1175.9</v>
      </c>
      <c r="E27" t="str">
        <f>"1175.8"</f>
        <v>1175.8</v>
      </c>
      <c r="F27" t="str">
        <f>"1267.1"</f>
        <v>1267.1</v>
      </c>
      <c r="G27" t="str">
        <f>"1300.3"</f>
        <v>1300.3</v>
      </c>
      <c r="H27" t="str">
        <f>"1355.1"</f>
        <v>1355.1</v>
      </c>
      <c r="I27" t="str">
        <f>"1404.4"</f>
        <v>1404.4</v>
      </c>
    </row>
    <row r="28" spans="1:9">
      <c r="A28" t="s">
        <v>4</v>
      </c>
      <c r="B28" t="str">
        <f>"(12.08)"</f>
        <v>(12.08)</v>
      </c>
      <c r="C28" t="str">
        <f>"(12.17)"</f>
        <v>(12.17)</v>
      </c>
      <c r="D28" t="str">
        <f>"(12.27)"</f>
        <v>(12.27)</v>
      </c>
      <c r="E28" t="str">
        <f>"(12.36)"</f>
        <v>(12.36)</v>
      </c>
      <c r="F28" t="str">
        <f>"(12.10)"</f>
        <v>(12.10)</v>
      </c>
      <c r="G28" t="str">
        <f>"(12.02)"</f>
        <v>(12.02)</v>
      </c>
      <c r="H28" t="str">
        <f>"(11.62)"</f>
        <v>(11.62)</v>
      </c>
      <c r="I28" t="str">
        <f>"(11.43)"</f>
        <v>(11.43)</v>
      </c>
    </row>
    <row r="30" spans="1:9">
      <c r="A30" t="s">
        <v>136</v>
      </c>
      <c r="B30" t="str">
        <f>"0.370"</f>
        <v>0.370</v>
      </c>
      <c r="C30" t="str">
        <f>"0.371"</f>
        <v>0.371</v>
      </c>
      <c r="D30" t="str">
        <f>"0.363"</f>
        <v>0.363</v>
      </c>
      <c r="E30" t="str">
        <f>"0.364"</f>
        <v>0.364</v>
      </c>
      <c r="F30" t="str">
        <f>"0.381"</f>
        <v>0.381</v>
      </c>
      <c r="G30" t="str">
        <f>"0.375"</f>
        <v>0.375</v>
      </c>
      <c r="H30" t="str">
        <f>"0.353"</f>
        <v>0.353</v>
      </c>
      <c r="I30" t="str">
        <f>"0.346"</f>
        <v>0.346</v>
      </c>
    </row>
    <row r="31" spans="1:9">
      <c r="A31" t="s">
        <v>132</v>
      </c>
      <c r="B31" t="str">
        <f t="shared" ref="B31:E31" si="1">"322"</f>
        <v>322</v>
      </c>
      <c r="C31" t="str">
        <f t="shared" si="1"/>
        <v>322</v>
      </c>
      <c r="D31" t="str">
        <f t="shared" si="1"/>
        <v>322</v>
      </c>
      <c r="E31" t="str">
        <f t="shared" si="1"/>
        <v>322</v>
      </c>
      <c r="F31" t="str">
        <f>"281"</f>
        <v>281</v>
      </c>
      <c r="G31" t="str">
        <f>"276"</f>
        <v>276</v>
      </c>
      <c r="H31" t="str">
        <f>"281"</f>
        <v>281</v>
      </c>
      <c r="I31" t="str">
        <f>"276"</f>
        <v>276</v>
      </c>
    </row>
    <row r="32" spans="1:9">
      <c r="A32" t="s">
        <v>137</v>
      </c>
      <c r="B32" t="str">
        <f>""</f>
        <v/>
      </c>
      <c r="C32" t="str">
        <f>""</f>
        <v/>
      </c>
      <c r="D32" t="str">
        <f>"122.8"</f>
        <v>122.8</v>
      </c>
      <c r="E32" t="str">
        <f>"127.3"</f>
        <v>127.3</v>
      </c>
      <c r="F32" t="str">
        <f>""</f>
        <v/>
      </c>
      <c r="G32" t="str">
        <f>""</f>
        <v/>
      </c>
      <c r="H32" t="str">
        <f>"24.88"</f>
        <v>24.88</v>
      </c>
      <c r="I32" t="str">
        <f>"27.07"</f>
        <v>27.07</v>
      </c>
    </row>
    <row r="33" spans="1:9">
      <c r="A33" t="s">
        <v>138</v>
      </c>
      <c r="B33" t="str">
        <f>""</f>
        <v/>
      </c>
      <c r="C33" t="str">
        <f>""</f>
        <v/>
      </c>
      <c r="D33" t="str">
        <f>"0.512"</f>
        <v>0.512</v>
      </c>
      <c r="E33" t="str">
        <f>"0.453"</f>
        <v>0.453</v>
      </c>
      <c r="F33" t="str">
        <f>""</f>
        <v/>
      </c>
      <c r="G33" t="str">
        <f>""</f>
        <v/>
      </c>
      <c r="H33" t="str">
        <f>"1.781"</f>
        <v>1.781</v>
      </c>
      <c r="I33" t="str">
        <f>"1.728"</f>
        <v>1.728</v>
      </c>
    </row>
    <row r="34" spans="1:9">
      <c r="A34" t="s">
        <v>139</v>
      </c>
      <c r="B34" t="str">
        <f>""</f>
        <v/>
      </c>
      <c r="C34" t="str">
        <f>""</f>
        <v/>
      </c>
      <c r="D34" t="str">
        <f>"0.774"</f>
        <v>0.774</v>
      </c>
      <c r="E34" t="str">
        <f>"0.797"</f>
        <v>0.797</v>
      </c>
      <c r="F34" t="str">
        <f>""</f>
        <v/>
      </c>
      <c r="G34" t="str">
        <f>""</f>
        <v/>
      </c>
      <c r="H34" t="str">
        <f>"0.410"</f>
        <v>0.410</v>
      </c>
      <c r="I34" t="str">
        <f>"0.421"</f>
        <v>0.421</v>
      </c>
    </row>
    <row r="36" spans="1:9">
      <c r="A36" t="s">
        <v>140</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dimension ref="A1:Q38"/>
  <sheetViews>
    <sheetView workbookViewId="0">
      <pane xSplit="1" ySplit="5" topLeftCell="B6" activePane="bottomRight" state="frozen"/>
      <selection pane="topRight"/>
      <selection pane="bottomLeft"/>
      <selection pane="bottomRight" activeCell="G19" sqref="G19"/>
    </sheetView>
  </sheetViews>
  <sheetFormatPr defaultRowHeight="15"/>
  <cols>
    <col min="1" max="1" width="19" customWidth="1"/>
    <col min="2" max="3" width="11.28515625" customWidth="1"/>
    <col min="4" max="4" width="11" customWidth="1"/>
    <col min="5" max="5" width="10.5703125" customWidth="1"/>
    <col min="6" max="6" width="12" customWidth="1"/>
    <col min="7" max="7" width="15.140625" customWidth="1"/>
  </cols>
  <sheetData>
    <row r="1" spans="1:17">
      <c r="A1" t="s">
        <v>588</v>
      </c>
    </row>
    <row r="2" spans="1:17">
      <c r="A2" t="s">
        <v>4</v>
      </c>
      <c r="B2" t="s">
        <v>589</v>
      </c>
      <c r="C2" t="s">
        <v>590</v>
      </c>
      <c r="D2" t="s">
        <v>591</v>
      </c>
      <c r="E2" t="s">
        <v>592</v>
      </c>
      <c r="F2" t="s">
        <v>120</v>
      </c>
      <c r="G2" t="s">
        <v>121</v>
      </c>
      <c r="H2" t="s">
        <v>122</v>
      </c>
      <c r="I2" t="s">
        <v>123</v>
      </c>
      <c r="J2" t="s">
        <v>593</v>
      </c>
      <c r="K2" t="s">
        <v>594</v>
      </c>
      <c r="L2" t="s">
        <v>595</v>
      </c>
      <c r="M2" t="s">
        <v>596</v>
      </c>
      <c r="N2" t="s">
        <v>597</v>
      </c>
      <c r="O2" t="s">
        <v>598</v>
      </c>
      <c r="P2" t="s">
        <v>599</v>
      </c>
      <c r="Q2" t="s">
        <v>600</v>
      </c>
    </row>
    <row r="3" spans="1:17">
      <c r="A3" t="s">
        <v>4</v>
      </c>
      <c r="B3" t="s">
        <v>130</v>
      </c>
      <c r="C3" t="s">
        <v>130</v>
      </c>
      <c r="D3" t="s">
        <v>130</v>
      </c>
      <c r="E3" t="s">
        <v>130</v>
      </c>
      <c r="F3" t="s">
        <v>130</v>
      </c>
      <c r="G3" t="s">
        <v>130</v>
      </c>
      <c r="H3" t="s">
        <v>130</v>
      </c>
      <c r="I3" t="s">
        <v>130</v>
      </c>
      <c r="J3" t="s">
        <v>130</v>
      </c>
      <c r="K3" t="s">
        <v>130</v>
      </c>
      <c r="L3" t="s">
        <v>130</v>
      </c>
      <c r="M3" t="s">
        <v>130</v>
      </c>
      <c r="N3" t="s">
        <v>130</v>
      </c>
      <c r="O3" t="s">
        <v>130</v>
      </c>
      <c r="P3" t="s">
        <v>130</v>
      </c>
      <c r="Q3" t="s">
        <v>130</v>
      </c>
    </row>
    <row r="4" spans="1:17">
      <c r="F4" t="s">
        <v>125</v>
      </c>
      <c r="G4" t="s">
        <v>125</v>
      </c>
      <c r="H4" t="s">
        <v>125</v>
      </c>
      <c r="I4" t="s">
        <v>125</v>
      </c>
      <c r="N4" t="s">
        <v>125</v>
      </c>
      <c r="O4" t="s">
        <v>125</v>
      </c>
      <c r="P4" t="s">
        <v>125</v>
      </c>
      <c r="Q4" t="s">
        <v>125</v>
      </c>
    </row>
    <row r="5" spans="1:17">
      <c r="B5" t="s">
        <v>1</v>
      </c>
      <c r="C5" t="s">
        <v>1</v>
      </c>
      <c r="D5" t="s">
        <v>2</v>
      </c>
      <c r="E5" t="s">
        <v>2</v>
      </c>
      <c r="F5" t="s">
        <v>1</v>
      </c>
      <c r="G5" t="s">
        <v>1</v>
      </c>
      <c r="H5" t="s">
        <v>2</v>
      </c>
      <c r="I5" t="s">
        <v>2</v>
      </c>
      <c r="J5" t="s">
        <v>1</v>
      </c>
      <c r="K5" t="s">
        <v>1</v>
      </c>
      <c r="L5" t="s">
        <v>2</v>
      </c>
      <c r="M5" t="s">
        <v>2</v>
      </c>
      <c r="N5" t="s">
        <v>1</v>
      </c>
      <c r="O5" t="s">
        <v>1</v>
      </c>
      <c r="P5" t="s">
        <v>2</v>
      </c>
      <c r="Q5" t="s">
        <v>2</v>
      </c>
    </row>
    <row r="6" spans="1:17">
      <c r="A6" t="s">
        <v>601</v>
      </c>
      <c r="B6" t="s">
        <v>602</v>
      </c>
      <c r="C6" t="s">
        <v>4</v>
      </c>
      <c r="D6" t="s">
        <v>603</v>
      </c>
      <c r="E6" t="s">
        <v>4</v>
      </c>
      <c r="F6" t="s">
        <v>604</v>
      </c>
      <c r="G6" t="s">
        <v>4</v>
      </c>
      <c r="H6" t="s">
        <v>605</v>
      </c>
      <c r="I6" t="s">
        <v>4</v>
      </c>
      <c r="J6" t="s">
        <v>4</v>
      </c>
      <c r="K6" t="s">
        <v>4</v>
      </c>
      <c r="L6" t="s">
        <v>4</v>
      </c>
      <c r="M6" t="s">
        <v>4</v>
      </c>
      <c r="N6" t="s">
        <v>4</v>
      </c>
      <c r="O6" t="s">
        <v>4</v>
      </c>
      <c r="P6" t="s">
        <v>4</v>
      </c>
      <c r="Q6" t="s">
        <v>4</v>
      </c>
    </row>
    <row r="7" spans="1:17">
      <c r="A7" t="s">
        <v>4</v>
      </c>
      <c r="B7" t="s">
        <v>606</v>
      </c>
      <c r="C7" t="s">
        <v>4</v>
      </c>
      <c r="D7" t="s">
        <v>607</v>
      </c>
      <c r="E7" t="s">
        <v>4</v>
      </c>
      <c r="F7" t="s">
        <v>608</v>
      </c>
      <c r="G7" t="s">
        <v>4</v>
      </c>
      <c r="H7" t="s">
        <v>609</v>
      </c>
      <c r="I7" t="s">
        <v>4</v>
      </c>
      <c r="J7" t="s">
        <v>4</v>
      </c>
      <c r="K7" t="s">
        <v>4</v>
      </c>
      <c r="L7" t="s">
        <v>4</v>
      </c>
      <c r="M7" t="s">
        <v>4</v>
      </c>
      <c r="N7" t="s">
        <v>4</v>
      </c>
      <c r="O7" t="s">
        <v>4</v>
      </c>
      <c r="P7" t="s">
        <v>4</v>
      </c>
      <c r="Q7" t="s">
        <v>4</v>
      </c>
    </row>
    <row r="9" spans="1:17">
      <c r="A9" t="s">
        <v>610</v>
      </c>
      <c r="B9" t="s">
        <v>4</v>
      </c>
      <c r="C9" t="s">
        <v>611</v>
      </c>
      <c r="D9" t="s">
        <v>4</v>
      </c>
      <c r="E9" t="s">
        <v>612</v>
      </c>
      <c r="F9" t="s">
        <v>4</v>
      </c>
      <c r="G9" t="s">
        <v>613</v>
      </c>
      <c r="H9" t="s">
        <v>4</v>
      </c>
      <c r="I9" t="s">
        <v>614</v>
      </c>
      <c r="J9" t="s">
        <v>4</v>
      </c>
      <c r="K9" t="s">
        <v>4</v>
      </c>
      <c r="L9" t="s">
        <v>4</v>
      </c>
      <c r="M9" t="s">
        <v>4</v>
      </c>
      <c r="N9" t="s">
        <v>4</v>
      </c>
      <c r="O9" t="s">
        <v>4</v>
      </c>
      <c r="P9" t="s">
        <v>4</v>
      </c>
      <c r="Q9" t="s">
        <v>4</v>
      </c>
    </row>
    <row r="10" spans="1:17">
      <c r="A10" t="s">
        <v>4</v>
      </c>
      <c r="B10" t="s">
        <v>4</v>
      </c>
      <c r="C10" t="s">
        <v>615</v>
      </c>
      <c r="D10" t="s">
        <v>4</v>
      </c>
      <c r="E10" t="s">
        <v>616</v>
      </c>
      <c r="F10" t="s">
        <v>4</v>
      </c>
      <c r="G10" t="s">
        <v>617</v>
      </c>
      <c r="H10" t="s">
        <v>4</v>
      </c>
      <c r="I10" t="s">
        <v>618</v>
      </c>
      <c r="J10" t="s">
        <v>4</v>
      </c>
      <c r="K10" t="s">
        <v>4</v>
      </c>
      <c r="L10" t="s">
        <v>4</v>
      </c>
      <c r="M10" t="s">
        <v>4</v>
      </c>
      <c r="N10" t="s">
        <v>4</v>
      </c>
      <c r="O10" t="s">
        <v>4</v>
      </c>
      <c r="P10" t="s">
        <v>4</v>
      </c>
      <c r="Q10" t="s">
        <v>4</v>
      </c>
    </row>
    <row r="12" spans="1:17">
      <c r="A12" t="s">
        <v>619</v>
      </c>
      <c r="B12" t="s">
        <v>620</v>
      </c>
      <c r="C12" t="s">
        <v>4</v>
      </c>
      <c r="D12" t="s">
        <v>621</v>
      </c>
      <c r="E12" t="s">
        <v>4</v>
      </c>
      <c r="F12" t="s">
        <v>622</v>
      </c>
      <c r="G12" t="s">
        <v>4</v>
      </c>
      <c r="H12" t="s">
        <v>623</v>
      </c>
      <c r="I12" t="s">
        <v>4</v>
      </c>
      <c r="J12" t="s">
        <v>4</v>
      </c>
      <c r="K12" t="s">
        <v>4</v>
      </c>
      <c r="L12" t="s">
        <v>4</v>
      </c>
      <c r="M12" t="s">
        <v>4</v>
      </c>
      <c r="N12" t="s">
        <v>4</v>
      </c>
      <c r="O12" t="s">
        <v>4</v>
      </c>
      <c r="P12" t="s">
        <v>4</v>
      </c>
      <c r="Q12" t="s">
        <v>4</v>
      </c>
    </row>
    <row r="13" spans="1:17">
      <c r="A13" t="s">
        <v>4</v>
      </c>
      <c r="B13" t="s">
        <v>624</v>
      </c>
      <c r="C13" t="s">
        <v>4</v>
      </c>
      <c r="D13" t="s">
        <v>625</v>
      </c>
      <c r="E13" t="s">
        <v>4</v>
      </c>
      <c r="F13" t="s">
        <v>626</v>
      </c>
      <c r="G13" t="s">
        <v>4</v>
      </c>
      <c r="H13" t="s">
        <v>627</v>
      </c>
      <c r="I13" t="s">
        <v>4</v>
      </c>
      <c r="J13" t="s">
        <v>4</v>
      </c>
      <c r="K13" t="s">
        <v>4</v>
      </c>
      <c r="L13" t="s">
        <v>4</v>
      </c>
      <c r="M13" t="s">
        <v>4</v>
      </c>
      <c r="N13" t="s">
        <v>4</v>
      </c>
      <c r="O13" t="s">
        <v>4</v>
      </c>
      <c r="P13" t="s">
        <v>4</v>
      </c>
      <c r="Q13" t="s">
        <v>4</v>
      </c>
    </row>
    <row r="15" spans="1:17">
      <c r="A15" t="s">
        <v>628</v>
      </c>
      <c r="B15" t="s">
        <v>4</v>
      </c>
      <c r="C15" t="s">
        <v>629</v>
      </c>
      <c r="D15" t="s">
        <v>4</v>
      </c>
      <c r="E15" t="s">
        <v>630</v>
      </c>
      <c r="F15" t="s">
        <v>4</v>
      </c>
      <c r="G15" t="s">
        <v>631</v>
      </c>
      <c r="H15" t="s">
        <v>4</v>
      </c>
      <c r="I15" t="s">
        <v>632</v>
      </c>
      <c r="J15" t="s">
        <v>4</v>
      </c>
      <c r="K15" t="s">
        <v>4</v>
      </c>
      <c r="L15" t="s">
        <v>4</v>
      </c>
      <c r="M15" t="s">
        <v>4</v>
      </c>
      <c r="N15" t="s">
        <v>4</v>
      </c>
      <c r="O15" t="s">
        <v>4</v>
      </c>
      <c r="P15" t="s">
        <v>4</v>
      </c>
      <c r="Q15" t="s">
        <v>4</v>
      </c>
    </row>
    <row r="16" spans="1:17">
      <c r="A16" t="s">
        <v>4</v>
      </c>
      <c r="B16" t="s">
        <v>4</v>
      </c>
      <c r="C16" t="s">
        <v>633</v>
      </c>
      <c r="D16" t="s">
        <v>4</v>
      </c>
      <c r="E16" t="s">
        <v>634</v>
      </c>
      <c r="F16" t="s">
        <v>4</v>
      </c>
      <c r="G16" t="s">
        <v>635</v>
      </c>
      <c r="H16" t="s">
        <v>4</v>
      </c>
      <c r="I16" t="s">
        <v>627</v>
      </c>
      <c r="J16" t="s">
        <v>4</v>
      </c>
      <c r="K16" t="s">
        <v>4</v>
      </c>
      <c r="L16" t="s">
        <v>4</v>
      </c>
      <c r="M16" t="s">
        <v>4</v>
      </c>
      <c r="N16" t="s">
        <v>4</v>
      </c>
      <c r="O16" t="s">
        <v>4</v>
      </c>
      <c r="P16" t="s">
        <v>4</v>
      </c>
      <c r="Q16" t="s">
        <v>4</v>
      </c>
    </row>
    <row r="18" spans="1:17">
      <c r="A18" t="s">
        <v>636</v>
      </c>
      <c r="B18" t="s">
        <v>4</v>
      </c>
      <c r="C18" t="s">
        <v>4</v>
      </c>
      <c r="D18" t="s">
        <v>4</v>
      </c>
      <c r="E18" t="s">
        <v>4</v>
      </c>
      <c r="F18" t="s">
        <v>4</v>
      </c>
      <c r="G18" t="s">
        <v>4</v>
      </c>
      <c r="H18" t="s">
        <v>4</v>
      </c>
      <c r="I18" t="s">
        <v>4</v>
      </c>
      <c r="J18" t="s">
        <v>637</v>
      </c>
      <c r="K18" t="s">
        <v>4</v>
      </c>
      <c r="L18" t="s">
        <v>638</v>
      </c>
      <c r="M18" t="s">
        <v>4</v>
      </c>
      <c r="N18" t="s">
        <v>639</v>
      </c>
      <c r="O18" t="s">
        <v>4</v>
      </c>
      <c r="P18" t="s">
        <v>640</v>
      </c>
      <c r="Q18" t="s">
        <v>4</v>
      </c>
    </row>
    <row r="19" spans="1:17">
      <c r="A19" t="s">
        <v>4</v>
      </c>
      <c r="B19" t="s">
        <v>4</v>
      </c>
      <c r="C19" t="s">
        <v>4</v>
      </c>
      <c r="D19" t="s">
        <v>4</v>
      </c>
      <c r="E19" t="s">
        <v>4</v>
      </c>
      <c r="F19" t="s">
        <v>4</v>
      </c>
      <c r="G19" t="s">
        <v>4</v>
      </c>
      <c r="H19" t="s">
        <v>4</v>
      </c>
      <c r="I19" t="s">
        <v>4</v>
      </c>
      <c r="J19" t="s">
        <v>641</v>
      </c>
      <c r="K19" t="s">
        <v>4</v>
      </c>
      <c r="L19" t="s">
        <v>642</v>
      </c>
      <c r="M19" t="s">
        <v>4</v>
      </c>
      <c r="N19" t="s">
        <v>643</v>
      </c>
      <c r="O19" t="s">
        <v>4</v>
      </c>
      <c r="P19" t="s">
        <v>644</v>
      </c>
      <c r="Q19" t="s">
        <v>4</v>
      </c>
    </row>
    <row r="21" spans="1:17">
      <c r="A21" t="s">
        <v>645</v>
      </c>
      <c r="B21" t="s">
        <v>4</v>
      </c>
      <c r="C21" t="s">
        <v>4</v>
      </c>
      <c r="D21" t="s">
        <v>4</v>
      </c>
      <c r="E21" t="s">
        <v>4</v>
      </c>
      <c r="F21" t="s">
        <v>4</v>
      </c>
      <c r="G21" t="s">
        <v>4</v>
      </c>
      <c r="H21" t="s">
        <v>4</v>
      </c>
      <c r="I21" t="s">
        <v>4</v>
      </c>
      <c r="J21" t="s">
        <v>4</v>
      </c>
      <c r="K21" t="s">
        <v>646</v>
      </c>
      <c r="L21" t="s">
        <v>4</v>
      </c>
      <c r="M21" t="s">
        <v>647</v>
      </c>
      <c r="N21" t="s">
        <v>4</v>
      </c>
      <c r="O21" t="s">
        <v>648</v>
      </c>
      <c r="P21" t="s">
        <v>4</v>
      </c>
      <c r="Q21" t="s">
        <v>649</v>
      </c>
    </row>
    <row r="22" spans="1:17">
      <c r="A22" t="s">
        <v>4</v>
      </c>
      <c r="B22" t="s">
        <v>4</v>
      </c>
      <c r="C22" t="s">
        <v>4</v>
      </c>
      <c r="D22" t="s">
        <v>4</v>
      </c>
      <c r="E22" t="s">
        <v>4</v>
      </c>
      <c r="F22" t="s">
        <v>4</v>
      </c>
      <c r="G22" t="s">
        <v>4</v>
      </c>
      <c r="H22" t="s">
        <v>4</v>
      </c>
      <c r="I22" t="s">
        <v>4</v>
      </c>
      <c r="J22" t="s">
        <v>4</v>
      </c>
      <c r="K22" t="s">
        <v>650</v>
      </c>
      <c r="L22" t="s">
        <v>4</v>
      </c>
      <c r="M22" t="s">
        <v>651</v>
      </c>
      <c r="N22" t="s">
        <v>4</v>
      </c>
      <c r="O22" t="s">
        <v>652</v>
      </c>
      <c r="P22" t="s">
        <v>4</v>
      </c>
      <c r="Q22" t="s">
        <v>653</v>
      </c>
    </row>
    <row r="24" spans="1:17">
      <c r="A24" t="s">
        <v>654</v>
      </c>
      <c r="B24" t="s">
        <v>4</v>
      </c>
      <c r="C24" t="s">
        <v>4</v>
      </c>
      <c r="D24" t="s">
        <v>4</v>
      </c>
      <c r="E24" t="s">
        <v>4</v>
      </c>
      <c r="F24" t="s">
        <v>4</v>
      </c>
      <c r="G24" t="s">
        <v>4</v>
      </c>
      <c r="H24" t="s">
        <v>4</v>
      </c>
      <c r="I24" t="s">
        <v>4</v>
      </c>
      <c r="J24" t="s">
        <v>655</v>
      </c>
      <c r="K24" t="s">
        <v>4</v>
      </c>
      <c r="L24" t="s">
        <v>656</v>
      </c>
      <c r="M24" t="s">
        <v>4</v>
      </c>
      <c r="N24" t="s">
        <v>657</v>
      </c>
      <c r="O24" t="s">
        <v>4</v>
      </c>
      <c r="P24" t="s">
        <v>658</v>
      </c>
      <c r="Q24" t="s">
        <v>4</v>
      </c>
    </row>
    <row r="25" spans="1:17">
      <c r="A25" t="s">
        <v>4</v>
      </c>
      <c r="B25" t="s">
        <v>4</v>
      </c>
      <c r="C25" t="s">
        <v>4</v>
      </c>
      <c r="D25" t="s">
        <v>4</v>
      </c>
      <c r="E25" t="s">
        <v>4</v>
      </c>
      <c r="F25" t="s">
        <v>4</v>
      </c>
      <c r="G25" t="s">
        <v>4</v>
      </c>
      <c r="H25" t="s">
        <v>4</v>
      </c>
      <c r="I25" t="s">
        <v>4</v>
      </c>
      <c r="J25" t="s">
        <v>659</v>
      </c>
      <c r="K25" t="s">
        <v>4</v>
      </c>
      <c r="L25" t="s">
        <v>660</v>
      </c>
      <c r="M25" t="s">
        <v>4</v>
      </c>
      <c r="N25" t="s">
        <v>661</v>
      </c>
      <c r="O25" t="s">
        <v>4</v>
      </c>
      <c r="P25" t="s">
        <v>662</v>
      </c>
      <c r="Q25" t="s">
        <v>4</v>
      </c>
    </row>
    <row r="27" spans="1:17">
      <c r="A27" t="s">
        <v>663</v>
      </c>
      <c r="B27" t="s">
        <v>4</v>
      </c>
      <c r="C27" t="s">
        <v>4</v>
      </c>
      <c r="D27" t="s">
        <v>4</v>
      </c>
      <c r="E27" t="s">
        <v>4</v>
      </c>
      <c r="F27" t="s">
        <v>4</v>
      </c>
      <c r="G27" t="s">
        <v>4</v>
      </c>
      <c r="H27" t="s">
        <v>4</v>
      </c>
      <c r="I27" t="s">
        <v>4</v>
      </c>
      <c r="J27" t="s">
        <v>4</v>
      </c>
      <c r="K27" t="s">
        <v>664</v>
      </c>
      <c r="L27" t="s">
        <v>4</v>
      </c>
      <c r="M27" t="s">
        <v>665</v>
      </c>
      <c r="N27" t="s">
        <v>4</v>
      </c>
      <c r="O27" t="s">
        <v>666</v>
      </c>
      <c r="P27" t="s">
        <v>4</v>
      </c>
      <c r="Q27" t="s">
        <v>667</v>
      </c>
    </row>
    <row r="28" spans="1:17">
      <c r="A28" t="s">
        <v>4</v>
      </c>
      <c r="B28" t="s">
        <v>4</v>
      </c>
      <c r="C28" t="s">
        <v>4</v>
      </c>
      <c r="D28" t="s">
        <v>4</v>
      </c>
      <c r="E28" t="s">
        <v>4</v>
      </c>
      <c r="F28" t="s">
        <v>4</v>
      </c>
      <c r="G28" t="s">
        <v>4</v>
      </c>
      <c r="H28" t="s">
        <v>4</v>
      </c>
      <c r="I28" t="s">
        <v>4</v>
      </c>
      <c r="J28" t="s">
        <v>4</v>
      </c>
      <c r="K28" t="s">
        <v>668</v>
      </c>
      <c r="L28" t="s">
        <v>4</v>
      </c>
      <c r="M28" t="s">
        <v>660</v>
      </c>
      <c r="N28" t="s">
        <v>4</v>
      </c>
      <c r="O28" t="s">
        <v>669</v>
      </c>
      <c r="P28" t="s">
        <v>4</v>
      </c>
      <c r="Q28" t="s">
        <v>670</v>
      </c>
    </row>
    <row r="30" spans="1:17">
      <c r="A30" t="s">
        <v>131</v>
      </c>
      <c r="B30" t="s">
        <v>671</v>
      </c>
      <c r="C30" t="s">
        <v>672</v>
      </c>
      <c r="D30" t="s">
        <v>673</v>
      </c>
      <c r="E30" t="s">
        <v>674</v>
      </c>
      <c r="F30" t="s">
        <v>675</v>
      </c>
      <c r="G30" t="s">
        <v>676</v>
      </c>
      <c r="H30" t="s">
        <v>677</v>
      </c>
      <c r="I30" t="s">
        <v>678</v>
      </c>
      <c r="J30" t="s">
        <v>679</v>
      </c>
      <c r="K30" t="s">
        <v>680</v>
      </c>
      <c r="L30" t="s">
        <v>681</v>
      </c>
      <c r="M30" t="s">
        <v>682</v>
      </c>
      <c r="N30" t="s">
        <v>683</v>
      </c>
      <c r="O30" t="s">
        <v>684</v>
      </c>
      <c r="P30" t="s">
        <v>685</v>
      </c>
      <c r="Q30" t="s">
        <v>686</v>
      </c>
    </row>
    <row r="31" spans="1:17">
      <c r="A31" t="s">
        <v>4</v>
      </c>
      <c r="B31" t="s">
        <v>687</v>
      </c>
      <c r="C31" t="s">
        <v>688</v>
      </c>
      <c r="D31" t="s">
        <v>689</v>
      </c>
      <c r="E31" t="s">
        <v>690</v>
      </c>
      <c r="F31" t="s">
        <v>691</v>
      </c>
      <c r="G31" t="s">
        <v>691</v>
      </c>
      <c r="H31" t="s">
        <v>692</v>
      </c>
      <c r="I31" t="s">
        <v>693</v>
      </c>
      <c r="J31" t="s">
        <v>694</v>
      </c>
      <c r="K31" t="s">
        <v>695</v>
      </c>
      <c r="L31" t="s">
        <v>696</v>
      </c>
      <c r="M31" t="s">
        <v>697</v>
      </c>
      <c r="N31" t="s">
        <v>698</v>
      </c>
      <c r="O31" t="s">
        <v>699</v>
      </c>
      <c r="P31" t="s">
        <v>700</v>
      </c>
      <c r="Q31" t="s">
        <v>701</v>
      </c>
    </row>
    <row r="33" spans="1:17">
      <c r="A33" t="s">
        <v>132</v>
      </c>
      <c r="B33" t="s">
        <v>702</v>
      </c>
      <c r="C33" t="s">
        <v>702</v>
      </c>
      <c r="D33" t="s">
        <v>703</v>
      </c>
      <c r="E33" t="s">
        <v>703</v>
      </c>
      <c r="F33" t="s">
        <v>704</v>
      </c>
      <c r="G33" t="s">
        <v>704</v>
      </c>
      <c r="H33" t="s">
        <v>705</v>
      </c>
      <c r="I33" t="s">
        <v>705</v>
      </c>
      <c r="J33" t="s">
        <v>133</v>
      </c>
      <c r="K33" t="s">
        <v>706</v>
      </c>
      <c r="L33" t="s">
        <v>98</v>
      </c>
      <c r="M33" t="s">
        <v>707</v>
      </c>
      <c r="N33" t="s">
        <v>134</v>
      </c>
      <c r="O33" t="s">
        <v>708</v>
      </c>
      <c r="P33" t="s">
        <v>135</v>
      </c>
      <c r="Q33" t="s">
        <v>709</v>
      </c>
    </row>
    <row r="34" spans="1:17">
      <c r="A34" t="s">
        <v>137</v>
      </c>
      <c r="B34" t="s">
        <v>4</v>
      </c>
      <c r="C34" t="s">
        <v>4</v>
      </c>
      <c r="D34" t="s">
        <v>710</v>
      </c>
      <c r="E34" t="s">
        <v>711</v>
      </c>
      <c r="F34" t="s">
        <v>4</v>
      </c>
      <c r="G34" t="s">
        <v>4</v>
      </c>
      <c r="H34" t="s">
        <v>712</v>
      </c>
      <c r="I34" t="s">
        <v>713</v>
      </c>
      <c r="J34" t="s">
        <v>4</v>
      </c>
      <c r="K34" t="s">
        <v>4</v>
      </c>
      <c r="L34" t="s">
        <v>714</v>
      </c>
      <c r="M34" t="s">
        <v>715</v>
      </c>
      <c r="N34" t="s">
        <v>4</v>
      </c>
      <c r="O34" t="s">
        <v>4</v>
      </c>
      <c r="P34" t="s">
        <v>716</v>
      </c>
      <c r="Q34" t="s">
        <v>717</v>
      </c>
    </row>
    <row r="35" spans="1:17">
      <c r="A35" t="s">
        <v>138</v>
      </c>
      <c r="B35" t="s">
        <v>4</v>
      </c>
      <c r="C35" t="s">
        <v>4</v>
      </c>
      <c r="D35" t="s">
        <v>718</v>
      </c>
      <c r="E35" t="s">
        <v>719</v>
      </c>
      <c r="F35" t="s">
        <v>4</v>
      </c>
      <c r="G35" t="s">
        <v>4</v>
      </c>
      <c r="H35" t="s">
        <v>720</v>
      </c>
      <c r="I35" t="s">
        <v>721</v>
      </c>
      <c r="J35" t="s">
        <v>4</v>
      </c>
      <c r="K35" t="s">
        <v>4</v>
      </c>
      <c r="L35" t="s">
        <v>722</v>
      </c>
      <c r="M35" t="s">
        <v>723</v>
      </c>
      <c r="N35" t="s">
        <v>4</v>
      </c>
      <c r="O35" t="s">
        <v>4</v>
      </c>
      <c r="P35" t="s">
        <v>724</v>
      </c>
      <c r="Q35" t="s">
        <v>725</v>
      </c>
    </row>
    <row r="36" spans="1:17">
      <c r="A36" t="s">
        <v>139</v>
      </c>
      <c r="B36" t="s">
        <v>4</v>
      </c>
      <c r="C36" t="s">
        <v>4</v>
      </c>
      <c r="D36" t="s">
        <v>726</v>
      </c>
      <c r="E36" t="s">
        <v>727</v>
      </c>
      <c r="F36" t="s">
        <v>4</v>
      </c>
      <c r="G36" t="s">
        <v>4</v>
      </c>
      <c r="H36" t="s">
        <v>728</v>
      </c>
      <c r="I36" t="s">
        <v>42</v>
      </c>
      <c r="J36" t="s">
        <v>4</v>
      </c>
      <c r="K36" t="s">
        <v>4</v>
      </c>
      <c r="L36" t="s">
        <v>205</v>
      </c>
      <c r="M36" t="s">
        <v>729</v>
      </c>
      <c r="N36" t="s">
        <v>4</v>
      </c>
      <c r="O36" t="s">
        <v>4</v>
      </c>
      <c r="P36" t="s">
        <v>730</v>
      </c>
      <c r="Q36" t="s">
        <v>731</v>
      </c>
    </row>
    <row r="38" spans="1:17">
      <c r="A38" t="s">
        <v>140</v>
      </c>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dimension ref="A1:E30"/>
  <sheetViews>
    <sheetView workbookViewId="0">
      <pane xSplit="1" ySplit="3" topLeftCell="B4" activePane="bottomRight" state="frozen"/>
      <selection pane="topRight"/>
      <selection pane="bottomLeft"/>
      <selection pane="bottomRight"/>
    </sheetView>
  </sheetViews>
  <sheetFormatPr defaultRowHeight="15"/>
  <cols>
    <col min="1" max="1" width="17" customWidth="1"/>
    <col min="2" max="13" width="12.140625" customWidth="1"/>
  </cols>
  <sheetData>
    <row r="1" spans="1:5">
      <c r="A1" t="s">
        <v>182</v>
      </c>
    </row>
    <row r="2" spans="1:5">
      <c r="A2" t="s">
        <v>4</v>
      </c>
      <c r="B2" s="2" t="s">
        <v>116</v>
      </c>
      <c r="C2" s="2" t="s">
        <v>117</v>
      </c>
      <c r="D2" s="2" t="s">
        <v>118</v>
      </c>
      <c r="E2" s="2" t="s">
        <v>119</v>
      </c>
    </row>
    <row r="3" spans="1:5">
      <c r="A3" t="s">
        <v>4</v>
      </c>
      <c r="B3" t="s">
        <v>124</v>
      </c>
      <c r="C3" t="s">
        <v>124</v>
      </c>
      <c r="D3" t="s">
        <v>124</v>
      </c>
      <c r="E3" t="s">
        <v>124</v>
      </c>
    </row>
    <row r="5" spans="1:5">
      <c r="B5" t="s">
        <v>1</v>
      </c>
      <c r="C5" t="s">
        <v>1</v>
      </c>
      <c r="D5" t="s">
        <v>2</v>
      </c>
      <c r="E5" t="s">
        <v>2</v>
      </c>
    </row>
    <row r="6" spans="1:5">
      <c r="A6" t="s">
        <v>183</v>
      </c>
      <c r="B6" t="s">
        <v>142</v>
      </c>
      <c r="C6" t="s">
        <v>4</v>
      </c>
      <c r="D6" t="s">
        <v>143</v>
      </c>
      <c r="E6" t="s">
        <v>4</v>
      </c>
    </row>
    <row r="7" spans="1:5">
      <c r="A7" t="s">
        <v>4</v>
      </c>
      <c r="B7" t="s">
        <v>144</v>
      </c>
      <c r="C7" t="s">
        <v>4</v>
      </c>
      <c r="D7" t="s">
        <v>145</v>
      </c>
      <c r="E7" t="s">
        <v>4</v>
      </c>
    </row>
    <row r="9" spans="1:5">
      <c r="A9" t="s">
        <v>184</v>
      </c>
      <c r="B9" t="s">
        <v>4</v>
      </c>
      <c r="C9" t="s">
        <v>146</v>
      </c>
      <c r="D9" t="s">
        <v>4</v>
      </c>
      <c r="E9" t="s">
        <v>147</v>
      </c>
    </row>
    <row r="10" spans="1:5">
      <c r="A10" t="s">
        <v>4</v>
      </c>
      <c r="B10" t="s">
        <v>4</v>
      </c>
      <c r="C10" t="s">
        <v>148</v>
      </c>
      <c r="D10" t="s">
        <v>4</v>
      </c>
      <c r="E10" t="s">
        <v>149</v>
      </c>
    </row>
    <row r="12" spans="1:5">
      <c r="A12" t="s">
        <v>185</v>
      </c>
      <c r="B12" t="s">
        <v>150</v>
      </c>
      <c r="C12" t="s">
        <v>4</v>
      </c>
      <c r="D12" t="s">
        <v>151</v>
      </c>
      <c r="E12" t="s">
        <v>4</v>
      </c>
    </row>
    <row r="13" spans="1:5">
      <c r="A13" t="s">
        <v>4</v>
      </c>
      <c r="B13" t="s">
        <v>152</v>
      </c>
      <c r="C13" t="s">
        <v>4</v>
      </c>
      <c r="D13" t="s">
        <v>153</v>
      </c>
      <c r="E13" t="s">
        <v>4</v>
      </c>
    </row>
    <row r="15" spans="1:5">
      <c r="A15" t="s">
        <v>186</v>
      </c>
      <c r="B15" t="s">
        <v>4</v>
      </c>
      <c r="C15" t="s">
        <v>154</v>
      </c>
      <c r="D15" t="s">
        <v>4</v>
      </c>
      <c r="E15" t="s">
        <v>155</v>
      </c>
    </row>
    <row r="16" spans="1:5">
      <c r="A16" t="s">
        <v>4</v>
      </c>
      <c r="B16" t="s">
        <v>4</v>
      </c>
      <c r="C16" t="s">
        <v>156</v>
      </c>
      <c r="D16" t="s">
        <v>4</v>
      </c>
      <c r="E16" t="s">
        <v>157</v>
      </c>
    </row>
    <row r="18" spans="1:5">
      <c r="A18" t="s">
        <v>130</v>
      </c>
      <c r="B18" t="s">
        <v>158</v>
      </c>
      <c r="C18" t="s">
        <v>159</v>
      </c>
      <c r="D18" t="s">
        <v>160</v>
      </c>
      <c r="E18" t="s">
        <v>161</v>
      </c>
    </row>
    <row r="19" spans="1:5">
      <c r="A19" t="s">
        <v>4</v>
      </c>
      <c r="B19" t="s">
        <v>162</v>
      </c>
      <c r="C19" t="s">
        <v>163</v>
      </c>
      <c r="D19" t="s">
        <v>164</v>
      </c>
      <c r="E19" t="s">
        <v>165</v>
      </c>
    </row>
    <row r="21" spans="1:5">
      <c r="A21" t="s">
        <v>131</v>
      </c>
      <c r="B21" t="s">
        <v>166</v>
      </c>
      <c r="C21" t="s">
        <v>167</v>
      </c>
      <c r="D21" t="s">
        <v>168</v>
      </c>
      <c r="E21" t="s">
        <v>169</v>
      </c>
    </row>
    <row r="22" spans="1:5">
      <c r="A22" t="s">
        <v>4</v>
      </c>
      <c r="B22" t="s">
        <v>170</v>
      </c>
      <c r="C22" t="s">
        <v>171</v>
      </c>
      <c r="D22" t="s">
        <v>172</v>
      </c>
      <c r="E22" t="s">
        <v>173</v>
      </c>
    </row>
    <row r="24" spans="1:5">
      <c r="A24" t="s">
        <v>132</v>
      </c>
      <c r="B24" t="s">
        <v>133</v>
      </c>
      <c r="C24" t="s">
        <v>133</v>
      </c>
      <c r="D24" t="s">
        <v>98</v>
      </c>
      <c r="E24" t="s">
        <v>98</v>
      </c>
    </row>
    <row r="25" spans="1:5">
      <c r="A25" t="s">
        <v>136</v>
      </c>
      <c r="B25" t="s">
        <v>21</v>
      </c>
      <c r="C25" t="s">
        <v>174</v>
      </c>
      <c r="D25" t="s">
        <v>175</v>
      </c>
      <c r="E25" t="s">
        <v>176</v>
      </c>
    </row>
    <row r="26" spans="1:5">
      <c r="A26" t="s">
        <v>137</v>
      </c>
      <c r="B26" t="s">
        <v>4</v>
      </c>
      <c r="C26" t="s">
        <v>4</v>
      </c>
      <c r="D26" t="s">
        <v>177</v>
      </c>
      <c r="E26" t="s">
        <v>51</v>
      </c>
    </row>
    <row r="27" spans="1:5">
      <c r="A27" t="s">
        <v>138</v>
      </c>
      <c r="B27" t="s">
        <v>4</v>
      </c>
      <c r="C27" t="s">
        <v>4</v>
      </c>
      <c r="D27" t="s">
        <v>178</v>
      </c>
      <c r="E27" t="s">
        <v>179</v>
      </c>
    </row>
    <row r="28" spans="1:5">
      <c r="A28" t="s">
        <v>139</v>
      </c>
      <c r="B28" t="s">
        <v>4</v>
      </c>
      <c r="C28" t="s">
        <v>4</v>
      </c>
      <c r="D28" t="s">
        <v>180</v>
      </c>
      <c r="E28" t="s">
        <v>181</v>
      </c>
    </row>
    <row r="30" spans="1:5">
      <c r="A30" t="s">
        <v>140</v>
      </c>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21</vt:i4>
      </vt:variant>
    </vt:vector>
  </HeadingPairs>
  <TitlesOfParts>
    <vt:vector size="48" baseType="lpstr">
      <vt:lpstr>User information</vt:lpstr>
      <vt:lpstr>Data entry and outputs</vt:lpstr>
      <vt:lpstr>NYCinc</vt:lpstr>
      <vt:lpstr>MSA data</vt:lpstr>
      <vt:lpstr>todo-questions-scraps</vt:lpstr>
      <vt:lpstr>Track mile pop elasticities</vt:lpstr>
      <vt:lpstr>Revenue mile models</vt:lpstr>
      <vt:lpstr>Track miles population</vt:lpstr>
      <vt:lpstr>Track miles psqm</vt:lpstr>
      <vt:lpstr>Productivity model estimates</vt:lpstr>
      <vt:lpstr>tool_trackmileage</vt:lpstr>
      <vt:lpstr>Track mile elasticities</vt:lpstr>
      <vt:lpstr>Track miles total</vt:lpstr>
      <vt:lpstr>Track mile 1% change</vt:lpstr>
      <vt:lpstr>Revenue mile pop models</vt:lpstr>
      <vt:lpstr>Revenue mile elasticities</vt:lpstr>
      <vt:lpstr>Rev mile pop elasticities</vt:lpstr>
      <vt:lpstr>Rev mile 1% change</vt:lpstr>
      <vt:lpstr>Seat capacity per capita</vt:lpstr>
      <vt:lpstr>Seat capacity elasticities</vt:lpstr>
      <vt:lpstr>Seat cap 1% change</vt:lpstr>
      <vt:lpstr>Change regressions</vt:lpstr>
      <vt:lpstr>Elasticity from change reg</vt:lpstr>
      <vt:lpstr>Change reg 1% change</vt:lpstr>
      <vt:lpstr>all wage calcs</vt:lpstr>
      <vt:lpstr>NYCexc</vt:lpstr>
      <vt:lpstr>Agglomeration</vt:lpstr>
      <vt:lpstr>EDgdpIV</vt:lpstr>
      <vt:lpstr>EDgdpOLS</vt:lpstr>
      <vt:lpstr>EDWageIV</vt:lpstr>
      <vt:lpstr>EDWageOLS</vt:lpstr>
      <vt:lpstr>EmpDen</vt:lpstr>
      <vt:lpstr>GDPpercap</vt:lpstr>
      <vt:lpstr>GrossGDP</vt:lpstr>
      <vt:lpstr>GrossPayroll</vt:lpstr>
      <vt:lpstr>MSAArea</vt:lpstr>
      <vt:lpstr>MSAName</vt:lpstr>
      <vt:lpstr>NewRRevMi</vt:lpstr>
      <vt:lpstr>NewRSeatCap</vt:lpstr>
      <vt:lpstr>NewTrackMileage</vt:lpstr>
      <vt:lpstr>PopGDPiv</vt:lpstr>
      <vt:lpstr>PopGDPols</vt:lpstr>
      <vt:lpstr>Population</vt:lpstr>
      <vt:lpstr>PopWageIV</vt:lpstr>
      <vt:lpstr>PopWageOLS</vt:lpstr>
      <vt:lpstr>UZAArea</vt:lpstr>
      <vt:lpstr>Wage</vt:lpstr>
      <vt:lpstr>Workers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2012-05-18T22:56:17Z</dcterms:created>
  <dcterms:modified xsi:type="dcterms:W3CDTF">2012-05-29T17:08:17Z</dcterms:modified>
</cp:coreProperties>
</file>